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ofx003\Documents\Clinical Resources and Tools\Tracking Tool\"/>
    </mc:Choice>
  </mc:AlternateContent>
  <bookViews>
    <workbookView xWindow="0" yWindow="1020" windowWidth="27320" windowHeight="12540" firstSheet="7" activeTab="16"/>
  </bookViews>
  <sheets>
    <sheet name="Background" sheetId="5" r:id="rId1"/>
    <sheet name="Dataset Dictionary" sheetId="4" state="hidden" r:id="rId2"/>
    <sheet name="Total Patients" sheetId="8" r:id="rId3"/>
    <sheet name="Summary Tables" sheetId="3" r:id="rId4"/>
    <sheet name="Calculations" sheetId="2" state="hidden" r:id="rId5"/>
    <sheet name="January" sheetId="12" r:id="rId6"/>
    <sheet name="February" sheetId="13" r:id="rId7"/>
    <sheet name="March" sheetId="14" r:id="rId8"/>
    <sheet name="April" sheetId="15" r:id="rId9"/>
    <sheet name="May" sheetId="16" r:id="rId10"/>
    <sheet name="June" sheetId="17" r:id="rId11"/>
    <sheet name="July" sheetId="18" r:id="rId12"/>
    <sheet name="August" sheetId="19" r:id="rId13"/>
    <sheet name="September" sheetId="20" r:id="rId14"/>
    <sheet name="October" sheetId="21" r:id="rId15"/>
    <sheet name="November" sheetId="22" r:id="rId16"/>
    <sheet name="December" sheetId="23" r:id="rId17"/>
    <sheet name="Data Options" sheetId="10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2" l="1"/>
  <c r="AC79" i="2" l="1"/>
  <c r="M185" i="2" l="1"/>
  <c r="M184" i="2"/>
  <c r="M183" i="2"/>
  <c r="M182" i="2"/>
  <c r="M181" i="2"/>
  <c r="M180" i="2"/>
  <c r="L185" i="2"/>
  <c r="L184" i="2"/>
  <c r="L183" i="2"/>
  <c r="L182" i="2"/>
  <c r="L181" i="2"/>
  <c r="L180" i="2"/>
  <c r="K185" i="2"/>
  <c r="K184" i="2"/>
  <c r="K183" i="2"/>
  <c r="K182" i="2"/>
  <c r="K181" i="2"/>
  <c r="K180" i="2"/>
  <c r="J185" i="2"/>
  <c r="J184" i="2"/>
  <c r="J183" i="2"/>
  <c r="J182" i="2"/>
  <c r="J181" i="2"/>
  <c r="J180" i="2"/>
  <c r="I185" i="2"/>
  <c r="I184" i="2"/>
  <c r="I183" i="2"/>
  <c r="I182" i="2"/>
  <c r="I181" i="2"/>
  <c r="I180" i="2"/>
  <c r="H185" i="2"/>
  <c r="H184" i="2"/>
  <c r="H183" i="2"/>
  <c r="H182" i="2"/>
  <c r="H181" i="2"/>
  <c r="H180" i="2"/>
  <c r="G185" i="2"/>
  <c r="G184" i="2"/>
  <c r="G183" i="2"/>
  <c r="G182" i="2"/>
  <c r="G181" i="2"/>
  <c r="G180" i="2"/>
  <c r="F185" i="2"/>
  <c r="F184" i="2"/>
  <c r="F183" i="2"/>
  <c r="F182" i="2"/>
  <c r="F181" i="2"/>
  <c r="F180" i="2"/>
  <c r="E185" i="2"/>
  <c r="E184" i="2"/>
  <c r="E183" i="2"/>
  <c r="E182" i="2"/>
  <c r="E181" i="2"/>
  <c r="E180" i="2"/>
  <c r="D185" i="2"/>
  <c r="D184" i="2"/>
  <c r="D183" i="2"/>
  <c r="D182" i="2"/>
  <c r="D181" i="2"/>
  <c r="D180" i="2"/>
  <c r="C185" i="2"/>
  <c r="C184" i="2"/>
  <c r="C183" i="2"/>
  <c r="C182" i="2"/>
  <c r="C181" i="2"/>
  <c r="C180" i="2"/>
  <c r="B185" i="2"/>
  <c r="B184" i="2"/>
  <c r="B183" i="2"/>
  <c r="B182" i="2"/>
  <c r="B181" i="2"/>
  <c r="B180" i="2"/>
  <c r="B171" i="2"/>
  <c r="M23" i="2"/>
  <c r="L23" i="2"/>
  <c r="K23" i="2"/>
  <c r="J23" i="2"/>
  <c r="I23" i="2"/>
  <c r="H23" i="2"/>
  <c r="G23" i="2"/>
  <c r="F23" i="2"/>
  <c r="E23" i="2"/>
  <c r="D23" i="2"/>
  <c r="C23" i="2"/>
  <c r="B23" i="2"/>
  <c r="N23" i="2" l="1"/>
  <c r="O185" i="2"/>
  <c r="O184" i="2"/>
  <c r="O183" i="2"/>
  <c r="O182" i="2"/>
  <c r="O181" i="2"/>
  <c r="O180" i="2"/>
  <c r="M176" i="2"/>
  <c r="M175" i="2"/>
  <c r="M174" i="2"/>
  <c r="M173" i="2"/>
  <c r="M172" i="2"/>
  <c r="L176" i="2"/>
  <c r="L175" i="2"/>
  <c r="L174" i="2"/>
  <c r="L173" i="2"/>
  <c r="L172" i="2"/>
  <c r="K176" i="2"/>
  <c r="K175" i="2"/>
  <c r="K174" i="2"/>
  <c r="K173" i="2"/>
  <c r="K172" i="2"/>
  <c r="J176" i="2"/>
  <c r="J175" i="2"/>
  <c r="J174" i="2"/>
  <c r="J173" i="2"/>
  <c r="J172" i="2"/>
  <c r="I176" i="2"/>
  <c r="I175" i="2"/>
  <c r="I174" i="2"/>
  <c r="I173" i="2"/>
  <c r="I172" i="2"/>
  <c r="H176" i="2"/>
  <c r="H175" i="2"/>
  <c r="H174" i="2"/>
  <c r="H173" i="2"/>
  <c r="H172" i="2"/>
  <c r="G176" i="2"/>
  <c r="G175" i="2"/>
  <c r="G174" i="2"/>
  <c r="G173" i="2"/>
  <c r="G172" i="2"/>
  <c r="F176" i="2"/>
  <c r="F175" i="2"/>
  <c r="F174" i="2"/>
  <c r="F173" i="2"/>
  <c r="F172" i="2"/>
  <c r="E176" i="2"/>
  <c r="E175" i="2"/>
  <c r="E174" i="2"/>
  <c r="E173" i="2"/>
  <c r="E172" i="2"/>
  <c r="D176" i="2"/>
  <c r="D174" i="2"/>
  <c r="D173" i="2"/>
  <c r="D172" i="2"/>
  <c r="C176" i="2"/>
  <c r="C175" i="2"/>
  <c r="C174" i="2"/>
  <c r="C173" i="2"/>
  <c r="C172" i="2"/>
  <c r="B176" i="2"/>
  <c r="B175" i="2"/>
  <c r="B174" i="2"/>
  <c r="B173" i="2"/>
  <c r="B172" i="2"/>
  <c r="D175" i="2"/>
  <c r="M171" i="2"/>
  <c r="L171" i="2"/>
  <c r="K171" i="2"/>
  <c r="J171" i="2"/>
  <c r="I171" i="2"/>
  <c r="H171" i="2"/>
  <c r="G171" i="2"/>
  <c r="F171" i="2"/>
  <c r="E171" i="2"/>
  <c r="D171" i="2"/>
  <c r="C171" i="2"/>
  <c r="B161" i="2"/>
  <c r="O171" i="2" l="1"/>
  <c r="O176" i="2"/>
  <c r="O175" i="2"/>
  <c r="O174" i="2"/>
  <c r="O173" i="2"/>
  <c r="O172" i="2"/>
  <c r="M164" i="2"/>
  <c r="M163" i="2"/>
  <c r="M162" i="2"/>
  <c r="M161" i="2"/>
  <c r="L164" i="2"/>
  <c r="L163" i="2"/>
  <c r="L162" i="2"/>
  <c r="L161" i="2"/>
  <c r="K164" i="2"/>
  <c r="K163" i="2"/>
  <c r="K162" i="2"/>
  <c r="K161" i="2"/>
  <c r="J164" i="2"/>
  <c r="J163" i="2"/>
  <c r="J162" i="2"/>
  <c r="J161" i="2"/>
  <c r="I164" i="2"/>
  <c r="I163" i="2"/>
  <c r="I162" i="2"/>
  <c r="I161" i="2"/>
  <c r="H164" i="2"/>
  <c r="H163" i="2"/>
  <c r="H162" i="2"/>
  <c r="H161" i="2"/>
  <c r="G164" i="2"/>
  <c r="G163" i="2"/>
  <c r="G162" i="2"/>
  <c r="G161" i="2"/>
  <c r="F164" i="2"/>
  <c r="F163" i="2"/>
  <c r="F162" i="2"/>
  <c r="F161" i="2"/>
  <c r="E164" i="2"/>
  <c r="E163" i="2"/>
  <c r="E162" i="2"/>
  <c r="E161" i="2"/>
  <c r="D164" i="2"/>
  <c r="D163" i="2"/>
  <c r="D162" i="2"/>
  <c r="D161" i="2"/>
  <c r="C164" i="2"/>
  <c r="C163" i="2"/>
  <c r="C162" i="2"/>
  <c r="C161" i="2"/>
  <c r="B164" i="2"/>
  <c r="O164" i="2" s="1"/>
  <c r="B163" i="2"/>
  <c r="O163" i="2" s="1"/>
  <c r="B162" i="2"/>
  <c r="O162" i="2" s="1"/>
  <c r="O161" i="2"/>
  <c r="B154" i="2"/>
  <c r="M155" i="2"/>
  <c r="M154" i="2"/>
  <c r="L155" i="2"/>
  <c r="L154" i="2"/>
  <c r="K155" i="2"/>
  <c r="K154" i="2"/>
  <c r="J155" i="2"/>
  <c r="J154" i="2"/>
  <c r="I155" i="2"/>
  <c r="I154" i="2"/>
  <c r="H155" i="2"/>
  <c r="H154" i="2"/>
  <c r="G155" i="2"/>
  <c r="G154" i="2"/>
  <c r="F155" i="2"/>
  <c r="F154" i="2"/>
  <c r="E155" i="2"/>
  <c r="E154" i="2"/>
  <c r="D155" i="2"/>
  <c r="D154" i="2"/>
  <c r="C155" i="2"/>
  <c r="C154" i="2"/>
  <c r="B155" i="2"/>
  <c r="M26" i="2"/>
  <c r="M25" i="2"/>
  <c r="L26" i="2"/>
  <c r="L25" i="2"/>
  <c r="K26" i="2"/>
  <c r="K25" i="2"/>
  <c r="J26" i="2"/>
  <c r="J25" i="2"/>
  <c r="I26" i="2"/>
  <c r="I25" i="2"/>
  <c r="H26" i="2"/>
  <c r="H25" i="2"/>
  <c r="G26" i="2"/>
  <c r="G25" i="2"/>
  <c r="F26" i="2"/>
  <c r="F25" i="2"/>
  <c r="E26" i="2"/>
  <c r="E25" i="2"/>
  <c r="D26" i="2"/>
  <c r="D25" i="2"/>
  <c r="C26" i="2"/>
  <c r="C25" i="2"/>
  <c r="B26" i="2"/>
  <c r="B25" i="2"/>
  <c r="CH4" i="23"/>
  <c r="CH5" i="23"/>
  <c r="CH6" i="23"/>
  <c r="CH7" i="23"/>
  <c r="CH8" i="23"/>
  <c r="CH9" i="23"/>
  <c r="CH10" i="23"/>
  <c r="CH11" i="23"/>
  <c r="CH12" i="23"/>
  <c r="CH13" i="23"/>
  <c r="CH14" i="23"/>
  <c r="CH15" i="23"/>
  <c r="CH16" i="23"/>
  <c r="CH17" i="23"/>
  <c r="CH18" i="23"/>
  <c r="CH19" i="23"/>
  <c r="CH20" i="23"/>
  <c r="CH21" i="23"/>
  <c r="CH22" i="23"/>
  <c r="CH23" i="23"/>
  <c r="CH24" i="23"/>
  <c r="CH25" i="23"/>
  <c r="CH26" i="23"/>
  <c r="CH27" i="23"/>
  <c r="CH28" i="23"/>
  <c r="CH29" i="23"/>
  <c r="CH30" i="23"/>
  <c r="CH31" i="23"/>
  <c r="CH32" i="23"/>
  <c r="CH33" i="23"/>
  <c r="CH34" i="23"/>
  <c r="CH35" i="23"/>
  <c r="CH36" i="23"/>
  <c r="CH37" i="23"/>
  <c r="CH38" i="23"/>
  <c r="CH39" i="23"/>
  <c r="CH40" i="23"/>
  <c r="CH41" i="23"/>
  <c r="CH42" i="23"/>
  <c r="CH43" i="23"/>
  <c r="CH44" i="23"/>
  <c r="CH45" i="23"/>
  <c r="CH46" i="23"/>
  <c r="CH47" i="23"/>
  <c r="CH48" i="23"/>
  <c r="CH49" i="23"/>
  <c r="CH50" i="23"/>
  <c r="CH51" i="23"/>
  <c r="CH52" i="23"/>
  <c r="CH53" i="23"/>
  <c r="CH54" i="23"/>
  <c r="CH55" i="23"/>
  <c r="CH56" i="23"/>
  <c r="CH57" i="23"/>
  <c r="CH58" i="23"/>
  <c r="CH59" i="23"/>
  <c r="CH60" i="23"/>
  <c r="CH61" i="23"/>
  <c r="CH62" i="23"/>
  <c r="CH63" i="23"/>
  <c r="CH64" i="23"/>
  <c r="CH65" i="23"/>
  <c r="CH66" i="23"/>
  <c r="CH67" i="23"/>
  <c r="CH68" i="23"/>
  <c r="CH69" i="23"/>
  <c r="CH70" i="23"/>
  <c r="CH71" i="23"/>
  <c r="CH72" i="23"/>
  <c r="CH73" i="23"/>
  <c r="CH74" i="23"/>
  <c r="CH75" i="23"/>
  <c r="CH76" i="23"/>
  <c r="CH77" i="23"/>
  <c r="CH78" i="23"/>
  <c r="CH79" i="23"/>
  <c r="CH80" i="23"/>
  <c r="CH81" i="23"/>
  <c r="CH82" i="23"/>
  <c r="CH83" i="23"/>
  <c r="CH84" i="23"/>
  <c r="CH85" i="23"/>
  <c r="CH86" i="23"/>
  <c r="CH87" i="23"/>
  <c r="CH88" i="23"/>
  <c r="CH89" i="23"/>
  <c r="CH90" i="23"/>
  <c r="CH91" i="23"/>
  <c r="CH92" i="23"/>
  <c r="CH93" i="23"/>
  <c r="CH94" i="23"/>
  <c r="CH95" i="23"/>
  <c r="CH96" i="23"/>
  <c r="CH97" i="23"/>
  <c r="CH98" i="23"/>
  <c r="CH99" i="23"/>
  <c r="CH100" i="23"/>
  <c r="CH101" i="23"/>
  <c r="CH102" i="23"/>
  <c r="CH103" i="23"/>
  <c r="CH104" i="23"/>
  <c r="CH105" i="23"/>
  <c r="CH106" i="23"/>
  <c r="CH107" i="23"/>
  <c r="CH108" i="23"/>
  <c r="CH109" i="23"/>
  <c r="CH110" i="23"/>
  <c r="CH111" i="23"/>
  <c r="CH112" i="23"/>
  <c r="CH113" i="23"/>
  <c r="CH114" i="23"/>
  <c r="CH115" i="23"/>
  <c r="CH116" i="23"/>
  <c r="CH117" i="23"/>
  <c r="CH118" i="23"/>
  <c r="CH119" i="23"/>
  <c r="CH120" i="23"/>
  <c r="CH121" i="23"/>
  <c r="CH122" i="23"/>
  <c r="CH123" i="23"/>
  <c r="CH124" i="23"/>
  <c r="CH125" i="23"/>
  <c r="CH126" i="23"/>
  <c r="CH127" i="23"/>
  <c r="CH128" i="23"/>
  <c r="CH129" i="23"/>
  <c r="CH130" i="23"/>
  <c r="CH131" i="23"/>
  <c r="CH132" i="23"/>
  <c r="CH133" i="23"/>
  <c r="CH134" i="23"/>
  <c r="CH135" i="23"/>
  <c r="CH136" i="23"/>
  <c r="CH137" i="23"/>
  <c r="CH138" i="23"/>
  <c r="CH139" i="23"/>
  <c r="CH140" i="23"/>
  <c r="CH141" i="23"/>
  <c r="CH142" i="23"/>
  <c r="CH143" i="23"/>
  <c r="CH144" i="23"/>
  <c r="CH145" i="23"/>
  <c r="CH146" i="23"/>
  <c r="CH147" i="23"/>
  <c r="CH148" i="23"/>
  <c r="CH149" i="23"/>
  <c r="CH150" i="23"/>
  <c r="CH151" i="23"/>
  <c r="CH152" i="23"/>
  <c r="CH153" i="23"/>
  <c r="CH154" i="23"/>
  <c r="CH155" i="23"/>
  <c r="CH156" i="23"/>
  <c r="CH157" i="23"/>
  <c r="CH158" i="23"/>
  <c r="CH159" i="23"/>
  <c r="CH160" i="23"/>
  <c r="CH161" i="23"/>
  <c r="CH162" i="23"/>
  <c r="CH163" i="23"/>
  <c r="CH164" i="23"/>
  <c r="CH165" i="23"/>
  <c r="CH166" i="23"/>
  <c r="CH167" i="23"/>
  <c r="CH168" i="23"/>
  <c r="CH169" i="23"/>
  <c r="CH170" i="23"/>
  <c r="CH171" i="23"/>
  <c r="CH172" i="23"/>
  <c r="CH173" i="23"/>
  <c r="CH174" i="23"/>
  <c r="CH175" i="23"/>
  <c r="CH176" i="23"/>
  <c r="CH177" i="23"/>
  <c r="CH178" i="23"/>
  <c r="CH179" i="23"/>
  <c r="CH180" i="23"/>
  <c r="CH181" i="23"/>
  <c r="CH182" i="23"/>
  <c r="CH183" i="23"/>
  <c r="CH184" i="23"/>
  <c r="CH185" i="23"/>
  <c r="CH186" i="23"/>
  <c r="CH187" i="23"/>
  <c r="CH188" i="23"/>
  <c r="CH189" i="23"/>
  <c r="CH190" i="23"/>
  <c r="CH191" i="23"/>
  <c r="CH192" i="23"/>
  <c r="CH193" i="23"/>
  <c r="CH194" i="23"/>
  <c r="CH195" i="23"/>
  <c r="CH196" i="23"/>
  <c r="CH197" i="23"/>
  <c r="CH198" i="23"/>
  <c r="CH199" i="23"/>
  <c r="CH200" i="23"/>
  <c r="CH201" i="23"/>
  <c r="CA4" i="23"/>
  <c r="CA5" i="23"/>
  <c r="CA6" i="23"/>
  <c r="CA7" i="23"/>
  <c r="CA8" i="23"/>
  <c r="CA9" i="23"/>
  <c r="CA10" i="23"/>
  <c r="CA11" i="23"/>
  <c r="CA12" i="23"/>
  <c r="CA13" i="23"/>
  <c r="CA14" i="23"/>
  <c r="CA15" i="23"/>
  <c r="CA16" i="23"/>
  <c r="CA17" i="23"/>
  <c r="CA18" i="23"/>
  <c r="CA19" i="23"/>
  <c r="CA20" i="23"/>
  <c r="CA21" i="23"/>
  <c r="CA22" i="23"/>
  <c r="CA23" i="23"/>
  <c r="CA24" i="23"/>
  <c r="CA25" i="23"/>
  <c r="CA26" i="23"/>
  <c r="CA27" i="23"/>
  <c r="CA28" i="23"/>
  <c r="CA29" i="23"/>
  <c r="CA30" i="23"/>
  <c r="CA31" i="23"/>
  <c r="CA32" i="23"/>
  <c r="CA33" i="23"/>
  <c r="CA34" i="23"/>
  <c r="CA35" i="23"/>
  <c r="CA36" i="23"/>
  <c r="CA37" i="23"/>
  <c r="CA38" i="23"/>
  <c r="CA39" i="23"/>
  <c r="CA40" i="23"/>
  <c r="CA41" i="23"/>
  <c r="CA42" i="23"/>
  <c r="CA43" i="23"/>
  <c r="CA44" i="23"/>
  <c r="CA45" i="23"/>
  <c r="CA46" i="23"/>
  <c r="CA47" i="23"/>
  <c r="CA48" i="23"/>
  <c r="CA49" i="23"/>
  <c r="CA50" i="23"/>
  <c r="CA51" i="23"/>
  <c r="CA52" i="23"/>
  <c r="CA53" i="23"/>
  <c r="CA54" i="23"/>
  <c r="CA55" i="23"/>
  <c r="CA56" i="23"/>
  <c r="CA57" i="23"/>
  <c r="CA58" i="23"/>
  <c r="CA59" i="23"/>
  <c r="CA60" i="23"/>
  <c r="CA61" i="23"/>
  <c r="CA62" i="23"/>
  <c r="CA63" i="23"/>
  <c r="CA64" i="23"/>
  <c r="CA65" i="23"/>
  <c r="CA66" i="23"/>
  <c r="CA67" i="23"/>
  <c r="CA68" i="23"/>
  <c r="CA69" i="23"/>
  <c r="CA70" i="23"/>
  <c r="CA71" i="23"/>
  <c r="CA72" i="23"/>
  <c r="CA73" i="23"/>
  <c r="CA74" i="23"/>
  <c r="CA75" i="23"/>
  <c r="CA76" i="23"/>
  <c r="CA77" i="23"/>
  <c r="CA78" i="23"/>
  <c r="CA79" i="23"/>
  <c r="CA80" i="23"/>
  <c r="CA81" i="23"/>
  <c r="CA82" i="23"/>
  <c r="CA83" i="23"/>
  <c r="CA84" i="23"/>
  <c r="CA85" i="23"/>
  <c r="CA86" i="23"/>
  <c r="CA87" i="23"/>
  <c r="CA88" i="23"/>
  <c r="CA89" i="23"/>
  <c r="CA90" i="23"/>
  <c r="CA91" i="23"/>
  <c r="CA92" i="23"/>
  <c r="CA93" i="23"/>
  <c r="CA94" i="23"/>
  <c r="CA95" i="23"/>
  <c r="CA96" i="23"/>
  <c r="CA97" i="23"/>
  <c r="CA98" i="23"/>
  <c r="CA99" i="23"/>
  <c r="CA100" i="23"/>
  <c r="CA101" i="23"/>
  <c r="CA102" i="23"/>
  <c r="CA103" i="23"/>
  <c r="CA104" i="23"/>
  <c r="CA105" i="23"/>
  <c r="CA106" i="23"/>
  <c r="CA107" i="23"/>
  <c r="CA108" i="23"/>
  <c r="CA109" i="23"/>
  <c r="CA110" i="23"/>
  <c r="CA111" i="23"/>
  <c r="CA112" i="23"/>
  <c r="CA113" i="23"/>
  <c r="CA114" i="23"/>
  <c r="CA115" i="23"/>
  <c r="CA116" i="23"/>
  <c r="CA117" i="23"/>
  <c r="CA118" i="23"/>
  <c r="CA119" i="23"/>
  <c r="CA120" i="23"/>
  <c r="CA121" i="23"/>
  <c r="CA122" i="23"/>
  <c r="CA123" i="23"/>
  <c r="CA124" i="23"/>
  <c r="CA125" i="23"/>
  <c r="CA126" i="23"/>
  <c r="CA127" i="23"/>
  <c r="CA128" i="23"/>
  <c r="CA129" i="23"/>
  <c r="CA130" i="23"/>
  <c r="CA131" i="23"/>
  <c r="CA132" i="23"/>
  <c r="CA133" i="23"/>
  <c r="CA134" i="23"/>
  <c r="CA135" i="23"/>
  <c r="CA136" i="23"/>
  <c r="CA137" i="23"/>
  <c r="CA138" i="23"/>
  <c r="CA139" i="23"/>
  <c r="CA140" i="23"/>
  <c r="CA141" i="23"/>
  <c r="CA142" i="23"/>
  <c r="CA143" i="23"/>
  <c r="CA144" i="23"/>
  <c r="CA145" i="23"/>
  <c r="CA146" i="23"/>
  <c r="CA147" i="23"/>
  <c r="CA148" i="23"/>
  <c r="CA149" i="23"/>
  <c r="CA150" i="23"/>
  <c r="CA151" i="23"/>
  <c r="CA152" i="23"/>
  <c r="CA153" i="23"/>
  <c r="CA154" i="23"/>
  <c r="CA155" i="23"/>
  <c r="CA156" i="23"/>
  <c r="CA157" i="23"/>
  <c r="CA158" i="23"/>
  <c r="CA159" i="23"/>
  <c r="CA160" i="23"/>
  <c r="CA161" i="23"/>
  <c r="CA162" i="23"/>
  <c r="CA163" i="23"/>
  <c r="CA164" i="23"/>
  <c r="CA165" i="23"/>
  <c r="CA166" i="23"/>
  <c r="CA167" i="23"/>
  <c r="CA168" i="23"/>
  <c r="CA169" i="23"/>
  <c r="CA170" i="23"/>
  <c r="CA171" i="23"/>
  <c r="CA172" i="23"/>
  <c r="CA173" i="23"/>
  <c r="CA174" i="23"/>
  <c r="CA175" i="23"/>
  <c r="CA176" i="23"/>
  <c r="CA177" i="23"/>
  <c r="CA178" i="23"/>
  <c r="CA179" i="23"/>
  <c r="CA180" i="23"/>
  <c r="CA181" i="23"/>
  <c r="CA182" i="23"/>
  <c r="CA183" i="23"/>
  <c r="CA184" i="23"/>
  <c r="CA185" i="23"/>
  <c r="CA186" i="23"/>
  <c r="CA187" i="23"/>
  <c r="CA188" i="23"/>
  <c r="CA189" i="23"/>
  <c r="CA190" i="23"/>
  <c r="CA191" i="23"/>
  <c r="CA192" i="23"/>
  <c r="CA193" i="23"/>
  <c r="CA194" i="23"/>
  <c r="CA195" i="23"/>
  <c r="CA196" i="23"/>
  <c r="CA197" i="23"/>
  <c r="CA198" i="23"/>
  <c r="CA199" i="23"/>
  <c r="CA200" i="23"/>
  <c r="CA201" i="23"/>
  <c r="BT4" i="23"/>
  <c r="BT5" i="23"/>
  <c r="BT6" i="23"/>
  <c r="BT7" i="23"/>
  <c r="BT8" i="23"/>
  <c r="BT9" i="23"/>
  <c r="BT10" i="23"/>
  <c r="BT11" i="23"/>
  <c r="BT12" i="23"/>
  <c r="BT13" i="23"/>
  <c r="BT14" i="23"/>
  <c r="BT15" i="23"/>
  <c r="BT16" i="23"/>
  <c r="BT17" i="23"/>
  <c r="BT18" i="23"/>
  <c r="BT19" i="23"/>
  <c r="BT20" i="23"/>
  <c r="BT21" i="23"/>
  <c r="BT22" i="23"/>
  <c r="BT23" i="23"/>
  <c r="BT24" i="23"/>
  <c r="BT25" i="23"/>
  <c r="BT26" i="23"/>
  <c r="BT27" i="23"/>
  <c r="BT28" i="23"/>
  <c r="BT29" i="23"/>
  <c r="BT30" i="23"/>
  <c r="BT31" i="23"/>
  <c r="BT32" i="23"/>
  <c r="BT33" i="23"/>
  <c r="BT34" i="23"/>
  <c r="BT35" i="23"/>
  <c r="BT36" i="23"/>
  <c r="BT37" i="23"/>
  <c r="BT38" i="23"/>
  <c r="BT39" i="23"/>
  <c r="BT40" i="23"/>
  <c r="BT41" i="23"/>
  <c r="BT42" i="23"/>
  <c r="BT43" i="23"/>
  <c r="BT44" i="23"/>
  <c r="BT45" i="23"/>
  <c r="BT46" i="23"/>
  <c r="BT47" i="23"/>
  <c r="BT48" i="23"/>
  <c r="BT49" i="23"/>
  <c r="BT50" i="23"/>
  <c r="BT51" i="23"/>
  <c r="BT52" i="23"/>
  <c r="BT53" i="23"/>
  <c r="BT54" i="23"/>
  <c r="BT55" i="23"/>
  <c r="BT56" i="23"/>
  <c r="BT57" i="23"/>
  <c r="BT58" i="23"/>
  <c r="BT59" i="23"/>
  <c r="BT60" i="23"/>
  <c r="BT61" i="23"/>
  <c r="BT62" i="23"/>
  <c r="BT63" i="23"/>
  <c r="BT64" i="23"/>
  <c r="BT65" i="23"/>
  <c r="BT66" i="23"/>
  <c r="BT67" i="23"/>
  <c r="BT68" i="23"/>
  <c r="BT69" i="23"/>
  <c r="BT70" i="23"/>
  <c r="BT71" i="23"/>
  <c r="BT72" i="23"/>
  <c r="BT73" i="23"/>
  <c r="BT74" i="23"/>
  <c r="BT75" i="23"/>
  <c r="BT76" i="23"/>
  <c r="BT77" i="23"/>
  <c r="BT78" i="23"/>
  <c r="BT79" i="23"/>
  <c r="BT80" i="23"/>
  <c r="BT81" i="23"/>
  <c r="BT82" i="23"/>
  <c r="BT83" i="23"/>
  <c r="BT84" i="23"/>
  <c r="BT85" i="23"/>
  <c r="BT86" i="23"/>
  <c r="BT87" i="23"/>
  <c r="BT88" i="23"/>
  <c r="BT89" i="23"/>
  <c r="BT90" i="23"/>
  <c r="BT91" i="23"/>
  <c r="BT92" i="23"/>
  <c r="BT93" i="23"/>
  <c r="BT94" i="23"/>
  <c r="BT95" i="23"/>
  <c r="BT96" i="23"/>
  <c r="BT97" i="23"/>
  <c r="BT98" i="23"/>
  <c r="BT99" i="23"/>
  <c r="BT100" i="23"/>
  <c r="BT101" i="23"/>
  <c r="BT102" i="23"/>
  <c r="BT103" i="23"/>
  <c r="BT104" i="23"/>
  <c r="BT105" i="23"/>
  <c r="BT106" i="23"/>
  <c r="BT107" i="23"/>
  <c r="BT108" i="23"/>
  <c r="BT109" i="23"/>
  <c r="BT110" i="23"/>
  <c r="BT111" i="23"/>
  <c r="BT112" i="23"/>
  <c r="BT113" i="23"/>
  <c r="BT114" i="23"/>
  <c r="BT115" i="23"/>
  <c r="BT116" i="23"/>
  <c r="BT117" i="23"/>
  <c r="BT118" i="23"/>
  <c r="BT119" i="23"/>
  <c r="BT120" i="23"/>
  <c r="BT121" i="23"/>
  <c r="BT122" i="23"/>
  <c r="BT123" i="23"/>
  <c r="BT124" i="23"/>
  <c r="BT125" i="23"/>
  <c r="BT126" i="23"/>
  <c r="BT127" i="23"/>
  <c r="BT128" i="23"/>
  <c r="BT129" i="23"/>
  <c r="BT130" i="23"/>
  <c r="BT131" i="23"/>
  <c r="BT132" i="23"/>
  <c r="BT133" i="23"/>
  <c r="BT134" i="23"/>
  <c r="BT135" i="23"/>
  <c r="BT136" i="23"/>
  <c r="BT137" i="23"/>
  <c r="BT138" i="23"/>
  <c r="BT139" i="23"/>
  <c r="BT140" i="23"/>
  <c r="BT141" i="23"/>
  <c r="BT142" i="23"/>
  <c r="BT143" i="23"/>
  <c r="BT144" i="23"/>
  <c r="BT145" i="23"/>
  <c r="BT146" i="23"/>
  <c r="BT147" i="23"/>
  <c r="BT148" i="23"/>
  <c r="BT149" i="23"/>
  <c r="BT150" i="23"/>
  <c r="BT151" i="23"/>
  <c r="BT152" i="23"/>
  <c r="BT153" i="23"/>
  <c r="BT154" i="23"/>
  <c r="BT155" i="23"/>
  <c r="BT156" i="23"/>
  <c r="BT157" i="23"/>
  <c r="BT158" i="23"/>
  <c r="BT159" i="23"/>
  <c r="BT160" i="23"/>
  <c r="BT161" i="23"/>
  <c r="BT162" i="23"/>
  <c r="BT163" i="23"/>
  <c r="BT164" i="23"/>
  <c r="BT165" i="23"/>
  <c r="BT166" i="23"/>
  <c r="BT167" i="23"/>
  <c r="BT168" i="23"/>
  <c r="BT169" i="23"/>
  <c r="BT170" i="23"/>
  <c r="BT171" i="23"/>
  <c r="BT172" i="23"/>
  <c r="BT173" i="23"/>
  <c r="BT174" i="23"/>
  <c r="BT175" i="23"/>
  <c r="BT176" i="23"/>
  <c r="BT177" i="23"/>
  <c r="BT178" i="23"/>
  <c r="BT179" i="23"/>
  <c r="BT180" i="23"/>
  <c r="BT181" i="23"/>
  <c r="BT182" i="23"/>
  <c r="BT183" i="23"/>
  <c r="BT184" i="23"/>
  <c r="BT185" i="23"/>
  <c r="BT186" i="23"/>
  <c r="BT187" i="23"/>
  <c r="BT188" i="23"/>
  <c r="BT189" i="23"/>
  <c r="BT190" i="23"/>
  <c r="BT191" i="23"/>
  <c r="BT192" i="23"/>
  <c r="BT193" i="23"/>
  <c r="BT194" i="23"/>
  <c r="BT195" i="23"/>
  <c r="BT196" i="23"/>
  <c r="BT197" i="23"/>
  <c r="BT198" i="23"/>
  <c r="BT199" i="23"/>
  <c r="BT200" i="23"/>
  <c r="BT201" i="23"/>
  <c r="BG4" i="23"/>
  <c r="BG5" i="23"/>
  <c r="BG6" i="23"/>
  <c r="BG7" i="23"/>
  <c r="BG8" i="23"/>
  <c r="BG9" i="23"/>
  <c r="BG10" i="23"/>
  <c r="BG11" i="23"/>
  <c r="BG12" i="23"/>
  <c r="BG13" i="23"/>
  <c r="BG14" i="23"/>
  <c r="BG15" i="23"/>
  <c r="BG16" i="23"/>
  <c r="BG17" i="23"/>
  <c r="BG18" i="23"/>
  <c r="BG19" i="23"/>
  <c r="BG20" i="23"/>
  <c r="BG21" i="23"/>
  <c r="BG22" i="23"/>
  <c r="BG23" i="23"/>
  <c r="BG24" i="23"/>
  <c r="BG25" i="23"/>
  <c r="BG26" i="23"/>
  <c r="BG27" i="23"/>
  <c r="BG28" i="23"/>
  <c r="BG29" i="23"/>
  <c r="BG30" i="23"/>
  <c r="BG31" i="23"/>
  <c r="BG32" i="23"/>
  <c r="BG33" i="23"/>
  <c r="BG34" i="23"/>
  <c r="BG35" i="23"/>
  <c r="BG36" i="23"/>
  <c r="BG37" i="23"/>
  <c r="BG38" i="23"/>
  <c r="BG39" i="23"/>
  <c r="BG40" i="23"/>
  <c r="BG41" i="23"/>
  <c r="BG42" i="23"/>
  <c r="BG43" i="23"/>
  <c r="BG44" i="23"/>
  <c r="BG45" i="23"/>
  <c r="BG46" i="23"/>
  <c r="BG47" i="23"/>
  <c r="BG48" i="23"/>
  <c r="BG49" i="23"/>
  <c r="BG50" i="23"/>
  <c r="BG51" i="23"/>
  <c r="BG52" i="23"/>
  <c r="BG53" i="23"/>
  <c r="BG54" i="23"/>
  <c r="BG55" i="23"/>
  <c r="BG56" i="23"/>
  <c r="BG57" i="23"/>
  <c r="BG58" i="23"/>
  <c r="BG59" i="23"/>
  <c r="BG60" i="23"/>
  <c r="BG61" i="23"/>
  <c r="BG62" i="23"/>
  <c r="BG63" i="23"/>
  <c r="BG64" i="23"/>
  <c r="BG65" i="23"/>
  <c r="BG66" i="23"/>
  <c r="BG67" i="23"/>
  <c r="BG68" i="23"/>
  <c r="BG69" i="23"/>
  <c r="BG70" i="23"/>
  <c r="BG71" i="23"/>
  <c r="BG72" i="23"/>
  <c r="BG73" i="23"/>
  <c r="BG74" i="23"/>
  <c r="BG75" i="23"/>
  <c r="BG76" i="23"/>
  <c r="BG77" i="23"/>
  <c r="BG78" i="23"/>
  <c r="BG79" i="23"/>
  <c r="BG80" i="23"/>
  <c r="BG81" i="23"/>
  <c r="BG82" i="23"/>
  <c r="BG83" i="23"/>
  <c r="BG84" i="23"/>
  <c r="BG85" i="23"/>
  <c r="BG86" i="23"/>
  <c r="BG87" i="23"/>
  <c r="BG88" i="23"/>
  <c r="BG89" i="23"/>
  <c r="BG90" i="23"/>
  <c r="BG91" i="23"/>
  <c r="BG92" i="23"/>
  <c r="BG93" i="23"/>
  <c r="BG94" i="23"/>
  <c r="BG95" i="23"/>
  <c r="BG96" i="23"/>
  <c r="BG97" i="23"/>
  <c r="BG98" i="23"/>
  <c r="BG99" i="23"/>
  <c r="BG100" i="23"/>
  <c r="BG101" i="23"/>
  <c r="BG102" i="23"/>
  <c r="BG103" i="23"/>
  <c r="BG104" i="23"/>
  <c r="BG105" i="23"/>
  <c r="BG106" i="23"/>
  <c r="BG107" i="23"/>
  <c r="BG108" i="23"/>
  <c r="BG109" i="23"/>
  <c r="BG110" i="23"/>
  <c r="BG111" i="23"/>
  <c r="BG112" i="23"/>
  <c r="BG113" i="23"/>
  <c r="BG114" i="23"/>
  <c r="BG115" i="23"/>
  <c r="BG116" i="23"/>
  <c r="BG117" i="23"/>
  <c r="BG118" i="23"/>
  <c r="BG119" i="23"/>
  <c r="BG120" i="23"/>
  <c r="BG121" i="23"/>
  <c r="BG122" i="23"/>
  <c r="BG123" i="23"/>
  <c r="BG124" i="23"/>
  <c r="BG125" i="23"/>
  <c r="BG126" i="23"/>
  <c r="BG127" i="23"/>
  <c r="BG128" i="23"/>
  <c r="BG129" i="23"/>
  <c r="BG130" i="23"/>
  <c r="BG131" i="23"/>
  <c r="BG132" i="23"/>
  <c r="BG133" i="23"/>
  <c r="BG134" i="23"/>
  <c r="BG135" i="23"/>
  <c r="BG136" i="23"/>
  <c r="BG137" i="23"/>
  <c r="BG138" i="23"/>
  <c r="BG139" i="23"/>
  <c r="BG140" i="23"/>
  <c r="BG141" i="23"/>
  <c r="BG142" i="23"/>
  <c r="BG143" i="23"/>
  <c r="BG144" i="23"/>
  <c r="BG145" i="23"/>
  <c r="BG146" i="23"/>
  <c r="BG147" i="23"/>
  <c r="BG148" i="23"/>
  <c r="BG149" i="23"/>
  <c r="BG150" i="23"/>
  <c r="BG151" i="23"/>
  <c r="BG152" i="23"/>
  <c r="BG153" i="23"/>
  <c r="BG154" i="23"/>
  <c r="BG155" i="23"/>
  <c r="BG156" i="23"/>
  <c r="BG157" i="23"/>
  <c r="BG158" i="23"/>
  <c r="BG159" i="23"/>
  <c r="BG160" i="23"/>
  <c r="BG161" i="23"/>
  <c r="BG162" i="23"/>
  <c r="BG163" i="23"/>
  <c r="BG164" i="23"/>
  <c r="BG165" i="23"/>
  <c r="BG166" i="23"/>
  <c r="BG167" i="23"/>
  <c r="BG168" i="23"/>
  <c r="BG169" i="23"/>
  <c r="BG170" i="23"/>
  <c r="BG171" i="23"/>
  <c r="BG172" i="23"/>
  <c r="BG173" i="23"/>
  <c r="BG174" i="23"/>
  <c r="BG175" i="23"/>
  <c r="BG176" i="23"/>
  <c r="BG177" i="23"/>
  <c r="BG178" i="23"/>
  <c r="BG179" i="23"/>
  <c r="BG180" i="23"/>
  <c r="BG181" i="23"/>
  <c r="BG182" i="23"/>
  <c r="BG183" i="23"/>
  <c r="BG184" i="23"/>
  <c r="BG185" i="23"/>
  <c r="BG186" i="23"/>
  <c r="BG187" i="23"/>
  <c r="BG188" i="23"/>
  <c r="BG189" i="23"/>
  <c r="BG190" i="23"/>
  <c r="BG191" i="23"/>
  <c r="BG192" i="23"/>
  <c r="BG193" i="23"/>
  <c r="BG194" i="23"/>
  <c r="BG195" i="23"/>
  <c r="BG196" i="23"/>
  <c r="BG197" i="23"/>
  <c r="BG198" i="23"/>
  <c r="BG199" i="23"/>
  <c r="BG200" i="23"/>
  <c r="BG201" i="23"/>
  <c r="AZ4" i="23"/>
  <c r="AZ5" i="23"/>
  <c r="AZ6" i="23"/>
  <c r="AZ7" i="23"/>
  <c r="AZ8" i="23"/>
  <c r="AZ9" i="23"/>
  <c r="AZ10" i="23"/>
  <c r="AZ11" i="23"/>
  <c r="AZ12" i="23"/>
  <c r="AZ13" i="23"/>
  <c r="AZ14" i="23"/>
  <c r="AZ15" i="23"/>
  <c r="AZ16" i="23"/>
  <c r="AZ17" i="23"/>
  <c r="AZ18" i="23"/>
  <c r="AZ19" i="23"/>
  <c r="AZ20" i="23"/>
  <c r="AZ21" i="23"/>
  <c r="AZ22" i="23"/>
  <c r="AZ23" i="23"/>
  <c r="AZ24" i="23"/>
  <c r="AZ25" i="23"/>
  <c r="AZ26" i="23"/>
  <c r="AZ27" i="23"/>
  <c r="AZ28" i="23"/>
  <c r="AZ29" i="23"/>
  <c r="AZ30" i="23"/>
  <c r="AZ31" i="23"/>
  <c r="AZ32" i="23"/>
  <c r="AZ33" i="23"/>
  <c r="AZ34" i="23"/>
  <c r="AZ35" i="23"/>
  <c r="AZ36" i="23"/>
  <c r="AZ37" i="23"/>
  <c r="AZ38" i="23"/>
  <c r="AZ39" i="23"/>
  <c r="AZ40" i="23"/>
  <c r="AZ41" i="23"/>
  <c r="AZ42" i="23"/>
  <c r="AZ43" i="23"/>
  <c r="AZ44" i="23"/>
  <c r="AZ45" i="23"/>
  <c r="AZ46" i="23"/>
  <c r="AZ47" i="23"/>
  <c r="AZ48" i="23"/>
  <c r="AZ49" i="23"/>
  <c r="AZ50" i="23"/>
  <c r="AZ51" i="23"/>
  <c r="AZ52" i="23"/>
  <c r="AZ53" i="23"/>
  <c r="AZ54" i="23"/>
  <c r="AZ55" i="23"/>
  <c r="AZ56" i="23"/>
  <c r="AZ57" i="23"/>
  <c r="AZ58" i="23"/>
  <c r="AZ59" i="23"/>
  <c r="AZ60" i="23"/>
  <c r="AZ61" i="23"/>
  <c r="AZ62" i="23"/>
  <c r="AZ63" i="23"/>
  <c r="AZ64" i="23"/>
  <c r="AZ65" i="23"/>
  <c r="AZ66" i="23"/>
  <c r="AZ67" i="23"/>
  <c r="AZ68" i="23"/>
  <c r="AZ69" i="23"/>
  <c r="AZ70" i="23"/>
  <c r="AZ71" i="23"/>
  <c r="AZ72" i="23"/>
  <c r="AZ73" i="23"/>
  <c r="AZ74" i="23"/>
  <c r="AZ75" i="23"/>
  <c r="AZ76" i="23"/>
  <c r="AZ77" i="23"/>
  <c r="AZ78" i="23"/>
  <c r="AZ79" i="23"/>
  <c r="AZ80" i="23"/>
  <c r="AZ81" i="23"/>
  <c r="AZ82" i="23"/>
  <c r="AZ83" i="23"/>
  <c r="AZ84" i="23"/>
  <c r="AZ85" i="23"/>
  <c r="AZ86" i="23"/>
  <c r="AZ87" i="23"/>
  <c r="AZ88" i="23"/>
  <c r="AZ89" i="23"/>
  <c r="AZ90" i="23"/>
  <c r="AZ91" i="23"/>
  <c r="AZ92" i="23"/>
  <c r="AZ93" i="23"/>
  <c r="AZ94" i="23"/>
  <c r="AZ95" i="23"/>
  <c r="AZ96" i="23"/>
  <c r="AZ97" i="23"/>
  <c r="AZ98" i="23"/>
  <c r="AZ99" i="23"/>
  <c r="AZ100" i="23"/>
  <c r="AZ101" i="23"/>
  <c r="AZ102" i="23"/>
  <c r="AZ103" i="23"/>
  <c r="AZ104" i="23"/>
  <c r="AZ105" i="23"/>
  <c r="AZ106" i="23"/>
  <c r="AZ107" i="23"/>
  <c r="AZ108" i="23"/>
  <c r="AZ109" i="23"/>
  <c r="AZ110" i="23"/>
  <c r="AZ111" i="23"/>
  <c r="AZ112" i="23"/>
  <c r="AZ113" i="23"/>
  <c r="AZ114" i="23"/>
  <c r="AZ115" i="23"/>
  <c r="AZ116" i="23"/>
  <c r="AZ117" i="23"/>
  <c r="AZ118" i="23"/>
  <c r="AZ119" i="23"/>
  <c r="AZ120" i="23"/>
  <c r="AZ121" i="23"/>
  <c r="AZ122" i="23"/>
  <c r="AZ123" i="23"/>
  <c r="AZ124" i="23"/>
  <c r="AZ125" i="23"/>
  <c r="AZ126" i="23"/>
  <c r="AZ127" i="23"/>
  <c r="AZ128" i="23"/>
  <c r="AZ129" i="23"/>
  <c r="AZ130" i="23"/>
  <c r="AZ131" i="23"/>
  <c r="AZ132" i="23"/>
  <c r="AZ133" i="23"/>
  <c r="AZ134" i="23"/>
  <c r="AZ135" i="23"/>
  <c r="AZ136" i="23"/>
  <c r="AZ137" i="23"/>
  <c r="AZ138" i="23"/>
  <c r="AZ139" i="23"/>
  <c r="AZ140" i="23"/>
  <c r="AZ141" i="23"/>
  <c r="AZ142" i="23"/>
  <c r="AZ143" i="23"/>
  <c r="AZ144" i="23"/>
  <c r="AZ145" i="23"/>
  <c r="AZ146" i="23"/>
  <c r="AZ147" i="23"/>
  <c r="AZ148" i="23"/>
  <c r="AZ149" i="23"/>
  <c r="AZ150" i="23"/>
  <c r="AZ151" i="23"/>
  <c r="AZ152" i="23"/>
  <c r="AZ153" i="23"/>
  <c r="AZ154" i="23"/>
  <c r="AZ155" i="23"/>
  <c r="AZ156" i="23"/>
  <c r="AZ157" i="23"/>
  <c r="AZ158" i="23"/>
  <c r="AZ159" i="23"/>
  <c r="AZ160" i="23"/>
  <c r="AZ161" i="23"/>
  <c r="AZ162" i="23"/>
  <c r="AZ163" i="23"/>
  <c r="AZ164" i="23"/>
  <c r="AZ165" i="23"/>
  <c r="AZ166" i="23"/>
  <c r="AZ167" i="23"/>
  <c r="AZ168" i="23"/>
  <c r="AZ169" i="23"/>
  <c r="AZ170" i="23"/>
  <c r="AZ171" i="23"/>
  <c r="AZ172" i="23"/>
  <c r="AZ173" i="23"/>
  <c r="AZ174" i="23"/>
  <c r="AZ175" i="23"/>
  <c r="AZ176" i="23"/>
  <c r="AZ177" i="23"/>
  <c r="AZ178" i="23"/>
  <c r="AZ179" i="23"/>
  <c r="AZ180" i="23"/>
  <c r="AZ181" i="23"/>
  <c r="AZ182" i="23"/>
  <c r="AZ183" i="23"/>
  <c r="AZ184" i="23"/>
  <c r="AZ185" i="23"/>
  <c r="AZ186" i="23"/>
  <c r="AZ187" i="23"/>
  <c r="AZ188" i="23"/>
  <c r="AZ189" i="23"/>
  <c r="AZ190" i="23"/>
  <c r="AZ191" i="23"/>
  <c r="AZ192" i="23"/>
  <c r="AZ193" i="23"/>
  <c r="AZ194" i="23"/>
  <c r="AZ195" i="23"/>
  <c r="AZ196" i="23"/>
  <c r="AZ197" i="23"/>
  <c r="AZ198" i="23"/>
  <c r="AZ199" i="23"/>
  <c r="AZ200" i="23"/>
  <c r="AZ201" i="23"/>
  <c r="AS4" i="23"/>
  <c r="AS5" i="23"/>
  <c r="AS6" i="23"/>
  <c r="AS7" i="23"/>
  <c r="AS8" i="23"/>
  <c r="AS9" i="23"/>
  <c r="AS10" i="23"/>
  <c r="AS11" i="23"/>
  <c r="AS12" i="23"/>
  <c r="AS13" i="23"/>
  <c r="AS14" i="23"/>
  <c r="AS15" i="23"/>
  <c r="AS16" i="23"/>
  <c r="AS17" i="23"/>
  <c r="AS18" i="23"/>
  <c r="AS19" i="23"/>
  <c r="AS20" i="23"/>
  <c r="AS21" i="23"/>
  <c r="AS22" i="23"/>
  <c r="AS23" i="23"/>
  <c r="AS24" i="23"/>
  <c r="AS25" i="23"/>
  <c r="AS26" i="23"/>
  <c r="AS27" i="23"/>
  <c r="AS28" i="23"/>
  <c r="AS29" i="23"/>
  <c r="AS30" i="23"/>
  <c r="AS31" i="23"/>
  <c r="AS32" i="23"/>
  <c r="AS33" i="23"/>
  <c r="AS34" i="23"/>
  <c r="AS35" i="23"/>
  <c r="AS36" i="23"/>
  <c r="AS37" i="23"/>
  <c r="AS38" i="23"/>
  <c r="AS39" i="23"/>
  <c r="AS40" i="23"/>
  <c r="AS41" i="23"/>
  <c r="AS42" i="23"/>
  <c r="AS43" i="23"/>
  <c r="AS44" i="23"/>
  <c r="AS45" i="23"/>
  <c r="AS46" i="23"/>
  <c r="AS47" i="23"/>
  <c r="AS48" i="23"/>
  <c r="AS49" i="23"/>
  <c r="AS50" i="23"/>
  <c r="AS51" i="23"/>
  <c r="AS52" i="23"/>
  <c r="AS53" i="23"/>
  <c r="AS54" i="23"/>
  <c r="AS55" i="23"/>
  <c r="AS56" i="23"/>
  <c r="AS57" i="23"/>
  <c r="AS58" i="23"/>
  <c r="AS59" i="23"/>
  <c r="AS60" i="23"/>
  <c r="AS61" i="23"/>
  <c r="AS62" i="23"/>
  <c r="AS63" i="23"/>
  <c r="AS64" i="23"/>
  <c r="AS65" i="23"/>
  <c r="AS66" i="23"/>
  <c r="AS67" i="23"/>
  <c r="AS68" i="23"/>
  <c r="AS69" i="23"/>
  <c r="AS70" i="23"/>
  <c r="AS71" i="23"/>
  <c r="AS72" i="23"/>
  <c r="AS73" i="23"/>
  <c r="AS74" i="23"/>
  <c r="AS75" i="23"/>
  <c r="AS76" i="23"/>
  <c r="AS77" i="23"/>
  <c r="AS78" i="23"/>
  <c r="AS79" i="23"/>
  <c r="AS80" i="23"/>
  <c r="AS81" i="23"/>
  <c r="AS82" i="23"/>
  <c r="AS83" i="23"/>
  <c r="AS84" i="23"/>
  <c r="AS85" i="23"/>
  <c r="AS86" i="23"/>
  <c r="AS87" i="23"/>
  <c r="AS88" i="23"/>
  <c r="AS89" i="23"/>
  <c r="AS90" i="23"/>
  <c r="AS91" i="23"/>
  <c r="AS92" i="23"/>
  <c r="AS93" i="23"/>
  <c r="AS94" i="23"/>
  <c r="AS95" i="23"/>
  <c r="AS96" i="23"/>
  <c r="AS97" i="23"/>
  <c r="AS98" i="23"/>
  <c r="AS99" i="23"/>
  <c r="AS100" i="23"/>
  <c r="AS101" i="23"/>
  <c r="AS102" i="23"/>
  <c r="AS103" i="23"/>
  <c r="AS104" i="23"/>
  <c r="AS105" i="23"/>
  <c r="AS106" i="23"/>
  <c r="AS107" i="23"/>
  <c r="AS108" i="23"/>
  <c r="AS109" i="23"/>
  <c r="AS110" i="23"/>
  <c r="AS111" i="23"/>
  <c r="AS112" i="23"/>
  <c r="AS113" i="23"/>
  <c r="AS114" i="23"/>
  <c r="AS115" i="23"/>
  <c r="AS116" i="23"/>
  <c r="AS117" i="23"/>
  <c r="AS118" i="23"/>
  <c r="AS119" i="23"/>
  <c r="AS120" i="23"/>
  <c r="AS121" i="23"/>
  <c r="AS122" i="23"/>
  <c r="AS123" i="23"/>
  <c r="AS124" i="23"/>
  <c r="AS125" i="23"/>
  <c r="AS126" i="23"/>
  <c r="AS127" i="23"/>
  <c r="AS128" i="23"/>
  <c r="AS129" i="23"/>
  <c r="AS130" i="23"/>
  <c r="AS131" i="23"/>
  <c r="AS132" i="23"/>
  <c r="AS133" i="23"/>
  <c r="AS134" i="23"/>
  <c r="AS135" i="23"/>
  <c r="AS136" i="23"/>
  <c r="AS137" i="23"/>
  <c r="AS138" i="23"/>
  <c r="AS139" i="23"/>
  <c r="AS140" i="23"/>
  <c r="AS141" i="23"/>
  <c r="AS142" i="23"/>
  <c r="AS143" i="23"/>
  <c r="AS144" i="23"/>
  <c r="AS145" i="23"/>
  <c r="AS146" i="23"/>
  <c r="AS147" i="23"/>
  <c r="AS148" i="23"/>
  <c r="AS149" i="23"/>
  <c r="AS150" i="23"/>
  <c r="AS151" i="23"/>
  <c r="AS152" i="23"/>
  <c r="AS153" i="23"/>
  <c r="AS154" i="23"/>
  <c r="AS155" i="23"/>
  <c r="AS156" i="23"/>
  <c r="AS157" i="23"/>
  <c r="AS158" i="23"/>
  <c r="AS159" i="23"/>
  <c r="AS160" i="23"/>
  <c r="AS161" i="23"/>
  <c r="AS162" i="23"/>
  <c r="AS163" i="23"/>
  <c r="AS164" i="23"/>
  <c r="AS165" i="23"/>
  <c r="AS166" i="23"/>
  <c r="AS167" i="23"/>
  <c r="AS168" i="23"/>
  <c r="AS169" i="23"/>
  <c r="AS170" i="23"/>
  <c r="AS171" i="23"/>
  <c r="AS172" i="23"/>
  <c r="AS173" i="23"/>
  <c r="AS174" i="23"/>
  <c r="AS175" i="23"/>
  <c r="AS176" i="23"/>
  <c r="AS177" i="23"/>
  <c r="AS178" i="23"/>
  <c r="AS179" i="23"/>
  <c r="AS180" i="23"/>
  <c r="AS181" i="23"/>
  <c r="AS182" i="23"/>
  <c r="AS183" i="23"/>
  <c r="AS184" i="23"/>
  <c r="AS185" i="23"/>
  <c r="AS186" i="23"/>
  <c r="AS187" i="23"/>
  <c r="AS188" i="23"/>
  <c r="AS189" i="23"/>
  <c r="AS190" i="23"/>
  <c r="AS191" i="23"/>
  <c r="AS192" i="23"/>
  <c r="AS193" i="23"/>
  <c r="AS194" i="23"/>
  <c r="AS195" i="23"/>
  <c r="AS196" i="23"/>
  <c r="AS197" i="23"/>
  <c r="AS198" i="23"/>
  <c r="AS199" i="23"/>
  <c r="AS200" i="23"/>
  <c r="AS201" i="23"/>
  <c r="AF4" i="23"/>
  <c r="AF5" i="23"/>
  <c r="AF6" i="23"/>
  <c r="AF7" i="23"/>
  <c r="AF8" i="23"/>
  <c r="AF9" i="23"/>
  <c r="AF10" i="23"/>
  <c r="AF11" i="23"/>
  <c r="AF12" i="23"/>
  <c r="AF13" i="23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2" i="23"/>
  <c r="AF43" i="23"/>
  <c r="AF44" i="23"/>
  <c r="AF45" i="23"/>
  <c r="AF46" i="23"/>
  <c r="AF47" i="23"/>
  <c r="AF48" i="23"/>
  <c r="AF49" i="23"/>
  <c r="AF50" i="23"/>
  <c r="AF51" i="23"/>
  <c r="AF52" i="23"/>
  <c r="AF53" i="23"/>
  <c r="AF54" i="23"/>
  <c r="AF55" i="23"/>
  <c r="AF56" i="23"/>
  <c r="AF57" i="23"/>
  <c r="AF58" i="23"/>
  <c r="AF59" i="23"/>
  <c r="AF60" i="23"/>
  <c r="AF61" i="23"/>
  <c r="AF62" i="23"/>
  <c r="AF63" i="23"/>
  <c r="AF64" i="23"/>
  <c r="AF65" i="23"/>
  <c r="AF66" i="23"/>
  <c r="AF67" i="23"/>
  <c r="AF68" i="23"/>
  <c r="AF69" i="23"/>
  <c r="AF70" i="23"/>
  <c r="AF71" i="23"/>
  <c r="AF72" i="23"/>
  <c r="AF73" i="23"/>
  <c r="AF74" i="23"/>
  <c r="AF75" i="23"/>
  <c r="AF76" i="23"/>
  <c r="AF77" i="23"/>
  <c r="AF78" i="23"/>
  <c r="AF79" i="23"/>
  <c r="AF80" i="23"/>
  <c r="AF81" i="23"/>
  <c r="AF82" i="23"/>
  <c r="AF83" i="23"/>
  <c r="AF84" i="23"/>
  <c r="AF85" i="23"/>
  <c r="AF86" i="23"/>
  <c r="AF87" i="23"/>
  <c r="AF88" i="23"/>
  <c r="AF89" i="23"/>
  <c r="AF90" i="23"/>
  <c r="AF91" i="23"/>
  <c r="AF92" i="23"/>
  <c r="AF93" i="23"/>
  <c r="AF94" i="23"/>
  <c r="AF95" i="23"/>
  <c r="AF96" i="23"/>
  <c r="AF97" i="23"/>
  <c r="AF98" i="23"/>
  <c r="AF99" i="23"/>
  <c r="AF100" i="23"/>
  <c r="AF101" i="23"/>
  <c r="AF102" i="23"/>
  <c r="AF103" i="23"/>
  <c r="AF104" i="23"/>
  <c r="AF105" i="23"/>
  <c r="AF106" i="23"/>
  <c r="AF107" i="23"/>
  <c r="AF108" i="23"/>
  <c r="AF109" i="23"/>
  <c r="AF110" i="23"/>
  <c r="AF111" i="23"/>
  <c r="AF112" i="23"/>
  <c r="AF113" i="23"/>
  <c r="AF114" i="23"/>
  <c r="AF115" i="23"/>
  <c r="AF116" i="23"/>
  <c r="AF117" i="23"/>
  <c r="AF118" i="23"/>
  <c r="AF119" i="23"/>
  <c r="AF120" i="23"/>
  <c r="AF121" i="23"/>
  <c r="AF122" i="23"/>
  <c r="AF123" i="23"/>
  <c r="AF124" i="23"/>
  <c r="AF125" i="23"/>
  <c r="AF126" i="23"/>
  <c r="AF127" i="23"/>
  <c r="AF128" i="23"/>
  <c r="AF129" i="23"/>
  <c r="AF130" i="23"/>
  <c r="AF131" i="23"/>
  <c r="AF132" i="23"/>
  <c r="AF133" i="23"/>
  <c r="AF134" i="23"/>
  <c r="AF135" i="23"/>
  <c r="AF136" i="23"/>
  <c r="AF137" i="23"/>
  <c r="AF138" i="23"/>
  <c r="AF139" i="23"/>
  <c r="AF140" i="23"/>
  <c r="AF141" i="23"/>
  <c r="AF142" i="23"/>
  <c r="AF143" i="23"/>
  <c r="AF144" i="23"/>
  <c r="AF145" i="23"/>
  <c r="AF146" i="23"/>
  <c r="AF147" i="23"/>
  <c r="AF148" i="23"/>
  <c r="AF149" i="23"/>
  <c r="AF150" i="23"/>
  <c r="AF151" i="23"/>
  <c r="AF152" i="23"/>
  <c r="AF153" i="23"/>
  <c r="AF154" i="23"/>
  <c r="AF155" i="23"/>
  <c r="AF156" i="23"/>
  <c r="AF157" i="23"/>
  <c r="AF158" i="23"/>
  <c r="AF159" i="23"/>
  <c r="AF160" i="23"/>
  <c r="AF161" i="23"/>
  <c r="AF162" i="23"/>
  <c r="AF163" i="23"/>
  <c r="AF164" i="23"/>
  <c r="AF165" i="23"/>
  <c r="AF166" i="23"/>
  <c r="AF167" i="23"/>
  <c r="AF168" i="23"/>
  <c r="AF169" i="23"/>
  <c r="AF170" i="23"/>
  <c r="AF171" i="23"/>
  <c r="AF172" i="23"/>
  <c r="AF173" i="23"/>
  <c r="AF174" i="23"/>
  <c r="AF175" i="23"/>
  <c r="AF176" i="23"/>
  <c r="AF177" i="23"/>
  <c r="AF178" i="23"/>
  <c r="AF179" i="23"/>
  <c r="AF180" i="23"/>
  <c r="AF181" i="23"/>
  <c r="AF182" i="23"/>
  <c r="AF183" i="23"/>
  <c r="AF184" i="23"/>
  <c r="AF185" i="23"/>
  <c r="AF186" i="23"/>
  <c r="AF187" i="23"/>
  <c r="AF188" i="23"/>
  <c r="AF189" i="23"/>
  <c r="AF190" i="23"/>
  <c r="AF191" i="23"/>
  <c r="AF192" i="23"/>
  <c r="AF193" i="23"/>
  <c r="AF194" i="23"/>
  <c r="AF195" i="23"/>
  <c r="AF196" i="23"/>
  <c r="AF197" i="23"/>
  <c r="AF198" i="23"/>
  <c r="AF199" i="23"/>
  <c r="AF200" i="23"/>
  <c r="AF201" i="23"/>
  <c r="Y4" i="23"/>
  <c r="Y5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96" i="23"/>
  <c r="Y97" i="23"/>
  <c r="Y98" i="23"/>
  <c r="Y99" i="23"/>
  <c r="Y100" i="23"/>
  <c r="Y101" i="23"/>
  <c r="Y102" i="23"/>
  <c r="Y103" i="23"/>
  <c r="Y104" i="23"/>
  <c r="Y105" i="23"/>
  <c r="Y106" i="23"/>
  <c r="Y107" i="23"/>
  <c r="Y108" i="23"/>
  <c r="Y109" i="23"/>
  <c r="Y110" i="23"/>
  <c r="Y111" i="23"/>
  <c r="Y112" i="23"/>
  <c r="Y113" i="23"/>
  <c r="Y114" i="23"/>
  <c r="Y115" i="23"/>
  <c r="Y116" i="23"/>
  <c r="Y117" i="23"/>
  <c r="Y118" i="23"/>
  <c r="Y119" i="23"/>
  <c r="Y120" i="23"/>
  <c r="Y121" i="23"/>
  <c r="Y122" i="23"/>
  <c r="Y123" i="23"/>
  <c r="Y124" i="23"/>
  <c r="Y125" i="23"/>
  <c r="Y126" i="23"/>
  <c r="Y127" i="23"/>
  <c r="Y128" i="23"/>
  <c r="Y129" i="23"/>
  <c r="Y130" i="23"/>
  <c r="Y131" i="23"/>
  <c r="Y132" i="23"/>
  <c r="Y133" i="23"/>
  <c r="Y134" i="23"/>
  <c r="Y135" i="23"/>
  <c r="Y136" i="23"/>
  <c r="Y137" i="23"/>
  <c r="Y138" i="23"/>
  <c r="Y139" i="23"/>
  <c r="Y140" i="23"/>
  <c r="Y141" i="23"/>
  <c r="Y142" i="23"/>
  <c r="Y143" i="23"/>
  <c r="Y144" i="23"/>
  <c r="Y145" i="23"/>
  <c r="Y146" i="23"/>
  <c r="Y147" i="23"/>
  <c r="Y148" i="23"/>
  <c r="Y149" i="23"/>
  <c r="Y150" i="23"/>
  <c r="Y151" i="23"/>
  <c r="Y152" i="23"/>
  <c r="Y153" i="23"/>
  <c r="Y154" i="23"/>
  <c r="Y155" i="23"/>
  <c r="Y156" i="23"/>
  <c r="Y157" i="23"/>
  <c r="Y158" i="23"/>
  <c r="Y159" i="23"/>
  <c r="Y160" i="23"/>
  <c r="Y161" i="23"/>
  <c r="Y162" i="23"/>
  <c r="Y163" i="23"/>
  <c r="Y164" i="23"/>
  <c r="Y165" i="23"/>
  <c r="Y166" i="23"/>
  <c r="Y167" i="23"/>
  <c r="Y168" i="23"/>
  <c r="Y169" i="23"/>
  <c r="Y170" i="23"/>
  <c r="Y171" i="23"/>
  <c r="Y172" i="23"/>
  <c r="Y173" i="23"/>
  <c r="Y174" i="23"/>
  <c r="Y175" i="23"/>
  <c r="Y176" i="23"/>
  <c r="Y177" i="23"/>
  <c r="Y178" i="23"/>
  <c r="Y179" i="23"/>
  <c r="Y180" i="23"/>
  <c r="Y181" i="23"/>
  <c r="Y182" i="23"/>
  <c r="Y183" i="23"/>
  <c r="Y184" i="23"/>
  <c r="Y185" i="23"/>
  <c r="Y186" i="23"/>
  <c r="Y187" i="23"/>
  <c r="Y188" i="23"/>
  <c r="Y189" i="23"/>
  <c r="Y190" i="23"/>
  <c r="Y191" i="23"/>
  <c r="Y192" i="23"/>
  <c r="Y193" i="23"/>
  <c r="Y194" i="23"/>
  <c r="Y195" i="23"/>
  <c r="Y196" i="23"/>
  <c r="Y197" i="23"/>
  <c r="Y198" i="23"/>
  <c r="Y199" i="23"/>
  <c r="Y200" i="23"/>
  <c r="Y201" i="23"/>
  <c r="R4" i="23"/>
  <c r="R5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R62" i="23"/>
  <c r="R63" i="23"/>
  <c r="R64" i="23"/>
  <c r="R65" i="23"/>
  <c r="R66" i="23"/>
  <c r="R67" i="23"/>
  <c r="R68" i="23"/>
  <c r="R69" i="23"/>
  <c r="R70" i="23"/>
  <c r="R71" i="23"/>
  <c r="R72" i="23"/>
  <c r="R73" i="23"/>
  <c r="R74" i="23"/>
  <c r="R75" i="23"/>
  <c r="R76" i="23"/>
  <c r="R77" i="23"/>
  <c r="R78" i="23"/>
  <c r="R79" i="23"/>
  <c r="R80" i="23"/>
  <c r="R81" i="23"/>
  <c r="R82" i="23"/>
  <c r="R83" i="23"/>
  <c r="R84" i="23"/>
  <c r="R85" i="23"/>
  <c r="R86" i="23"/>
  <c r="R87" i="23"/>
  <c r="R88" i="23"/>
  <c r="R89" i="23"/>
  <c r="R90" i="23"/>
  <c r="R91" i="23"/>
  <c r="R92" i="23"/>
  <c r="R93" i="23"/>
  <c r="R94" i="23"/>
  <c r="R95" i="23"/>
  <c r="R96" i="23"/>
  <c r="R97" i="23"/>
  <c r="R98" i="23"/>
  <c r="R99" i="23"/>
  <c r="R100" i="23"/>
  <c r="R101" i="23"/>
  <c r="R102" i="23"/>
  <c r="R103" i="23"/>
  <c r="R104" i="23"/>
  <c r="R105" i="23"/>
  <c r="R106" i="23"/>
  <c r="R107" i="23"/>
  <c r="R108" i="23"/>
  <c r="R109" i="23"/>
  <c r="R110" i="23"/>
  <c r="R111" i="23"/>
  <c r="R112" i="23"/>
  <c r="R113" i="23"/>
  <c r="R114" i="23"/>
  <c r="R115" i="23"/>
  <c r="R116" i="23"/>
  <c r="R117" i="23"/>
  <c r="R118" i="23"/>
  <c r="R119" i="23"/>
  <c r="R120" i="23"/>
  <c r="R121" i="23"/>
  <c r="R122" i="23"/>
  <c r="R123" i="23"/>
  <c r="R124" i="23"/>
  <c r="R125" i="23"/>
  <c r="R126" i="23"/>
  <c r="R127" i="23"/>
  <c r="R128" i="23"/>
  <c r="R129" i="23"/>
  <c r="R130" i="23"/>
  <c r="R131" i="23"/>
  <c r="R132" i="23"/>
  <c r="R133" i="23"/>
  <c r="R134" i="23"/>
  <c r="R135" i="23"/>
  <c r="R136" i="23"/>
  <c r="R137" i="23"/>
  <c r="R138" i="23"/>
  <c r="R139" i="23"/>
  <c r="R140" i="23"/>
  <c r="R141" i="23"/>
  <c r="R142" i="23"/>
  <c r="R143" i="23"/>
  <c r="R144" i="23"/>
  <c r="R145" i="23"/>
  <c r="R146" i="23"/>
  <c r="R147" i="23"/>
  <c r="R148" i="23"/>
  <c r="R149" i="23"/>
  <c r="R150" i="23"/>
  <c r="R151" i="23"/>
  <c r="R152" i="23"/>
  <c r="R153" i="23"/>
  <c r="R154" i="23"/>
  <c r="R155" i="23"/>
  <c r="R156" i="23"/>
  <c r="R157" i="23"/>
  <c r="R158" i="23"/>
  <c r="R159" i="23"/>
  <c r="R160" i="23"/>
  <c r="R161" i="23"/>
  <c r="R162" i="23"/>
  <c r="R163" i="23"/>
  <c r="R164" i="23"/>
  <c r="R165" i="23"/>
  <c r="R166" i="23"/>
  <c r="R167" i="23"/>
  <c r="R168" i="23"/>
  <c r="R169" i="23"/>
  <c r="R170" i="23"/>
  <c r="R171" i="23"/>
  <c r="R172" i="23"/>
  <c r="R173" i="23"/>
  <c r="R174" i="23"/>
  <c r="R175" i="23"/>
  <c r="R176" i="23"/>
  <c r="R177" i="23"/>
  <c r="R178" i="23"/>
  <c r="R179" i="23"/>
  <c r="R180" i="23"/>
  <c r="R181" i="23"/>
  <c r="R182" i="23"/>
  <c r="R183" i="23"/>
  <c r="R184" i="23"/>
  <c r="R185" i="23"/>
  <c r="R186" i="23"/>
  <c r="R187" i="23"/>
  <c r="R188" i="23"/>
  <c r="R189" i="23"/>
  <c r="R190" i="23"/>
  <c r="R191" i="23"/>
  <c r="R192" i="23"/>
  <c r="R193" i="23"/>
  <c r="R194" i="23"/>
  <c r="R195" i="23"/>
  <c r="R196" i="23"/>
  <c r="R197" i="23"/>
  <c r="R198" i="23"/>
  <c r="R199" i="23"/>
  <c r="R200" i="23"/>
  <c r="R201" i="23"/>
  <c r="CH4" i="22"/>
  <c r="CH5" i="22"/>
  <c r="CH6" i="22"/>
  <c r="CH7" i="22"/>
  <c r="CH8" i="22"/>
  <c r="CH9" i="22"/>
  <c r="CH10" i="22"/>
  <c r="CH11" i="22"/>
  <c r="CH12" i="22"/>
  <c r="CH13" i="22"/>
  <c r="CH14" i="22"/>
  <c r="CH15" i="22"/>
  <c r="CH16" i="22"/>
  <c r="CH17" i="22"/>
  <c r="CH18" i="22"/>
  <c r="CH19" i="22"/>
  <c r="CH20" i="22"/>
  <c r="CH21" i="22"/>
  <c r="CH22" i="22"/>
  <c r="CH23" i="22"/>
  <c r="CH24" i="22"/>
  <c r="CH25" i="22"/>
  <c r="CH26" i="22"/>
  <c r="CH27" i="22"/>
  <c r="CH28" i="22"/>
  <c r="CH29" i="22"/>
  <c r="CH30" i="22"/>
  <c r="CH31" i="22"/>
  <c r="CH32" i="22"/>
  <c r="CH33" i="22"/>
  <c r="CH34" i="22"/>
  <c r="CH35" i="22"/>
  <c r="CH36" i="22"/>
  <c r="CH37" i="22"/>
  <c r="CH38" i="22"/>
  <c r="CH39" i="22"/>
  <c r="CH40" i="22"/>
  <c r="CH41" i="22"/>
  <c r="CH42" i="22"/>
  <c r="CH43" i="22"/>
  <c r="CH44" i="22"/>
  <c r="CH45" i="22"/>
  <c r="CH46" i="22"/>
  <c r="CH47" i="22"/>
  <c r="CH48" i="22"/>
  <c r="CH49" i="22"/>
  <c r="CH50" i="22"/>
  <c r="CH51" i="22"/>
  <c r="CH52" i="22"/>
  <c r="CH53" i="22"/>
  <c r="CH54" i="22"/>
  <c r="CH55" i="22"/>
  <c r="CH56" i="22"/>
  <c r="CH57" i="22"/>
  <c r="CH58" i="22"/>
  <c r="CH59" i="22"/>
  <c r="CH60" i="22"/>
  <c r="CH61" i="22"/>
  <c r="CH62" i="22"/>
  <c r="CH63" i="22"/>
  <c r="CH64" i="22"/>
  <c r="CH65" i="22"/>
  <c r="CH66" i="22"/>
  <c r="CH67" i="22"/>
  <c r="CH68" i="22"/>
  <c r="CH69" i="22"/>
  <c r="CH70" i="22"/>
  <c r="CH71" i="22"/>
  <c r="CH72" i="22"/>
  <c r="CH73" i="22"/>
  <c r="CH74" i="22"/>
  <c r="CH75" i="22"/>
  <c r="CH76" i="22"/>
  <c r="CH77" i="22"/>
  <c r="CH78" i="22"/>
  <c r="CH79" i="22"/>
  <c r="CH80" i="22"/>
  <c r="CH81" i="22"/>
  <c r="CH82" i="22"/>
  <c r="CH83" i="22"/>
  <c r="CH84" i="22"/>
  <c r="CH85" i="22"/>
  <c r="CH86" i="22"/>
  <c r="CH87" i="22"/>
  <c r="CH88" i="22"/>
  <c r="CH89" i="22"/>
  <c r="CH90" i="22"/>
  <c r="CH91" i="22"/>
  <c r="CH92" i="22"/>
  <c r="CH93" i="22"/>
  <c r="CH94" i="22"/>
  <c r="CH95" i="22"/>
  <c r="CH96" i="22"/>
  <c r="CH97" i="22"/>
  <c r="CH98" i="22"/>
  <c r="CH99" i="22"/>
  <c r="CH100" i="22"/>
  <c r="CH101" i="22"/>
  <c r="CH102" i="22"/>
  <c r="CH103" i="22"/>
  <c r="CH104" i="22"/>
  <c r="CH105" i="22"/>
  <c r="CH106" i="22"/>
  <c r="CH107" i="22"/>
  <c r="CH108" i="22"/>
  <c r="CH109" i="22"/>
  <c r="CH110" i="22"/>
  <c r="CH111" i="22"/>
  <c r="CH112" i="22"/>
  <c r="CH113" i="22"/>
  <c r="CH114" i="22"/>
  <c r="CH115" i="22"/>
  <c r="CH116" i="22"/>
  <c r="CH117" i="22"/>
  <c r="CH118" i="22"/>
  <c r="CH119" i="22"/>
  <c r="CH120" i="22"/>
  <c r="CH121" i="22"/>
  <c r="CH122" i="22"/>
  <c r="CH123" i="22"/>
  <c r="CH124" i="22"/>
  <c r="CH125" i="22"/>
  <c r="CH126" i="22"/>
  <c r="CH127" i="22"/>
  <c r="CH128" i="22"/>
  <c r="CH129" i="22"/>
  <c r="CH130" i="22"/>
  <c r="CH131" i="22"/>
  <c r="CH132" i="22"/>
  <c r="CH133" i="22"/>
  <c r="CH134" i="22"/>
  <c r="CH135" i="22"/>
  <c r="CH136" i="22"/>
  <c r="CH137" i="22"/>
  <c r="CH138" i="22"/>
  <c r="CH139" i="22"/>
  <c r="CH140" i="22"/>
  <c r="CH141" i="22"/>
  <c r="CH142" i="22"/>
  <c r="CH143" i="22"/>
  <c r="CH144" i="22"/>
  <c r="CH145" i="22"/>
  <c r="CH146" i="22"/>
  <c r="CH147" i="22"/>
  <c r="CH148" i="22"/>
  <c r="CH149" i="22"/>
  <c r="CH150" i="22"/>
  <c r="CH151" i="22"/>
  <c r="CH152" i="22"/>
  <c r="CH153" i="22"/>
  <c r="CH154" i="22"/>
  <c r="CH155" i="22"/>
  <c r="CH156" i="22"/>
  <c r="CH157" i="22"/>
  <c r="CH158" i="22"/>
  <c r="CH159" i="22"/>
  <c r="CH160" i="22"/>
  <c r="CH161" i="22"/>
  <c r="CH162" i="22"/>
  <c r="CH163" i="22"/>
  <c r="CH164" i="22"/>
  <c r="CH165" i="22"/>
  <c r="CH166" i="22"/>
  <c r="CH167" i="22"/>
  <c r="CH168" i="22"/>
  <c r="CH169" i="22"/>
  <c r="CH170" i="22"/>
  <c r="CH171" i="22"/>
  <c r="CH172" i="22"/>
  <c r="CH173" i="22"/>
  <c r="CH174" i="22"/>
  <c r="CH175" i="22"/>
  <c r="CH176" i="22"/>
  <c r="CH177" i="22"/>
  <c r="CH178" i="22"/>
  <c r="CH179" i="22"/>
  <c r="CH180" i="22"/>
  <c r="CH181" i="22"/>
  <c r="CH182" i="22"/>
  <c r="CH183" i="22"/>
  <c r="CH184" i="22"/>
  <c r="CH185" i="22"/>
  <c r="CH186" i="22"/>
  <c r="CH187" i="22"/>
  <c r="CH188" i="22"/>
  <c r="CH189" i="22"/>
  <c r="CH190" i="22"/>
  <c r="CH191" i="22"/>
  <c r="CH192" i="22"/>
  <c r="CH193" i="22"/>
  <c r="CH194" i="22"/>
  <c r="CH195" i="22"/>
  <c r="CH196" i="22"/>
  <c r="CH197" i="22"/>
  <c r="CH198" i="22"/>
  <c r="CH199" i="22"/>
  <c r="CH200" i="22"/>
  <c r="CH201" i="22"/>
  <c r="CA4" i="22"/>
  <c r="CA5" i="22"/>
  <c r="CA6" i="22"/>
  <c r="CA7" i="22"/>
  <c r="CA8" i="22"/>
  <c r="CA9" i="22"/>
  <c r="CA10" i="22"/>
  <c r="CA11" i="22"/>
  <c r="CA12" i="22"/>
  <c r="CA13" i="22"/>
  <c r="CA14" i="22"/>
  <c r="CA15" i="22"/>
  <c r="CA16" i="22"/>
  <c r="CA17" i="22"/>
  <c r="CA18" i="22"/>
  <c r="CA19" i="22"/>
  <c r="CA20" i="22"/>
  <c r="CA21" i="22"/>
  <c r="CA22" i="22"/>
  <c r="CA23" i="22"/>
  <c r="CA24" i="22"/>
  <c r="CA25" i="22"/>
  <c r="CA26" i="22"/>
  <c r="CA27" i="22"/>
  <c r="CA28" i="22"/>
  <c r="CA29" i="22"/>
  <c r="CA30" i="22"/>
  <c r="CA31" i="22"/>
  <c r="CA32" i="22"/>
  <c r="CA33" i="22"/>
  <c r="CA34" i="22"/>
  <c r="CA35" i="22"/>
  <c r="CA36" i="22"/>
  <c r="CA37" i="22"/>
  <c r="CA38" i="22"/>
  <c r="CA39" i="22"/>
  <c r="CA40" i="22"/>
  <c r="CA41" i="22"/>
  <c r="CA42" i="22"/>
  <c r="CA43" i="22"/>
  <c r="CA44" i="22"/>
  <c r="CA45" i="22"/>
  <c r="CA46" i="22"/>
  <c r="CA47" i="22"/>
  <c r="CA48" i="22"/>
  <c r="CA49" i="22"/>
  <c r="CA50" i="22"/>
  <c r="CA51" i="22"/>
  <c r="CA52" i="22"/>
  <c r="CA53" i="22"/>
  <c r="CA54" i="22"/>
  <c r="CA55" i="22"/>
  <c r="CA56" i="22"/>
  <c r="CA57" i="22"/>
  <c r="CA58" i="22"/>
  <c r="CA59" i="22"/>
  <c r="CA60" i="22"/>
  <c r="CA61" i="22"/>
  <c r="CA62" i="22"/>
  <c r="CA63" i="22"/>
  <c r="CA64" i="22"/>
  <c r="CA65" i="22"/>
  <c r="CA66" i="22"/>
  <c r="CA67" i="22"/>
  <c r="CA68" i="22"/>
  <c r="CA69" i="22"/>
  <c r="CA70" i="22"/>
  <c r="CA71" i="22"/>
  <c r="CA72" i="22"/>
  <c r="CA73" i="22"/>
  <c r="CA74" i="22"/>
  <c r="CA75" i="22"/>
  <c r="CA76" i="22"/>
  <c r="CA77" i="22"/>
  <c r="CA78" i="22"/>
  <c r="CA79" i="22"/>
  <c r="CA80" i="22"/>
  <c r="CA81" i="22"/>
  <c r="CA82" i="22"/>
  <c r="CA83" i="22"/>
  <c r="CA84" i="22"/>
  <c r="CA85" i="22"/>
  <c r="CA86" i="22"/>
  <c r="CA87" i="22"/>
  <c r="CA88" i="22"/>
  <c r="CA89" i="22"/>
  <c r="CA90" i="22"/>
  <c r="CA91" i="22"/>
  <c r="CA92" i="22"/>
  <c r="CA93" i="22"/>
  <c r="CA94" i="22"/>
  <c r="CA95" i="22"/>
  <c r="CA96" i="22"/>
  <c r="CA97" i="22"/>
  <c r="CA98" i="22"/>
  <c r="CA99" i="22"/>
  <c r="CA100" i="22"/>
  <c r="CA101" i="22"/>
  <c r="CA102" i="22"/>
  <c r="CA103" i="22"/>
  <c r="CA104" i="22"/>
  <c r="CA105" i="22"/>
  <c r="CA106" i="22"/>
  <c r="CA107" i="22"/>
  <c r="CA108" i="22"/>
  <c r="CA109" i="22"/>
  <c r="CA110" i="22"/>
  <c r="CA111" i="22"/>
  <c r="CA112" i="22"/>
  <c r="CA113" i="22"/>
  <c r="CA114" i="22"/>
  <c r="CA115" i="22"/>
  <c r="CA116" i="22"/>
  <c r="CA117" i="22"/>
  <c r="CA118" i="22"/>
  <c r="CA119" i="22"/>
  <c r="CA120" i="22"/>
  <c r="CA121" i="22"/>
  <c r="CA122" i="22"/>
  <c r="CA123" i="22"/>
  <c r="CA124" i="22"/>
  <c r="CA125" i="22"/>
  <c r="CA126" i="22"/>
  <c r="CA127" i="22"/>
  <c r="CA128" i="22"/>
  <c r="CA129" i="22"/>
  <c r="CA130" i="22"/>
  <c r="CA131" i="22"/>
  <c r="CA132" i="22"/>
  <c r="CA133" i="22"/>
  <c r="CA134" i="22"/>
  <c r="CA135" i="22"/>
  <c r="CA136" i="22"/>
  <c r="CA137" i="22"/>
  <c r="CA138" i="22"/>
  <c r="CA139" i="22"/>
  <c r="CA140" i="22"/>
  <c r="CA141" i="22"/>
  <c r="CA142" i="22"/>
  <c r="CA143" i="22"/>
  <c r="CA144" i="22"/>
  <c r="CA145" i="22"/>
  <c r="CA146" i="22"/>
  <c r="CA147" i="22"/>
  <c r="CA148" i="22"/>
  <c r="CA149" i="22"/>
  <c r="CA150" i="22"/>
  <c r="CA151" i="22"/>
  <c r="CA152" i="22"/>
  <c r="CA153" i="22"/>
  <c r="CA154" i="22"/>
  <c r="CA155" i="22"/>
  <c r="CA156" i="22"/>
  <c r="CA157" i="22"/>
  <c r="CA158" i="22"/>
  <c r="CA159" i="22"/>
  <c r="CA160" i="22"/>
  <c r="CA161" i="22"/>
  <c r="CA162" i="22"/>
  <c r="CA163" i="22"/>
  <c r="CA164" i="22"/>
  <c r="CA165" i="22"/>
  <c r="CA166" i="22"/>
  <c r="CA167" i="22"/>
  <c r="CA168" i="22"/>
  <c r="CA169" i="22"/>
  <c r="CA170" i="22"/>
  <c r="CA171" i="22"/>
  <c r="CA172" i="22"/>
  <c r="CA173" i="22"/>
  <c r="CA174" i="22"/>
  <c r="CA175" i="22"/>
  <c r="CA176" i="22"/>
  <c r="CA177" i="22"/>
  <c r="CA178" i="22"/>
  <c r="CA179" i="22"/>
  <c r="CA180" i="22"/>
  <c r="CA181" i="22"/>
  <c r="CA182" i="22"/>
  <c r="CA183" i="22"/>
  <c r="CA184" i="22"/>
  <c r="CA185" i="22"/>
  <c r="CA186" i="22"/>
  <c r="CA187" i="22"/>
  <c r="CA188" i="22"/>
  <c r="CA189" i="22"/>
  <c r="CA190" i="22"/>
  <c r="CA191" i="22"/>
  <c r="CA192" i="22"/>
  <c r="CA193" i="22"/>
  <c r="CA194" i="22"/>
  <c r="CA195" i="22"/>
  <c r="CA196" i="22"/>
  <c r="CA197" i="22"/>
  <c r="CA198" i="22"/>
  <c r="CA199" i="22"/>
  <c r="CA200" i="22"/>
  <c r="CA201" i="22"/>
  <c r="BT4" i="22"/>
  <c r="BT5" i="22"/>
  <c r="BT6" i="22"/>
  <c r="BT7" i="22"/>
  <c r="BT8" i="22"/>
  <c r="BT9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T31" i="22"/>
  <c r="BT32" i="22"/>
  <c r="BT33" i="22"/>
  <c r="BT34" i="22"/>
  <c r="BT35" i="22"/>
  <c r="BT36" i="22"/>
  <c r="BT37" i="22"/>
  <c r="BT38" i="22"/>
  <c r="BT39" i="22"/>
  <c r="BT40" i="22"/>
  <c r="BT41" i="22"/>
  <c r="BT42" i="22"/>
  <c r="BT43" i="22"/>
  <c r="BT44" i="22"/>
  <c r="BT45" i="22"/>
  <c r="BT46" i="22"/>
  <c r="BT47" i="22"/>
  <c r="BT48" i="22"/>
  <c r="BT49" i="22"/>
  <c r="BT50" i="22"/>
  <c r="BT51" i="22"/>
  <c r="BT52" i="22"/>
  <c r="BT53" i="22"/>
  <c r="BT54" i="22"/>
  <c r="BT55" i="22"/>
  <c r="BT56" i="22"/>
  <c r="BT57" i="22"/>
  <c r="BT58" i="22"/>
  <c r="BT59" i="22"/>
  <c r="BT60" i="22"/>
  <c r="BT61" i="22"/>
  <c r="BT62" i="22"/>
  <c r="BT63" i="22"/>
  <c r="BT64" i="22"/>
  <c r="BT65" i="22"/>
  <c r="BT66" i="22"/>
  <c r="BT67" i="22"/>
  <c r="BT68" i="22"/>
  <c r="BT69" i="22"/>
  <c r="BT70" i="22"/>
  <c r="BT71" i="22"/>
  <c r="BT72" i="22"/>
  <c r="BT73" i="22"/>
  <c r="BT74" i="22"/>
  <c r="BT75" i="22"/>
  <c r="BT76" i="22"/>
  <c r="BT77" i="22"/>
  <c r="BT78" i="22"/>
  <c r="BT79" i="22"/>
  <c r="BT80" i="22"/>
  <c r="BT81" i="22"/>
  <c r="BT82" i="22"/>
  <c r="BT83" i="22"/>
  <c r="BT84" i="22"/>
  <c r="BT85" i="22"/>
  <c r="BT86" i="22"/>
  <c r="BT87" i="22"/>
  <c r="BT88" i="22"/>
  <c r="BT89" i="22"/>
  <c r="BT90" i="22"/>
  <c r="BT91" i="22"/>
  <c r="BT92" i="22"/>
  <c r="BT93" i="22"/>
  <c r="BT94" i="22"/>
  <c r="BT95" i="22"/>
  <c r="BT96" i="22"/>
  <c r="BT97" i="22"/>
  <c r="BT98" i="22"/>
  <c r="BT99" i="22"/>
  <c r="BT100" i="22"/>
  <c r="BT101" i="22"/>
  <c r="BT102" i="22"/>
  <c r="BT103" i="22"/>
  <c r="BT104" i="22"/>
  <c r="BT105" i="22"/>
  <c r="BT106" i="22"/>
  <c r="BT107" i="22"/>
  <c r="BT108" i="22"/>
  <c r="BT109" i="22"/>
  <c r="BT110" i="22"/>
  <c r="BT111" i="22"/>
  <c r="BT112" i="22"/>
  <c r="BT113" i="22"/>
  <c r="BT114" i="22"/>
  <c r="BT115" i="22"/>
  <c r="BT116" i="22"/>
  <c r="BT117" i="22"/>
  <c r="BT118" i="22"/>
  <c r="BT119" i="22"/>
  <c r="BT120" i="22"/>
  <c r="BT121" i="22"/>
  <c r="BT122" i="22"/>
  <c r="BT123" i="22"/>
  <c r="BT124" i="22"/>
  <c r="BT125" i="22"/>
  <c r="BT126" i="22"/>
  <c r="BT127" i="22"/>
  <c r="BT128" i="22"/>
  <c r="BT129" i="22"/>
  <c r="BT130" i="22"/>
  <c r="BT131" i="22"/>
  <c r="BT132" i="22"/>
  <c r="BT133" i="22"/>
  <c r="BT134" i="22"/>
  <c r="BT135" i="22"/>
  <c r="BT136" i="22"/>
  <c r="BT137" i="22"/>
  <c r="BT138" i="22"/>
  <c r="BT139" i="22"/>
  <c r="BT140" i="22"/>
  <c r="BT141" i="22"/>
  <c r="BT142" i="22"/>
  <c r="BT143" i="22"/>
  <c r="BT144" i="22"/>
  <c r="BT145" i="22"/>
  <c r="BT146" i="22"/>
  <c r="BT147" i="22"/>
  <c r="BT148" i="22"/>
  <c r="BT149" i="22"/>
  <c r="BT150" i="22"/>
  <c r="BT151" i="22"/>
  <c r="BT152" i="22"/>
  <c r="BT153" i="22"/>
  <c r="BT154" i="22"/>
  <c r="BT155" i="22"/>
  <c r="BT156" i="22"/>
  <c r="BT157" i="22"/>
  <c r="BT158" i="22"/>
  <c r="BT159" i="22"/>
  <c r="BT160" i="22"/>
  <c r="BT161" i="22"/>
  <c r="BT162" i="22"/>
  <c r="BT163" i="22"/>
  <c r="BT164" i="22"/>
  <c r="BT165" i="22"/>
  <c r="BT166" i="22"/>
  <c r="BT167" i="22"/>
  <c r="BT168" i="22"/>
  <c r="BT169" i="22"/>
  <c r="BT170" i="22"/>
  <c r="BT171" i="22"/>
  <c r="BT172" i="22"/>
  <c r="BT173" i="22"/>
  <c r="BT174" i="22"/>
  <c r="BT175" i="22"/>
  <c r="BT176" i="22"/>
  <c r="BT177" i="22"/>
  <c r="BT178" i="22"/>
  <c r="BT179" i="22"/>
  <c r="BT180" i="22"/>
  <c r="BT181" i="22"/>
  <c r="BT182" i="22"/>
  <c r="BT183" i="22"/>
  <c r="BT184" i="22"/>
  <c r="BT185" i="22"/>
  <c r="BT186" i="22"/>
  <c r="BT187" i="22"/>
  <c r="BT188" i="22"/>
  <c r="BT189" i="22"/>
  <c r="BT190" i="22"/>
  <c r="BT191" i="22"/>
  <c r="BT192" i="22"/>
  <c r="BT193" i="22"/>
  <c r="BT194" i="22"/>
  <c r="BT195" i="22"/>
  <c r="BT196" i="22"/>
  <c r="BT197" i="22"/>
  <c r="BT198" i="22"/>
  <c r="BT199" i="22"/>
  <c r="BT200" i="22"/>
  <c r="BT201" i="22"/>
  <c r="BG4" i="22"/>
  <c r="BG5" i="22"/>
  <c r="BG6" i="22"/>
  <c r="BG7" i="22"/>
  <c r="BG8" i="22"/>
  <c r="BG9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G31" i="22"/>
  <c r="BG32" i="22"/>
  <c r="BG33" i="22"/>
  <c r="BG34" i="22"/>
  <c r="BG35" i="22"/>
  <c r="BG36" i="22"/>
  <c r="BG37" i="22"/>
  <c r="BG38" i="22"/>
  <c r="BG39" i="22"/>
  <c r="BG40" i="22"/>
  <c r="BG41" i="22"/>
  <c r="BG42" i="22"/>
  <c r="BG43" i="22"/>
  <c r="BG44" i="22"/>
  <c r="BG45" i="22"/>
  <c r="BG46" i="22"/>
  <c r="BG47" i="22"/>
  <c r="BG48" i="22"/>
  <c r="BG49" i="22"/>
  <c r="BG50" i="22"/>
  <c r="BG51" i="22"/>
  <c r="BG52" i="22"/>
  <c r="BG53" i="22"/>
  <c r="BG54" i="22"/>
  <c r="BG55" i="22"/>
  <c r="BG56" i="22"/>
  <c r="BG57" i="22"/>
  <c r="BG58" i="22"/>
  <c r="BG59" i="22"/>
  <c r="BG60" i="22"/>
  <c r="BG61" i="22"/>
  <c r="BG62" i="22"/>
  <c r="BG63" i="22"/>
  <c r="BG64" i="22"/>
  <c r="BG65" i="22"/>
  <c r="BG66" i="22"/>
  <c r="BG67" i="22"/>
  <c r="BG68" i="22"/>
  <c r="BG69" i="22"/>
  <c r="BG70" i="22"/>
  <c r="BG71" i="22"/>
  <c r="BG72" i="22"/>
  <c r="BG73" i="22"/>
  <c r="BG74" i="22"/>
  <c r="BG75" i="22"/>
  <c r="BG76" i="22"/>
  <c r="BG77" i="22"/>
  <c r="BG78" i="22"/>
  <c r="BG79" i="22"/>
  <c r="BG80" i="22"/>
  <c r="BG81" i="22"/>
  <c r="BG82" i="22"/>
  <c r="BG83" i="22"/>
  <c r="BG84" i="22"/>
  <c r="BG85" i="22"/>
  <c r="BG86" i="22"/>
  <c r="BG87" i="22"/>
  <c r="BG88" i="22"/>
  <c r="BG89" i="22"/>
  <c r="BG90" i="22"/>
  <c r="BG91" i="22"/>
  <c r="BG92" i="22"/>
  <c r="BG93" i="22"/>
  <c r="BG94" i="22"/>
  <c r="BG95" i="22"/>
  <c r="BG96" i="22"/>
  <c r="BG97" i="22"/>
  <c r="BG98" i="22"/>
  <c r="BG99" i="22"/>
  <c r="BG100" i="22"/>
  <c r="BG101" i="22"/>
  <c r="BG102" i="22"/>
  <c r="BG103" i="22"/>
  <c r="BG104" i="22"/>
  <c r="BG105" i="22"/>
  <c r="BG106" i="22"/>
  <c r="BG107" i="22"/>
  <c r="BG108" i="22"/>
  <c r="BG109" i="22"/>
  <c r="BG110" i="22"/>
  <c r="BG111" i="22"/>
  <c r="BG112" i="22"/>
  <c r="BG113" i="22"/>
  <c r="BG114" i="22"/>
  <c r="BG115" i="22"/>
  <c r="BG116" i="22"/>
  <c r="BG117" i="22"/>
  <c r="BG118" i="22"/>
  <c r="BG119" i="22"/>
  <c r="BG120" i="22"/>
  <c r="BG121" i="22"/>
  <c r="BG122" i="22"/>
  <c r="BG123" i="22"/>
  <c r="BG124" i="22"/>
  <c r="BG125" i="22"/>
  <c r="BG126" i="22"/>
  <c r="BG127" i="22"/>
  <c r="BG128" i="22"/>
  <c r="BG129" i="22"/>
  <c r="BG130" i="22"/>
  <c r="BG131" i="22"/>
  <c r="BG132" i="22"/>
  <c r="BG133" i="22"/>
  <c r="BG134" i="22"/>
  <c r="BG135" i="22"/>
  <c r="BG136" i="22"/>
  <c r="BG137" i="22"/>
  <c r="BG138" i="22"/>
  <c r="BG139" i="22"/>
  <c r="BG140" i="22"/>
  <c r="BG141" i="22"/>
  <c r="BG142" i="22"/>
  <c r="BG143" i="22"/>
  <c r="BG144" i="22"/>
  <c r="BG145" i="22"/>
  <c r="BG146" i="22"/>
  <c r="BG147" i="22"/>
  <c r="BG148" i="22"/>
  <c r="BG149" i="22"/>
  <c r="BG150" i="22"/>
  <c r="BG151" i="22"/>
  <c r="BG152" i="22"/>
  <c r="BG153" i="22"/>
  <c r="BG154" i="22"/>
  <c r="BG155" i="22"/>
  <c r="BG156" i="22"/>
  <c r="BG157" i="22"/>
  <c r="BG158" i="22"/>
  <c r="BG159" i="22"/>
  <c r="BG160" i="22"/>
  <c r="BG161" i="22"/>
  <c r="BG162" i="22"/>
  <c r="BG163" i="22"/>
  <c r="BG164" i="22"/>
  <c r="BG165" i="22"/>
  <c r="BG166" i="22"/>
  <c r="BG167" i="22"/>
  <c r="BG168" i="22"/>
  <c r="BG169" i="22"/>
  <c r="BG170" i="22"/>
  <c r="BG171" i="22"/>
  <c r="BG172" i="22"/>
  <c r="BG173" i="22"/>
  <c r="BG174" i="22"/>
  <c r="BG175" i="22"/>
  <c r="BG176" i="22"/>
  <c r="BG177" i="22"/>
  <c r="BG178" i="22"/>
  <c r="BG179" i="22"/>
  <c r="BG180" i="22"/>
  <c r="BG181" i="22"/>
  <c r="BG182" i="22"/>
  <c r="BG183" i="22"/>
  <c r="BG184" i="22"/>
  <c r="BG185" i="22"/>
  <c r="BG186" i="22"/>
  <c r="BG187" i="22"/>
  <c r="BG188" i="22"/>
  <c r="BG189" i="22"/>
  <c r="BG190" i="22"/>
  <c r="BG191" i="22"/>
  <c r="BG192" i="22"/>
  <c r="BG193" i="22"/>
  <c r="BG194" i="22"/>
  <c r="BG195" i="22"/>
  <c r="BG196" i="22"/>
  <c r="BG197" i="22"/>
  <c r="BG198" i="22"/>
  <c r="BG199" i="22"/>
  <c r="BG200" i="22"/>
  <c r="BG201" i="22"/>
  <c r="AZ4" i="22"/>
  <c r="AZ5" i="22"/>
  <c r="AZ6" i="22"/>
  <c r="AZ7" i="22"/>
  <c r="AZ8" i="22"/>
  <c r="AZ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31" i="22"/>
  <c r="AZ32" i="22"/>
  <c r="AZ33" i="22"/>
  <c r="AZ34" i="22"/>
  <c r="AZ35" i="22"/>
  <c r="AZ36" i="22"/>
  <c r="AZ37" i="22"/>
  <c r="AZ38" i="22"/>
  <c r="AZ39" i="22"/>
  <c r="AZ40" i="22"/>
  <c r="AZ41" i="22"/>
  <c r="AZ42" i="22"/>
  <c r="AZ43" i="22"/>
  <c r="AZ44" i="22"/>
  <c r="AZ45" i="22"/>
  <c r="AZ46" i="22"/>
  <c r="AZ47" i="22"/>
  <c r="AZ48" i="22"/>
  <c r="AZ49" i="22"/>
  <c r="AZ50" i="22"/>
  <c r="AZ51" i="22"/>
  <c r="AZ52" i="22"/>
  <c r="AZ53" i="22"/>
  <c r="AZ54" i="22"/>
  <c r="AZ55" i="22"/>
  <c r="AZ56" i="22"/>
  <c r="AZ57" i="22"/>
  <c r="AZ58" i="22"/>
  <c r="AZ59" i="22"/>
  <c r="AZ60" i="22"/>
  <c r="AZ61" i="22"/>
  <c r="AZ62" i="22"/>
  <c r="AZ63" i="22"/>
  <c r="AZ64" i="22"/>
  <c r="AZ65" i="22"/>
  <c r="AZ66" i="22"/>
  <c r="AZ67" i="22"/>
  <c r="AZ68" i="22"/>
  <c r="AZ69" i="22"/>
  <c r="AZ70" i="22"/>
  <c r="AZ71" i="22"/>
  <c r="AZ72" i="22"/>
  <c r="AZ73" i="22"/>
  <c r="AZ74" i="22"/>
  <c r="AZ75" i="22"/>
  <c r="AZ76" i="22"/>
  <c r="AZ77" i="22"/>
  <c r="AZ78" i="22"/>
  <c r="AZ79" i="22"/>
  <c r="AZ80" i="22"/>
  <c r="AZ81" i="22"/>
  <c r="AZ82" i="22"/>
  <c r="AZ83" i="22"/>
  <c r="AZ84" i="22"/>
  <c r="AZ85" i="22"/>
  <c r="AZ86" i="22"/>
  <c r="AZ87" i="22"/>
  <c r="AZ88" i="22"/>
  <c r="AZ89" i="22"/>
  <c r="AZ90" i="22"/>
  <c r="AZ91" i="22"/>
  <c r="AZ92" i="22"/>
  <c r="AZ93" i="22"/>
  <c r="AZ94" i="22"/>
  <c r="AZ95" i="22"/>
  <c r="AZ96" i="22"/>
  <c r="AZ97" i="22"/>
  <c r="AZ98" i="22"/>
  <c r="AZ99" i="22"/>
  <c r="AZ100" i="22"/>
  <c r="AZ101" i="22"/>
  <c r="AZ102" i="22"/>
  <c r="AZ103" i="22"/>
  <c r="AZ104" i="22"/>
  <c r="AZ105" i="22"/>
  <c r="AZ106" i="22"/>
  <c r="AZ107" i="22"/>
  <c r="AZ108" i="22"/>
  <c r="AZ109" i="22"/>
  <c r="AZ110" i="22"/>
  <c r="AZ111" i="22"/>
  <c r="AZ112" i="22"/>
  <c r="AZ113" i="22"/>
  <c r="AZ114" i="22"/>
  <c r="AZ115" i="22"/>
  <c r="AZ116" i="22"/>
  <c r="AZ117" i="22"/>
  <c r="AZ118" i="22"/>
  <c r="AZ119" i="22"/>
  <c r="AZ120" i="22"/>
  <c r="AZ121" i="22"/>
  <c r="AZ122" i="22"/>
  <c r="AZ123" i="22"/>
  <c r="AZ124" i="22"/>
  <c r="AZ125" i="22"/>
  <c r="AZ126" i="22"/>
  <c r="AZ127" i="22"/>
  <c r="AZ128" i="22"/>
  <c r="AZ129" i="22"/>
  <c r="AZ130" i="22"/>
  <c r="AZ131" i="22"/>
  <c r="AZ132" i="22"/>
  <c r="AZ133" i="22"/>
  <c r="AZ134" i="22"/>
  <c r="AZ135" i="22"/>
  <c r="AZ136" i="22"/>
  <c r="AZ137" i="22"/>
  <c r="AZ138" i="22"/>
  <c r="AZ139" i="22"/>
  <c r="AZ140" i="22"/>
  <c r="AZ141" i="22"/>
  <c r="AZ142" i="22"/>
  <c r="AZ143" i="22"/>
  <c r="AZ144" i="22"/>
  <c r="AZ145" i="22"/>
  <c r="AZ146" i="22"/>
  <c r="AZ147" i="22"/>
  <c r="AZ148" i="22"/>
  <c r="AZ149" i="22"/>
  <c r="AZ150" i="22"/>
  <c r="AZ151" i="22"/>
  <c r="AZ152" i="22"/>
  <c r="AZ153" i="22"/>
  <c r="AZ154" i="22"/>
  <c r="AZ155" i="22"/>
  <c r="AZ156" i="22"/>
  <c r="AZ157" i="22"/>
  <c r="AZ158" i="22"/>
  <c r="AZ159" i="22"/>
  <c r="AZ160" i="22"/>
  <c r="AZ161" i="22"/>
  <c r="AZ162" i="22"/>
  <c r="AZ163" i="22"/>
  <c r="AZ164" i="22"/>
  <c r="AZ165" i="22"/>
  <c r="AZ166" i="22"/>
  <c r="AZ167" i="22"/>
  <c r="AZ168" i="22"/>
  <c r="AZ169" i="22"/>
  <c r="AZ170" i="22"/>
  <c r="AZ171" i="22"/>
  <c r="AZ172" i="22"/>
  <c r="AZ173" i="22"/>
  <c r="AZ174" i="22"/>
  <c r="AZ175" i="22"/>
  <c r="AZ176" i="22"/>
  <c r="AZ177" i="22"/>
  <c r="AZ178" i="22"/>
  <c r="AZ179" i="22"/>
  <c r="AZ180" i="22"/>
  <c r="AZ181" i="22"/>
  <c r="AZ182" i="22"/>
  <c r="AZ183" i="22"/>
  <c r="AZ184" i="22"/>
  <c r="AZ185" i="22"/>
  <c r="AZ186" i="22"/>
  <c r="AZ187" i="22"/>
  <c r="AZ188" i="22"/>
  <c r="AZ189" i="22"/>
  <c r="AZ190" i="22"/>
  <c r="AZ191" i="22"/>
  <c r="AZ192" i="22"/>
  <c r="AZ193" i="22"/>
  <c r="AZ194" i="22"/>
  <c r="AZ195" i="22"/>
  <c r="AZ196" i="22"/>
  <c r="AZ197" i="22"/>
  <c r="AZ198" i="22"/>
  <c r="AZ199" i="22"/>
  <c r="AZ200" i="22"/>
  <c r="AZ201" i="22"/>
  <c r="AS4" i="22"/>
  <c r="AS5" i="22"/>
  <c r="AS6" i="22"/>
  <c r="AS7" i="22"/>
  <c r="AS8" i="22"/>
  <c r="AS9" i="22"/>
  <c r="AS10" i="22"/>
  <c r="AS11" i="22"/>
  <c r="AS12" i="22"/>
  <c r="AS13" i="22"/>
  <c r="AS14" i="22"/>
  <c r="AS15" i="22"/>
  <c r="AS16" i="22"/>
  <c r="AS17" i="22"/>
  <c r="AS18" i="22"/>
  <c r="AS19" i="22"/>
  <c r="AS20" i="22"/>
  <c r="AS21" i="22"/>
  <c r="AS22" i="22"/>
  <c r="AS23" i="22"/>
  <c r="AS24" i="22"/>
  <c r="AS25" i="22"/>
  <c r="AS26" i="22"/>
  <c r="AS27" i="22"/>
  <c r="AS28" i="22"/>
  <c r="AS29" i="22"/>
  <c r="AS30" i="22"/>
  <c r="AS31" i="22"/>
  <c r="AS32" i="22"/>
  <c r="AS33" i="22"/>
  <c r="AS34" i="22"/>
  <c r="AS35" i="22"/>
  <c r="AS36" i="22"/>
  <c r="AS37" i="22"/>
  <c r="AS38" i="22"/>
  <c r="AS39" i="22"/>
  <c r="AS40" i="22"/>
  <c r="AS41" i="22"/>
  <c r="AS42" i="22"/>
  <c r="AS43" i="22"/>
  <c r="AS44" i="22"/>
  <c r="AS45" i="22"/>
  <c r="AS46" i="22"/>
  <c r="AS47" i="22"/>
  <c r="AS48" i="22"/>
  <c r="AS49" i="22"/>
  <c r="AS50" i="22"/>
  <c r="AS51" i="22"/>
  <c r="AS52" i="22"/>
  <c r="AS53" i="22"/>
  <c r="AS54" i="22"/>
  <c r="AS55" i="22"/>
  <c r="AS56" i="22"/>
  <c r="AS57" i="22"/>
  <c r="AS58" i="22"/>
  <c r="AS59" i="22"/>
  <c r="AS60" i="22"/>
  <c r="AS61" i="22"/>
  <c r="AS62" i="22"/>
  <c r="AS63" i="22"/>
  <c r="AS64" i="22"/>
  <c r="AS65" i="22"/>
  <c r="AS66" i="22"/>
  <c r="AS67" i="22"/>
  <c r="AS68" i="22"/>
  <c r="AS69" i="22"/>
  <c r="AS70" i="22"/>
  <c r="AS71" i="22"/>
  <c r="AS72" i="22"/>
  <c r="AS73" i="22"/>
  <c r="AS74" i="22"/>
  <c r="AS75" i="22"/>
  <c r="AS76" i="22"/>
  <c r="AS77" i="22"/>
  <c r="AS78" i="22"/>
  <c r="AS79" i="22"/>
  <c r="AS80" i="22"/>
  <c r="AS81" i="22"/>
  <c r="AS82" i="22"/>
  <c r="AS83" i="22"/>
  <c r="AS84" i="22"/>
  <c r="AS85" i="22"/>
  <c r="AS86" i="22"/>
  <c r="AS87" i="22"/>
  <c r="AS88" i="22"/>
  <c r="AS89" i="22"/>
  <c r="AS90" i="22"/>
  <c r="AS91" i="22"/>
  <c r="AS92" i="22"/>
  <c r="AS93" i="22"/>
  <c r="AS94" i="22"/>
  <c r="AS95" i="22"/>
  <c r="AS96" i="22"/>
  <c r="AS97" i="22"/>
  <c r="AS98" i="22"/>
  <c r="AS99" i="22"/>
  <c r="AS100" i="22"/>
  <c r="AS101" i="22"/>
  <c r="AS102" i="22"/>
  <c r="AS103" i="22"/>
  <c r="AS104" i="22"/>
  <c r="AS105" i="22"/>
  <c r="AS106" i="22"/>
  <c r="AS107" i="22"/>
  <c r="AS108" i="22"/>
  <c r="AS109" i="22"/>
  <c r="AS110" i="22"/>
  <c r="AS111" i="22"/>
  <c r="AS112" i="22"/>
  <c r="AS113" i="22"/>
  <c r="AS114" i="22"/>
  <c r="AS115" i="22"/>
  <c r="AS116" i="22"/>
  <c r="AS117" i="22"/>
  <c r="AS118" i="22"/>
  <c r="AS119" i="22"/>
  <c r="AS120" i="22"/>
  <c r="AS121" i="22"/>
  <c r="AS122" i="22"/>
  <c r="AS123" i="22"/>
  <c r="AS124" i="22"/>
  <c r="AS125" i="22"/>
  <c r="AS126" i="22"/>
  <c r="AS127" i="22"/>
  <c r="AS128" i="22"/>
  <c r="AS129" i="22"/>
  <c r="AS130" i="22"/>
  <c r="AS131" i="22"/>
  <c r="AS132" i="22"/>
  <c r="AS133" i="22"/>
  <c r="AS134" i="22"/>
  <c r="AS135" i="22"/>
  <c r="AS136" i="22"/>
  <c r="AS137" i="22"/>
  <c r="AS138" i="22"/>
  <c r="AS139" i="22"/>
  <c r="AS140" i="22"/>
  <c r="AS141" i="22"/>
  <c r="AS142" i="22"/>
  <c r="AS143" i="22"/>
  <c r="AS144" i="22"/>
  <c r="AS145" i="22"/>
  <c r="AS146" i="22"/>
  <c r="AS147" i="22"/>
  <c r="AS148" i="22"/>
  <c r="AS149" i="22"/>
  <c r="AS150" i="22"/>
  <c r="AS151" i="22"/>
  <c r="AS152" i="22"/>
  <c r="AS153" i="22"/>
  <c r="AS154" i="22"/>
  <c r="AS155" i="22"/>
  <c r="AS156" i="22"/>
  <c r="AS157" i="22"/>
  <c r="AS158" i="22"/>
  <c r="AS159" i="22"/>
  <c r="AS160" i="22"/>
  <c r="AS161" i="22"/>
  <c r="AS162" i="22"/>
  <c r="AS163" i="22"/>
  <c r="AS164" i="22"/>
  <c r="AS165" i="22"/>
  <c r="AS166" i="22"/>
  <c r="AS167" i="22"/>
  <c r="AS168" i="22"/>
  <c r="AS169" i="22"/>
  <c r="AS170" i="22"/>
  <c r="AS171" i="22"/>
  <c r="AS172" i="22"/>
  <c r="AS173" i="22"/>
  <c r="AS174" i="22"/>
  <c r="AS175" i="22"/>
  <c r="AS176" i="22"/>
  <c r="AS177" i="22"/>
  <c r="AS178" i="22"/>
  <c r="AS179" i="22"/>
  <c r="AS180" i="22"/>
  <c r="AS181" i="22"/>
  <c r="AS182" i="22"/>
  <c r="AS183" i="22"/>
  <c r="AS184" i="22"/>
  <c r="AS185" i="22"/>
  <c r="AS186" i="22"/>
  <c r="AS187" i="22"/>
  <c r="AS188" i="22"/>
  <c r="AS189" i="22"/>
  <c r="AS190" i="22"/>
  <c r="AS191" i="22"/>
  <c r="AS192" i="22"/>
  <c r="AS193" i="22"/>
  <c r="AS194" i="22"/>
  <c r="AS195" i="22"/>
  <c r="AS196" i="22"/>
  <c r="AS197" i="22"/>
  <c r="AS198" i="22"/>
  <c r="AS199" i="22"/>
  <c r="AS200" i="22"/>
  <c r="AS201" i="22"/>
  <c r="AF4" i="22"/>
  <c r="AF5" i="22"/>
  <c r="AF6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0" i="22"/>
  <c r="AF51" i="22"/>
  <c r="AF52" i="22"/>
  <c r="AF53" i="22"/>
  <c r="AF54" i="22"/>
  <c r="AF55" i="22"/>
  <c r="AF56" i="22"/>
  <c r="AF57" i="22"/>
  <c r="AF58" i="22"/>
  <c r="AF59" i="22"/>
  <c r="AF60" i="22"/>
  <c r="AF61" i="22"/>
  <c r="AF62" i="22"/>
  <c r="AF63" i="22"/>
  <c r="AF64" i="22"/>
  <c r="AF65" i="22"/>
  <c r="AF66" i="22"/>
  <c r="AF67" i="22"/>
  <c r="AF68" i="22"/>
  <c r="AF69" i="22"/>
  <c r="AF70" i="22"/>
  <c r="AF71" i="22"/>
  <c r="AF72" i="22"/>
  <c r="AF73" i="22"/>
  <c r="AF74" i="22"/>
  <c r="AF75" i="22"/>
  <c r="AF76" i="22"/>
  <c r="AF77" i="22"/>
  <c r="AF78" i="22"/>
  <c r="AF79" i="22"/>
  <c r="AF80" i="22"/>
  <c r="AF81" i="22"/>
  <c r="AF82" i="22"/>
  <c r="AF83" i="22"/>
  <c r="AF84" i="22"/>
  <c r="AF85" i="22"/>
  <c r="AF86" i="22"/>
  <c r="AF87" i="22"/>
  <c r="AF88" i="22"/>
  <c r="AF89" i="22"/>
  <c r="AF90" i="22"/>
  <c r="AF91" i="22"/>
  <c r="AF92" i="22"/>
  <c r="AF93" i="22"/>
  <c r="AF94" i="22"/>
  <c r="AF95" i="22"/>
  <c r="AF96" i="22"/>
  <c r="AF97" i="22"/>
  <c r="AF98" i="22"/>
  <c r="AF99" i="22"/>
  <c r="AF100" i="22"/>
  <c r="AF101" i="22"/>
  <c r="AF102" i="22"/>
  <c r="AF103" i="22"/>
  <c r="AF104" i="22"/>
  <c r="AF105" i="22"/>
  <c r="AF106" i="22"/>
  <c r="AF107" i="22"/>
  <c r="AF108" i="22"/>
  <c r="AF109" i="22"/>
  <c r="AF110" i="22"/>
  <c r="AF111" i="22"/>
  <c r="AF112" i="22"/>
  <c r="AF113" i="22"/>
  <c r="AF114" i="22"/>
  <c r="AF115" i="22"/>
  <c r="AF116" i="22"/>
  <c r="AF117" i="22"/>
  <c r="AF118" i="22"/>
  <c r="AF119" i="22"/>
  <c r="AF120" i="22"/>
  <c r="AF121" i="22"/>
  <c r="AF122" i="22"/>
  <c r="AF123" i="22"/>
  <c r="AF124" i="22"/>
  <c r="AF125" i="22"/>
  <c r="AF126" i="22"/>
  <c r="AF127" i="22"/>
  <c r="AF128" i="22"/>
  <c r="AF129" i="22"/>
  <c r="AF130" i="22"/>
  <c r="AF131" i="22"/>
  <c r="AF132" i="22"/>
  <c r="AF133" i="22"/>
  <c r="AF134" i="22"/>
  <c r="AF135" i="22"/>
  <c r="AF136" i="22"/>
  <c r="AF137" i="22"/>
  <c r="AF138" i="22"/>
  <c r="AF139" i="22"/>
  <c r="AF140" i="22"/>
  <c r="AF141" i="22"/>
  <c r="AF142" i="22"/>
  <c r="AF143" i="22"/>
  <c r="AF144" i="22"/>
  <c r="AF145" i="22"/>
  <c r="AF146" i="22"/>
  <c r="AF147" i="22"/>
  <c r="AF148" i="22"/>
  <c r="AF149" i="22"/>
  <c r="AF150" i="22"/>
  <c r="AF151" i="22"/>
  <c r="AF152" i="22"/>
  <c r="AF153" i="22"/>
  <c r="AF154" i="22"/>
  <c r="AF155" i="22"/>
  <c r="AF156" i="22"/>
  <c r="AF157" i="22"/>
  <c r="AF158" i="22"/>
  <c r="AF159" i="22"/>
  <c r="AF160" i="22"/>
  <c r="AF161" i="22"/>
  <c r="AF162" i="22"/>
  <c r="AF163" i="22"/>
  <c r="AF164" i="22"/>
  <c r="AF165" i="22"/>
  <c r="AF166" i="22"/>
  <c r="AF167" i="22"/>
  <c r="AF168" i="22"/>
  <c r="AF169" i="22"/>
  <c r="AF170" i="22"/>
  <c r="AF171" i="22"/>
  <c r="AF172" i="22"/>
  <c r="AF173" i="22"/>
  <c r="AF174" i="22"/>
  <c r="AF175" i="22"/>
  <c r="AF176" i="22"/>
  <c r="AF177" i="22"/>
  <c r="AF178" i="22"/>
  <c r="AF179" i="22"/>
  <c r="AF180" i="22"/>
  <c r="AF181" i="22"/>
  <c r="AF182" i="22"/>
  <c r="AF183" i="22"/>
  <c r="AF184" i="22"/>
  <c r="AF185" i="22"/>
  <c r="AF186" i="22"/>
  <c r="AF187" i="22"/>
  <c r="AF188" i="22"/>
  <c r="AF189" i="22"/>
  <c r="AF190" i="22"/>
  <c r="AF191" i="22"/>
  <c r="AF192" i="22"/>
  <c r="AF193" i="22"/>
  <c r="AF194" i="22"/>
  <c r="AF195" i="22"/>
  <c r="AF196" i="22"/>
  <c r="AF197" i="22"/>
  <c r="AF198" i="22"/>
  <c r="AF199" i="22"/>
  <c r="AF200" i="22"/>
  <c r="AF201" i="22"/>
  <c r="Y4" i="22"/>
  <c r="Y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83" i="22"/>
  <c r="Y84" i="22"/>
  <c r="Y85" i="22"/>
  <c r="Y86" i="22"/>
  <c r="Y87" i="22"/>
  <c r="Y88" i="22"/>
  <c r="Y89" i="22"/>
  <c r="Y90" i="22"/>
  <c r="Y91" i="22"/>
  <c r="Y92" i="22"/>
  <c r="Y93" i="22"/>
  <c r="Y94" i="22"/>
  <c r="Y95" i="22"/>
  <c r="Y96" i="22"/>
  <c r="Y97" i="22"/>
  <c r="Y98" i="22"/>
  <c r="Y99" i="22"/>
  <c r="Y100" i="22"/>
  <c r="Y101" i="22"/>
  <c r="Y102" i="22"/>
  <c r="Y103" i="22"/>
  <c r="Y104" i="22"/>
  <c r="Y105" i="22"/>
  <c r="Y106" i="22"/>
  <c r="Y107" i="22"/>
  <c r="Y108" i="22"/>
  <c r="Y109" i="22"/>
  <c r="Y110" i="22"/>
  <c r="Y111" i="22"/>
  <c r="Y112" i="22"/>
  <c r="Y113" i="22"/>
  <c r="Y114" i="22"/>
  <c r="Y115" i="22"/>
  <c r="Y116" i="22"/>
  <c r="Y117" i="22"/>
  <c r="Y118" i="22"/>
  <c r="Y119" i="22"/>
  <c r="Y120" i="22"/>
  <c r="Y121" i="22"/>
  <c r="Y122" i="22"/>
  <c r="Y123" i="22"/>
  <c r="Y124" i="22"/>
  <c r="Y125" i="22"/>
  <c r="Y126" i="22"/>
  <c r="Y127" i="22"/>
  <c r="Y128" i="22"/>
  <c r="Y129" i="22"/>
  <c r="Y130" i="22"/>
  <c r="Y131" i="22"/>
  <c r="Y132" i="22"/>
  <c r="Y133" i="22"/>
  <c r="Y134" i="22"/>
  <c r="Y135" i="22"/>
  <c r="Y136" i="22"/>
  <c r="Y137" i="22"/>
  <c r="Y138" i="22"/>
  <c r="Y139" i="22"/>
  <c r="Y140" i="22"/>
  <c r="Y141" i="22"/>
  <c r="Y142" i="22"/>
  <c r="Y143" i="22"/>
  <c r="Y144" i="22"/>
  <c r="Y145" i="22"/>
  <c r="Y146" i="22"/>
  <c r="Y147" i="22"/>
  <c r="Y148" i="22"/>
  <c r="Y149" i="22"/>
  <c r="Y150" i="22"/>
  <c r="Y151" i="22"/>
  <c r="Y152" i="22"/>
  <c r="Y153" i="22"/>
  <c r="Y154" i="22"/>
  <c r="Y155" i="22"/>
  <c r="Y156" i="22"/>
  <c r="Y157" i="22"/>
  <c r="Y158" i="22"/>
  <c r="Y159" i="22"/>
  <c r="Y160" i="22"/>
  <c r="Y161" i="22"/>
  <c r="Y162" i="22"/>
  <c r="Y163" i="22"/>
  <c r="Y164" i="22"/>
  <c r="Y165" i="22"/>
  <c r="Y166" i="22"/>
  <c r="Y167" i="22"/>
  <c r="Y168" i="22"/>
  <c r="Y169" i="22"/>
  <c r="Y170" i="22"/>
  <c r="Y171" i="22"/>
  <c r="Y172" i="22"/>
  <c r="Y173" i="22"/>
  <c r="Y174" i="22"/>
  <c r="Y175" i="22"/>
  <c r="Y176" i="22"/>
  <c r="Y177" i="22"/>
  <c r="Y178" i="22"/>
  <c r="Y179" i="22"/>
  <c r="Y180" i="22"/>
  <c r="Y181" i="22"/>
  <c r="Y182" i="22"/>
  <c r="Y183" i="22"/>
  <c r="Y184" i="22"/>
  <c r="Y185" i="22"/>
  <c r="Y186" i="22"/>
  <c r="Y187" i="22"/>
  <c r="Y188" i="22"/>
  <c r="Y189" i="22"/>
  <c r="Y190" i="22"/>
  <c r="Y191" i="22"/>
  <c r="Y192" i="22"/>
  <c r="Y193" i="22"/>
  <c r="Y194" i="22"/>
  <c r="Y195" i="22"/>
  <c r="Y196" i="22"/>
  <c r="Y197" i="22"/>
  <c r="Y198" i="22"/>
  <c r="Y199" i="22"/>
  <c r="Y200" i="22"/>
  <c r="Y201" i="22"/>
  <c r="R4" i="22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59" i="22"/>
  <c r="R60" i="22"/>
  <c r="R61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78" i="22"/>
  <c r="R79" i="22"/>
  <c r="R80" i="22"/>
  <c r="R81" i="22"/>
  <c r="R82" i="22"/>
  <c r="R83" i="22"/>
  <c r="R84" i="22"/>
  <c r="R85" i="22"/>
  <c r="R86" i="22"/>
  <c r="R87" i="22"/>
  <c r="R88" i="22"/>
  <c r="R89" i="22"/>
  <c r="R90" i="22"/>
  <c r="R91" i="22"/>
  <c r="R92" i="22"/>
  <c r="R93" i="22"/>
  <c r="R94" i="22"/>
  <c r="R95" i="22"/>
  <c r="R96" i="22"/>
  <c r="R97" i="22"/>
  <c r="R98" i="22"/>
  <c r="R99" i="22"/>
  <c r="R100" i="22"/>
  <c r="R101" i="22"/>
  <c r="R102" i="22"/>
  <c r="R103" i="22"/>
  <c r="R104" i="22"/>
  <c r="R105" i="22"/>
  <c r="R106" i="22"/>
  <c r="R107" i="22"/>
  <c r="R108" i="22"/>
  <c r="R109" i="22"/>
  <c r="R110" i="22"/>
  <c r="R111" i="22"/>
  <c r="R112" i="22"/>
  <c r="R113" i="22"/>
  <c r="R114" i="22"/>
  <c r="R115" i="22"/>
  <c r="R116" i="22"/>
  <c r="R117" i="22"/>
  <c r="R118" i="22"/>
  <c r="R119" i="22"/>
  <c r="R120" i="22"/>
  <c r="R121" i="22"/>
  <c r="R122" i="22"/>
  <c r="R123" i="22"/>
  <c r="R124" i="22"/>
  <c r="R125" i="22"/>
  <c r="R126" i="22"/>
  <c r="R127" i="22"/>
  <c r="R128" i="22"/>
  <c r="R129" i="22"/>
  <c r="R130" i="22"/>
  <c r="R131" i="22"/>
  <c r="R132" i="22"/>
  <c r="R133" i="22"/>
  <c r="R134" i="22"/>
  <c r="R135" i="22"/>
  <c r="R136" i="22"/>
  <c r="R137" i="22"/>
  <c r="R138" i="22"/>
  <c r="R139" i="22"/>
  <c r="R140" i="22"/>
  <c r="R141" i="22"/>
  <c r="R142" i="22"/>
  <c r="R143" i="22"/>
  <c r="R144" i="22"/>
  <c r="R145" i="22"/>
  <c r="R146" i="22"/>
  <c r="R147" i="22"/>
  <c r="R148" i="22"/>
  <c r="R149" i="22"/>
  <c r="R150" i="22"/>
  <c r="R151" i="22"/>
  <c r="R152" i="22"/>
  <c r="R153" i="22"/>
  <c r="R154" i="22"/>
  <c r="R155" i="22"/>
  <c r="R156" i="22"/>
  <c r="R157" i="22"/>
  <c r="R158" i="22"/>
  <c r="R159" i="22"/>
  <c r="R160" i="22"/>
  <c r="R161" i="22"/>
  <c r="R162" i="22"/>
  <c r="R163" i="22"/>
  <c r="R164" i="22"/>
  <c r="R165" i="22"/>
  <c r="R166" i="22"/>
  <c r="R167" i="22"/>
  <c r="R168" i="22"/>
  <c r="R169" i="22"/>
  <c r="R170" i="22"/>
  <c r="R171" i="22"/>
  <c r="R172" i="22"/>
  <c r="R173" i="22"/>
  <c r="R174" i="22"/>
  <c r="R175" i="22"/>
  <c r="R176" i="22"/>
  <c r="R177" i="22"/>
  <c r="R178" i="22"/>
  <c r="R179" i="22"/>
  <c r="R180" i="22"/>
  <c r="R181" i="22"/>
  <c r="R182" i="22"/>
  <c r="R183" i="22"/>
  <c r="R184" i="22"/>
  <c r="R185" i="22"/>
  <c r="R186" i="22"/>
  <c r="R187" i="22"/>
  <c r="R188" i="22"/>
  <c r="R189" i="22"/>
  <c r="R190" i="22"/>
  <c r="R191" i="22"/>
  <c r="R192" i="22"/>
  <c r="R193" i="22"/>
  <c r="R194" i="22"/>
  <c r="R195" i="22"/>
  <c r="R196" i="22"/>
  <c r="R197" i="22"/>
  <c r="R198" i="22"/>
  <c r="R199" i="22"/>
  <c r="R200" i="22"/>
  <c r="R201" i="22"/>
  <c r="CH4" i="21"/>
  <c r="CH5" i="21"/>
  <c r="CH6" i="21"/>
  <c r="CH7" i="21"/>
  <c r="CH8" i="21"/>
  <c r="CH9" i="21"/>
  <c r="CH10" i="21"/>
  <c r="CH11" i="21"/>
  <c r="CH12" i="21"/>
  <c r="CH13" i="21"/>
  <c r="CH14" i="21"/>
  <c r="CH15" i="21"/>
  <c r="CH16" i="21"/>
  <c r="CH17" i="21"/>
  <c r="CH18" i="21"/>
  <c r="CH19" i="21"/>
  <c r="CH20" i="21"/>
  <c r="CH21" i="21"/>
  <c r="CH22" i="21"/>
  <c r="CH23" i="21"/>
  <c r="CH24" i="21"/>
  <c r="CH25" i="21"/>
  <c r="CH26" i="21"/>
  <c r="CH27" i="21"/>
  <c r="CH28" i="21"/>
  <c r="CH29" i="21"/>
  <c r="CH30" i="21"/>
  <c r="CH31" i="21"/>
  <c r="CH32" i="21"/>
  <c r="CH33" i="21"/>
  <c r="CH34" i="21"/>
  <c r="CH35" i="21"/>
  <c r="CH36" i="21"/>
  <c r="CH37" i="21"/>
  <c r="CH38" i="21"/>
  <c r="CH39" i="21"/>
  <c r="CH40" i="21"/>
  <c r="CH41" i="21"/>
  <c r="CH42" i="21"/>
  <c r="CH43" i="21"/>
  <c r="CH44" i="21"/>
  <c r="CH45" i="21"/>
  <c r="CH46" i="21"/>
  <c r="CH47" i="21"/>
  <c r="CH48" i="21"/>
  <c r="CH49" i="21"/>
  <c r="CH50" i="21"/>
  <c r="CH51" i="21"/>
  <c r="CH52" i="21"/>
  <c r="CH53" i="21"/>
  <c r="CH54" i="21"/>
  <c r="CH55" i="21"/>
  <c r="CH56" i="21"/>
  <c r="CH57" i="21"/>
  <c r="CH58" i="21"/>
  <c r="CH59" i="21"/>
  <c r="CH60" i="21"/>
  <c r="CH61" i="21"/>
  <c r="CH62" i="21"/>
  <c r="CH63" i="21"/>
  <c r="CH64" i="21"/>
  <c r="CH65" i="21"/>
  <c r="CH66" i="21"/>
  <c r="CH67" i="21"/>
  <c r="CH68" i="21"/>
  <c r="CH69" i="21"/>
  <c r="CH70" i="21"/>
  <c r="CH71" i="21"/>
  <c r="CH72" i="21"/>
  <c r="CH73" i="21"/>
  <c r="CH74" i="21"/>
  <c r="CH75" i="21"/>
  <c r="CH76" i="21"/>
  <c r="CH77" i="21"/>
  <c r="CH78" i="21"/>
  <c r="CH79" i="21"/>
  <c r="CH80" i="21"/>
  <c r="CH81" i="21"/>
  <c r="CH82" i="21"/>
  <c r="CH83" i="21"/>
  <c r="CH84" i="21"/>
  <c r="CH85" i="21"/>
  <c r="CH86" i="21"/>
  <c r="CH87" i="21"/>
  <c r="CH88" i="21"/>
  <c r="CH89" i="21"/>
  <c r="CH90" i="21"/>
  <c r="CH91" i="21"/>
  <c r="CH92" i="21"/>
  <c r="CH93" i="21"/>
  <c r="CH94" i="21"/>
  <c r="CH95" i="21"/>
  <c r="CH96" i="21"/>
  <c r="CH97" i="21"/>
  <c r="CH98" i="21"/>
  <c r="CH99" i="21"/>
  <c r="CH100" i="21"/>
  <c r="CH101" i="21"/>
  <c r="CH102" i="21"/>
  <c r="CH103" i="21"/>
  <c r="CH104" i="21"/>
  <c r="CH105" i="21"/>
  <c r="CH106" i="21"/>
  <c r="CH107" i="21"/>
  <c r="CH108" i="21"/>
  <c r="CH109" i="21"/>
  <c r="CH110" i="21"/>
  <c r="CH111" i="21"/>
  <c r="CH112" i="21"/>
  <c r="CH113" i="21"/>
  <c r="CH114" i="21"/>
  <c r="CH115" i="21"/>
  <c r="CH116" i="21"/>
  <c r="CH117" i="21"/>
  <c r="CH118" i="21"/>
  <c r="CH119" i="21"/>
  <c r="CH120" i="21"/>
  <c r="CH121" i="21"/>
  <c r="CH122" i="21"/>
  <c r="CH123" i="21"/>
  <c r="CH124" i="21"/>
  <c r="CH125" i="21"/>
  <c r="CH126" i="21"/>
  <c r="CH127" i="21"/>
  <c r="CH128" i="21"/>
  <c r="CH129" i="21"/>
  <c r="CH130" i="21"/>
  <c r="CH131" i="21"/>
  <c r="CH132" i="21"/>
  <c r="CH133" i="21"/>
  <c r="CH134" i="21"/>
  <c r="CH135" i="21"/>
  <c r="CH136" i="21"/>
  <c r="CH137" i="21"/>
  <c r="CH138" i="21"/>
  <c r="CH139" i="21"/>
  <c r="CH140" i="21"/>
  <c r="CH141" i="21"/>
  <c r="CH142" i="21"/>
  <c r="CH143" i="21"/>
  <c r="CH144" i="21"/>
  <c r="CH145" i="21"/>
  <c r="CH146" i="21"/>
  <c r="CH147" i="21"/>
  <c r="CH148" i="21"/>
  <c r="CH149" i="21"/>
  <c r="CH150" i="21"/>
  <c r="CH151" i="21"/>
  <c r="CH152" i="21"/>
  <c r="CH153" i="21"/>
  <c r="CH154" i="21"/>
  <c r="CH155" i="21"/>
  <c r="CH156" i="21"/>
  <c r="CH157" i="21"/>
  <c r="CH158" i="21"/>
  <c r="CH159" i="21"/>
  <c r="CH160" i="21"/>
  <c r="CH161" i="21"/>
  <c r="CH162" i="21"/>
  <c r="CH163" i="21"/>
  <c r="CH164" i="21"/>
  <c r="CH165" i="21"/>
  <c r="CH166" i="21"/>
  <c r="CH167" i="21"/>
  <c r="CH168" i="21"/>
  <c r="CH169" i="21"/>
  <c r="CH170" i="21"/>
  <c r="CH171" i="21"/>
  <c r="CH172" i="21"/>
  <c r="CH173" i="21"/>
  <c r="CH174" i="21"/>
  <c r="CH175" i="21"/>
  <c r="CH176" i="21"/>
  <c r="CH177" i="21"/>
  <c r="CH178" i="21"/>
  <c r="CH179" i="21"/>
  <c r="CH180" i="21"/>
  <c r="CH181" i="21"/>
  <c r="CH182" i="21"/>
  <c r="CH183" i="21"/>
  <c r="CH184" i="21"/>
  <c r="CH185" i="21"/>
  <c r="CH186" i="21"/>
  <c r="CH187" i="21"/>
  <c r="CH188" i="21"/>
  <c r="CH189" i="21"/>
  <c r="CH190" i="21"/>
  <c r="CH191" i="21"/>
  <c r="CH192" i="21"/>
  <c r="CH193" i="21"/>
  <c r="CH194" i="21"/>
  <c r="CH195" i="21"/>
  <c r="CH196" i="21"/>
  <c r="CH197" i="21"/>
  <c r="CH198" i="21"/>
  <c r="CH199" i="21"/>
  <c r="CH200" i="21"/>
  <c r="CH201" i="21"/>
  <c r="CA4" i="21"/>
  <c r="CA5" i="21"/>
  <c r="CA6" i="21"/>
  <c r="CA7" i="21"/>
  <c r="CA8" i="21"/>
  <c r="CA9" i="21"/>
  <c r="CA10" i="21"/>
  <c r="CA11" i="21"/>
  <c r="CA12" i="21"/>
  <c r="CA13" i="21"/>
  <c r="CA14" i="21"/>
  <c r="CA15" i="21"/>
  <c r="CA16" i="21"/>
  <c r="CA17" i="21"/>
  <c r="CA18" i="21"/>
  <c r="CA19" i="21"/>
  <c r="CA20" i="21"/>
  <c r="CA21" i="21"/>
  <c r="CA22" i="21"/>
  <c r="CA23" i="21"/>
  <c r="CA24" i="21"/>
  <c r="CA25" i="21"/>
  <c r="CA26" i="21"/>
  <c r="CA27" i="21"/>
  <c r="CA28" i="21"/>
  <c r="CA29" i="21"/>
  <c r="CA30" i="21"/>
  <c r="CA31" i="21"/>
  <c r="CA32" i="21"/>
  <c r="CA33" i="21"/>
  <c r="CA34" i="21"/>
  <c r="CA35" i="21"/>
  <c r="CA36" i="21"/>
  <c r="CA37" i="21"/>
  <c r="CA38" i="21"/>
  <c r="CA39" i="21"/>
  <c r="CA40" i="21"/>
  <c r="CA41" i="21"/>
  <c r="CA42" i="21"/>
  <c r="CA43" i="21"/>
  <c r="CA44" i="21"/>
  <c r="CA45" i="21"/>
  <c r="CA46" i="21"/>
  <c r="CA47" i="21"/>
  <c r="CA48" i="21"/>
  <c r="CA49" i="21"/>
  <c r="CA50" i="21"/>
  <c r="CA51" i="21"/>
  <c r="CA52" i="21"/>
  <c r="CA53" i="21"/>
  <c r="CA54" i="21"/>
  <c r="CA55" i="21"/>
  <c r="CA56" i="21"/>
  <c r="CA57" i="21"/>
  <c r="CA58" i="21"/>
  <c r="CA59" i="21"/>
  <c r="CA60" i="21"/>
  <c r="CA61" i="21"/>
  <c r="CA62" i="21"/>
  <c r="CA63" i="21"/>
  <c r="CA64" i="21"/>
  <c r="CA65" i="21"/>
  <c r="CA66" i="21"/>
  <c r="CA67" i="21"/>
  <c r="CA68" i="21"/>
  <c r="CA69" i="21"/>
  <c r="CA70" i="21"/>
  <c r="CA71" i="21"/>
  <c r="CA72" i="21"/>
  <c r="CA73" i="21"/>
  <c r="CA74" i="21"/>
  <c r="CA75" i="21"/>
  <c r="CA76" i="21"/>
  <c r="CA77" i="21"/>
  <c r="CA78" i="21"/>
  <c r="CA79" i="21"/>
  <c r="CA80" i="21"/>
  <c r="CA81" i="21"/>
  <c r="CA82" i="21"/>
  <c r="CA83" i="21"/>
  <c r="CA84" i="21"/>
  <c r="CA85" i="21"/>
  <c r="CA86" i="21"/>
  <c r="CA87" i="21"/>
  <c r="CA88" i="21"/>
  <c r="CA89" i="21"/>
  <c r="CA90" i="21"/>
  <c r="CA91" i="21"/>
  <c r="CA92" i="21"/>
  <c r="CA93" i="21"/>
  <c r="CA94" i="21"/>
  <c r="CA95" i="21"/>
  <c r="CA96" i="21"/>
  <c r="CA97" i="21"/>
  <c r="CA98" i="21"/>
  <c r="CA99" i="21"/>
  <c r="CA100" i="21"/>
  <c r="CA101" i="21"/>
  <c r="CA102" i="21"/>
  <c r="CA103" i="21"/>
  <c r="CA104" i="21"/>
  <c r="CA105" i="21"/>
  <c r="CA106" i="21"/>
  <c r="CA107" i="21"/>
  <c r="CA108" i="21"/>
  <c r="CA109" i="21"/>
  <c r="CA110" i="21"/>
  <c r="CA111" i="21"/>
  <c r="CA112" i="21"/>
  <c r="CA113" i="21"/>
  <c r="CA114" i="21"/>
  <c r="CA115" i="21"/>
  <c r="CA116" i="21"/>
  <c r="CA117" i="21"/>
  <c r="CA118" i="21"/>
  <c r="CA119" i="21"/>
  <c r="CA120" i="21"/>
  <c r="CA121" i="21"/>
  <c r="CA122" i="21"/>
  <c r="CA123" i="21"/>
  <c r="CA124" i="21"/>
  <c r="CA125" i="21"/>
  <c r="CA126" i="21"/>
  <c r="CA127" i="21"/>
  <c r="CA128" i="21"/>
  <c r="CA129" i="21"/>
  <c r="CA130" i="21"/>
  <c r="CA131" i="21"/>
  <c r="CA132" i="21"/>
  <c r="CA133" i="21"/>
  <c r="CA134" i="21"/>
  <c r="CA135" i="21"/>
  <c r="CA136" i="21"/>
  <c r="CA137" i="21"/>
  <c r="CA138" i="21"/>
  <c r="CA139" i="21"/>
  <c r="CA140" i="21"/>
  <c r="CA141" i="21"/>
  <c r="CA142" i="21"/>
  <c r="CA143" i="21"/>
  <c r="CA144" i="21"/>
  <c r="CA145" i="21"/>
  <c r="CA146" i="21"/>
  <c r="CA147" i="21"/>
  <c r="CA148" i="21"/>
  <c r="CA149" i="21"/>
  <c r="CA150" i="21"/>
  <c r="CA151" i="21"/>
  <c r="CA152" i="21"/>
  <c r="CA153" i="21"/>
  <c r="CA154" i="21"/>
  <c r="CA155" i="21"/>
  <c r="CA156" i="21"/>
  <c r="CA157" i="21"/>
  <c r="CA158" i="21"/>
  <c r="CA159" i="21"/>
  <c r="CA160" i="21"/>
  <c r="CA161" i="21"/>
  <c r="CA162" i="21"/>
  <c r="CA163" i="21"/>
  <c r="CA164" i="21"/>
  <c r="CA165" i="21"/>
  <c r="CA166" i="21"/>
  <c r="CA167" i="21"/>
  <c r="CA168" i="21"/>
  <c r="CA169" i="21"/>
  <c r="CA170" i="21"/>
  <c r="CA171" i="21"/>
  <c r="CA172" i="21"/>
  <c r="CA173" i="21"/>
  <c r="CA174" i="21"/>
  <c r="CA175" i="21"/>
  <c r="CA176" i="21"/>
  <c r="CA177" i="21"/>
  <c r="CA178" i="21"/>
  <c r="CA179" i="21"/>
  <c r="CA180" i="21"/>
  <c r="CA181" i="21"/>
  <c r="CA182" i="21"/>
  <c r="CA183" i="21"/>
  <c r="CA184" i="21"/>
  <c r="CA185" i="21"/>
  <c r="CA186" i="21"/>
  <c r="CA187" i="21"/>
  <c r="CA188" i="21"/>
  <c r="CA189" i="21"/>
  <c r="CA190" i="21"/>
  <c r="CA191" i="21"/>
  <c r="CA192" i="21"/>
  <c r="CA193" i="21"/>
  <c r="CA194" i="21"/>
  <c r="CA195" i="21"/>
  <c r="CA196" i="21"/>
  <c r="CA197" i="21"/>
  <c r="CA198" i="21"/>
  <c r="CA199" i="21"/>
  <c r="CA200" i="21"/>
  <c r="CA201" i="21"/>
  <c r="BT4" i="21"/>
  <c r="BT5" i="21"/>
  <c r="BT6" i="21"/>
  <c r="BT7" i="21"/>
  <c r="BT8" i="21"/>
  <c r="BT9" i="21"/>
  <c r="BT10" i="21"/>
  <c r="BT11" i="21"/>
  <c r="BT12" i="21"/>
  <c r="BT13" i="21"/>
  <c r="BT14" i="21"/>
  <c r="BT15" i="21"/>
  <c r="BT16" i="21"/>
  <c r="BT17" i="21"/>
  <c r="BT18" i="21"/>
  <c r="BT19" i="21"/>
  <c r="BT20" i="21"/>
  <c r="BT21" i="21"/>
  <c r="BT22" i="21"/>
  <c r="BT23" i="21"/>
  <c r="BT24" i="21"/>
  <c r="BT25" i="21"/>
  <c r="BT26" i="21"/>
  <c r="BT27" i="21"/>
  <c r="BT28" i="21"/>
  <c r="BT29" i="21"/>
  <c r="BT30" i="21"/>
  <c r="BT31" i="21"/>
  <c r="BT32" i="21"/>
  <c r="BT33" i="21"/>
  <c r="BT34" i="21"/>
  <c r="BT35" i="21"/>
  <c r="BT36" i="21"/>
  <c r="BT37" i="21"/>
  <c r="BT38" i="21"/>
  <c r="BT39" i="21"/>
  <c r="BT40" i="21"/>
  <c r="BT41" i="21"/>
  <c r="BT42" i="21"/>
  <c r="BT43" i="21"/>
  <c r="BT44" i="21"/>
  <c r="BT45" i="21"/>
  <c r="BT46" i="21"/>
  <c r="BT47" i="21"/>
  <c r="BT48" i="21"/>
  <c r="BT49" i="21"/>
  <c r="BT50" i="21"/>
  <c r="BT51" i="21"/>
  <c r="BT52" i="21"/>
  <c r="BT53" i="21"/>
  <c r="BT54" i="21"/>
  <c r="BT55" i="21"/>
  <c r="BT56" i="21"/>
  <c r="BT57" i="21"/>
  <c r="BT58" i="21"/>
  <c r="BT59" i="21"/>
  <c r="BT60" i="21"/>
  <c r="BT61" i="21"/>
  <c r="BT62" i="21"/>
  <c r="BT63" i="21"/>
  <c r="BT64" i="21"/>
  <c r="BT65" i="21"/>
  <c r="BT66" i="21"/>
  <c r="BT67" i="21"/>
  <c r="BT68" i="21"/>
  <c r="BT69" i="21"/>
  <c r="BT70" i="21"/>
  <c r="BT71" i="21"/>
  <c r="BT72" i="21"/>
  <c r="BT73" i="21"/>
  <c r="BT74" i="21"/>
  <c r="BT75" i="21"/>
  <c r="BT76" i="21"/>
  <c r="BT77" i="21"/>
  <c r="BT78" i="21"/>
  <c r="BT79" i="21"/>
  <c r="BT80" i="21"/>
  <c r="BT81" i="21"/>
  <c r="BT82" i="21"/>
  <c r="BT83" i="21"/>
  <c r="BT84" i="21"/>
  <c r="BT85" i="21"/>
  <c r="BT86" i="21"/>
  <c r="BT87" i="21"/>
  <c r="BT88" i="21"/>
  <c r="BT89" i="21"/>
  <c r="BT90" i="21"/>
  <c r="BT91" i="21"/>
  <c r="BT92" i="21"/>
  <c r="BT93" i="21"/>
  <c r="BT94" i="21"/>
  <c r="BT95" i="21"/>
  <c r="BT96" i="21"/>
  <c r="BT97" i="21"/>
  <c r="BT98" i="21"/>
  <c r="BT99" i="21"/>
  <c r="BT100" i="21"/>
  <c r="BT101" i="21"/>
  <c r="BT102" i="21"/>
  <c r="BT103" i="21"/>
  <c r="BT104" i="21"/>
  <c r="BT105" i="21"/>
  <c r="BT106" i="21"/>
  <c r="BT107" i="21"/>
  <c r="BT108" i="21"/>
  <c r="BT109" i="21"/>
  <c r="BT110" i="21"/>
  <c r="BT111" i="21"/>
  <c r="BT112" i="21"/>
  <c r="BT113" i="21"/>
  <c r="BT114" i="21"/>
  <c r="BT115" i="21"/>
  <c r="BT116" i="21"/>
  <c r="BT117" i="21"/>
  <c r="BT118" i="21"/>
  <c r="BT119" i="21"/>
  <c r="BT120" i="21"/>
  <c r="BT121" i="21"/>
  <c r="BT122" i="21"/>
  <c r="BT123" i="21"/>
  <c r="BT124" i="21"/>
  <c r="BT125" i="21"/>
  <c r="BT126" i="21"/>
  <c r="BT127" i="21"/>
  <c r="BT128" i="21"/>
  <c r="BT129" i="21"/>
  <c r="BT130" i="21"/>
  <c r="BT131" i="21"/>
  <c r="BT132" i="21"/>
  <c r="BT133" i="21"/>
  <c r="BT134" i="21"/>
  <c r="BT135" i="21"/>
  <c r="BT136" i="21"/>
  <c r="BT137" i="21"/>
  <c r="BT138" i="21"/>
  <c r="BT139" i="21"/>
  <c r="BT140" i="21"/>
  <c r="BT141" i="21"/>
  <c r="BT142" i="21"/>
  <c r="BT143" i="21"/>
  <c r="BT144" i="21"/>
  <c r="BT145" i="21"/>
  <c r="BT146" i="21"/>
  <c r="BT147" i="21"/>
  <c r="BT148" i="21"/>
  <c r="BT149" i="21"/>
  <c r="BT150" i="21"/>
  <c r="BT151" i="21"/>
  <c r="BT152" i="21"/>
  <c r="BT153" i="21"/>
  <c r="BT154" i="21"/>
  <c r="BT155" i="21"/>
  <c r="BT156" i="21"/>
  <c r="BT157" i="21"/>
  <c r="BT158" i="21"/>
  <c r="BT159" i="21"/>
  <c r="BT160" i="21"/>
  <c r="BT161" i="21"/>
  <c r="BT162" i="21"/>
  <c r="BT163" i="21"/>
  <c r="BT164" i="21"/>
  <c r="BT165" i="21"/>
  <c r="BT166" i="21"/>
  <c r="BT167" i="21"/>
  <c r="BT168" i="21"/>
  <c r="BT169" i="21"/>
  <c r="BT170" i="21"/>
  <c r="BT171" i="21"/>
  <c r="BT172" i="21"/>
  <c r="BT173" i="21"/>
  <c r="BT174" i="21"/>
  <c r="BT175" i="21"/>
  <c r="BT176" i="21"/>
  <c r="BT177" i="21"/>
  <c r="BT178" i="21"/>
  <c r="BT179" i="21"/>
  <c r="BT180" i="21"/>
  <c r="BT181" i="21"/>
  <c r="BT182" i="21"/>
  <c r="BT183" i="21"/>
  <c r="BT184" i="21"/>
  <c r="BT185" i="21"/>
  <c r="BT186" i="21"/>
  <c r="BT187" i="21"/>
  <c r="BT188" i="21"/>
  <c r="BT189" i="21"/>
  <c r="BT190" i="21"/>
  <c r="BT191" i="21"/>
  <c r="BT192" i="21"/>
  <c r="BT193" i="21"/>
  <c r="BT194" i="21"/>
  <c r="BT195" i="21"/>
  <c r="BT196" i="21"/>
  <c r="BT197" i="21"/>
  <c r="BT198" i="21"/>
  <c r="BT199" i="21"/>
  <c r="BT200" i="21"/>
  <c r="BT201" i="21"/>
  <c r="BG4" i="21"/>
  <c r="BG5" i="21"/>
  <c r="BG6" i="21"/>
  <c r="BG7" i="21"/>
  <c r="BG8" i="21"/>
  <c r="BG9" i="21"/>
  <c r="BG10" i="21"/>
  <c r="BG11" i="21"/>
  <c r="BG12" i="21"/>
  <c r="BG13" i="21"/>
  <c r="BG14" i="21"/>
  <c r="BG15" i="21"/>
  <c r="BG16" i="21"/>
  <c r="BG17" i="21"/>
  <c r="BG18" i="21"/>
  <c r="BG19" i="21"/>
  <c r="BG20" i="21"/>
  <c r="BG21" i="21"/>
  <c r="BG22" i="21"/>
  <c r="BG23" i="21"/>
  <c r="BG24" i="21"/>
  <c r="BG25" i="21"/>
  <c r="BG26" i="21"/>
  <c r="BG27" i="21"/>
  <c r="BG28" i="21"/>
  <c r="BG29" i="21"/>
  <c r="BG30" i="21"/>
  <c r="BG31" i="21"/>
  <c r="BG32" i="21"/>
  <c r="BG33" i="21"/>
  <c r="BG34" i="21"/>
  <c r="BG35" i="21"/>
  <c r="BG36" i="21"/>
  <c r="BG37" i="21"/>
  <c r="BG38" i="21"/>
  <c r="BG39" i="21"/>
  <c r="BG40" i="21"/>
  <c r="BG41" i="21"/>
  <c r="BG42" i="21"/>
  <c r="BG43" i="21"/>
  <c r="BG44" i="21"/>
  <c r="BG45" i="21"/>
  <c r="BG46" i="21"/>
  <c r="BG47" i="21"/>
  <c r="BG48" i="21"/>
  <c r="BG49" i="21"/>
  <c r="BG50" i="21"/>
  <c r="BG51" i="21"/>
  <c r="BG52" i="21"/>
  <c r="BG53" i="21"/>
  <c r="BG54" i="21"/>
  <c r="BG55" i="21"/>
  <c r="BG56" i="21"/>
  <c r="BG57" i="21"/>
  <c r="BG58" i="21"/>
  <c r="BG59" i="21"/>
  <c r="BG60" i="21"/>
  <c r="BG61" i="21"/>
  <c r="BG62" i="21"/>
  <c r="BG63" i="21"/>
  <c r="BG64" i="21"/>
  <c r="BG65" i="21"/>
  <c r="BG66" i="21"/>
  <c r="BG67" i="21"/>
  <c r="BG68" i="21"/>
  <c r="BG69" i="21"/>
  <c r="BG70" i="21"/>
  <c r="BG71" i="21"/>
  <c r="BG72" i="21"/>
  <c r="BG73" i="21"/>
  <c r="BG74" i="21"/>
  <c r="BG75" i="21"/>
  <c r="BG76" i="21"/>
  <c r="BG77" i="21"/>
  <c r="BG78" i="21"/>
  <c r="BG79" i="21"/>
  <c r="BG80" i="21"/>
  <c r="BG81" i="21"/>
  <c r="BG82" i="21"/>
  <c r="BG83" i="21"/>
  <c r="BG84" i="21"/>
  <c r="BG85" i="21"/>
  <c r="BG86" i="21"/>
  <c r="BG87" i="21"/>
  <c r="BG88" i="21"/>
  <c r="BG89" i="21"/>
  <c r="BG90" i="21"/>
  <c r="BG91" i="21"/>
  <c r="BG92" i="21"/>
  <c r="BG93" i="21"/>
  <c r="BG94" i="21"/>
  <c r="BG95" i="21"/>
  <c r="BG96" i="21"/>
  <c r="BG97" i="21"/>
  <c r="BG98" i="21"/>
  <c r="BG99" i="21"/>
  <c r="BG100" i="21"/>
  <c r="BG101" i="21"/>
  <c r="BG102" i="21"/>
  <c r="BG103" i="21"/>
  <c r="BG104" i="21"/>
  <c r="BG105" i="21"/>
  <c r="BG106" i="21"/>
  <c r="BG107" i="21"/>
  <c r="BG108" i="21"/>
  <c r="BG109" i="21"/>
  <c r="BG110" i="21"/>
  <c r="BG111" i="21"/>
  <c r="BG112" i="21"/>
  <c r="BG113" i="21"/>
  <c r="BG114" i="21"/>
  <c r="BG115" i="21"/>
  <c r="BG116" i="21"/>
  <c r="BG117" i="21"/>
  <c r="BG118" i="21"/>
  <c r="BG119" i="21"/>
  <c r="BG120" i="21"/>
  <c r="BG121" i="21"/>
  <c r="BG122" i="21"/>
  <c r="BG123" i="21"/>
  <c r="BG124" i="21"/>
  <c r="BG125" i="21"/>
  <c r="BG126" i="21"/>
  <c r="BG127" i="21"/>
  <c r="BG128" i="21"/>
  <c r="BG129" i="21"/>
  <c r="BG130" i="21"/>
  <c r="BG131" i="21"/>
  <c r="BG132" i="21"/>
  <c r="BG133" i="21"/>
  <c r="BG134" i="21"/>
  <c r="BG135" i="21"/>
  <c r="BG136" i="21"/>
  <c r="BG137" i="21"/>
  <c r="BG138" i="21"/>
  <c r="BG139" i="21"/>
  <c r="BG140" i="21"/>
  <c r="BG141" i="21"/>
  <c r="BG142" i="21"/>
  <c r="BG143" i="21"/>
  <c r="BG144" i="21"/>
  <c r="BG145" i="21"/>
  <c r="BG146" i="21"/>
  <c r="BG147" i="21"/>
  <c r="BG148" i="21"/>
  <c r="BG149" i="21"/>
  <c r="BG150" i="21"/>
  <c r="BG151" i="21"/>
  <c r="BG152" i="21"/>
  <c r="BG153" i="21"/>
  <c r="BG154" i="21"/>
  <c r="BG155" i="21"/>
  <c r="BG156" i="21"/>
  <c r="BG157" i="21"/>
  <c r="BG158" i="21"/>
  <c r="BG159" i="21"/>
  <c r="BG160" i="21"/>
  <c r="BG161" i="21"/>
  <c r="BG162" i="21"/>
  <c r="BG163" i="21"/>
  <c r="BG164" i="21"/>
  <c r="BG165" i="21"/>
  <c r="BG166" i="21"/>
  <c r="BG167" i="21"/>
  <c r="BG168" i="21"/>
  <c r="BG169" i="21"/>
  <c r="BG170" i="21"/>
  <c r="BG171" i="21"/>
  <c r="BG172" i="21"/>
  <c r="BG173" i="21"/>
  <c r="BG174" i="21"/>
  <c r="BG175" i="21"/>
  <c r="BG176" i="21"/>
  <c r="BG177" i="21"/>
  <c r="BG178" i="21"/>
  <c r="BG179" i="21"/>
  <c r="BG180" i="21"/>
  <c r="BG181" i="21"/>
  <c r="BG182" i="21"/>
  <c r="BG183" i="21"/>
  <c r="BG184" i="21"/>
  <c r="BG185" i="21"/>
  <c r="BG186" i="21"/>
  <c r="BG187" i="21"/>
  <c r="BG188" i="21"/>
  <c r="BG189" i="21"/>
  <c r="BG190" i="21"/>
  <c r="BG191" i="21"/>
  <c r="BG192" i="21"/>
  <c r="BG193" i="21"/>
  <c r="BG194" i="21"/>
  <c r="BG195" i="21"/>
  <c r="BG196" i="21"/>
  <c r="BG197" i="21"/>
  <c r="BG198" i="21"/>
  <c r="BG199" i="21"/>
  <c r="BG200" i="21"/>
  <c r="BG201" i="21"/>
  <c r="AZ4" i="21"/>
  <c r="AZ5" i="21"/>
  <c r="AZ6" i="21"/>
  <c r="AZ7" i="21"/>
  <c r="AZ8" i="21"/>
  <c r="AZ9" i="21"/>
  <c r="AZ10" i="21"/>
  <c r="AZ11" i="21"/>
  <c r="AZ12" i="21"/>
  <c r="AZ13" i="21"/>
  <c r="AZ14" i="21"/>
  <c r="AZ15" i="21"/>
  <c r="AZ16" i="21"/>
  <c r="AZ17" i="21"/>
  <c r="AZ18" i="21"/>
  <c r="AZ19" i="21"/>
  <c r="AZ20" i="21"/>
  <c r="AZ21" i="21"/>
  <c r="AZ22" i="21"/>
  <c r="AZ23" i="21"/>
  <c r="AZ24" i="21"/>
  <c r="AZ25" i="21"/>
  <c r="AZ26" i="21"/>
  <c r="AZ27" i="21"/>
  <c r="AZ28" i="21"/>
  <c r="AZ29" i="21"/>
  <c r="AZ30" i="21"/>
  <c r="AZ31" i="21"/>
  <c r="AZ32" i="21"/>
  <c r="AZ33" i="21"/>
  <c r="AZ34" i="21"/>
  <c r="AZ35" i="21"/>
  <c r="AZ36" i="21"/>
  <c r="AZ37" i="21"/>
  <c r="AZ38" i="21"/>
  <c r="AZ39" i="21"/>
  <c r="AZ40" i="21"/>
  <c r="AZ41" i="21"/>
  <c r="AZ42" i="21"/>
  <c r="AZ43" i="21"/>
  <c r="AZ44" i="21"/>
  <c r="AZ45" i="21"/>
  <c r="AZ46" i="21"/>
  <c r="AZ47" i="21"/>
  <c r="AZ48" i="21"/>
  <c r="AZ49" i="21"/>
  <c r="AZ50" i="21"/>
  <c r="AZ51" i="21"/>
  <c r="AZ52" i="21"/>
  <c r="AZ53" i="21"/>
  <c r="AZ54" i="21"/>
  <c r="AZ55" i="21"/>
  <c r="AZ56" i="21"/>
  <c r="AZ57" i="21"/>
  <c r="AZ58" i="21"/>
  <c r="AZ59" i="21"/>
  <c r="AZ60" i="21"/>
  <c r="AZ61" i="21"/>
  <c r="AZ62" i="21"/>
  <c r="AZ63" i="21"/>
  <c r="AZ64" i="21"/>
  <c r="AZ65" i="21"/>
  <c r="AZ66" i="21"/>
  <c r="AZ67" i="21"/>
  <c r="AZ68" i="21"/>
  <c r="AZ69" i="21"/>
  <c r="AZ70" i="21"/>
  <c r="AZ71" i="21"/>
  <c r="AZ72" i="21"/>
  <c r="AZ73" i="21"/>
  <c r="AZ74" i="21"/>
  <c r="AZ75" i="21"/>
  <c r="AZ76" i="21"/>
  <c r="AZ77" i="21"/>
  <c r="AZ78" i="21"/>
  <c r="AZ79" i="21"/>
  <c r="AZ80" i="21"/>
  <c r="AZ81" i="21"/>
  <c r="AZ82" i="21"/>
  <c r="AZ83" i="21"/>
  <c r="AZ84" i="21"/>
  <c r="AZ85" i="21"/>
  <c r="AZ86" i="21"/>
  <c r="AZ87" i="21"/>
  <c r="AZ88" i="21"/>
  <c r="AZ89" i="21"/>
  <c r="AZ90" i="21"/>
  <c r="AZ91" i="21"/>
  <c r="AZ92" i="21"/>
  <c r="AZ93" i="21"/>
  <c r="AZ94" i="21"/>
  <c r="AZ95" i="21"/>
  <c r="AZ96" i="21"/>
  <c r="AZ97" i="21"/>
  <c r="AZ98" i="21"/>
  <c r="AZ99" i="21"/>
  <c r="AZ100" i="21"/>
  <c r="AZ101" i="21"/>
  <c r="AZ102" i="21"/>
  <c r="AZ103" i="21"/>
  <c r="AZ104" i="21"/>
  <c r="AZ105" i="21"/>
  <c r="AZ106" i="21"/>
  <c r="AZ107" i="21"/>
  <c r="AZ108" i="21"/>
  <c r="AZ109" i="21"/>
  <c r="AZ110" i="21"/>
  <c r="AZ111" i="21"/>
  <c r="AZ112" i="21"/>
  <c r="AZ113" i="21"/>
  <c r="AZ114" i="21"/>
  <c r="AZ115" i="21"/>
  <c r="AZ116" i="21"/>
  <c r="AZ117" i="21"/>
  <c r="AZ118" i="21"/>
  <c r="AZ119" i="21"/>
  <c r="AZ120" i="21"/>
  <c r="AZ121" i="21"/>
  <c r="AZ122" i="21"/>
  <c r="AZ123" i="21"/>
  <c r="AZ124" i="21"/>
  <c r="AZ125" i="21"/>
  <c r="AZ126" i="21"/>
  <c r="AZ127" i="21"/>
  <c r="AZ128" i="21"/>
  <c r="AZ129" i="21"/>
  <c r="AZ130" i="21"/>
  <c r="AZ131" i="21"/>
  <c r="AZ132" i="21"/>
  <c r="AZ133" i="21"/>
  <c r="AZ134" i="21"/>
  <c r="AZ135" i="21"/>
  <c r="AZ136" i="21"/>
  <c r="AZ137" i="21"/>
  <c r="AZ138" i="21"/>
  <c r="AZ139" i="21"/>
  <c r="AZ140" i="21"/>
  <c r="AZ141" i="21"/>
  <c r="AZ142" i="21"/>
  <c r="AZ143" i="21"/>
  <c r="AZ144" i="21"/>
  <c r="AZ145" i="21"/>
  <c r="AZ146" i="21"/>
  <c r="AZ147" i="21"/>
  <c r="AZ148" i="21"/>
  <c r="AZ149" i="21"/>
  <c r="AZ150" i="21"/>
  <c r="AZ151" i="21"/>
  <c r="AZ152" i="21"/>
  <c r="AZ153" i="21"/>
  <c r="AZ154" i="21"/>
  <c r="AZ155" i="21"/>
  <c r="AZ156" i="21"/>
  <c r="AZ157" i="21"/>
  <c r="AZ158" i="21"/>
  <c r="AZ159" i="21"/>
  <c r="AZ160" i="21"/>
  <c r="AZ161" i="21"/>
  <c r="AZ162" i="21"/>
  <c r="AZ163" i="21"/>
  <c r="AZ164" i="21"/>
  <c r="AZ165" i="21"/>
  <c r="AZ166" i="21"/>
  <c r="AZ167" i="21"/>
  <c r="AZ168" i="21"/>
  <c r="AZ169" i="21"/>
  <c r="AZ170" i="21"/>
  <c r="AZ171" i="21"/>
  <c r="AZ172" i="21"/>
  <c r="AZ173" i="21"/>
  <c r="AZ174" i="21"/>
  <c r="AZ175" i="21"/>
  <c r="AZ176" i="21"/>
  <c r="AZ177" i="21"/>
  <c r="AZ178" i="21"/>
  <c r="AZ179" i="21"/>
  <c r="AZ180" i="21"/>
  <c r="AZ181" i="21"/>
  <c r="AZ182" i="21"/>
  <c r="AZ183" i="21"/>
  <c r="AZ184" i="21"/>
  <c r="AZ185" i="21"/>
  <c r="AZ186" i="21"/>
  <c r="AZ187" i="21"/>
  <c r="AZ188" i="21"/>
  <c r="AZ189" i="21"/>
  <c r="AZ190" i="21"/>
  <c r="AZ191" i="21"/>
  <c r="AZ192" i="21"/>
  <c r="AZ193" i="21"/>
  <c r="AZ194" i="21"/>
  <c r="AZ195" i="21"/>
  <c r="AZ196" i="21"/>
  <c r="AZ197" i="21"/>
  <c r="AZ198" i="21"/>
  <c r="AZ199" i="21"/>
  <c r="AZ200" i="21"/>
  <c r="AZ201" i="21"/>
  <c r="AS4" i="21"/>
  <c r="AS5" i="21"/>
  <c r="AS6" i="21"/>
  <c r="AS7" i="21"/>
  <c r="AS8" i="21"/>
  <c r="AS9" i="21"/>
  <c r="AS10" i="21"/>
  <c r="AS11" i="21"/>
  <c r="AS12" i="21"/>
  <c r="AS1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28" i="21"/>
  <c r="AS29" i="21"/>
  <c r="AS30" i="21"/>
  <c r="AS31" i="21"/>
  <c r="AS32" i="21"/>
  <c r="AS33" i="21"/>
  <c r="AS34" i="21"/>
  <c r="AS35" i="21"/>
  <c r="AS36" i="21"/>
  <c r="AS37" i="21"/>
  <c r="AS38" i="21"/>
  <c r="AS39" i="21"/>
  <c r="AS40" i="21"/>
  <c r="AS41" i="21"/>
  <c r="AS42" i="21"/>
  <c r="AS43" i="21"/>
  <c r="AS44" i="21"/>
  <c r="AS45" i="21"/>
  <c r="AS46" i="21"/>
  <c r="AS47" i="21"/>
  <c r="AS48" i="21"/>
  <c r="AS49" i="21"/>
  <c r="AS50" i="21"/>
  <c r="AS51" i="21"/>
  <c r="AS52" i="21"/>
  <c r="AS53" i="21"/>
  <c r="AS54" i="21"/>
  <c r="AS55" i="21"/>
  <c r="AS56" i="21"/>
  <c r="AS57" i="21"/>
  <c r="AS58" i="21"/>
  <c r="AS59" i="21"/>
  <c r="AS60" i="21"/>
  <c r="AS61" i="21"/>
  <c r="AS62" i="21"/>
  <c r="AS63" i="21"/>
  <c r="AS64" i="21"/>
  <c r="AS65" i="21"/>
  <c r="AS66" i="21"/>
  <c r="AS67" i="21"/>
  <c r="AS68" i="21"/>
  <c r="AS69" i="21"/>
  <c r="AS70" i="21"/>
  <c r="AS71" i="21"/>
  <c r="AS72" i="21"/>
  <c r="AS73" i="21"/>
  <c r="AS74" i="21"/>
  <c r="AS75" i="21"/>
  <c r="AS76" i="21"/>
  <c r="AS77" i="21"/>
  <c r="AS78" i="21"/>
  <c r="AS79" i="21"/>
  <c r="AS80" i="21"/>
  <c r="AS81" i="21"/>
  <c r="AS82" i="21"/>
  <c r="AS83" i="21"/>
  <c r="AS84" i="21"/>
  <c r="AS85" i="21"/>
  <c r="AS86" i="21"/>
  <c r="AS87" i="21"/>
  <c r="AS88" i="21"/>
  <c r="AS89" i="21"/>
  <c r="AS90" i="21"/>
  <c r="AS91" i="21"/>
  <c r="AS92" i="21"/>
  <c r="AS93" i="21"/>
  <c r="AS94" i="21"/>
  <c r="AS95" i="21"/>
  <c r="AS96" i="21"/>
  <c r="AS97" i="21"/>
  <c r="AS98" i="21"/>
  <c r="AS99" i="21"/>
  <c r="AS100" i="21"/>
  <c r="AS101" i="21"/>
  <c r="AS102" i="21"/>
  <c r="AS103" i="21"/>
  <c r="AS104" i="21"/>
  <c r="AS105" i="21"/>
  <c r="AS106" i="21"/>
  <c r="AS107" i="21"/>
  <c r="AS108" i="21"/>
  <c r="AS109" i="21"/>
  <c r="AS110" i="21"/>
  <c r="AS111" i="21"/>
  <c r="AS112" i="21"/>
  <c r="AS113" i="21"/>
  <c r="AS114" i="21"/>
  <c r="AS115" i="21"/>
  <c r="AS116" i="21"/>
  <c r="AS117" i="21"/>
  <c r="AS118" i="21"/>
  <c r="AS119" i="21"/>
  <c r="AS120" i="21"/>
  <c r="AS121" i="21"/>
  <c r="AS122" i="21"/>
  <c r="AS123" i="21"/>
  <c r="AS124" i="21"/>
  <c r="AS125" i="21"/>
  <c r="AS126" i="21"/>
  <c r="AS127" i="21"/>
  <c r="AS128" i="21"/>
  <c r="AS129" i="21"/>
  <c r="AS130" i="21"/>
  <c r="AS131" i="21"/>
  <c r="AS132" i="21"/>
  <c r="AS133" i="21"/>
  <c r="AS134" i="21"/>
  <c r="AS135" i="21"/>
  <c r="AS136" i="21"/>
  <c r="AS137" i="21"/>
  <c r="AS138" i="21"/>
  <c r="AS139" i="21"/>
  <c r="AS140" i="21"/>
  <c r="AS141" i="21"/>
  <c r="AS142" i="21"/>
  <c r="AS143" i="21"/>
  <c r="AS144" i="21"/>
  <c r="AS145" i="21"/>
  <c r="AS146" i="21"/>
  <c r="AS147" i="21"/>
  <c r="AS148" i="21"/>
  <c r="AS149" i="21"/>
  <c r="AS150" i="21"/>
  <c r="AS151" i="21"/>
  <c r="AS152" i="21"/>
  <c r="AS153" i="21"/>
  <c r="AS154" i="21"/>
  <c r="AS155" i="21"/>
  <c r="AS156" i="21"/>
  <c r="AS157" i="21"/>
  <c r="AS158" i="21"/>
  <c r="AS159" i="21"/>
  <c r="AS160" i="21"/>
  <c r="AS161" i="21"/>
  <c r="AS162" i="21"/>
  <c r="AS163" i="21"/>
  <c r="AS164" i="21"/>
  <c r="AS165" i="21"/>
  <c r="AS166" i="21"/>
  <c r="AS167" i="21"/>
  <c r="AS168" i="21"/>
  <c r="AS169" i="21"/>
  <c r="AS170" i="21"/>
  <c r="AS171" i="21"/>
  <c r="AS172" i="21"/>
  <c r="AS173" i="21"/>
  <c r="AS174" i="21"/>
  <c r="AS175" i="21"/>
  <c r="AS176" i="21"/>
  <c r="AS177" i="21"/>
  <c r="AS178" i="21"/>
  <c r="AS179" i="21"/>
  <c r="AS180" i="21"/>
  <c r="AS181" i="21"/>
  <c r="AS182" i="21"/>
  <c r="AS183" i="21"/>
  <c r="AS184" i="21"/>
  <c r="AS185" i="21"/>
  <c r="AS186" i="21"/>
  <c r="AS187" i="21"/>
  <c r="AS188" i="21"/>
  <c r="AS189" i="21"/>
  <c r="AS190" i="21"/>
  <c r="AS191" i="21"/>
  <c r="AS192" i="21"/>
  <c r="AS193" i="21"/>
  <c r="AS194" i="21"/>
  <c r="AS195" i="21"/>
  <c r="AS196" i="21"/>
  <c r="AS197" i="21"/>
  <c r="AS198" i="21"/>
  <c r="AS199" i="21"/>
  <c r="AS200" i="21"/>
  <c r="AS201" i="21"/>
  <c r="AF4" i="21"/>
  <c r="AF5" i="21"/>
  <c r="AF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F64" i="21"/>
  <c r="AF65" i="21"/>
  <c r="AF66" i="21"/>
  <c r="AF67" i="21"/>
  <c r="AF68" i="21"/>
  <c r="AF69" i="21"/>
  <c r="AF70" i="21"/>
  <c r="AF71" i="21"/>
  <c r="AF72" i="21"/>
  <c r="AF73" i="21"/>
  <c r="AF74" i="21"/>
  <c r="AF75" i="21"/>
  <c r="AF76" i="21"/>
  <c r="AF77" i="21"/>
  <c r="AF78" i="21"/>
  <c r="AF79" i="21"/>
  <c r="AF80" i="21"/>
  <c r="AF81" i="21"/>
  <c r="AF82" i="21"/>
  <c r="AF83" i="21"/>
  <c r="AF84" i="21"/>
  <c r="AF85" i="21"/>
  <c r="AF86" i="21"/>
  <c r="AF87" i="21"/>
  <c r="AF88" i="21"/>
  <c r="AF89" i="21"/>
  <c r="AF90" i="21"/>
  <c r="AF91" i="21"/>
  <c r="AF92" i="21"/>
  <c r="AF93" i="21"/>
  <c r="AF94" i="21"/>
  <c r="AF95" i="21"/>
  <c r="AF96" i="21"/>
  <c r="AF97" i="21"/>
  <c r="AF98" i="21"/>
  <c r="AF99" i="21"/>
  <c r="AF100" i="21"/>
  <c r="AF101" i="21"/>
  <c r="AF102" i="21"/>
  <c r="AF103" i="21"/>
  <c r="AF104" i="21"/>
  <c r="AF105" i="21"/>
  <c r="AF106" i="21"/>
  <c r="AF107" i="21"/>
  <c r="AF108" i="21"/>
  <c r="AF109" i="21"/>
  <c r="AF110" i="21"/>
  <c r="AF111" i="21"/>
  <c r="AF112" i="21"/>
  <c r="AF113" i="21"/>
  <c r="AF114" i="21"/>
  <c r="AF115" i="21"/>
  <c r="AF116" i="21"/>
  <c r="AF117" i="21"/>
  <c r="AF118" i="21"/>
  <c r="AF119" i="21"/>
  <c r="AF120" i="21"/>
  <c r="AF121" i="21"/>
  <c r="AF122" i="21"/>
  <c r="AF123" i="21"/>
  <c r="AF124" i="21"/>
  <c r="AF125" i="21"/>
  <c r="AF126" i="21"/>
  <c r="AF127" i="21"/>
  <c r="AF128" i="21"/>
  <c r="AF129" i="21"/>
  <c r="AF130" i="21"/>
  <c r="AF131" i="21"/>
  <c r="AF132" i="21"/>
  <c r="AF133" i="21"/>
  <c r="AF134" i="21"/>
  <c r="AF135" i="21"/>
  <c r="AF136" i="21"/>
  <c r="AF137" i="21"/>
  <c r="AF138" i="21"/>
  <c r="AF139" i="21"/>
  <c r="AF140" i="21"/>
  <c r="AF141" i="21"/>
  <c r="AF142" i="21"/>
  <c r="AF143" i="21"/>
  <c r="AF144" i="21"/>
  <c r="AF145" i="21"/>
  <c r="AF146" i="21"/>
  <c r="AF147" i="21"/>
  <c r="AF148" i="21"/>
  <c r="AF149" i="21"/>
  <c r="AF150" i="21"/>
  <c r="AF151" i="21"/>
  <c r="AF152" i="21"/>
  <c r="AF153" i="21"/>
  <c r="AF154" i="21"/>
  <c r="AF155" i="21"/>
  <c r="AF156" i="21"/>
  <c r="AF157" i="21"/>
  <c r="AF158" i="21"/>
  <c r="AF159" i="21"/>
  <c r="AF160" i="21"/>
  <c r="AF161" i="21"/>
  <c r="AF162" i="21"/>
  <c r="AF163" i="21"/>
  <c r="AF164" i="21"/>
  <c r="AF165" i="21"/>
  <c r="AF166" i="21"/>
  <c r="AF167" i="21"/>
  <c r="AF168" i="21"/>
  <c r="AF169" i="21"/>
  <c r="AF170" i="21"/>
  <c r="AF171" i="21"/>
  <c r="AF172" i="21"/>
  <c r="AF173" i="21"/>
  <c r="AF174" i="21"/>
  <c r="AF175" i="21"/>
  <c r="AF176" i="21"/>
  <c r="AF177" i="21"/>
  <c r="AF178" i="21"/>
  <c r="AF179" i="21"/>
  <c r="AF180" i="21"/>
  <c r="AF181" i="21"/>
  <c r="AF182" i="21"/>
  <c r="AF183" i="21"/>
  <c r="AF184" i="21"/>
  <c r="AF185" i="21"/>
  <c r="AF186" i="21"/>
  <c r="AF187" i="21"/>
  <c r="AF188" i="21"/>
  <c r="AF189" i="21"/>
  <c r="AF190" i="21"/>
  <c r="AF191" i="21"/>
  <c r="AF192" i="21"/>
  <c r="AF193" i="21"/>
  <c r="AF194" i="21"/>
  <c r="AF195" i="21"/>
  <c r="AF196" i="21"/>
  <c r="AF197" i="21"/>
  <c r="AF198" i="21"/>
  <c r="AF199" i="21"/>
  <c r="AF200" i="21"/>
  <c r="AF201" i="21"/>
  <c r="Y4" i="2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103" i="21"/>
  <c r="Y104" i="21"/>
  <c r="Y105" i="21"/>
  <c r="Y106" i="21"/>
  <c r="Y107" i="21"/>
  <c r="Y108" i="21"/>
  <c r="Y109" i="21"/>
  <c r="Y110" i="21"/>
  <c r="Y111" i="21"/>
  <c r="Y112" i="21"/>
  <c r="Y113" i="21"/>
  <c r="Y114" i="21"/>
  <c r="Y115" i="21"/>
  <c r="Y116" i="21"/>
  <c r="Y117" i="21"/>
  <c r="Y118" i="21"/>
  <c r="Y119" i="21"/>
  <c r="Y120" i="21"/>
  <c r="Y121" i="21"/>
  <c r="Y122" i="21"/>
  <c r="Y123" i="21"/>
  <c r="Y124" i="21"/>
  <c r="Y125" i="21"/>
  <c r="Y126" i="21"/>
  <c r="Y127" i="21"/>
  <c r="Y128" i="21"/>
  <c r="Y129" i="21"/>
  <c r="Y130" i="21"/>
  <c r="Y131" i="21"/>
  <c r="Y132" i="21"/>
  <c r="Y133" i="21"/>
  <c r="Y134" i="21"/>
  <c r="Y135" i="21"/>
  <c r="Y136" i="21"/>
  <c r="Y137" i="21"/>
  <c r="Y138" i="21"/>
  <c r="Y139" i="21"/>
  <c r="Y140" i="21"/>
  <c r="Y141" i="21"/>
  <c r="Y142" i="21"/>
  <c r="Y143" i="21"/>
  <c r="Y144" i="21"/>
  <c r="Y145" i="21"/>
  <c r="Y146" i="21"/>
  <c r="Y147" i="21"/>
  <c r="Y148" i="21"/>
  <c r="Y149" i="21"/>
  <c r="Y150" i="21"/>
  <c r="Y151" i="21"/>
  <c r="Y152" i="21"/>
  <c r="Y153" i="21"/>
  <c r="Y154" i="21"/>
  <c r="Y155" i="21"/>
  <c r="Y156" i="21"/>
  <c r="Y157" i="21"/>
  <c r="Y158" i="21"/>
  <c r="Y159" i="21"/>
  <c r="Y160" i="21"/>
  <c r="Y161" i="21"/>
  <c r="Y162" i="21"/>
  <c r="Y163" i="21"/>
  <c r="Y164" i="21"/>
  <c r="Y165" i="21"/>
  <c r="Y166" i="21"/>
  <c r="Y167" i="21"/>
  <c r="Y168" i="21"/>
  <c r="Y169" i="21"/>
  <c r="Y170" i="21"/>
  <c r="Y171" i="21"/>
  <c r="Y172" i="21"/>
  <c r="Y173" i="21"/>
  <c r="Y174" i="21"/>
  <c r="Y175" i="21"/>
  <c r="Y176" i="21"/>
  <c r="Y177" i="21"/>
  <c r="Y178" i="21"/>
  <c r="Y179" i="21"/>
  <c r="Y180" i="21"/>
  <c r="Y181" i="21"/>
  <c r="Y182" i="21"/>
  <c r="Y183" i="21"/>
  <c r="Y184" i="21"/>
  <c r="Y185" i="21"/>
  <c r="Y186" i="21"/>
  <c r="Y187" i="21"/>
  <c r="Y188" i="21"/>
  <c r="Y189" i="21"/>
  <c r="Y190" i="21"/>
  <c r="Y191" i="21"/>
  <c r="Y192" i="21"/>
  <c r="Y193" i="21"/>
  <c r="Y194" i="21"/>
  <c r="Y195" i="21"/>
  <c r="Y196" i="21"/>
  <c r="Y197" i="21"/>
  <c r="Y198" i="21"/>
  <c r="Y199" i="21"/>
  <c r="Y200" i="21"/>
  <c r="Y201" i="21"/>
  <c r="R4" i="21"/>
  <c r="R5" i="21"/>
  <c r="R6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R105" i="21"/>
  <c r="R106" i="21"/>
  <c r="R107" i="21"/>
  <c r="R108" i="21"/>
  <c r="R109" i="21"/>
  <c r="R110" i="21"/>
  <c r="R111" i="21"/>
  <c r="R112" i="21"/>
  <c r="R113" i="21"/>
  <c r="R114" i="21"/>
  <c r="R115" i="21"/>
  <c r="R116" i="21"/>
  <c r="R117" i="21"/>
  <c r="R118" i="21"/>
  <c r="R119" i="21"/>
  <c r="R120" i="21"/>
  <c r="R121" i="21"/>
  <c r="R122" i="21"/>
  <c r="R123" i="21"/>
  <c r="R124" i="21"/>
  <c r="R125" i="21"/>
  <c r="R126" i="21"/>
  <c r="R127" i="21"/>
  <c r="R128" i="21"/>
  <c r="R129" i="21"/>
  <c r="R130" i="21"/>
  <c r="R131" i="21"/>
  <c r="R132" i="21"/>
  <c r="R133" i="21"/>
  <c r="R134" i="21"/>
  <c r="R135" i="21"/>
  <c r="R136" i="21"/>
  <c r="R137" i="21"/>
  <c r="R138" i="21"/>
  <c r="R139" i="21"/>
  <c r="R140" i="21"/>
  <c r="R141" i="21"/>
  <c r="R142" i="21"/>
  <c r="R143" i="21"/>
  <c r="R144" i="21"/>
  <c r="R145" i="21"/>
  <c r="R146" i="21"/>
  <c r="R147" i="21"/>
  <c r="R148" i="21"/>
  <c r="R149" i="21"/>
  <c r="R150" i="21"/>
  <c r="R151" i="21"/>
  <c r="R152" i="21"/>
  <c r="R153" i="21"/>
  <c r="R154" i="21"/>
  <c r="R155" i="21"/>
  <c r="R156" i="21"/>
  <c r="R157" i="21"/>
  <c r="R158" i="21"/>
  <c r="R159" i="21"/>
  <c r="R160" i="21"/>
  <c r="R161" i="21"/>
  <c r="R162" i="21"/>
  <c r="R163" i="21"/>
  <c r="R164" i="21"/>
  <c r="R165" i="21"/>
  <c r="R166" i="21"/>
  <c r="R167" i="21"/>
  <c r="R168" i="21"/>
  <c r="R169" i="21"/>
  <c r="R170" i="21"/>
  <c r="R171" i="21"/>
  <c r="R172" i="21"/>
  <c r="R173" i="21"/>
  <c r="R174" i="21"/>
  <c r="R175" i="21"/>
  <c r="R176" i="21"/>
  <c r="R177" i="21"/>
  <c r="R178" i="21"/>
  <c r="R179" i="21"/>
  <c r="R180" i="21"/>
  <c r="R181" i="21"/>
  <c r="R182" i="21"/>
  <c r="R183" i="21"/>
  <c r="R184" i="21"/>
  <c r="R185" i="21"/>
  <c r="R186" i="21"/>
  <c r="R187" i="21"/>
  <c r="R188" i="21"/>
  <c r="R189" i="21"/>
  <c r="R190" i="21"/>
  <c r="R191" i="21"/>
  <c r="R192" i="21"/>
  <c r="R193" i="21"/>
  <c r="R194" i="21"/>
  <c r="R195" i="21"/>
  <c r="R196" i="21"/>
  <c r="R197" i="21"/>
  <c r="R198" i="21"/>
  <c r="R199" i="21"/>
  <c r="R200" i="21"/>
  <c r="R201" i="21"/>
  <c r="CH4" i="20"/>
  <c r="CH5" i="20"/>
  <c r="CH6" i="20"/>
  <c r="CH7" i="20"/>
  <c r="CH8" i="20"/>
  <c r="CH9" i="20"/>
  <c r="CH10" i="20"/>
  <c r="CH11" i="20"/>
  <c r="CH12" i="20"/>
  <c r="CH13" i="20"/>
  <c r="CH14" i="20"/>
  <c r="CH15" i="20"/>
  <c r="CH16" i="20"/>
  <c r="CH17" i="20"/>
  <c r="CH18" i="20"/>
  <c r="CH19" i="20"/>
  <c r="CH20" i="20"/>
  <c r="CH21" i="20"/>
  <c r="CH22" i="20"/>
  <c r="CH23" i="20"/>
  <c r="CH24" i="20"/>
  <c r="CH25" i="20"/>
  <c r="CH26" i="20"/>
  <c r="CH27" i="20"/>
  <c r="CH28" i="20"/>
  <c r="CH29" i="20"/>
  <c r="CH30" i="20"/>
  <c r="CH31" i="20"/>
  <c r="CH32" i="20"/>
  <c r="CH33" i="20"/>
  <c r="CH34" i="20"/>
  <c r="CH35" i="20"/>
  <c r="CH36" i="20"/>
  <c r="CH37" i="20"/>
  <c r="CH38" i="20"/>
  <c r="CH39" i="20"/>
  <c r="CH40" i="20"/>
  <c r="CH41" i="20"/>
  <c r="CH42" i="20"/>
  <c r="CH43" i="20"/>
  <c r="CH44" i="20"/>
  <c r="CH45" i="20"/>
  <c r="CH46" i="20"/>
  <c r="CH47" i="20"/>
  <c r="CH48" i="20"/>
  <c r="CH49" i="20"/>
  <c r="CH50" i="20"/>
  <c r="CH51" i="20"/>
  <c r="CH52" i="20"/>
  <c r="CH53" i="20"/>
  <c r="CH54" i="20"/>
  <c r="CH55" i="20"/>
  <c r="CH56" i="20"/>
  <c r="CH57" i="20"/>
  <c r="CH58" i="20"/>
  <c r="CH59" i="20"/>
  <c r="CH60" i="20"/>
  <c r="CH61" i="20"/>
  <c r="CH62" i="20"/>
  <c r="CH63" i="20"/>
  <c r="CH64" i="20"/>
  <c r="CH65" i="20"/>
  <c r="CH66" i="20"/>
  <c r="CH67" i="20"/>
  <c r="CH68" i="20"/>
  <c r="CH69" i="20"/>
  <c r="CH70" i="20"/>
  <c r="CH71" i="20"/>
  <c r="CH72" i="20"/>
  <c r="CH73" i="20"/>
  <c r="CH74" i="20"/>
  <c r="CH75" i="20"/>
  <c r="CH76" i="20"/>
  <c r="CH77" i="20"/>
  <c r="CH78" i="20"/>
  <c r="CH79" i="20"/>
  <c r="CH80" i="20"/>
  <c r="CH81" i="20"/>
  <c r="CH82" i="20"/>
  <c r="CH83" i="20"/>
  <c r="CH84" i="20"/>
  <c r="CH85" i="20"/>
  <c r="CH86" i="20"/>
  <c r="CH87" i="20"/>
  <c r="CH88" i="20"/>
  <c r="CH89" i="20"/>
  <c r="CH90" i="20"/>
  <c r="CH91" i="20"/>
  <c r="CH92" i="20"/>
  <c r="CH93" i="20"/>
  <c r="CH94" i="20"/>
  <c r="CH95" i="20"/>
  <c r="CH96" i="20"/>
  <c r="CH97" i="20"/>
  <c r="CH98" i="20"/>
  <c r="CH99" i="20"/>
  <c r="CH100" i="20"/>
  <c r="CH101" i="20"/>
  <c r="CH102" i="20"/>
  <c r="CH103" i="20"/>
  <c r="CH104" i="20"/>
  <c r="CH105" i="20"/>
  <c r="CH106" i="20"/>
  <c r="CH107" i="20"/>
  <c r="CH108" i="20"/>
  <c r="CH109" i="20"/>
  <c r="CH110" i="20"/>
  <c r="CH111" i="20"/>
  <c r="CH112" i="20"/>
  <c r="CH113" i="20"/>
  <c r="CH114" i="20"/>
  <c r="CH115" i="20"/>
  <c r="CH116" i="20"/>
  <c r="CH117" i="20"/>
  <c r="CH118" i="20"/>
  <c r="CH119" i="20"/>
  <c r="CH120" i="20"/>
  <c r="CH121" i="20"/>
  <c r="CH122" i="20"/>
  <c r="CH123" i="20"/>
  <c r="CH124" i="20"/>
  <c r="CH125" i="20"/>
  <c r="CH126" i="20"/>
  <c r="CH127" i="20"/>
  <c r="CH128" i="20"/>
  <c r="CH129" i="20"/>
  <c r="CH130" i="20"/>
  <c r="CH131" i="20"/>
  <c r="CH132" i="20"/>
  <c r="CH133" i="20"/>
  <c r="CH134" i="20"/>
  <c r="CH135" i="20"/>
  <c r="CH136" i="20"/>
  <c r="CH137" i="20"/>
  <c r="CH138" i="20"/>
  <c r="CH139" i="20"/>
  <c r="CH140" i="20"/>
  <c r="CH141" i="20"/>
  <c r="CH142" i="20"/>
  <c r="CH143" i="20"/>
  <c r="CH144" i="20"/>
  <c r="CH145" i="20"/>
  <c r="CH146" i="20"/>
  <c r="CH147" i="20"/>
  <c r="CH148" i="20"/>
  <c r="CH149" i="20"/>
  <c r="CH150" i="20"/>
  <c r="CH151" i="20"/>
  <c r="CH152" i="20"/>
  <c r="CH153" i="20"/>
  <c r="CH154" i="20"/>
  <c r="CH155" i="20"/>
  <c r="CH156" i="20"/>
  <c r="CH157" i="20"/>
  <c r="CH158" i="20"/>
  <c r="CH159" i="20"/>
  <c r="CH160" i="20"/>
  <c r="CH161" i="20"/>
  <c r="CH162" i="20"/>
  <c r="CH163" i="20"/>
  <c r="CH164" i="20"/>
  <c r="CH165" i="20"/>
  <c r="CH166" i="20"/>
  <c r="CH167" i="20"/>
  <c r="CH168" i="20"/>
  <c r="CH169" i="20"/>
  <c r="CH170" i="20"/>
  <c r="CH171" i="20"/>
  <c r="CH172" i="20"/>
  <c r="CH173" i="20"/>
  <c r="CH174" i="20"/>
  <c r="CH175" i="20"/>
  <c r="CH176" i="20"/>
  <c r="CH177" i="20"/>
  <c r="CH178" i="20"/>
  <c r="CH179" i="20"/>
  <c r="CH180" i="20"/>
  <c r="CH181" i="20"/>
  <c r="CH182" i="20"/>
  <c r="CH183" i="20"/>
  <c r="CH184" i="20"/>
  <c r="CH185" i="20"/>
  <c r="CH186" i="20"/>
  <c r="CH187" i="20"/>
  <c r="CH188" i="20"/>
  <c r="CH189" i="20"/>
  <c r="CH190" i="20"/>
  <c r="CH191" i="20"/>
  <c r="CH192" i="20"/>
  <c r="CH193" i="20"/>
  <c r="CH194" i="20"/>
  <c r="CH195" i="20"/>
  <c r="CH196" i="20"/>
  <c r="CH197" i="20"/>
  <c r="CH198" i="20"/>
  <c r="CH199" i="20"/>
  <c r="CH200" i="20"/>
  <c r="CH201" i="20"/>
  <c r="CA4" i="20"/>
  <c r="CA5" i="20"/>
  <c r="CA6" i="20"/>
  <c r="CA7" i="20"/>
  <c r="CA8" i="20"/>
  <c r="CA9" i="20"/>
  <c r="CA10" i="20"/>
  <c r="CA11" i="20"/>
  <c r="CA12" i="20"/>
  <c r="CA13" i="20"/>
  <c r="CA14" i="20"/>
  <c r="CA15" i="20"/>
  <c r="CA16" i="20"/>
  <c r="CA17" i="20"/>
  <c r="CA18" i="20"/>
  <c r="CA19" i="20"/>
  <c r="CA20" i="20"/>
  <c r="CA21" i="20"/>
  <c r="CA22" i="20"/>
  <c r="CA23" i="20"/>
  <c r="CA24" i="20"/>
  <c r="CA25" i="20"/>
  <c r="CA26" i="20"/>
  <c r="CA27" i="20"/>
  <c r="CA28" i="20"/>
  <c r="CA29" i="20"/>
  <c r="CA30" i="20"/>
  <c r="CA31" i="20"/>
  <c r="CA32" i="20"/>
  <c r="CA33" i="20"/>
  <c r="CA34" i="20"/>
  <c r="CA35" i="20"/>
  <c r="CA36" i="20"/>
  <c r="CA37" i="20"/>
  <c r="CA38" i="20"/>
  <c r="CA39" i="20"/>
  <c r="CA40" i="20"/>
  <c r="CA41" i="20"/>
  <c r="CA42" i="20"/>
  <c r="CA43" i="20"/>
  <c r="CA44" i="20"/>
  <c r="CA45" i="20"/>
  <c r="CA46" i="20"/>
  <c r="CA47" i="20"/>
  <c r="CA48" i="20"/>
  <c r="CA49" i="20"/>
  <c r="CA50" i="20"/>
  <c r="CA51" i="20"/>
  <c r="CA52" i="20"/>
  <c r="CA53" i="20"/>
  <c r="CA54" i="20"/>
  <c r="CA55" i="20"/>
  <c r="CA56" i="20"/>
  <c r="CA57" i="20"/>
  <c r="CA58" i="20"/>
  <c r="CA59" i="20"/>
  <c r="CA60" i="20"/>
  <c r="CA61" i="20"/>
  <c r="CA62" i="20"/>
  <c r="CA63" i="20"/>
  <c r="CA64" i="20"/>
  <c r="CA65" i="20"/>
  <c r="CA66" i="20"/>
  <c r="CA67" i="20"/>
  <c r="CA68" i="20"/>
  <c r="CA69" i="20"/>
  <c r="CA70" i="20"/>
  <c r="CA71" i="20"/>
  <c r="CA72" i="20"/>
  <c r="CA73" i="20"/>
  <c r="CA74" i="20"/>
  <c r="CA75" i="20"/>
  <c r="CA76" i="20"/>
  <c r="CA77" i="20"/>
  <c r="CA78" i="20"/>
  <c r="CA79" i="20"/>
  <c r="CA80" i="20"/>
  <c r="CA81" i="20"/>
  <c r="CA82" i="20"/>
  <c r="CA83" i="20"/>
  <c r="CA84" i="20"/>
  <c r="CA85" i="20"/>
  <c r="CA86" i="20"/>
  <c r="CA87" i="20"/>
  <c r="CA88" i="20"/>
  <c r="CA89" i="20"/>
  <c r="CA90" i="20"/>
  <c r="CA91" i="20"/>
  <c r="CA92" i="20"/>
  <c r="CA93" i="20"/>
  <c r="CA94" i="20"/>
  <c r="CA95" i="20"/>
  <c r="CA96" i="20"/>
  <c r="CA97" i="20"/>
  <c r="CA98" i="20"/>
  <c r="CA99" i="20"/>
  <c r="CA100" i="20"/>
  <c r="CA101" i="20"/>
  <c r="CA102" i="20"/>
  <c r="CA103" i="20"/>
  <c r="CA104" i="20"/>
  <c r="CA105" i="20"/>
  <c r="CA106" i="20"/>
  <c r="CA107" i="20"/>
  <c r="CA108" i="20"/>
  <c r="CA109" i="20"/>
  <c r="CA110" i="20"/>
  <c r="CA111" i="20"/>
  <c r="CA112" i="20"/>
  <c r="CA113" i="20"/>
  <c r="CA114" i="20"/>
  <c r="CA115" i="20"/>
  <c r="CA116" i="20"/>
  <c r="CA117" i="20"/>
  <c r="CA118" i="20"/>
  <c r="CA119" i="20"/>
  <c r="CA120" i="20"/>
  <c r="CA121" i="20"/>
  <c r="CA122" i="20"/>
  <c r="CA123" i="20"/>
  <c r="CA124" i="20"/>
  <c r="CA125" i="20"/>
  <c r="CA126" i="20"/>
  <c r="CA127" i="20"/>
  <c r="CA128" i="20"/>
  <c r="CA129" i="20"/>
  <c r="CA130" i="20"/>
  <c r="CA131" i="20"/>
  <c r="CA132" i="20"/>
  <c r="CA133" i="20"/>
  <c r="CA134" i="20"/>
  <c r="CA135" i="20"/>
  <c r="CA136" i="20"/>
  <c r="CA137" i="20"/>
  <c r="CA138" i="20"/>
  <c r="CA139" i="20"/>
  <c r="CA140" i="20"/>
  <c r="CA141" i="20"/>
  <c r="CA142" i="20"/>
  <c r="CA143" i="20"/>
  <c r="CA144" i="20"/>
  <c r="CA145" i="20"/>
  <c r="CA146" i="20"/>
  <c r="CA147" i="20"/>
  <c r="CA148" i="20"/>
  <c r="CA149" i="20"/>
  <c r="CA150" i="20"/>
  <c r="CA151" i="20"/>
  <c r="CA152" i="20"/>
  <c r="CA153" i="20"/>
  <c r="CA154" i="20"/>
  <c r="CA155" i="20"/>
  <c r="CA156" i="20"/>
  <c r="CA157" i="20"/>
  <c r="CA158" i="20"/>
  <c r="CA159" i="20"/>
  <c r="CA160" i="20"/>
  <c r="CA161" i="20"/>
  <c r="CA162" i="20"/>
  <c r="CA163" i="20"/>
  <c r="CA164" i="20"/>
  <c r="CA165" i="20"/>
  <c r="CA166" i="20"/>
  <c r="CA167" i="20"/>
  <c r="CA168" i="20"/>
  <c r="CA169" i="20"/>
  <c r="CA170" i="20"/>
  <c r="CA171" i="20"/>
  <c r="CA172" i="20"/>
  <c r="CA173" i="20"/>
  <c r="CA174" i="20"/>
  <c r="CA175" i="20"/>
  <c r="CA176" i="20"/>
  <c r="CA177" i="20"/>
  <c r="CA178" i="20"/>
  <c r="CA179" i="20"/>
  <c r="CA180" i="20"/>
  <c r="CA181" i="20"/>
  <c r="CA182" i="20"/>
  <c r="CA183" i="20"/>
  <c r="CA184" i="20"/>
  <c r="CA185" i="20"/>
  <c r="CA186" i="20"/>
  <c r="CA187" i="20"/>
  <c r="CA188" i="20"/>
  <c r="CA189" i="20"/>
  <c r="CA190" i="20"/>
  <c r="CA191" i="20"/>
  <c r="CA192" i="20"/>
  <c r="CA193" i="20"/>
  <c r="CA194" i="20"/>
  <c r="CA195" i="20"/>
  <c r="CA196" i="20"/>
  <c r="CA197" i="20"/>
  <c r="CA198" i="20"/>
  <c r="CA199" i="20"/>
  <c r="CA200" i="20"/>
  <c r="CA201" i="20"/>
  <c r="BT4" i="20"/>
  <c r="BT5" i="20"/>
  <c r="BT6" i="20"/>
  <c r="BT7" i="20"/>
  <c r="BT8" i="20"/>
  <c r="BT9" i="20"/>
  <c r="BT10" i="20"/>
  <c r="BT11" i="20"/>
  <c r="BT12" i="20"/>
  <c r="BT13" i="20"/>
  <c r="BT14" i="20"/>
  <c r="BT15" i="20"/>
  <c r="BT16" i="20"/>
  <c r="BT17" i="20"/>
  <c r="BT18" i="20"/>
  <c r="BT19" i="20"/>
  <c r="BT20" i="20"/>
  <c r="BT21" i="20"/>
  <c r="BT22" i="20"/>
  <c r="BT23" i="20"/>
  <c r="BT24" i="20"/>
  <c r="BT25" i="20"/>
  <c r="BT26" i="20"/>
  <c r="BT27" i="20"/>
  <c r="BT28" i="20"/>
  <c r="BT29" i="20"/>
  <c r="BT30" i="20"/>
  <c r="BT31" i="20"/>
  <c r="BT32" i="20"/>
  <c r="BT33" i="20"/>
  <c r="BT34" i="20"/>
  <c r="BT35" i="20"/>
  <c r="BT36" i="20"/>
  <c r="BT37" i="20"/>
  <c r="BT38" i="20"/>
  <c r="BT39" i="20"/>
  <c r="BT40" i="20"/>
  <c r="BT41" i="20"/>
  <c r="BT42" i="20"/>
  <c r="BT43" i="20"/>
  <c r="BT44" i="20"/>
  <c r="BT45" i="20"/>
  <c r="BT46" i="20"/>
  <c r="BT47" i="20"/>
  <c r="BT48" i="20"/>
  <c r="BT49" i="20"/>
  <c r="BT50" i="20"/>
  <c r="BT51" i="20"/>
  <c r="BT52" i="20"/>
  <c r="BT53" i="20"/>
  <c r="BT54" i="20"/>
  <c r="BT55" i="20"/>
  <c r="BT56" i="20"/>
  <c r="BT57" i="20"/>
  <c r="BT58" i="20"/>
  <c r="BT59" i="20"/>
  <c r="BT60" i="20"/>
  <c r="BT61" i="20"/>
  <c r="BT62" i="20"/>
  <c r="BT63" i="20"/>
  <c r="BT64" i="20"/>
  <c r="BT65" i="20"/>
  <c r="BT66" i="20"/>
  <c r="BT67" i="20"/>
  <c r="BT68" i="20"/>
  <c r="BT69" i="20"/>
  <c r="BT70" i="20"/>
  <c r="BT71" i="20"/>
  <c r="BT72" i="20"/>
  <c r="BT73" i="20"/>
  <c r="BT74" i="20"/>
  <c r="BT75" i="20"/>
  <c r="BT76" i="20"/>
  <c r="BT77" i="20"/>
  <c r="BT78" i="20"/>
  <c r="BT79" i="20"/>
  <c r="BT80" i="20"/>
  <c r="BT81" i="20"/>
  <c r="BT82" i="20"/>
  <c r="BT83" i="20"/>
  <c r="BT84" i="20"/>
  <c r="BT85" i="20"/>
  <c r="BT86" i="20"/>
  <c r="BT87" i="20"/>
  <c r="BT88" i="20"/>
  <c r="BT89" i="20"/>
  <c r="BT90" i="20"/>
  <c r="BT91" i="20"/>
  <c r="BT92" i="20"/>
  <c r="BT93" i="20"/>
  <c r="BT94" i="20"/>
  <c r="BT95" i="20"/>
  <c r="BT96" i="20"/>
  <c r="BT97" i="20"/>
  <c r="BT98" i="20"/>
  <c r="BT99" i="20"/>
  <c r="BT100" i="20"/>
  <c r="BT101" i="20"/>
  <c r="BT102" i="20"/>
  <c r="BT103" i="20"/>
  <c r="BT104" i="20"/>
  <c r="BT105" i="20"/>
  <c r="BT106" i="20"/>
  <c r="BT107" i="20"/>
  <c r="BT108" i="20"/>
  <c r="BT109" i="20"/>
  <c r="BT110" i="20"/>
  <c r="BT111" i="20"/>
  <c r="BT112" i="20"/>
  <c r="BT113" i="20"/>
  <c r="BT114" i="20"/>
  <c r="BT115" i="20"/>
  <c r="BT116" i="20"/>
  <c r="BT117" i="20"/>
  <c r="BT118" i="20"/>
  <c r="BT119" i="20"/>
  <c r="BT120" i="20"/>
  <c r="BT121" i="20"/>
  <c r="BT122" i="20"/>
  <c r="BT123" i="20"/>
  <c r="BT124" i="20"/>
  <c r="BT125" i="20"/>
  <c r="BT126" i="20"/>
  <c r="BT127" i="20"/>
  <c r="BT128" i="20"/>
  <c r="BT129" i="20"/>
  <c r="BT130" i="20"/>
  <c r="BT131" i="20"/>
  <c r="BT132" i="20"/>
  <c r="BT133" i="20"/>
  <c r="BT134" i="20"/>
  <c r="BT135" i="20"/>
  <c r="BT136" i="20"/>
  <c r="BT137" i="20"/>
  <c r="BT138" i="20"/>
  <c r="BT139" i="20"/>
  <c r="BT140" i="20"/>
  <c r="BT141" i="20"/>
  <c r="BT142" i="20"/>
  <c r="BT143" i="20"/>
  <c r="BT144" i="20"/>
  <c r="BT145" i="20"/>
  <c r="BT146" i="20"/>
  <c r="BT147" i="20"/>
  <c r="BT148" i="20"/>
  <c r="BT149" i="20"/>
  <c r="BT150" i="20"/>
  <c r="BT151" i="20"/>
  <c r="BT152" i="20"/>
  <c r="BT153" i="20"/>
  <c r="BT154" i="20"/>
  <c r="BT155" i="20"/>
  <c r="BT156" i="20"/>
  <c r="BT157" i="20"/>
  <c r="BT158" i="20"/>
  <c r="BT159" i="20"/>
  <c r="BT160" i="20"/>
  <c r="BT161" i="20"/>
  <c r="BT162" i="20"/>
  <c r="BT163" i="20"/>
  <c r="BT164" i="20"/>
  <c r="BT165" i="20"/>
  <c r="BT166" i="20"/>
  <c r="BT167" i="20"/>
  <c r="BT168" i="20"/>
  <c r="BT169" i="20"/>
  <c r="BT170" i="20"/>
  <c r="BT171" i="20"/>
  <c r="BT172" i="20"/>
  <c r="BT173" i="20"/>
  <c r="BT174" i="20"/>
  <c r="BT175" i="20"/>
  <c r="BT176" i="20"/>
  <c r="BT177" i="20"/>
  <c r="BT178" i="20"/>
  <c r="BT179" i="20"/>
  <c r="BT180" i="20"/>
  <c r="BT181" i="20"/>
  <c r="BT182" i="20"/>
  <c r="BT183" i="20"/>
  <c r="BT184" i="20"/>
  <c r="BT185" i="20"/>
  <c r="BT186" i="20"/>
  <c r="BT187" i="20"/>
  <c r="BT188" i="20"/>
  <c r="BT189" i="20"/>
  <c r="BT190" i="20"/>
  <c r="BT191" i="20"/>
  <c r="BT192" i="20"/>
  <c r="BT193" i="20"/>
  <c r="BT194" i="20"/>
  <c r="BT195" i="20"/>
  <c r="BT196" i="20"/>
  <c r="BT197" i="20"/>
  <c r="BT198" i="20"/>
  <c r="BT199" i="20"/>
  <c r="BT200" i="20"/>
  <c r="BT201" i="20"/>
  <c r="BG4" i="20"/>
  <c r="BG5" i="20"/>
  <c r="BG6" i="20"/>
  <c r="BG7" i="20"/>
  <c r="BG8" i="20"/>
  <c r="BG9" i="20"/>
  <c r="BG10" i="20"/>
  <c r="BG11" i="20"/>
  <c r="BG12" i="20"/>
  <c r="BG13" i="20"/>
  <c r="BG14" i="20"/>
  <c r="BG15" i="20"/>
  <c r="BG16" i="20"/>
  <c r="BG17" i="20"/>
  <c r="BG18" i="20"/>
  <c r="BG19" i="20"/>
  <c r="BG20" i="20"/>
  <c r="BG21" i="20"/>
  <c r="BG22" i="20"/>
  <c r="BG23" i="20"/>
  <c r="BG24" i="20"/>
  <c r="BG25" i="20"/>
  <c r="BG26" i="20"/>
  <c r="BG27" i="20"/>
  <c r="BG28" i="20"/>
  <c r="BG29" i="20"/>
  <c r="BG30" i="20"/>
  <c r="BG31" i="20"/>
  <c r="BG32" i="20"/>
  <c r="BG33" i="20"/>
  <c r="BG34" i="20"/>
  <c r="BG35" i="20"/>
  <c r="BG36" i="20"/>
  <c r="BG37" i="20"/>
  <c r="BG38" i="20"/>
  <c r="BG39" i="20"/>
  <c r="BG40" i="20"/>
  <c r="BG41" i="20"/>
  <c r="BG42" i="20"/>
  <c r="BG43" i="20"/>
  <c r="BG44" i="20"/>
  <c r="BG45" i="20"/>
  <c r="BG46" i="20"/>
  <c r="BG47" i="20"/>
  <c r="BG48" i="20"/>
  <c r="BG49" i="20"/>
  <c r="BG50" i="20"/>
  <c r="BG51" i="20"/>
  <c r="BG52" i="20"/>
  <c r="BG53" i="20"/>
  <c r="BG54" i="20"/>
  <c r="BG55" i="20"/>
  <c r="BG56" i="20"/>
  <c r="BG57" i="20"/>
  <c r="BG58" i="20"/>
  <c r="BG59" i="20"/>
  <c r="BG60" i="20"/>
  <c r="BG61" i="20"/>
  <c r="BG62" i="20"/>
  <c r="BG63" i="20"/>
  <c r="BG64" i="20"/>
  <c r="BG65" i="20"/>
  <c r="BG66" i="20"/>
  <c r="BG67" i="20"/>
  <c r="BG68" i="20"/>
  <c r="BG69" i="20"/>
  <c r="BG70" i="20"/>
  <c r="BG71" i="20"/>
  <c r="BG72" i="20"/>
  <c r="BG73" i="20"/>
  <c r="BG74" i="20"/>
  <c r="BG75" i="20"/>
  <c r="BG76" i="20"/>
  <c r="BG77" i="20"/>
  <c r="BG78" i="20"/>
  <c r="BG79" i="20"/>
  <c r="BG80" i="20"/>
  <c r="BG81" i="20"/>
  <c r="BG82" i="20"/>
  <c r="BG83" i="20"/>
  <c r="BG84" i="20"/>
  <c r="BG85" i="20"/>
  <c r="BG86" i="20"/>
  <c r="BG87" i="20"/>
  <c r="BG88" i="20"/>
  <c r="BG89" i="20"/>
  <c r="BG90" i="20"/>
  <c r="BG91" i="20"/>
  <c r="BG92" i="20"/>
  <c r="BG93" i="20"/>
  <c r="BG94" i="20"/>
  <c r="BG95" i="20"/>
  <c r="BG96" i="20"/>
  <c r="BG97" i="20"/>
  <c r="BG98" i="20"/>
  <c r="BG99" i="20"/>
  <c r="BG100" i="20"/>
  <c r="BG101" i="20"/>
  <c r="BG102" i="20"/>
  <c r="BG103" i="20"/>
  <c r="BG104" i="20"/>
  <c r="BG105" i="20"/>
  <c r="BG106" i="20"/>
  <c r="BG107" i="20"/>
  <c r="BG108" i="20"/>
  <c r="BG109" i="20"/>
  <c r="BG110" i="20"/>
  <c r="BG111" i="20"/>
  <c r="BG112" i="20"/>
  <c r="BG113" i="20"/>
  <c r="BG114" i="20"/>
  <c r="BG115" i="20"/>
  <c r="BG116" i="20"/>
  <c r="BG117" i="20"/>
  <c r="BG118" i="20"/>
  <c r="BG119" i="20"/>
  <c r="BG120" i="20"/>
  <c r="BG121" i="20"/>
  <c r="BG122" i="20"/>
  <c r="BG123" i="20"/>
  <c r="BG124" i="20"/>
  <c r="BG125" i="20"/>
  <c r="BG126" i="20"/>
  <c r="BG127" i="20"/>
  <c r="BG128" i="20"/>
  <c r="BG129" i="20"/>
  <c r="BG130" i="20"/>
  <c r="BG131" i="20"/>
  <c r="BG132" i="20"/>
  <c r="BG133" i="20"/>
  <c r="BG134" i="20"/>
  <c r="BG135" i="20"/>
  <c r="BG136" i="20"/>
  <c r="BG137" i="20"/>
  <c r="BG138" i="20"/>
  <c r="BG139" i="20"/>
  <c r="BG140" i="20"/>
  <c r="BG141" i="20"/>
  <c r="BG142" i="20"/>
  <c r="BG143" i="20"/>
  <c r="BG144" i="20"/>
  <c r="BG145" i="20"/>
  <c r="BG146" i="20"/>
  <c r="BG147" i="20"/>
  <c r="BG148" i="20"/>
  <c r="BG149" i="20"/>
  <c r="BG150" i="20"/>
  <c r="BG151" i="20"/>
  <c r="BG152" i="20"/>
  <c r="BG153" i="20"/>
  <c r="BG154" i="20"/>
  <c r="BG155" i="20"/>
  <c r="BG156" i="20"/>
  <c r="BG157" i="20"/>
  <c r="BG158" i="20"/>
  <c r="BG159" i="20"/>
  <c r="BG160" i="20"/>
  <c r="BG161" i="20"/>
  <c r="BG162" i="20"/>
  <c r="BG163" i="20"/>
  <c r="BG164" i="20"/>
  <c r="BG165" i="20"/>
  <c r="BG166" i="20"/>
  <c r="BG167" i="20"/>
  <c r="BG168" i="20"/>
  <c r="BG169" i="20"/>
  <c r="BG170" i="20"/>
  <c r="BG171" i="20"/>
  <c r="BG172" i="20"/>
  <c r="BG173" i="20"/>
  <c r="BG174" i="20"/>
  <c r="BG175" i="20"/>
  <c r="BG176" i="20"/>
  <c r="BG177" i="20"/>
  <c r="BG178" i="20"/>
  <c r="BG179" i="20"/>
  <c r="BG180" i="20"/>
  <c r="BG181" i="20"/>
  <c r="BG182" i="20"/>
  <c r="BG183" i="20"/>
  <c r="BG184" i="20"/>
  <c r="BG185" i="20"/>
  <c r="BG186" i="20"/>
  <c r="BG187" i="20"/>
  <c r="BG188" i="20"/>
  <c r="BG189" i="20"/>
  <c r="BG190" i="20"/>
  <c r="BG191" i="20"/>
  <c r="BG192" i="20"/>
  <c r="BG193" i="20"/>
  <c r="BG194" i="20"/>
  <c r="BG195" i="20"/>
  <c r="BG196" i="20"/>
  <c r="BG197" i="20"/>
  <c r="BG198" i="20"/>
  <c r="BG199" i="20"/>
  <c r="BG200" i="20"/>
  <c r="BG201" i="20"/>
  <c r="AZ4" i="20"/>
  <c r="AZ5" i="20"/>
  <c r="AZ6" i="20"/>
  <c r="AZ7" i="20"/>
  <c r="AZ8" i="20"/>
  <c r="AZ9" i="20"/>
  <c r="AZ10" i="20"/>
  <c r="AZ11" i="20"/>
  <c r="AZ12" i="20"/>
  <c r="AZ13" i="20"/>
  <c r="AZ14" i="20"/>
  <c r="AZ15" i="20"/>
  <c r="AZ16" i="20"/>
  <c r="AZ17" i="20"/>
  <c r="AZ18" i="20"/>
  <c r="AZ19" i="20"/>
  <c r="AZ20" i="20"/>
  <c r="AZ21" i="20"/>
  <c r="AZ22" i="20"/>
  <c r="AZ23" i="20"/>
  <c r="AZ24" i="20"/>
  <c r="AZ25" i="20"/>
  <c r="AZ26" i="20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39" i="20"/>
  <c r="AZ40" i="20"/>
  <c r="AZ41" i="20"/>
  <c r="AZ42" i="20"/>
  <c r="AZ43" i="20"/>
  <c r="AZ44" i="20"/>
  <c r="AZ45" i="20"/>
  <c r="AZ46" i="20"/>
  <c r="AZ47" i="20"/>
  <c r="AZ48" i="20"/>
  <c r="AZ49" i="20"/>
  <c r="AZ50" i="20"/>
  <c r="AZ51" i="20"/>
  <c r="AZ52" i="20"/>
  <c r="AZ53" i="20"/>
  <c r="AZ54" i="20"/>
  <c r="AZ55" i="20"/>
  <c r="AZ56" i="20"/>
  <c r="AZ57" i="20"/>
  <c r="AZ58" i="20"/>
  <c r="AZ59" i="20"/>
  <c r="AZ60" i="20"/>
  <c r="AZ61" i="20"/>
  <c r="AZ62" i="20"/>
  <c r="AZ63" i="20"/>
  <c r="AZ64" i="20"/>
  <c r="AZ65" i="20"/>
  <c r="AZ66" i="20"/>
  <c r="AZ67" i="20"/>
  <c r="AZ68" i="20"/>
  <c r="AZ69" i="20"/>
  <c r="AZ70" i="20"/>
  <c r="AZ71" i="20"/>
  <c r="AZ72" i="20"/>
  <c r="AZ73" i="20"/>
  <c r="AZ74" i="20"/>
  <c r="AZ75" i="20"/>
  <c r="AZ76" i="20"/>
  <c r="AZ77" i="20"/>
  <c r="AZ78" i="20"/>
  <c r="AZ79" i="20"/>
  <c r="AZ80" i="20"/>
  <c r="AZ81" i="20"/>
  <c r="AZ82" i="20"/>
  <c r="AZ83" i="20"/>
  <c r="AZ84" i="20"/>
  <c r="AZ85" i="20"/>
  <c r="AZ86" i="20"/>
  <c r="AZ87" i="20"/>
  <c r="AZ88" i="20"/>
  <c r="AZ89" i="20"/>
  <c r="AZ90" i="20"/>
  <c r="AZ91" i="20"/>
  <c r="AZ92" i="20"/>
  <c r="AZ93" i="20"/>
  <c r="AZ94" i="20"/>
  <c r="AZ95" i="20"/>
  <c r="AZ96" i="20"/>
  <c r="AZ97" i="20"/>
  <c r="AZ98" i="20"/>
  <c r="AZ99" i="20"/>
  <c r="AZ100" i="20"/>
  <c r="AZ101" i="20"/>
  <c r="AZ102" i="20"/>
  <c r="AZ103" i="20"/>
  <c r="AZ104" i="20"/>
  <c r="AZ105" i="20"/>
  <c r="AZ106" i="20"/>
  <c r="AZ107" i="20"/>
  <c r="AZ108" i="20"/>
  <c r="AZ109" i="20"/>
  <c r="AZ110" i="20"/>
  <c r="AZ111" i="20"/>
  <c r="AZ112" i="20"/>
  <c r="AZ113" i="20"/>
  <c r="AZ114" i="20"/>
  <c r="AZ115" i="20"/>
  <c r="AZ116" i="20"/>
  <c r="AZ117" i="20"/>
  <c r="AZ118" i="20"/>
  <c r="AZ119" i="20"/>
  <c r="AZ120" i="20"/>
  <c r="AZ121" i="20"/>
  <c r="AZ122" i="20"/>
  <c r="AZ123" i="20"/>
  <c r="AZ124" i="20"/>
  <c r="AZ125" i="20"/>
  <c r="AZ126" i="20"/>
  <c r="AZ127" i="20"/>
  <c r="AZ128" i="20"/>
  <c r="AZ129" i="20"/>
  <c r="AZ130" i="20"/>
  <c r="AZ131" i="20"/>
  <c r="AZ132" i="20"/>
  <c r="AZ133" i="20"/>
  <c r="AZ134" i="20"/>
  <c r="AZ135" i="20"/>
  <c r="AZ136" i="20"/>
  <c r="AZ137" i="20"/>
  <c r="AZ138" i="20"/>
  <c r="AZ139" i="20"/>
  <c r="AZ140" i="20"/>
  <c r="AZ141" i="20"/>
  <c r="AZ142" i="20"/>
  <c r="AZ143" i="20"/>
  <c r="AZ144" i="20"/>
  <c r="AZ145" i="20"/>
  <c r="AZ146" i="20"/>
  <c r="AZ147" i="20"/>
  <c r="AZ148" i="20"/>
  <c r="AZ149" i="20"/>
  <c r="AZ150" i="20"/>
  <c r="AZ151" i="20"/>
  <c r="AZ152" i="20"/>
  <c r="AZ153" i="20"/>
  <c r="AZ154" i="20"/>
  <c r="AZ155" i="20"/>
  <c r="AZ156" i="20"/>
  <c r="AZ157" i="20"/>
  <c r="AZ158" i="20"/>
  <c r="AZ159" i="20"/>
  <c r="AZ160" i="20"/>
  <c r="AZ161" i="20"/>
  <c r="AZ162" i="20"/>
  <c r="AZ163" i="20"/>
  <c r="AZ164" i="20"/>
  <c r="AZ165" i="20"/>
  <c r="AZ166" i="20"/>
  <c r="AZ167" i="20"/>
  <c r="AZ168" i="20"/>
  <c r="AZ169" i="20"/>
  <c r="AZ170" i="20"/>
  <c r="AZ171" i="20"/>
  <c r="AZ172" i="20"/>
  <c r="AZ173" i="20"/>
  <c r="AZ174" i="20"/>
  <c r="AZ175" i="20"/>
  <c r="AZ176" i="20"/>
  <c r="AZ177" i="20"/>
  <c r="AZ178" i="20"/>
  <c r="AZ179" i="20"/>
  <c r="AZ180" i="20"/>
  <c r="AZ181" i="20"/>
  <c r="AZ182" i="20"/>
  <c r="AZ183" i="20"/>
  <c r="AZ184" i="20"/>
  <c r="AZ185" i="20"/>
  <c r="AZ186" i="20"/>
  <c r="AZ187" i="20"/>
  <c r="AZ188" i="20"/>
  <c r="AZ189" i="20"/>
  <c r="AZ190" i="20"/>
  <c r="AZ191" i="20"/>
  <c r="AZ192" i="20"/>
  <c r="AZ193" i="20"/>
  <c r="AZ194" i="20"/>
  <c r="AZ195" i="20"/>
  <c r="AZ196" i="20"/>
  <c r="AZ197" i="20"/>
  <c r="AZ198" i="20"/>
  <c r="AZ199" i="20"/>
  <c r="AZ200" i="20"/>
  <c r="AZ201" i="20"/>
  <c r="AS4" i="20"/>
  <c r="AS5" i="20"/>
  <c r="AS6" i="20"/>
  <c r="AS7" i="20"/>
  <c r="AS8" i="20"/>
  <c r="AS9" i="20"/>
  <c r="AS10" i="20"/>
  <c r="AS11" i="20"/>
  <c r="AS12" i="20"/>
  <c r="AS13" i="20"/>
  <c r="AS14" i="20"/>
  <c r="AS15" i="20"/>
  <c r="AS16" i="20"/>
  <c r="AS17" i="20"/>
  <c r="AS18" i="20"/>
  <c r="AS19" i="20"/>
  <c r="AS20" i="20"/>
  <c r="AS21" i="20"/>
  <c r="AS22" i="20"/>
  <c r="AS23" i="20"/>
  <c r="AS24" i="20"/>
  <c r="AS25" i="20"/>
  <c r="AS26" i="20"/>
  <c r="AS27" i="20"/>
  <c r="AS28" i="20"/>
  <c r="AS29" i="20"/>
  <c r="AS30" i="20"/>
  <c r="AS31" i="20"/>
  <c r="AS32" i="20"/>
  <c r="AS33" i="20"/>
  <c r="AS34" i="20"/>
  <c r="AS35" i="20"/>
  <c r="AS36" i="20"/>
  <c r="AS37" i="20"/>
  <c r="AS38" i="20"/>
  <c r="AS39" i="20"/>
  <c r="AS40" i="20"/>
  <c r="AS41" i="20"/>
  <c r="AS42" i="20"/>
  <c r="AS43" i="20"/>
  <c r="AS44" i="20"/>
  <c r="AS45" i="20"/>
  <c r="AS46" i="20"/>
  <c r="AS47" i="20"/>
  <c r="AS48" i="20"/>
  <c r="AS49" i="20"/>
  <c r="AS50" i="20"/>
  <c r="AS51" i="20"/>
  <c r="AS52" i="20"/>
  <c r="AS53" i="20"/>
  <c r="AS54" i="20"/>
  <c r="AS55" i="20"/>
  <c r="AS56" i="20"/>
  <c r="AS57" i="20"/>
  <c r="AS58" i="20"/>
  <c r="AS59" i="20"/>
  <c r="AS60" i="20"/>
  <c r="AS61" i="20"/>
  <c r="AS62" i="20"/>
  <c r="AS63" i="20"/>
  <c r="AS64" i="20"/>
  <c r="AS65" i="20"/>
  <c r="AS66" i="20"/>
  <c r="AS67" i="20"/>
  <c r="AS68" i="20"/>
  <c r="AS69" i="20"/>
  <c r="AS70" i="20"/>
  <c r="AS71" i="20"/>
  <c r="AS72" i="20"/>
  <c r="AS73" i="20"/>
  <c r="AS74" i="20"/>
  <c r="AS75" i="20"/>
  <c r="AS76" i="20"/>
  <c r="AS77" i="20"/>
  <c r="AS78" i="20"/>
  <c r="AS79" i="20"/>
  <c r="AS80" i="20"/>
  <c r="AS81" i="20"/>
  <c r="AS82" i="20"/>
  <c r="AS83" i="20"/>
  <c r="AS84" i="20"/>
  <c r="AS85" i="20"/>
  <c r="AS86" i="20"/>
  <c r="AS87" i="20"/>
  <c r="AS88" i="20"/>
  <c r="AS89" i="20"/>
  <c r="AS90" i="20"/>
  <c r="AS91" i="20"/>
  <c r="AS92" i="20"/>
  <c r="AS93" i="20"/>
  <c r="AS94" i="20"/>
  <c r="AS95" i="20"/>
  <c r="AS96" i="20"/>
  <c r="AS97" i="20"/>
  <c r="AS98" i="20"/>
  <c r="AS99" i="20"/>
  <c r="AS100" i="20"/>
  <c r="AS101" i="20"/>
  <c r="AS102" i="20"/>
  <c r="AS103" i="20"/>
  <c r="AS104" i="20"/>
  <c r="AS105" i="20"/>
  <c r="AS106" i="20"/>
  <c r="AS107" i="20"/>
  <c r="AS108" i="20"/>
  <c r="AS109" i="20"/>
  <c r="AS110" i="20"/>
  <c r="AS111" i="20"/>
  <c r="AS112" i="20"/>
  <c r="AS113" i="20"/>
  <c r="AS114" i="20"/>
  <c r="AS115" i="20"/>
  <c r="AS116" i="20"/>
  <c r="AS117" i="20"/>
  <c r="AS118" i="20"/>
  <c r="AS119" i="20"/>
  <c r="AS120" i="20"/>
  <c r="AS121" i="20"/>
  <c r="AS122" i="20"/>
  <c r="AS123" i="20"/>
  <c r="AS124" i="20"/>
  <c r="AS125" i="20"/>
  <c r="AS126" i="20"/>
  <c r="AS127" i="20"/>
  <c r="AS128" i="20"/>
  <c r="AS129" i="20"/>
  <c r="AS130" i="20"/>
  <c r="AS131" i="20"/>
  <c r="AS132" i="20"/>
  <c r="AS133" i="20"/>
  <c r="AS134" i="20"/>
  <c r="AS135" i="20"/>
  <c r="AS136" i="20"/>
  <c r="AS137" i="20"/>
  <c r="AS138" i="20"/>
  <c r="AS139" i="20"/>
  <c r="AS140" i="20"/>
  <c r="AS141" i="20"/>
  <c r="AS142" i="20"/>
  <c r="AS143" i="20"/>
  <c r="AS144" i="20"/>
  <c r="AS145" i="20"/>
  <c r="AS146" i="20"/>
  <c r="AS147" i="20"/>
  <c r="AS148" i="20"/>
  <c r="AS149" i="20"/>
  <c r="AS150" i="20"/>
  <c r="AS151" i="20"/>
  <c r="AS152" i="20"/>
  <c r="AS153" i="20"/>
  <c r="AS154" i="20"/>
  <c r="AS155" i="20"/>
  <c r="AS156" i="20"/>
  <c r="AS157" i="20"/>
  <c r="AS158" i="20"/>
  <c r="AS159" i="20"/>
  <c r="AS160" i="20"/>
  <c r="AS161" i="20"/>
  <c r="AS162" i="20"/>
  <c r="AS163" i="20"/>
  <c r="AS164" i="20"/>
  <c r="AS165" i="20"/>
  <c r="AS166" i="20"/>
  <c r="AS167" i="20"/>
  <c r="AS168" i="20"/>
  <c r="AS169" i="20"/>
  <c r="AS170" i="20"/>
  <c r="AS171" i="20"/>
  <c r="AS172" i="20"/>
  <c r="AS173" i="20"/>
  <c r="AS174" i="20"/>
  <c r="AS175" i="20"/>
  <c r="AS176" i="20"/>
  <c r="AS177" i="20"/>
  <c r="AS178" i="20"/>
  <c r="AS179" i="20"/>
  <c r="AS180" i="20"/>
  <c r="AS181" i="20"/>
  <c r="AS182" i="20"/>
  <c r="AS183" i="20"/>
  <c r="AS184" i="20"/>
  <c r="AS185" i="20"/>
  <c r="AS186" i="20"/>
  <c r="AS187" i="20"/>
  <c r="AS188" i="20"/>
  <c r="AS189" i="20"/>
  <c r="AS190" i="20"/>
  <c r="AS191" i="20"/>
  <c r="AS192" i="20"/>
  <c r="AS193" i="20"/>
  <c r="AS194" i="20"/>
  <c r="AS195" i="20"/>
  <c r="AS196" i="20"/>
  <c r="AS197" i="20"/>
  <c r="AS198" i="20"/>
  <c r="AS199" i="20"/>
  <c r="AS200" i="20"/>
  <c r="AS201" i="20"/>
  <c r="AF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75" i="20"/>
  <c r="AF76" i="20"/>
  <c r="AF77" i="20"/>
  <c r="AF78" i="20"/>
  <c r="AF79" i="20"/>
  <c r="AF80" i="20"/>
  <c r="AF81" i="20"/>
  <c r="AF82" i="20"/>
  <c r="AF83" i="20"/>
  <c r="AF84" i="20"/>
  <c r="AF85" i="20"/>
  <c r="AF86" i="20"/>
  <c r="AF87" i="20"/>
  <c r="AF88" i="20"/>
  <c r="AF89" i="20"/>
  <c r="AF90" i="20"/>
  <c r="AF91" i="20"/>
  <c r="AF92" i="20"/>
  <c r="AF93" i="20"/>
  <c r="AF94" i="20"/>
  <c r="AF95" i="20"/>
  <c r="AF96" i="20"/>
  <c r="AF97" i="20"/>
  <c r="AF98" i="20"/>
  <c r="AF99" i="20"/>
  <c r="AF100" i="20"/>
  <c r="AF101" i="20"/>
  <c r="AF102" i="20"/>
  <c r="AF103" i="20"/>
  <c r="AF104" i="20"/>
  <c r="AF105" i="20"/>
  <c r="AF106" i="20"/>
  <c r="AF107" i="20"/>
  <c r="AF108" i="20"/>
  <c r="AF109" i="20"/>
  <c r="AF110" i="20"/>
  <c r="AF111" i="20"/>
  <c r="AF112" i="20"/>
  <c r="AF113" i="20"/>
  <c r="AF114" i="20"/>
  <c r="AF115" i="20"/>
  <c r="AF116" i="20"/>
  <c r="AF117" i="20"/>
  <c r="AF118" i="20"/>
  <c r="AF119" i="20"/>
  <c r="AF120" i="20"/>
  <c r="AF121" i="20"/>
  <c r="AF122" i="20"/>
  <c r="AF123" i="20"/>
  <c r="AF124" i="20"/>
  <c r="AF125" i="20"/>
  <c r="AF126" i="20"/>
  <c r="AF127" i="20"/>
  <c r="AF128" i="20"/>
  <c r="AF129" i="20"/>
  <c r="AF130" i="20"/>
  <c r="AF131" i="20"/>
  <c r="AF132" i="20"/>
  <c r="AF133" i="20"/>
  <c r="AF134" i="20"/>
  <c r="AF135" i="20"/>
  <c r="AF136" i="20"/>
  <c r="AF137" i="20"/>
  <c r="AF138" i="20"/>
  <c r="AF139" i="20"/>
  <c r="AF140" i="20"/>
  <c r="AF141" i="20"/>
  <c r="AF142" i="20"/>
  <c r="AF143" i="20"/>
  <c r="AF144" i="20"/>
  <c r="AF145" i="20"/>
  <c r="AF146" i="20"/>
  <c r="AF147" i="20"/>
  <c r="AF148" i="20"/>
  <c r="AF149" i="20"/>
  <c r="AF150" i="20"/>
  <c r="AF151" i="20"/>
  <c r="AF152" i="20"/>
  <c r="AF153" i="20"/>
  <c r="AF154" i="20"/>
  <c r="AF155" i="20"/>
  <c r="AF156" i="20"/>
  <c r="AF157" i="20"/>
  <c r="AF158" i="20"/>
  <c r="AF159" i="20"/>
  <c r="AF160" i="20"/>
  <c r="AF161" i="20"/>
  <c r="AF162" i="20"/>
  <c r="AF163" i="20"/>
  <c r="AF164" i="20"/>
  <c r="AF165" i="20"/>
  <c r="AF166" i="20"/>
  <c r="AF167" i="20"/>
  <c r="AF168" i="20"/>
  <c r="AF169" i="20"/>
  <c r="AF170" i="20"/>
  <c r="AF171" i="20"/>
  <c r="AF172" i="20"/>
  <c r="AF173" i="20"/>
  <c r="AF174" i="20"/>
  <c r="AF175" i="20"/>
  <c r="AF176" i="20"/>
  <c r="AF177" i="20"/>
  <c r="AF178" i="20"/>
  <c r="AF179" i="20"/>
  <c r="AF180" i="20"/>
  <c r="AF181" i="20"/>
  <c r="AF182" i="20"/>
  <c r="AF183" i="20"/>
  <c r="AF184" i="20"/>
  <c r="AF185" i="20"/>
  <c r="AF186" i="20"/>
  <c r="AF187" i="20"/>
  <c r="AF188" i="20"/>
  <c r="AF189" i="20"/>
  <c r="AF190" i="20"/>
  <c r="AF191" i="20"/>
  <c r="AF192" i="20"/>
  <c r="AF193" i="20"/>
  <c r="AF194" i="20"/>
  <c r="AF195" i="20"/>
  <c r="AF196" i="20"/>
  <c r="AF197" i="20"/>
  <c r="AF198" i="20"/>
  <c r="AF199" i="20"/>
  <c r="AF200" i="20"/>
  <c r="AF201" i="20"/>
  <c r="Y4" i="20"/>
  <c r="Y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57" i="20"/>
  <c r="Y58" i="20"/>
  <c r="Y59" i="20"/>
  <c r="Y60" i="20"/>
  <c r="Y61" i="20"/>
  <c r="Y62" i="20"/>
  <c r="Y63" i="20"/>
  <c r="Y64" i="20"/>
  <c r="Y65" i="20"/>
  <c r="Y66" i="20"/>
  <c r="Y67" i="20"/>
  <c r="Y68" i="20"/>
  <c r="Y69" i="20"/>
  <c r="Y70" i="20"/>
  <c r="Y71" i="20"/>
  <c r="Y72" i="20"/>
  <c r="Y73" i="20"/>
  <c r="Y74" i="20"/>
  <c r="Y75" i="20"/>
  <c r="Y76" i="20"/>
  <c r="Y77" i="20"/>
  <c r="Y78" i="20"/>
  <c r="Y79" i="20"/>
  <c r="Y80" i="20"/>
  <c r="Y81" i="20"/>
  <c r="Y82" i="20"/>
  <c r="Y83" i="20"/>
  <c r="Y84" i="20"/>
  <c r="Y85" i="20"/>
  <c r="Y86" i="20"/>
  <c r="Y87" i="20"/>
  <c r="Y88" i="20"/>
  <c r="Y89" i="20"/>
  <c r="Y90" i="20"/>
  <c r="Y91" i="20"/>
  <c r="Y92" i="20"/>
  <c r="Y93" i="20"/>
  <c r="Y94" i="20"/>
  <c r="Y95" i="20"/>
  <c r="Y96" i="20"/>
  <c r="Y97" i="20"/>
  <c r="Y98" i="20"/>
  <c r="Y99" i="20"/>
  <c r="Y100" i="20"/>
  <c r="Y101" i="20"/>
  <c r="Y102" i="20"/>
  <c r="Y103" i="20"/>
  <c r="Y104" i="20"/>
  <c r="Y105" i="20"/>
  <c r="Y106" i="20"/>
  <c r="Y107" i="20"/>
  <c r="Y108" i="20"/>
  <c r="Y109" i="20"/>
  <c r="Y110" i="20"/>
  <c r="Y111" i="20"/>
  <c r="Y112" i="20"/>
  <c r="Y113" i="20"/>
  <c r="Y114" i="20"/>
  <c r="Y115" i="20"/>
  <c r="Y116" i="20"/>
  <c r="Y117" i="20"/>
  <c r="Y118" i="20"/>
  <c r="Y119" i="20"/>
  <c r="Y120" i="20"/>
  <c r="Y121" i="20"/>
  <c r="Y122" i="20"/>
  <c r="Y123" i="20"/>
  <c r="Y124" i="20"/>
  <c r="Y125" i="20"/>
  <c r="Y126" i="20"/>
  <c r="Y127" i="20"/>
  <c r="Y128" i="20"/>
  <c r="Y129" i="20"/>
  <c r="Y130" i="20"/>
  <c r="Y131" i="20"/>
  <c r="Y132" i="20"/>
  <c r="Y133" i="20"/>
  <c r="Y134" i="20"/>
  <c r="Y135" i="20"/>
  <c r="Y136" i="20"/>
  <c r="Y137" i="20"/>
  <c r="Y138" i="20"/>
  <c r="Y139" i="20"/>
  <c r="Y140" i="20"/>
  <c r="Y141" i="20"/>
  <c r="Y142" i="20"/>
  <c r="Y143" i="20"/>
  <c r="Y144" i="20"/>
  <c r="Y145" i="20"/>
  <c r="Y146" i="20"/>
  <c r="Y147" i="20"/>
  <c r="Y148" i="20"/>
  <c r="Y149" i="20"/>
  <c r="Y150" i="20"/>
  <c r="Y151" i="20"/>
  <c r="Y152" i="20"/>
  <c r="Y153" i="20"/>
  <c r="Y154" i="20"/>
  <c r="Y155" i="20"/>
  <c r="Y156" i="20"/>
  <c r="Y157" i="20"/>
  <c r="Y158" i="20"/>
  <c r="Y159" i="20"/>
  <c r="Y160" i="20"/>
  <c r="Y161" i="20"/>
  <c r="Y162" i="20"/>
  <c r="Y163" i="20"/>
  <c r="Y164" i="20"/>
  <c r="Y165" i="20"/>
  <c r="Y166" i="20"/>
  <c r="Y167" i="20"/>
  <c r="Y168" i="20"/>
  <c r="Y169" i="20"/>
  <c r="Y170" i="20"/>
  <c r="Y171" i="20"/>
  <c r="Y172" i="20"/>
  <c r="Y173" i="20"/>
  <c r="Y174" i="20"/>
  <c r="Y175" i="20"/>
  <c r="Y176" i="20"/>
  <c r="Y177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Y194" i="20"/>
  <c r="Y195" i="20"/>
  <c r="Y196" i="20"/>
  <c r="Y197" i="20"/>
  <c r="Y198" i="20"/>
  <c r="Y199" i="20"/>
  <c r="Y200" i="20"/>
  <c r="Y201" i="20"/>
  <c r="R4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105" i="20"/>
  <c r="R106" i="20"/>
  <c r="R107" i="20"/>
  <c r="R108" i="20"/>
  <c r="R109" i="20"/>
  <c r="R110" i="20"/>
  <c r="R111" i="20"/>
  <c r="R112" i="20"/>
  <c r="R113" i="20"/>
  <c r="R114" i="20"/>
  <c r="R115" i="20"/>
  <c r="R116" i="20"/>
  <c r="R117" i="20"/>
  <c r="R118" i="20"/>
  <c r="R119" i="20"/>
  <c r="R120" i="20"/>
  <c r="R121" i="20"/>
  <c r="R122" i="20"/>
  <c r="R123" i="20"/>
  <c r="R124" i="20"/>
  <c r="R125" i="20"/>
  <c r="R126" i="20"/>
  <c r="R127" i="20"/>
  <c r="R128" i="20"/>
  <c r="R129" i="20"/>
  <c r="R130" i="20"/>
  <c r="R131" i="20"/>
  <c r="R132" i="20"/>
  <c r="R133" i="20"/>
  <c r="R134" i="20"/>
  <c r="R135" i="20"/>
  <c r="R136" i="20"/>
  <c r="R137" i="20"/>
  <c r="R138" i="20"/>
  <c r="R139" i="20"/>
  <c r="R140" i="20"/>
  <c r="R141" i="20"/>
  <c r="R142" i="20"/>
  <c r="R143" i="20"/>
  <c r="R144" i="20"/>
  <c r="R145" i="20"/>
  <c r="R146" i="20"/>
  <c r="R147" i="20"/>
  <c r="R148" i="20"/>
  <c r="R149" i="20"/>
  <c r="R150" i="20"/>
  <c r="R151" i="20"/>
  <c r="R152" i="20"/>
  <c r="R153" i="20"/>
  <c r="R154" i="20"/>
  <c r="R155" i="20"/>
  <c r="R156" i="20"/>
  <c r="R157" i="20"/>
  <c r="R158" i="20"/>
  <c r="R159" i="20"/>
  <c r="R160" i="20"/>
  <c r="R161" i="20"/>
  <c r="R162" i="20"/>
  <c r="R163" i="20"/>
  <c r="R164" i="20"/>
  <c r="R165" i="20"/>
  <c r="R166" i="20"/>
  <c r="R167" i="20"/>
  <c r="R168" i="20"/>
  <c r="R169" i="20"/>
  <c r="R170" i="20"/>
  <c r="R171" i="20"/>
  <c r="R172" i="20"/>
  <c r="R173" i="20"/>
  <c r="R174" i="20"/>
  <c r="R175" i="20"/>
  <c r="R176" i="20"/>
  <c r="R177" i="20"/>
  <c r="R178" i="20"/>
  <c r="R179" i="20"/>
  <c r="R180" i="20"/>
  <c r="R181" i="20"/>
  <c r="R182" i="20"/>
  <c r="R183" i="20"/>
  <c r="R184" i="20"/>
  <c r="R185" i="20"/>
  <c r="R186" i="20"/>
  <c r="R187" i="20"/>
  <c r="R188" i="20"/>
  <c r="R189" i="20"/>
  <c r="R190" i="20"/>
  <c r="R191" i="20"/>
  <c r="R192" i="20"/>
  <c r="R193" i="20"/>
  <c r="R194" i="20"/>
  <c r="R195" i="20"/>
  <c r="R196" i="20"/>
  <c r="R197" i="20"/>
  <c r="R198" i="20"/>
  <c r="R199" i="20"/>
  <c r="R200" i="20"/>
  <c r="R201" i="20"/>
  <c r="CH4" i="19"/>
  <c r="CH5" i="19"/>
  <c r="CH6" i="19"/>
  <c r="CH7" i="19"/>
  <c r="CH8" i="19"/>
  <c r="CH9" i="19"/>
  <c r="CH10" i="19"/>
  <c r="CH11" i="19"/>
  <c r="CH12" i="19"/>
  <c r="CH13" i="19"/>
  <c r="CH14" i="19"/>
  <c r="CH15" i="19"/>
  <c r="CH16" i="19"/>
  <c r="CH17" i="19"/>
  <c r="CH18" i="19"/>
  <c r="CH19" i="19"/>
  <c r="CH20" i="19"/>
  <c r="CH21" i="19"/>
  <c r="CH22" i="19"/>
  <c r="CH23" i="19"/>
  <c r="CH24" i="19"/>
  <c r="CH25" i="19"/>
  <c r="CH26" i="19"/>
  <c r="CH27" i="19"/>
  <c r="CH28" i="19"/>
  <c r="CH29" i="19"/>
  <c r="CH30" i="19"/>
  <c r="CH31" i="19"/>
  <c r="CH32" i="19"/>
  <c r="CH33" i="19"/>
  <c r="CH34" i="19"/>
  <c r="CH35" i="19"/>
  <c r="CH36" i="19"/>
  <c r="CH37" i="19"/>
  <c r="CH38" i="19"/>
  <c r="CH39" i="19"/>
  <c r="CH40" i="19"/>
  <c r="CH41" i="19"/>
  <c r="CH42" i="19"/>
  <c r="CH43" i="19"/>
  <c r="CH44" i="19"/>
  <c r="CH45" i="19"/>
  <c r="CH46" i="19"/>
  <c r="CH47" i="19"/>
  <c r="CH48" i="19"/>
  <c r="CH49" i="19"/>
  <c r="CH50" i="19"/>
  <c r="CH51" i="19"/>
  <c r="CH52" i="19"/>
  <c r="CH53" i="19"/>
  <c r="CH54" i="19"/>
  <c r="CH55" i="19"/>
  <c r="CH56" i="19"/>
  <c r="CH57" i="19"/>
  <c r="CH58" i="19"/>
  <c r="CH59" i="19"/>
  <c r="CH60" i="19"/>
  <c r="CH61" i="19"/>
  <c r="CH62" i="19"/>
  <c r="CH63" i="19"/>
  <c r="CH64" i="19"/>
  <c r="CH65" i="19"/>
  <c r="CH66" i="19"/>
  <c r="CH67" i="19"/>
  <c r="CH68" i="19"/>
  <c r="CH69" i="19"/>
  <c r="CH70" i="19"/>
  <c r="CH71" i="19"/>
  <c r="CH72" i="19"/>
  <c r="CH73" i="19"/>
  <c r="CH74" i="19"/>
  <c r="CH75" i="19"/>
  <c r="CH76" i="19"/>
  <c r="CH77" i="19"/>
  <c r="CH78" i="19"/>
  <c r="CH79" i="19"/>
  <c r="CH80" i="19"/>
  <c r="CH81" i="19"/>
  <c r="CH82" i="19"/>
  <c r="CH83" i="19"/>
  <c r="CH84" i="19"/>
  <c r="CH85" i="19"/>
  <c r="CH86" i="19"/>
  <c r="CH87" i="19"/>
  <c r="CH88" i="19"/>
  <c r="CH89" i="19"/>
  <c r="CH90" i="19"/>
  <c r="CH91" i="19"/>
  <c r="CH92" i="19"/>
  <c r="CH93" i="19"/>
  <c r="CH94" i="19"/>
  <c r="CH95" i="19"/>
  <c r="CH96" i="19"/>
  <c r="CH97" i="19"/>
  <c r="CH98" i="19"/>
  <c r="CH99" i="19"/>
  <c r="CH100" i="19"/>
  <c r="CH101" i="19"/>
  <c r="CH102" i="19"/>
  <c r="CH103" i="19"/>
  <c r="CH104" i="19"/>
  <c r="CH105" i="19"/>
  <c r="CH106" i="19"/>
  <c r="CH107" i="19"/>
  <c r="CH108" i="19"/>
  <c r="CH109" i="19"/>
  <c r="CH110" i="19"/>
  <c r="CH111" i="19"/>
  <c r="CH112" i="19"/>
  <c r="CH113" i="19"/>
  <c r="CH114" i="19"/>
  <c r="CH115" i="19"/>
  <c r="CH116" i="19"/>
  <c r="CH117" i="19"/>
  <c r="CH118" i="19"/>
  <c r="CH119" i="19"/>
  <c r="CH120" i="19"/>
  <c r="CH121" i="19"/>
  <c r="CH122" i="19"/>
  <c r="CH123" i="19"/>
  <c r="CH124" i="19"/>
  <c r="CH125" i="19"/>
  <c r="CH126" i="19"/>
  <c r="CH127" i="19"/>
  <c r="CH128" i="19"/>
  <c r="CH129" i="19"/>
  <c r="CH130" i="19"/>
  <c r="CH131" i="19"/>
  <c r="CH132" i="19"/>
  <c r="CH133" i="19"/>
  <c r="CH134" i="19"/>
  <c r="CH135" i="19"/>
  <c r="CH136" i="19"/>
  <c r="CH137" i="19"/>
  <c r="CH138" i="19"/>
  <c r="CH139" i="19"/>
  <c r="CH140" i="19"/>
  <c r="CH141" i="19"/>
  <c r="CH142" i="19"/>
  <c r="CH143" i="19"/>
  <c r="CH144" i="19"/>
  <c r="CH145" i="19"/>
  <c r="CH146" i="19"/>
  <c r="CH147" i="19"/>
  <c r="CH148" i="19"/>
  <c r="CH149" i="19"/>
  <c r="CH150" i="19"/>
  <c r="CH151" i="19"/>
  <c r="CH152" i="19"/>
  <c r="CH153" i="19"/>
  <c r="CH154" i="19"/>
  <c r="CH155" i="19"/>
  <c r="CH156" i="19"/>
  <c r="CH157" i="19"/>
  <c r="CH158" i="19"/>
  <c r="CH159" i="19"/>
  <c r="CH160" i="19"/>
  <c r="CH161" i="19"/>
  <c r="CH162" i="19"/>
  <c r="CH163" i="19"/>
  <c r="CH164" i="19"/>
  <c r="CH165" i="19"/>
  <c r="CH166" i="19"/>
  <c r="CH167" i="19"/>
  <c r="CH168" i="19"/>
  <c r="CH169" i="19"/>
  <c r="CH170" i="19"/>
  <c r="CH171" i="19"/>
  <c r="CH172" i="19"/>
  <c r="CH173" i="19"/>
  <c r="CH174" i="19"/>
  <c r="CH175" i="19"/>
  <c r="CH176" i="19"/>
  <c r="CH177" i="19"/>
  <c r="CH178" i="19"/>
  <c r="CH179" i="19"/>
  <c r="CH180" i="19"/>
  <c r="CH181" i="19"/>
  <c r="CH182" i="19"/>
  <c r="CH183" i="19"/>
  <c r="CH184" i="19"/>
  <c r="CH185" i="19"/>
  <c r="CH186" i="19"/>
  <c r="CH187" i="19"/>
  <c r="CH188" i="19"/>
  <c r="CH189" i="19"/>
  <c r="CH190" i="19"/>
  <c r="CH191" i="19"/>
  <c r="CH192" i="19"/>
  <c r="CH193" i="19"/>
  <c r="CH194" i="19"/>
  <c r="CH195" i="19"/>
  <c r="CH196" i="19"/>
  <c r="CH197" i="19"/>
  <c r="CH198" i="19"/>
  <c r="CH199" i="19"/>
  <c r="CH200" i="19"/>
  <c r="CH201" i="19"/>
  <c r="CA4" i="19"/>
  <c r="CA5" i="19"/>
  <c r="CA6" i="19"/>
  <c r="CA7" i="19"/>
  <c r="CA8" i="19"/>
  <c r="CA9" i="19"/>
  <c r="CA10" i="19"/>
  <c r="CA11" i="19"/>
  <c r="CA12" i="19"/>
  <c r="CA13" i="19"/>
  <c r="CA14" i="19"/>
  <c r="CA15" i="19"/>
  <c r="CA16" i="19"/>
  <c r="CA17" i="19"/>
  <c r="CA18" i="19"/>
  <c r="CA19" i="19"/>
  <c r="CA20" i="19"/>
  <c r="CA21" i="19"/>
  <c r="CA22" i="19"/>
  <c r="CA23" i="19"/>
  <c r="CA24" i="19"/>
  <c r="CA25" i="19"/>
  <c r="CA26" i="19"/>
  <c r="CA27" i="19"/>
  <c r="CA28" i="19"/>
  <c r="CA29" i="19"/>
  <c r="CA30" i="19"/>
  <c r="CA31" i="19"/>
  <c r="CA32" i="19"/>
  <c r="CA33" i="19"/>
  <c r="CA34" i="19"/>
  <c r="CA35" i="19"/>
  <c r="CA36" i="19"/>
  <c r="CA37" i="19"/>
  <c r="CA38" i="19"/>
  <c r="CA39" i="19"/>
  <c r="CA40" i="19"/>
  <c r="CA41" i="19"/>
  <c r="CA42" i="19"/>
  <c r="CA43" i="19"/>
  <c r="CA44" i="19"/>
  <c r="CA45" i="19"/>
  <c r="CA46" i="19"/>
  <c r="CA47" i="19"/>
  <c r="CA48" i="19"/>
  <c r="CA49" i="19"/>
  <c r="CA50" i="19"/>
  <c r="CA51" i="19"/>
  <c r="CA52" i="19"/>
  <c r="CA53" i="19"/>
  <c r="CA54" i="19"/>
  <c r="CA55" i="19"/>
  <c r="CA56" i="19"/>
  <c r="CA57" i="19"/>
  <c r="CA58" i="19"/>
  <c r="CA59" i="19"/>
  <c r="CA60" i="19"/>
  <c r="CA61" i="19"/>
  <c r="CA62" i="19"/>
  <c r="CA63" i="19"/>
  <c r="CA64" i="19"/>
  <c r="CA65" i="19"/>
  <c r="CA66" i="19"/>
  <c r="CA67" i="19"/>
  <c r="CA68" i="19"/>
  <c r="CA69" i="19"/>
  <c r="CA70" i="19"/>
  <c r="CA71" i="19"/>
  <c r="CA72" i="19"/>
  <c r="CA73" i="19"/>
  <c r="CA74" i="19"/>
  <c r="CA75" i="19"/>
  <c r="CA76" i="19"/>
  <c r="CA77" i="19"/>
  <c r="CA78" i="19"/>
  <c r="CA79" i="19"/>
  <c r="CA80" i="19"/>
  <c r="CA81" i="19"/>
  <c r="CA82" i="19"/>
  <c r="CA83" i="19"/>
  <c r="CA84" i="19"/>
  <c r="CA85" i="19"/>
  <c r="CA86" i="19"/>
  <c r="CA87" i="19"/>
  <c r="CA88" i="19"/>
  <c r="CA89" i="19"/>
  <c r="CA90" i="19"/>
  <c r="CA91" i="19"/>
  <c r="CA92" i="19"/>
  <c r="CA93" i="19"/>
  <c r="CA94" i="19"/>
  <c r="CA95" i="19"/>
  <c r="CA96" i="19"/>
  <c r="CA97" i="19"/>
  <c r="CA98" i="19"/>
  <c r="CA99" i="19"/>
  <c r="CA100" i="19"/>
  <c r="CA101" i="19"/>
  <c r="CA102" i="19"/>
  <c r="CA103" i="19"/>
  <c r="CA104" i="19"/>
  <c r="CA105" i="19"/>
  <c r="CA106" i="19"/>
  <c r="CA107" i="19"/>
  <c r="CA108" i="19"/>
  <c r="CA109" i="19"/>
  <c r="CA110" i="19"/>
  <c r="CA111" i="19"/>
  <c r="CA112" i="19"/>
  <c r="CA113" i="19"/>
  <c r="CA114" i="19"/>
  <c r="CA115" i="19"/>
  <c r="CA116" i="19"/>
  <c r="CA117" i="19"/>
  <c r="CA118" i="19"/>
  <c r="CA119" i="19"/>
  <c r="CA120" i="19"/>
  <c r="CA121" i="19"/>
  <c r="CA122" i="19"/>
  <c r="CA123" i="19"/>
  <c r="CA124" i="19"/>
  <c r="CA125" i="19"/>
  <c r="CA126" i="19"/>
  <c r="CA127" i="19"/>
  <c r="CA128" i="19"/>
  <c r="CA129" i="19"/>
  <c r="CA130" i="19"/>
  <c r="CA131" i="19"/>
  <c r="CA132" i="19"/>
  <c r="CA133" i="19"/>
  <c r="CA134" i="19"/>
  <c r="CA135" i="19"/>
  <c r="CA136" i="19"/>
  <c r="CA137" i="19"/>
  <c r="CA138" i="19"/>
  <c r="CA139" i="19"/>
  <c r="CA140" i="19"/>
  <c r="CA141" i="19"/>
  <c r="CA142" i="19"/>
  <c r="CA143" i="19"/>
  <c r="CA144" i="19"/>
  <c r="CA145" i="19"/>
  <c r="CA146" i="19"/>
  <c r="CA147" i="19"/>
  <c r="CA148" i="19"/>
  <c r="CA149" i="19"/>
  <c r="CA150" i="19"/>
  <c r="CA151" i="19"/>
  <c r="CA152" i="19"/>
  <c r="CA153" i="19"/>
  <c r="CA154" i="19"/>
  <c r="CA155" i="19"/>
  <c r="CA156" i="19"/>
  <c r="CA157" i="19"/>
  <c r="CA158" i="19"/>
  <c r="CA159" i="19"/>
  <c r="CA160" i="19"/>
  <c r="CA161" i="19"/>
  <c r="CA162" i="19"/>
  <c r="CA163" i="19"/>
  <c r="CA164" i="19"/>
  <c r="CA165" i="19"/>
  <c r="CA166" i="19"/>
  <c r="CA167" i="19"/>
  <c r="CA168" i="19"/>
  <c r="CA169" i="19"/>
  <c r="CA170" i="19"/>
  <c r="CA171" i="19"/>
  <c r="CA172" i="19"/>
  <c r="CA173" i="19"/>
  <c r="CA174" i="19"/>
  <c r="CA175" i="19"/>
  <c r="CA176" i="19"/>
  <c r="CA177" i="19"/>
  <c r="CA178" i="19"/>
  <c r="CA179" i="19"/>
  <c r="CA180" i="19"/>
  <c r="CA181" i="19"/>
  <c r="CA182" i="19"/>
  <c r="CA183" i="19"/>
  <c r="CA184" i="19"/>
  <c r="CA185" i="19"/>
  <c r="CA186" i="19"/>
  <c r="CA187" i="19"/>
  <c r="CA188" i="19"/>
  <c r="CA189" i="19"/>
  <c r="CA190" i="19"/>
  <c r="CA191" i="19"/>
  <c r="CA192" i="19"/>
  <c r="CA193" i="19"/>
  <c r="CA194" i="19"/>
  <c r="CA195" i="19"/>
  <c r="CA196" i="19"/>
  <c r="CA197" i="19"/>
  <c r="CA198" i="19"/>
  <c r="CA199" i="19"/>
  <c r="CA200" i="19"/>
  <c r="CA201" i="19"/>
  <c r="BT4" i="19"/>
  <c r="BT5" i="19"/>
  <c r="BT6" i="19"/>
  <c r="BT7" i="19"/>
  <c r="BT8" i="19"/>
  <c r="BT9" i="19"/>
  <c r="BT10" i="19"/>
  <c r="BT11" i="19"/>
  <c r="BT12" i="19"/>
  <c r="BT13" i="19"/>
  <c r="BT14" i="19"/>
  <c r="BT15" i="19"/>
  <c r="BT16" i="19"/>
  <c r="BT17" i="19"/>
  <c r="BT18" i="19"/>
  <c r="BT19" i="19"/>
  <c r="BT20" i="19"/>
  <c r="BT21" i="19"/>
  <c r="BT22" i="19"/>
  <c r="BT23" i="19"/>
  <c r="BT24" i="19"/>
  <c r="BT25" i="19"/>
  <c r="BT26" i="19"/>
  <c r="BT27" i="19"/>
  <c r="BT28" i="19"/>
  <c r="BT29" i="19"/>
  <c r="BT30" i="19"/>
  <c r="BT31" i="19"/>
  <c r="BT32" i="19"/>
  <c r="BT33" i="19"/>
  <c r="BT34" i="19"/>
  <c r="BT35" i="19"/>
  <c r="BT36" i="19"/>
  <c r="BT37" i="19"/>
  <c r="BT38" i="19"/>
  <c r="BT39" i="19"/>
  <c r="BT40" i="19"/>
  <c r="BT41" i="19"/>
  <c r="BT42" i="19"/>
  <c r="BT43" i="19"/>
  <c r="BT44" i="19"/>
  <c r="BT45" i="19"/>
  <c r="BT46" i="19"/>
  <c r="BT47" i="19"/>
  <c r="BT48" i="19"/>
  <c r="BT49" i="19"/>
  <c r="BT50" i="19"/>
  <c r="BT51" i="19"/>
  <c r="BT52" i="19"/>
  <c r="BT53" i="19"/>
  <c r="BT54" i="19"/>
  <c r="BT55" i="19"/>
  <c r="BT56" i="19"/>
  <c r="BT57" i="19"/>
  <c r="BT58" i="19"/>
  <c r="BT59" i="19"/>
  <c r="BT60" i="19"/>
  <c r="BT61" i="19"/>
  <c r="BT62" i="19"/>
  <c r="BT63" i="19"/>
  <c r="BT64" i="19"/>
  <c r="BT65" i="19"/>
  <c r="BT66" i="19"/>
  <c r="BT67" i="19"/>
  <c r="BT68" i="19"/>
  <c r="BT69" i="19"/>
  <c r="BT70" i="19"/>
  <c r="BT71" i="19"/>
  <c r="BT72" i="19"/>
  <c r="BT73" i="19"/>
  <c r="BT74" i="19"/>
  <c r="BT75" i="19"/>
  <c r="BT76" i="19"/>
  <c r="BT77" i="19"/>
  <c r="BT78" i="19"/>
  <c r="BT79" i="19"/>
  <c r="BT80" i="19"/>
  <c r="BT81" i="19"/>
  <c r="BT82" i="19"/>
  <c r="BT83" i="19"/>
  <c r="BT84" i="19"/>
  <c r="BT85" i="19"/>
  <c r="BT86" i="19"/>
  <c r="BT87" i="19"/>
  <c r="BT88" i="19"/>
  <c r="BT89" i="19"/>
  <c r="BT90" i="19"/>
  <c r="BT91" i="19"/>
  <c r="BT92" i="19"/>
  <c r="BT93" i="19"/>
  <c r="BT94" i="19"/>
  <c r="BT95" i="19"/>
  <c r="BT96" i="19"/>
  <c r="BT97" i="19"/>
  <c r="BT98" i="19"/>
  <c r="BT99" i="19"/>
  <c r="BT100" i="19"/>
  <c r="BT101" i="19"/>
  <c r="BT102" i="19"/>
  <c r="BT103" i="19"/>
  <c r="BT104" i="19"/>
  <c r="BT105" i="19"/>
  <c r="BT106" i="19"/>
  <c r="BT107" i="19"/>
  <c r="BT108" i="19"/>
  <c r="BT109" i="19"/>
  <c r="BT110" i="19"/>
  <c r="BT111" i="19"/>
  <c r="BT112" i="19"/>
  <c r="BT113" i="19"/>
  <c r="BT114" i="19"/>
  <c r="BT115" i="19"/>
  <c r="BT116" i="19"/>
  <c r="BT117" i="19"/>
  <c r="BT118" i="19"/>
  <c r="BT119" i="19"/>
  <c r="BT120" i="19"/>
  <c r="BT121" i="19"/>
  <c r="BT122" i="19"/>
  <c r="BT123" i="19"/>
  <c r="BT124" i="19"/>
  <c r="BT125" i="19"/>
  <c r="BT126" i="19"/>
  <c r="BT127" i="19"/>
  <c r="BT128" i="19"/>
  <c r="BT129" i="19"/>
  <c r="BT130" i="19"/>
  <c r="BT131" i="19"/>
  <c r="BT132" i="19"/>
  <c r="BT133" i="19"/>
  <c r="BT134" i="19"/>
  <c r="BT135" i="19"/>
  <c r="BT136" i="19"/>
  <c r="BT137" i="19"/>
  <c r="BT138" i="19"/>
  <c r="BT139" i="19"/>
  <c r="BT140" i="19"/>
  <c r="BT141" i="19"/>
  <c r="BT142" i="19"/>
  <c r="BT143" i="19"/>
  <c r="BT144" i="19"/>
  <c r="BT145" i="19"/>
  <c r="BT146" i="19"/>
  <c r="BT147" i="19"/>
  <c r="BT148" i="19"/>
  <c r="BT149" i="19"/>
  <c r="BT150" i="19"/>
  <c r="BT151" i="19"/>
  <c r="BT152" i="19"/>
  <c r="BT153" i="19"/>
  <c r="BT154" i="19"/>
  <c r="BT155" i="19"/>
  <c r="BT156" i="19"/>
  <c r="BT157" i="19"/>
  <c r="BT158" i="19"/>
  <c r="BT159" i="19"/>
  <c r="BT160" i="19"/>
  <c r="BT161" i="19"/>
  <c r="BT162" i="19"/>
  <c r="BT163" i="19"/>
  <c r="BT164" i="19"/>
  <c r="BT165" i="19"/>
  <c r="BT166" i="19"/>
  <c r="BT167" i="19"/>
  <c r="BT168" i="19"/>
  <c r="BT169" i="19"/>
  <c r="BT170" i="19"/>
  <c r="BT171" i="19"/>
  <c r="BT172" i="19"/>
  <c r="BT173" i="19"/>
  <c r="BT174" i="19"/>
  <c r="BT175" i="19"/>
  <c r="BT176" i="19"/>
  <c r="BT177" i="19"/>
  <c r="BT178" i="19"/>
  <c r="BT179" i="19"/>
  <c r="BT180" i="19"/>
  <c r="BT181" i="19"/>
  <c r="BT182" i="19"/>
  <c r="BT183" i="19"/>
  <c r="BT184" i="19"/>
  <c r="BT185" i="19"/>
  <c r="BT186" i="19"/>
  <c r="BT187" i="19"/>
  <c r="BT188" i="19"/>
  <c r="BT189" i="19"/>
  <c r="BT190" i="19"/>
  <c r="BT191" i="19"/>
  <c r="BT192" i="19"/>
  <c r="BT193" i="19"/>
  <c r="BT194" i="19"/>
  <c r="BT195" i="19"/>
  <c r="BT196" i="19"/>
  <c r="BT197" i="19"/>
  <c r="BT198" i="19"/>
  <c r="BT199" i="19"/>
  <c r="BT200" i="19"/>
  <c r="BT201" i="19"/>
  <c r="BG4" i="19"/>
  <c r="BG5" i="19"/>
  <c r="BG6" i="19"/>
  <c r="BG7" i="19"/>
  <c r="BG8" i="19"/>
  <c r="BG9" i="19"/>
  <c r="BG10" i="19"/>
  <c r="BG11" i="19"/>
  <c r="BG12" i="19"/>
  <c r="BG13" i="19"/>
  <c r="BG14" i="19"/>
  <c r="BG15" i="19"/>
  <c r="BG16" i="19"/>
  <c r="BG17" i="19"/>
  <c r="BG18" i="19"/>
  <c r="BG19" i="19"/>
  <c r="BG20" i="19"/>
  <c r="BG21" i="19"/>
  <c r="BG22" i="19"/>
  <c r="BG23" i="19"/>
  <c r="BG24" i="19"/>
  <c r="BG25" i="19"/>
  <c r="BG26" i="19"/>
  <c r="BG27" i="19"/>
  <c r="BG28" i="19"/>
  <c r="BG29" i="19"/>
  <c r="BG30" i="19"/>
  <c r="BG31" i="19"/>
  <c r="BG32" i="19"/>
  <c r="BG33" i="19"/>
  <c r="BG34" i="19"/>
  <c r="BG35" i="19"/>
  <c r="BG36" i="19"/>
  <c r="BG37" i="19"/>
  <c r="BG38" i="19"/>
  <c r="BG39" i="19"/>
  <c r="BG40" i="19"/>
  <c r="BG41" i="19"/>
  <c r="BG42" i="19"/>
  <c r="BG43" i="19"/>
  <c r="BG44" i="19"/>
  <c r="BG45" i="19"/>
  <c r="BG46" i="19"/>
  <c r="BG47" i="19"/>
  <c r="BG48" i="19"/>
  <c r="BG49" i="19"/>
  <c r="BG50" i="19"/>
  <c r="BG51" i="19"/>
  <c r="BG52" i="19"/>
  <c r="BG53" i="19"/>
  <c r="BG54" i="19"/>
  <c r="BG55" i="19"/>
  <c r="BG56" i="19"/>
  <c r="BG57" i="19"/>
  <c r="BG58" i="19"/>
  <c r="BG59" i="19"/>
  <c r="BG60" i="19"/>
  <c r="BG61" i="19"/>
  <c r="BG62" i="19"/>
  <c r="BG63" i="19"/>
  <c r="BG64" i="19"/>
  <c r="BG65" i="19"/>
  <c r="BG66" i="19"/>
  <c r="BG67" i="19"/>
  <c r="BG68" i="19"/>
  <c r="BG69" i="19"/>
  <c r="BG70" i="19"/>
  <c r="BG71" i="19"/>
  <c r="BG72" i="19"/>
  <c r="BG73" i="19"/>
  <c r="BG74" i="19"/>
  <c r="BG75" i="19"/>
  <c r="BG76" i="19"/>
  <c r="BG77" i="19"/>
  <c r="BG78" i="19"/>
  <c r="BG79" i="19"/>
  <c r="BG80" i="19"/>
  <c r="BG81" i="19"/>
  <c r="BG82" i="19"/>
  <c r="BG83" i="19"/>
  <c r="BG84" i="19"/>
  <c r="BG85" i="19"/>
  <c r="BG86" i="19"/>
  <c r="BG87" i="19"/>
  <c r="BG88" i="19"/>
  <c r="BG89" i="19"/>
  <c r="BG90" i="19"/>
  <c r="BG91" i="19"/>
  <c r="BG92" i="19"/>
  <c r="BG93" i="19"/>
  <c r="BG94" i="19"/>
  <c r="BG95" i="19"/>
  <c r="BG96" i="19"/>
  <c r="BG97" i="19"/>
  <c r="BG98" i="19"/>
  <c r="BG99" i="19"/>
  <c r="BG100" i="19"/>
  <c r="BG101" i="19"/>
  <c r="BG102" i="19"/>
  <c r="BG103" i="19"/>
  <c r="BG104" i="19"/>
  <c r="BG105" i="19"/>
  <c r="BG106" i="19"/>
  <c r="BG107" i="19"/>
  <c r="BG108" i="19"/>
  <c r="BG109" i="19"/>
  <c r="BG110" i="19"/>
  <c r="BG111" i="19"/>
  <c r="BG112" i="19"/>
  <c r="BG113" i="19"/>
  <c r="BG114" i="19"/>
  <c r="BG115" i="19"/>
  <c r="BG116" i="19"/>
  <c r="BG117" i="19"/>
  <c r="BG118" i="19"/>
  <c r="BG119" i="19"/>
  <c r="BG120" i="19"/>
  <c r="BG121" i="19"/>
  <c r="BG122" i="19"/>
  <c r="BG123" i="19"/>
  <c r="BG124" i="19"/>
  <c r="BG125" i="19"/>
  <c r="BG126" i="19"/>
  <c r="BG127" i="19"/>
  <c r="BG128" i="19"/>
  <c r="BG129" i="19"/>
  <c r="BG130" i="19"/>
  <c r="BG131" i="19"/>
  <c r="BG132" i="19"/>
  <c r="BG133" i="19"/>
  <c r="BG134" i="19"/>
  <c r="BG135" i="19"/>
  <c r="BG136" i="19"/>
  <c r="BG137" i="19"/>
  <c r="BG138" i="19"/>
  <c r="BG139" i="19"/>
  <c r="BG140" i="19"/>
  <c r="BG141" i="19"/>
  <c r="BG142" i="19"/>
  <c r="BG143" i="19"/>
  <c r="BG144" i="19"/>
  <c r="BG145" i="19"/>
  <c r="BG146" i="19"/>
  <c r="BG147" i="19"/>
  <c r="BG148" i="19"/>
  <c r="BG149" i="19"/>
  <c r="BG150" i="19"/>
  <c r="BG151" i="19"/>
  <c r="BG152" i="19"/>
  <c r="BG153" i="19"/>
  <c r="BG154" i="19"/>
  <c r="BG155" i="19"/>
  <c r="BG156" i="19"/>
  <c r="BG157" i="19"/>
  <c r="BG158" i="19"/>
  <c r="BG159" i="19"/>
  <c r="BG160" i="19"/>
  <c r="BG161" i="19"/>
  <c r="BG162" i="19"/>
  <c r="BG163" i="19"/>
  <c r="BG164" i="19"/>
  <c r="BG165" i="19"/>
  <c r="BG166" i="19"/>
  <c r="BG167" i="19"/>
  <c r="BG168" i="19"/>
  <c r="BG169" i="19"/>
  <c r="BG170" i="19"/>
  <c r="BG171" i="19"/>
  <c r="BG172" i="19"/>
  <c r="BG173" i="19"/>
  <c r="BG174" i="19"/>
  <c r="BG175" i="19"/>
  <c r="BG176" i="19"/>
  <c r="BG177" i="19"/>
  <c r="BG178" i="19"/>
  <c r="BG179" i="19"/>
  <c r="BG180" i="19"/>
  <c r="BG181" i="19"/>
  <c r="BG182" i="19"/>
  <c r="BG183" i="19"/>
  <c r="BG184" i="19"/>
  <c r="BG185" i="19"/>
  <c r="BG186" i="19"/>
  <c r="BG187" i="19"/>
  <c r="BG188" i="19"/>
  <c r="BG189" i="19"/>
  <c r="BG190" i="19"/>
  <c r="BG191" i="19"/>
  <c r="BG192" i="19"/>
  <c r="BG193" i="19"/>
  <c r="BG194" i="19"/>
  <c r="BG195" i="19"/>
  <c r="BG196" i="19"/>
  <c r="BG197" i="19"/>
  <c r="BG198" i="19"/>
  <c r="BG199" i="19"/>
  <c r="BG200" i="19"/>
  <c r="BG201" i="19"/>
  <c r="AZ4" i="19"/>
  <c r="AZ5" i="19"/>
  <c r="AZ6" i="19"/>
  <c r="AZ7" i="19"/>
  <c r="AZ8" i="19"/>
  <c r="AZ9" i="19"/>
  <c r="AZ10" i="19"/>
  <c r="AZ11" i="19"/>
  <c r="AZ12" i="19"/>
  <c r="AZ13" i="19"/>
  <c r="AZ14" i="19"/>
  <c r="AZ15" i="19"/>
  <c r="AZ16" i="19"/>
  <c r="AZ17" i="19"/>
  <c r="AZ18" i="19"/>
  <c r="AZ19" i="19"/>
  <c r="AZ20" i="19"/>
  <c r="AZ21" i="19"/>
  <c r="AZ22" i="19"/>
  <c r="AZ23" i="19"/>
  <c r="AZ24" i="19"/>
  <c r="AZ25" i="19"/>
  <c r="AZ26" i="19"/>
  <c r="AZ27" i="19"/>
  <c r="AZ28" i="19"/>
  <c r="AZ29" i="19"/>
  <c r="AZ30" i="19"/>
  <c r="AZ31" i="19"/>
  <c r="AZ32" i="19"/>
  <c r="AZ33" i="19"/>
  <c r="AZ34" i="19"/>
  <c r="AZ35" i="19"/>
  <c r="AZ36" i="19"/>
  <c r="AZ37" i="19"/>
  <c r="AZ38" i="19"/>
  <c r="AZ39" i="19"/>
  <c r="AZ40" i="19"/>
  <c r="AZ41" i="19"/>
  <c r="AZ42" i="19"/>
  <c r="AZ43" i="19"/>
  <c r="AZ44" i="19"/>
  <c r="AZ45" i="19"/>
  <c r="AZ46" i="19"/>
  <c r="AZ47" i="19"/>
  <c r="AZ48" i="19"/>
  <c r="AZ49" i="19"/>
  <c r="AZ50" i="19"/>
  <c r="AZ51" i="19"/>
  <c r="AZ52" i="19"/>
  <c r="AZ53" i="19"/>
  <c r="AZ54" i="19"/>
  <c r="AZ55" i="19"/>
  <c r="AZ56" i="19"/>
  <c r="AZ57" i="19"/>
  <c r="AZ58" i="19"/>
  <c r="AZ59" i="19"/>
  <c r="AZ60" i="19"/>
  <c r="AZ61" i="19"/>
  <c r="AZ62" i="19"/>
  <c r="AZ63" i="19"/>
  <c r="AZ64" i="19"/>
  <c r="AZ65" i="19"/>
  <c r="AZ66" i="19"/>
  <c r="AZ67" i="19"/>
  <c r="AZ68" i="19"/>
  <c r="AZ69" i="19"/>
  <c r="AZ70" i="19"/>
  <c r="AZ71" i="19"/>
  <c r="AZ72" i="19"/>
  <c r="AZ73" i="19"/>
  <c r="AZ74" i="19"/>
  <c r="AZ75" i="19"/>
  <c r="AZ76" i="19"/>
  <c r="AZ77" i="19"/>
  <c r="AZ78" i="19"/>
  <c r="AZ79" i="19"/>
  <c r="AZ80" i="19"/>
  <c r="AZ81" i="19"/>
  <c r="AZ82" i="19"/>
  <c r="AZ83" i="19"/>
  <c r="AZ84" i="19"/>
  <c r="AZ85" i="19"/>
  <c r="AZ86" i="19"/>
  <c r="AZ87" i="19"/>
  <c r="AZ88" i="19"/>
  <c r="AZ89" i="19"/>
  <c r="AZ90" i="19"/>
  <c r="AZ91" i="19"/>
  <c r="AZ92" i="19"/>
  <c r="AZ93" i="19"/>
  <c r="AZ94" i="19"/>
  <c r="AZ95" i="19"/>
  <c r="AZ96" i="19"/>
  <c r="AZ97" i="19"/>
  <c r="AZ98" i="19"/>
  <c r="AZ99" i="19"/>
  <c r="AZ100" i="19"/>
  <c r="AZ101" i="19"/>
  <c r="AZ102" i="19"/>
  <c r="AZ103" i="19"/>
  <c r="AZ104" i="19"/>
  <c r="AZ105" i="19"/>
  <c r="AZ106" i="19"/>
  <c r="AZ107" i="19"/>
  <c r="AZ108" i="19"/>
  <c r="AZ109" i="19"/>
  <c r="AZ110" i="19"/>
  <c r="AZ111" i="19"/>
  <c r="AZ112" i="19"/>
  <c r="AZ113" i="19"/>
  <c r="AZ114" i="19"/>
  <c r="AZ115" i="19"/>
  <c r="AZ116" i="19"/>
  <c r="AZ117" i="19"/>
  <c r="AZ118" i="19"/>
  <c r="AZ119" i="19"/>
  <c r="AZ120" i="19"/>
  <c r="AZ121" i="19"/>
  <c r="AZ122" i="19"/>
  <c r="AZ123" i="19"/>
  <c r="AZ124" i="19"/>
  <c r="AZ125" i="19"/>
  <c r="AZ126" i="19"/>
  <c r="AZ127" i="19"/>
  <c r="AZ128" i="19"/>
  <c r="AZ129" i="19"/>
  <c r="AZ130" i="19"/>
  <c r="AZ131" i="19"/>
  <c r="AZ132" i="19"/>
  <c r="AZ133" i="19"/>
  <c r="AZ134" i="19"/>
  <c r="AZ135" i="19"/>
  <c r="AZ136" i="19"/>
  <c r="AZ137" i="19"/>
  <c r="AZ138" i="19"/>
  <c r="AZ139" i="19"/>
  <c r="AZ140" i="19"/>
  <c r="AZ141" i="19"/>
  <c r="AZ142" i="19"/>
  <c r="AZ143" i="19"/>
  <c r="AZ144" i="19"/>
  <c r="AZ145" i="19"/>
  <c r="AZ146" i="19"/>
  <c r="AZ147" i="19"/>
  <c r="AZ148" i="19"/>
  <c r="AZ149" i="19"/>
  <c r="AZ150" i="19"/>
  <c r="AZ151" i="19"/>
  <c r="AZ152" i="19"/>
  <c r="AZ153" i="19"/>
  <c r="AZ154" i="19"/>
  <c r="AZ155" i="19"/>
  <c r="AZ156" i="19"/>
  <c r="AZ157" i="19"/>
  <c r="AZ158" i="19"/>
  <c r="AZ159" i="19"/>
  <c r="AZ160" i="19"/>
  <c r="AZ161" i="19"/>
  <c r="AZ162" i="19"/>
  <c r="AZ163" i="19"/>
  <c r="AZ164" i="19"/>
  <c r="AZ165" i="19"/>
  <c r="AZ166" i="19"/>
  <c r="AZ167" i="19"/>
  <c r="AZ168" i="19"/>
  <c r="AZ169" i="19"/>
  <c r="AZ170" i="19"/>
  <c r="AZ171" i="19"/>
  <c r="AZ172" i="19"/>
  <c r="AZ173" i="19"/>
  <c r="AZ174" i="19"/>
  <c r="AZ175" i="19"/>
  <c r="AZ176" i="19"/>
  <c r="AZ177" i="19"/>
  <c r="AZ178" i="19"/>
  <c r="AZ179" i="19"/>
  <c r="AZ180" i="19"/>
  <c r="AZ181" i="19"/>
  <c r="AZ182" i="19"/>
  <c r="AZ183" i="19"/>
  <c r="AZ184" i="19"/>
  <c r="AZ185" i="19"/>
  <c r="AZ186" i="19"/>
  <c r="AZ187" i="19"/>
  <c r="AZ188" i="19"/>
  <c r="AZ189" i="19"/>
  <c r="AZ190" i="19"/>
  <c r="AZ191" i="19"/>
  <c r="AZ192" i="19"/>
  <c r="AZ193" i="19"/>
  <c r="AZ194" i="19"/>
  <c r="AZ195" i="19"/>
  <c r="AZ196" i="19"/>
  <c r="AZ197" i="19"/>
  <c r="AZ198" i="19"/>
  <c r="AZ199" i="19"/>
  <c r="AZ200" i="19"/>
  <c r="AZ201" i="19"/>
  <c r="AS4" i="19"/>
  <c r="AS5" i="19"/>
  <c r="AS6" i="19"/>
  <c r="AS7" i="19"/>
  <c r="AS8" i="19"/>
  <c r="AS9" i="19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43" i="19"/>
  <c r="AS44" i="19"/>
  <c r="AS45" i="19"/>
  <c r="AS46" i="19"/>
  <c r="AS47" i="19"/>
  <c r="AS48" i="19"/>
  <c r="AS49" i="19"/>
  <c r="AS50" i="19"/>
  <c r="AS51" i="19"/>
  <c r="AS52" i="19"/>
  <c r="AS53" i="19"/>
  <c r="AS54" i="19"/>
  <c r="AS55" i="19"/>
  <c r="AS56" i="19"/>
  <c r="AS57" i="19"/>
  <c r="AS58" i="19"/>
  <c r="AS59" i="19"/>
  <c r="AS60" i="19"/>
  <c r="AS61" i="19"/>
  <c r="AS62" i="19"/>
  <c r="AS63" i="19"/>
  <c r="AS64" i="19"/>
  <c r="AS65" i="19"/>
  <c r="AS66" i="19"/>
  <c r="AS67" i="19"/>
  <c r="AS68" i="19"/>
  <c r="AS69" i="19"/>
  <c r="AS70" i="19"/>
  <c r="AS71" i="19"/>
  <c r="AS72" i="19"/>
  <c r="AS73" i="19"/>
  <c r="AS74" i="19"/>
  <c r="AS75" i="19"/>
  <c r="AS76" i="19"/>
  <c r="AS77" i="19"/>
  <c r="AS78" i="19"/>
  <c r="AS79" i="19"/>
  <c r="AS80" i="19"/>
  <c r="AS81" i="19"/>
  <c r="AS82" i="19"/>
  <c r="AS83" i="19"/>
  <c r="AS84" i="19"/>
  <c r="AS85" i="19"/>
  <c r="AS86" i="19"/>
  <c r="AS87" i="19"/>
  <c r="AS88" i="19"/>
  <c r="AS89" i="19"/>
  <c r="AS90" i="19"/>
  <c r="AS91" i="19"/>
  <c r="AS92" i="19"/>
  <c r="AS93" i="19"/>
  <c r="AS94" i="19"/>
  <c r="AS95" i="19"/>
  <c r="AS96" i="19"/>
  <c r="AS97" i="19"/>
  <c r="AS98" i="19"/>
  <c r="AS99" i="19"/>
  <c r="AS100" i="19"/>
  <c r="AS101" i="19"/>
  <c r="AS102" i="19"/>
  <c r="AS103" i="19"/>
  <c r="AS104" i="19"/>
  <c r="AS105" i="19"/>
  <c r="AS106" i="19"/>
  <c r="AS107" i="19"/>
  <c r="AS108" i="19"/>
  <c r="AS109" i="19"/>
  <c r="AS110" i="19"/>
  <c r="AS111" i="19"/>
  <c r="AS112" i="19"/>
  <c r="AS113" i="19"/>
  <c r="AS114" i="19"/>
  <c r="AS115" i="19"/>
  <c r="AS116" i="19"/>
  <c r="AS117" i="19"/>
  <c r="AS118" i="19"/>
  <c r="AS119" i="19"/>
  <c r="AS120" i="19"/>
  <c r="AS121" i="19"/>
  <c r="AS122" i="19"/>
  <c r="AS123" i="19"/>
  <c r="AS124" i="19"/>
  <c r="AS125" i="19"/>
  <c r="AS126" i="19"/>
  <c r="AS127" i="19"/>
  <c r="AS128" i="19"/>
  <c r="AS129" i="19"/>
  <c r="AS130" i="19"/>
  <c r="AS131" i="19"/>
  <c r="AS132" i="19"/>
  <c r="AS133" i="19"/>
  <c r="AS134" i="19"/>
  <c r="AS135" i="19"/>
  <c r="AS136" i="19"/>
  <c r="AS137" i="19"/>
  <c r="AS138" i="19"/>
  <c r="AS139" i="19"/>
  <c r="AS140" i="19"/>
  <c r="AS141" i="19"/>
  <c r="AS142" i="19"/>
  <c r="AS143" i="19"/>
  <c r="AS144" i="19"/>
  <c r="AS145" i="19"/>
  <c r="AS146" i="19"/>
  <c r="AS147" i="19"/>
  <c r="AS148" i="19"/>
  <c r="AS149" i="19"/>
  <c r="AS150" i="19"/>
  <c r="AS151" i="19"/>
  <c r="AS152" i="19"/>
  <c r="AS153" i="19"/>
  <c r="AS154" i="19"/>
  <c r="AS155" i="19"/>
  <c r="AS156" i="19"/>
  <c r="AS157" i="19"/>
  <c r="AS158" i="19"/>
  <c r="AS159" i="19"/>
  <c r="AS160" i="19"/>
  <c r="AS161" i="19"/>
  <c r="AS162" i="19"/>
  <c r="AS163" i="19"/>
  <c r="AS164" i="19"/>
  <c r="AS165" i="19"/>
  <c r="AS166" i="19"/>
  <c r="AS167" i="19"/>
  <c r="AS168" i="19"/>
  <c r="AS169" i="19"/>
  <c r="AS170" i="19"/>
  <c r="AS171" i="19"/>
  <c r="AS172" i="19"/>
  <c r="AS173" i="19"/>
  <c r="AS174" i="19"/>
  <c r="AS175" i="19"/>
  <c r="AS176" i="19"/>
  <c r="AS177" i="19"/>
  <c r="AS178" i="19"/>
  <c r="AS179" i="19"/>
  <c r="AS180" i="19"/>
  <c r="AS181" i="19"/>
  <c r="AS182" i="19"/>
  <c r="AS183" i="19"/>
  <c r="AS184" i="19"/>
  <c r="AS185" i="19"/>
  <c r="AS186" i="19"/>
  <c r="AS187" i="19"/>
  <c r="AS188" i="19"/>
  <c r="AS189" i="19"/>
  <c r="AS190" i="19"/>
  <c r="AS191" i="19"/>
  <c r="AS192" i="19"/>
  <c r="AS193" i="19"/>
  <c r="AS194" i="19"/>
  <c r="AS195" i="19"/>
  <c r="AS196" i="19"/>
  <c r="AS197" i="19"/>
  <c r="AS198" i="19"/>
  <c r="AS199" i="19"/>
  <c r="AS200" i="19"/>
  <c r="AS201" i="19"/>
  <c r="AF4" i="19"/>
  <c r="AF5" i="19"/>
  <c r="AF6" i="19"/>
  <c r="AF7" i="19"/>
  <c r="AF8" i="19"/>
  <c r="AF9" i="19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7" i="19"/>
  <c r="AF58" i="19"/>
  <c r="AF59" i="19"/>
  <c r="AF60" i="19"/>
  <c r="AF61" i="19"/>
  <c r="AF62" i="19"/>
  <c r="AF63" i="19"/>
  <c r="AF64" i="19"/>
  <c r="AF65" i="19"/>
  <c r="AF66" i="19"/>
  <c r="AF67" i="19"/>
  <c r="AF68" i="19"/>
  <c r="AF69" i="19"/>
  <c r="AF70" i="19"/>
  <c r="AF71" i="19"/>
  <c r="AF72" i="19"/>
  <c r="AF73" i="19"/>
  <c r="AF74" i="19"/>
  <c r="AF75" i="19"/>
  <c r="AF76" i="19"/>
  <c r="AF77" i="19"/>
  <c r="AF78" i="19"/>
  <c r="AF79" i="19"/>
  <c r="AF80" i="19"/>
  <c r="AF81" i="19"/>
  <c r="AF82" i="19"/>
  <c r="AF83" i="19"/>
  <c r="AF84" i="19"/>
  <c r="AF85" i="19"/>
  <c r="AF86" i="19"/>
  <c r="AF87" i="19"/>
  <c r="AF88" i="19"/>
  <c r="AF89" i="19"/>
  <c r="AF90" i="19"/>
  <c r="AF91" i="19"/>
  <c r="AF92" i="19"/>
  <c r="AF93" i="19"/>
  <c r="AF94" i="19"/>
  <c r="AF95" i="19"/>
  <c r="AF96" i="19"/>
  <c r="AF97" i="19"/>
  <c r="AF98" i="19"/>
  <c r="AF99" i="19"/>
  <c r="AF100" i="19"/>
  <c r="AF101" i="19"/>
  <c r="AF102" i="19"/>
  <c r="AF103" i="19"/>
  <c r="AF104" i="19"/>
  <c r="AF105" i="19"/>
  <c r="AF106" i="19"/>
  <c r="AF107" i="19"/>
  <c r="AF108" i="19"/>
  <c r="AF109" i="19"/>
  <c r="AF110" i="19"/>
  <c r="AF111" i="19"/>
  <c r="AF112" i="19"/>
  <c r="AF113" i="19"/>
  <c r="AF114" i="19"/>
  <c r="AF115" i="19"/>
  <c r="AF116" i="19"/>
  <c r="AF117" i="19"/>
  <c r="AF118" i="19"/>
  <c r="AF119" i="19"/>
  <c r="AF120" i="19"/>
  <c r="AF121" i="19"/>
  <c r="AF122" i="19"/>
  <c r="AF123" i="19"/>
  <c r="AF124" i="19"/>
  <c r="AF125" i="19"/>
  <c r="AF126" i="19"/>
  <c r="AF127" i="19"/>
  <c r="AF128" i="19"/>
  <c r="AF129" i="19"/>
  <c r="AF130" i="19"/>
  <c r="AF131" i="19"/>
  <c r="AF132" i="19"/>
  <c r="AF133" i="19"/>
  <c r="AF134" i="19"/>
  <c r="AF135" i="19"/>
  <c r="AF136" i="19"/>
  <c r="AF137" i="19"/>
  <c r="AF138" i="19"/>
  <c r="AF139" i="19"/>
  <c r="AF140" i="19"/>
  <c r="AF141" i="19"/>
  <c r="AF142" i="19"/>
  <c r="AF143" i="19"/>
  <c r="AF144" i="19"/>
  <c r="AF145" i="19"/>
  <c r="AF146" i="19"/>
  <c r="AF147" i="19"/>
  <c r="AF148" i="19"/>
  <c r="AF149" i="19"/>
  <c r="AF150" i="19"/>
  <c r="AF151" i="19"/>
  <c r="AF152" i="19"/>
  <c r="AF153" i="19"/>
  <c r="AF154" i="19"/>
  <c r="AF155" i="19"/>
  <c r="AF156" i="19"/>
  <c r="AF157" i="19"/>
  <c r="AF158" i="19"/>
  <c r="AF159" i="19"/>
  <c r="AF160" i="19"/>
  <c r="AF161" i="19"/>
  <c r="AF162" i="19"/>
  <c r="AF163" i="19"/>
  <c r="AF164" i="19"/>
  <c r="AF165" i="19"/>
  <c r="AF166" i="19"/>
  <c r="AF167" i="19"/>
  <c r="AF168" i="19"/>
  <c r="AF169" i="19"/>
  <c r="AF170" i="19"/>
  <c r="AF171" i="19"/>
  <c r="AF172" i="19"/>
  <c r="AF173" i="19"/>
  <c r="AF174" i="19"/>
  <c r="AF175" i="19"/>
  <c r="AF176" i="19"/>
  <c r="AF177" i="19"/>
  <c r="AF178" i="19"/>
  <c r="AF179" i="19"/>
  <c r="AF180" i="19"/>
  <c r="AF181" i="19"/>
  <c r="AF182" i="19"/>
  <c r="AF183" i="19"/>
  <c r="AF184" i="19"/>
  <c r="AF185" i="19"/>
  <c r="AF186" i="19"/>
  <c r="AF187" i="19"/>
  <c r="AF188" i="19"/>
  <c r="AF189" i="19"/>
  <c r="AF190" i="19"/>
  <c r="AF191" i="19"/>
  <c r="AF192" i="19"/>
  <c r="AF193" i="19"/>
  <c r="AF194" i="19"/>
  <c r="AF195" i="19"/>
  <c r="AF196" i="19"/>
  <c r="AF197" i="19"/>
  <c r="AF198" i="19"/>
  <c r="AF199" i="19"/>
  <c r="AF200" i="19"/>
  <c r="AF201" i="19"/>
  <c r="Y4" i="19"/>
  <c r="Y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Y101" i="19"/>
  <c r="Y102" i="19"/>
  <c r="Y103" i="19"/>
  <c r="Y104" i="19"/>
  <c r="Y105" i="19"/>
  <c r="Y106" i="19"/>
  <c r="Y107" i="19"/>
  <c r="Y108" i="19"/>
  <c r="Y109" i="19"/>
  <c r="Y110" i="19"/>
  <c r="Y111" i="19"/>
  <c r="Y112" i="19"/>
  <c r="Y113" i="19"/>
  <c r="Y114" i="19"/>
  <c r="Y115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28" i="19"/>
  <c r="Y129" i="19"/>
  <c r="Y130" i="19"/>
  <c r="Y131" i="19"/>
  <c r="Y132" i="19"/>
  <c r="Y133" i="19"/>
  <c r="Y134" i="19"/>
  <c r="Y135" i="19"/>
  <c r="Y136" i="19"/>
  <c r="Y137" i="19"/>
  <c r="Y138" i="19"/>
  <c r="Y139" i="19"/>
  <c r="Y140" i="19"/>
  <c r="Y141" i="19"/>
  <c r="Y142" i="19"/>
  <c r="Y143" i="19"/>
  <c r="Y144" i="19"/>
  <c r="Y145" i="19"/>
  <c r="Y146" i="19"/>
  <c r="Y147" i="19"/>
  <c r="Y148" i="19"/>
  <c r="Y149" i="19"/>
  <c r="Y150" i="19"/>
  <c r="Y151" i="19"/>
  <c r="Y152" i="19"/>
  <c r="Y153" i="19"/>
  <c r="Y154" i="19"/>
  <c r="Y155" i="19"/>
  <c r="Y156" i="19"/>
  <c r="Y157" i="19"/>
  <c r="Y158" i="19"/>
  <c r="Y159" i="19"/>
  <c r="Y160" i="19"/>
  <c r="Y161" i="19"/>
  <c r="Y162" i="19"/>
  <c r="Y163" i="19"/>
  <c r="Y164" i="19"/>
  <c r="Y165" i="19"/>
  <c r="Y166" i="19"/>
  <c r="Y167" i="19"/>
  <c r="Y168" i="19"/>
  <c r="Y169" i="19"/>
  <c r="Y170" i="19"/>
  <c r="Y171" i="19"/>
  <c r="Y172" i="19"/>
  <c r="Y173" i="19"/>
  <c r="Y174" i="19"/>
  <c r="Y175" i="19"/>
  <c r="Y176" i="19"/>
  <c r="Y177" i="19"/>
  <c r="Y178" i="19"/>
  <c r="Y179" i="19"/>
  <c r="Y180" i="19"/>
  <c r="Y181" i="19"/>
  <c r="Y182" i="19"/>
  <c r="Y183" i="19"/>
  <c r="Y184" i="19"/>
  <c r="Y185" i="19"/>
  <c r="Y186" i="19"/>
  <c r="Y187" i="19"/>
  <c r="Y188" i="19"/>
  <c r="Y189" i="19"/>
  <c r="Y190" i="19"/>
  <c r="Y191" i="19"/>
  <c r="Y192" i="19"/>
  <c r="Y193" i="19"/>
  <c r="Y194" i="19"/>
  <c r="Y195" i="19"/>
  <c r="Y196" i="19"/>
  <c r="Y197" i="19"/>
  <c r="Y198" i="19"/>
  <c r="Y199" i="19"/>
  <c r="Y200" i="19"/>
  <c r="Y201" i="19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6" i="19"/>
  <c r="R177" i="19"/>
  <c r="R178" i="19"/>
  <c r="R179" i="19"/>
  <c r="R180" i="19"/>
  <c r="R181" i="19"/>
  <c r="R182" i="19"/>
  <c r="R183" i="19"/>
  <c r="R184" i="19"/>
  <c r="R185" i="19"/>
  <c r="R186" i="19"/>
  <c r="R187" i="19"/>
  <c r="R188" i="19"/>
  <c r="R189" i="19"/>
  <c r="R190" i="19"/>
  <c r="R191" i="19"/>
  <c r="R192" i="19"/>
  <c r="R193" i="19"/>
  <c r="R194" i="19"/>
  <c r="R195" i="19"/>
  <c r="R196" i="19"/>
  <c r="R197" i="19"/>
  <c r="R198" i="19"/>
  <c r="R199" i="19"/>
  <c r="R200" i="19"/>
  <c r="R201" i="19"/>
  <c r="CH4" i="18"/>
  <c r="CH5" i="18"/>
  <c r="CH6" i="18"/>
  <c r="CH7" i="18"/>
  <c r="CH8" i="18"/>
  <c r="CH9" i="18"/>
  <c r="CH10" i="18"/>
  <c r="CH11" i="18"/>
  <c r="CH12" i="18"/>
  <c r="CH13" i="18"/>
  <c r="CH14" i="18"/>
  <c r="CH15" i="18"/>
  <c r="CH16" i="18"/>
  <c r="CH17" i="18"/>
  <c r="CH18" i="18"/>
  <c r="CH19" i="18"/>
  <c r="CH20" i="18"/>
  <c r="CH21" i="18"/>
  <c r="CH22" i="18"/>
  <c r="CH23" i="18"/>
  <c r="CH24" i="18"/>
  <c r="CH25" i="18"/>
  <c r="CH26" i="18"/>
  <c r="CH27" i="18"/>
  <c r="CH28" i="18"/>
  <c r="CH29" i="18"/>
  <c r="CH30" i="18"/>
  <c r="CH31" i="18"/>
  <c r="CH32" i="18"/>
  <c r="CH33" i="18"/>
  <c r="CH34" i="18"/>
  <c r="CH35" i="18"/>
  <c r="CH36" i="18"/>
  <c r="CH37" i="18"/>
  <c r="CH38" i="18"/>
  <c r="CH39" i="18"/>
  <c r="CH40" i="18"/>
  <c r="CH41" i="18"/>
  <c r="CH42" i="18"/>
  <c r="CH43" i="18"/>
  <c r="CH44" i="18"/>
  <c r="CH45" i="18"/>
  <c r="CH46" i="18"/>
  <c r="CH47" i="18"/>
  <c r="CH48" i="18"/>
  <c r="CH49" i="18"/>
  <c r="CH50" i="18"/>
  <c r="CH51" i="18"/>
  <c r="CH52" i="18"/>
  <c r="CH53" i="18"/>
  <c r="CH54" i="18"/>
  <c r="CH55" i="18"/>
  <c r="CH56" i="18"/>
  <c r="CH57" i="18"/>
  <c r="CH58" i="18"/>
  <c r="CH59" i="18"/>
  <c r="CH60" i="18"/>
  <c r="CH61" i="18"/>
  <c r="CH62" i="18"/>
  <c r="CH63" i="18"/>
  <c r="CH64" i="18"/>
  <c r="CH65" i="18"/>
  <c r="CH66" i="18"/>
  <c r="CH67" i="18"/>
  <c r="CH68" i="18"/>
  <c r="CH69" i="18"/>
  <c r="CH70" i="18"/>
  <c r="CH71" i="18"/>
  <c r="CH72" i="18"/>
  <c r="CH73" i="18"/>
  <c r="CH74" i="18"/>
  <c r="CH75" i="18"/>
  <c r="CH76" i="18"/>
  <c r="CH77" i="18"/>
  <c r="CH78" i="18"/>
  <c r="CH79" i="18"/>
  <c r="CH80" i="18"/>
  <c r="CH81" i="18"/>
  <c r="CH82" i="18"/>
  <c r="CH83" i="18"/>
  <c r="CH84" i="18"/>
  <c r="CH85" i="18"/>
  <c r="CH86" i="18"/>
  <c r="CH87" i="18"/>
  <c r="CH88" i="18"/>
  <c r="CH89" i="18"/>
  <c r="CH90" i="18"/>
  <c r="CH91" i="18"/>
  <c r="CH92" i="18"/>
  <c r="CH93" i="18"/>
  <c r="CH94" i="18"/>
  <c r="CH95" i="18"/>
  <c r="CH96" i="18"/>
  <c r="CH97" i="18"/>
  <c r="CH98" i="18"/>
  <c r="CH99" i="18"/>
  <c r="CH100" i="18"/>
  <c r="CH101" i="18"/>
  <c r="CH102" i="18"/>
  <c r="CH103" i="18"/>
  <c r="CH104" i="18"/>
  <c r="CH105" i="18"/>
  <c r="CH106" i="18"/>
  <c r="CH107" i="18"/>
  <c r="CH108" i="18"/>
  <c r="CH109" i="18"/>
  <c r="CH110" i="18"/>
  <c r="CH111" i="18"/>
  <c r="CH112" i="18"/>
  <c r="CH113" i="18"/>
  <c r="CH114" i="18"/>
  <c r="CH115" i="18"/>
  <c r="CH116" i="18"/>
  <c r="CH117" i="18"/>
  <c r="CH118" i="18"/>
  <c r="CH119" i="18"/>
  <c r="CH120" i="18"/>
  <c r="CH121" i="18"/>
  <c r="CH122" i="18"/>
  <c r="CH123" i="18"/>
  <c r="CH124" i="18"/>
  <c r="CH125" i="18"/>
  <c r="CH126" i="18"/>
  <c r="CH127" i="18"/>
  <c r="CH128" i="18"/>
  <c r="CH129" i="18"/>
  <c r="CH130" i="18"/>
  <c r="CH131" i="18"/>
  <c r="CH132" i="18"/>
  <c r="CH133" i="18"/>
  <c r="CH134" i="18"/>
  <c r="CH135" i="18"/>
  <c r="CH136" i="18"/>
  <c r="CH137" i="18"/>
  <c r="CH138" i="18"/>
  <c r="CH139" i="18"/>
  <c r="CH140" i="18"/>
  <c r="CH141" i="18"/>
  <c r="CH142" i="18"/>
  <c r="CH143" i="18"/>
  <c r="CH144" i="18"/>
  <c r="CH145" i="18"/>
  <c r="CH146" i="18"/>
  <c r="CH147" i="18"/>
  <c r="CH148" i="18"/>
  <c r="CH149" i="18"/>
  <c r="CH150" i="18"/>
  <c r="CH151" i="18"/>
  <c r="CH152" i="18"/>
  <c r="CH153" i="18"/>
  <c r="CH154" i="18"/>
  <c r="CH155" i="18"/>
  <c r="CH156" i="18"/>
  <c r="CH157" i="18"/>
  <c r="CH158" i="18"/>
  <c r="CH159" i="18"/>
  <c r="CH160" i="18"/>
  <c r="CH161" i="18"/>
  <c r="CH162" i="18"/>
  <c r="CH163" i="18"/>
  <c r="CH164" i="18"/>
  <c r="CH165" i="18"/>
  <c r="CH166" i="18"/>
  <c r="CH167" i="18"/>
  <c r="CH168" i="18"/>
  <c r="CH169" i="18"/>
  <c r="CH170" i="18"/>
  <c r="CH171" i="18"/>
  <c r="CH172" i="18"/>
  <c r="CH173" i="18"/>
  <c r="CH174" i="18"/>
  <c r="CH175" i="18"/>
  <c r="CH176" i="18"/>
  <c r="CH177" i="18"/>
  <c r="CH178" i="18"/>
  <c r="CH179" i="18"/>
  <c r="CH180" i="18"/>
  <c r="CH181" i="18"/>
  <c r="CH182" i="18"/>
  <c r="CH183" i="18"/>
  <c r="CH184" i="18"/>
  <c r="CH185" i="18"/>
  <c r="CH186" i="18"/>
  <c r="CH187" i="18"/>
  <c r="CH188" i="18"/>
  <c r="CH189" i="18"/>
  <c r="CH190" i="18"/>
  <c r="CH191" i="18"/>
  <c r="CH192" i="18"/>
  <c r="CH193" i="18"/>
  <c r="CH194" i="18"/>
  <c r="CH195" i="18"/>
  <c r="CH196" i="18"/>
  <c r="CH197" i="18"/>
  <c r="CH198" i="18"/>
  <c r="CH199" i="18"/>
  <c r="CH200" i="18"/>
  <c r="CH201" i="18"/>
  <c r="CA4" i="18"/>
  <c r="CA5" i="18"/>
  <c r="CA6" i="18"/>
  <c r="CA7" i="18"/>
  <c r="CA8" i="18"/>
  <c r="CA9" i="18"/>
  <c r="CA10" i="18"/>
  <c r="CA11" i="18"/>
  <c r="CA12" i="18"/>
  <c r="CA13" i="18"/>
  <c r="CA14" i="18"/>
  <c r="CA15" i="18"/>
  <c r="CA16" i="18"/>
  <c r="CA17" i="18"/>
  <c r="CA18" i="18"/>
  <c r="CA19" i="18"/>
  <c r="CA20" i="18"/>
  <c r="CA21" i="18"/>
  <c r="CA22" i="18"/>
  <c r="CA23" i="18"/>
  <c r="CA24" i="18"/>
  <c r="CA25" i="18"/>
  <c r="CA26" i="18"/>
  <c r="CA27" i="18"/>
  <c r="CA28" i="18"/>
  <c r="CA29" i="18"/>
  <c r="CA30" i="18"/>
  <c r="CA31" i="18"/>
  <c r="CA32" i="18"/>
  <c r="CA33" i="18"/>
  <c r="CA34" i="18"/>
  <c r="CA35" i="18"/>
  <c r="CA36" i="18"/>
  <c r="CA37" i="18"/>
  <c r="CA38" i="18"/>
  <c r="CA39" i="18"/>
  <c r="CA40" i="18"/>
  <c r="CA41" i="18"/>
  <c r="CA42" i="18"/>
  <c r="CA43" i="18"/>
  <c r="CA44" i="18"/>
  <c r="CA45" i="18"/>
  <c r="CA46" i="18"/>
  <c r="CA47" i="18"/>
  <c r="CA48" i="18"/>
  <c r="CA49" i="18"/>
  <c r="CA50" i="18"/>
  <c r="CA51" i="18"/>
  <c r="CA52" i="18"/>
  <c r="CA53" i="18"/>
  <c r="CA54" i="18"/>
  <c r="CA55" i="18"/>
  <c r="CA56" i="18"/>
  <c r="CA57" i="18"/>
  <c r="CA58" i="18"/>
  <c r="CA59" i="18"/>
  <c r="CA60" i="18"/>
  <c r="CA61" i="18"/>
  <c r="CA62" i="18"/>
  <c r="CA63" i="18"/>
  <c r="CA64" i="18"/>
  <c r="CA65" i="18"/>
  <c r="CA66" i="18"/>
  <c r="CA67" i="18"/>
  <c r="CA68" i="18"/>
  <c r="CA69" i="18"/>
  <c r="CA70" i="18"/>
  <c r="CA71" i="18"/>
  <c r="CA72" i="18"/>
  <c r="CA73" i="18"/>
  <c r="CA74" i="18"/>
  <c r="CA75" i="18"/>
  <c r="CA76" i="18"/>
  <c r="CA77" i="18"/>
  <c r="CA78" i="18"/>
  <c r="CA79" i="18"/>
  <c r="CA80" i="18"/>
  <c r="CA81" i="18"/>
  <c r="CA82" i="18"/>
  <c r="CA83" i="18"/>
  <c r="CA84" i="18"/>
  <c r="CA85" i="18"/>
  <c r="CA86" i="18"/>
  <c r="CA87" i="18"/>
  <c r="CA88" i="18"/>
  <c r="CA89" i="18"/>
  <c r="CA90" i="18"/>
  <c r="CA91" i="18"/>
  <c r="CA92" i="18"/>
  <c r="CA93" i="18"/>
  <c r="CA94" i="18"/>
  <c r="CA95" i="18"/>
  <c r="CA96" i="18"/>
  <c r="CA97" i="18"/>
  <c r="CA98" i="18"/>
  <c r="CA99" i="18"/>
  <c r="CA100" i="18"/>
  <c r="CA101" i="18"/>
  <c r="CA102" i="18"/>
  <c r="CA103" i="18"/>
  <c r="CA104" i="18"/>
  <c r="CA105" i="18"/>
  <c r="CA106" i="18"/>
  <c r="CA107" i="18"/>
  <c r="CA108" i="18"/>
  <c r="CA109" i="18"/>
  <c r="CA110" i="18"/>
  <c r="CA111" i="18"/>
  <c r="CA112" i="18"/>
  <c r="CA113" i="18"/>
  <c r="CA114" i="18"/>
  <c r="CA115" i="18"/>
  <c r="CA116" i="18"/>
  <c r="CA117" i="18"/>
  <c r="CA118" i="18"/>
  <c r="CA119" i="18"/>
  <c r="CA120" i="18"/>
  <c r="CA121" i="18"/>
  <c r="CA122" i="18"/>
  <c r="CA123" i="18"/>
  <c r="CA124" i="18"/>
  <c r="CA125" i="18"/>
  <c r="CA126" i="18"/>
  <c r="CA127" i="18"/>
  <c r="CA128" i="18"/>
  <c r="CA129" i="18"/>
  <c r="CA130" i="18"/>
  <c r="CA131" i="18"/>
  <c r="CA132" i="18"/>
  <c r="CA133" i="18"/>
  <c r="CA134" i="18"/>
  <c r="CA135" i="18"/>
  <c r="CA136" i="18"/>
  <c r="CA137" i="18"/>
  <c r="CA138" i="18"/>
  <c r="CA139" i="18"/>
  <c r="CA140" i="18"/>
  <c r="CA141" i="18"/>
  <c r="CA142" i="18"/>
  <c r="CA143" i="18"/>
  <c r="CA144" i="18"/>
  <c r="CA145" i="18"/>
  <c r="CA146" i="18"/>
  <c r="CA147" i="18"/>
  <c r="CA148" i="18"/>
  <c r="CA149" i="18"/>
  <c r="CA150" i="18"/>
  <c r="CA151" i="18"/>
  <c r="CA152" i="18"/>
  <c r="CA153" i="18"/>
  <c r="CA154" i="18"/>
  <c r="CA155" i="18"/>
  <c r="CA156" i="18"/>
  <c r="CA157" i="18"/>
  <c r="CA158" i="18"/>
  <c r="CA159" i="18"/>
  <c r="CA160" i="18"/>
  <c r="CA161" i="18"/>
  <c r="CA162" i="18"/>
  <c r="CA163" i="18"/>
  <c r="CA164" i="18"/>
  <c r="CA165" i="18"/>
  <c r="CA166" i="18"/>
  <c r="CA167" i="18"/>
  <c r="CA168" i="18"/>
  <c r="CA169" i="18"/>
  <c r="CA170" i="18"/>
  <c r="CA171" i="18"/>
  <c r="CA172" i="18"/>
  <c r="CA173" i="18"/>
  <c r="CA174" i="18"/>
  <c r="CA175" i="18"/>
  <c r="CA176" i="18"/>
  <c r="CA177" i="18"/>
  <c r="CA178" i="18"/>
  <c r="CA179" i="18"/>
  <c r="CA180" i="18"/>
  <c r="CA181" i="18"/>
  <c r="CA182" i="18"/>
  <c r="CA183" i="18"/>
  <c r="CA184" i="18"/>
  <c r="CA185" i="18"/>
  <c r="CA186" i="18"/>
  <c r="CA187" i="18"/>
  <c r="CA188" i="18"/>
  <c r="CA189" i="18"/>
  <c r="CA190" i="18"/>
  <c r="CA191" i="18"/>
  <c r="CA192" i="18"/>
  <c r="CA193" i="18"/>
  <c r="CA194" i="18"/>
  <c r="CA195" i="18"/>
  <c r="CA196" i="18"/>
  <c r="CA197" i="18"/>
  <c r="CA198" i="18"/>
  <c r="CA199" i="18"/>
  <c r="CA200" i="18"/>
  <c r="CA201" i="18"/>
  <c r="BT4" i="18"/>
  <c r="BT5" i="18"/>
  <c r="BT6" i="18"/>
  <c r="BT7" i="18"/>
  <c r="BT8" i="18"/>
  <c r="BT9" i="18"/>
  <c r="BT10" i="18"/>
  <c r="BT11" i="18"/>
  <c r="BT12" i="18"/>
  <c r="BT13" i="18"/>
  <c r="BT14" i="18"/>
  <c r="BT15" i="18"/>
  <c r="BT16" i="18"/>
  <c r="BT17" i="18"/>
  <c r="BT18" i="18"/>
  <c r="BT19" i="18"/>
  <c r="BT20" i="18"/>
  <c r="BT21" i="18"/>
  <c r="BT22" i="18"/>
  <c r="BT23" i="18"/>
  <c r="BT24" i="18"/>
  <c r="BT25" i="18"/>
  <c r="BT26" i="18"/>
  <c r="BT27" i="18"/>
  <c r="BT28" i="18"/>
  <c r="BT29" i="18"/>
  <c r="BT30" i="18"/>
  <c r="BT31" i="18"/>
  <c r="BT32" i="18"/>
  <c r="BT33" i="18"/>
  <c r="BT34" i="18"/>
  <c r="BT35" i="18"/>
  <c r="BT36" i="18"/>
  <c r="BT37" i="18"/>
  <c r="BT38" i="18"/>
  <c r="BT39" i="18"/>
  <c r="BT40" i="18"/>
  <c r="BT41" i="18"/>
  <c r="BT42" i="18"/>
  <c r="BT43" i="18"/>
  <c r="BT44" i="18"/>
  <c r="BT45" i="18"/>
  <c r="BT46" i="18"/>
  <c r="BT47" i="18"/>
  <c r="BT48" i="18"/>
  <c r="BT49" i="18"/>
  <c r="BT50" i="18"/>
  <c r="BT51" i="18"/>
  <c r="BT52" i="18"/>
  <c r="BT53" i="18"/>
  <c r="BT54" i="18"/>
  <c r="BT55" i="18"/>
  <c r="BT56" i="18"/>
  <c r="BT57" i="18"/>
  <c r="BT58" i="18"/>
  <c r="BT59" i="18"/>
  <c r="BT60" i="18"/>
  <c r="BT61" i="18"/>
  <c r="BT62" i="18"/>
  <c r="BT63" i="18"/>
  <c r="BT64" i="18"/>
  <c r="BT65" i="18"/>
  <c r="BT66" i="18"/>
  <c r="BT67" i="18"/>
  <c r="BT68" i="18"/>
  <c r="BT69" i="18"/>
  <c r="BT70" i="18"/>
  <c r="BT71" i="18"/>
  <c r="BT72" i="18"/>
  <c r="BT73" i="18"/>
  <c r="BT74" i="18"/>
  <c r="BT75" i="18"/>
  <c r="BT76" i="18"/>
  <c r="BT77" i="18"/>
  <c r="BT78" i="18"/>
  <c r="BT79" i="18"/>
  <c r="BT80" i="18"/>
  <c r="BT81" i="18"/>
  <c r="BT82" i="18"/>
  <c r="BT83" i="18"/>
  <c r="BT84" i="18"/>
  <c r="BT85" i="18"/>
  <c r="BT86" i="18"/>
  <c r="BT87" i="18"/>
  <c r="BT88" i="18"/>
  <c r="BT89" i="18"/>
  <c r="BT90" i="18"/>
  <c r="BT91" i="18"/>
  <c r="BT92" i="18"/>
  <c r="BT93" i="18"/>
  <c r="BT94" i="18"/>
  <c r="BT95" i="18"/>
  <c r="BT96" i="18"/>
  <c r="BT97" i="18"/>
  <c r="BT98" i="18"/>
  <c r="BT99" i="18"/>
  <c r="BT100" i="18"/>
  <c r="BT101" i="18"/>
  <c r="BT102" i="18"/>
  <c r="BT103" i="18"/>
  <c r="BT104" i="18"/>
  <c r="BT105" i="18"/>
  <c r="BT106" i="18"/>
  <c r="BT107" i="18"/>
  <c r="BT108" i="18"/>
  <c r="BT109" i="18"/>
  <c r="BT110" i="18"/>
  <c r="BT111" i="18"/>
  <c r="BT112" i="18"/>
  <c r="BT113" i="18"/>
  <c r="BT114" i="18"/>
  <c r="BT115" i="18"/>
  <c r="BT116" i="18"/>
  <c r="BT117" i="18"/>
  <c r="BT118" i="18"/>
  <c r="BT119" i="18"/>
  <c r="BT120" i="18"/>
  <c r="BT121" i="18"/>
  <c r="BT122" i="18"/>
  <c r="BT123" i="18"/>
  <c r="BT124" i="18"/>
  <c r="BT125" i="18"/>
  <c r="BT126" i="18"/>
  <c r="BT127" i="18"/>
  <c r="BT128" i="18"/>
  <c r="BT129" i="18"/>
  <c r="BT130" i="18"/>
  <c r="BT131" i="18"/>
  <c r="BT132" i="18"/>
  <c r="BT133" i="18"/>
  <c r="BT134" i="18"/>
  <c r="BT135" i="18"/>
  <c r="BT136" i="18"/>
  <c r="BT137" i="18"/>
  <c r="BT138" i="18"/>
  <c r="BT139" i="18"/>
  <c r="BT140" i="18"/>
  <c r="BT141" i="18"/>
  <c r="BT142" i="18"/>
  <c r="BT143" i="18"/>
  <c r="BT144" i="18"/>
  <c r="BT145" i="18"/>
  <c r="BT146" i="18"/>
  <c r="BT147" i="18"/>
  <c r="BT148" i="18"/>
  <c r="BT149" i="18"/>
  <c r="BT150" i="18"/>
  <c r="BT151" i="18"/>
  <c r="BT152" i="18"/>
  <c r="BT153" i="18"/>
  <c r="BT154" i="18"/>
  <c r="BT155" i="18"/>
  <c r="BT156" i="18"/>
  <c r="BT157" i="18"/>
  <c r="BT158" i="18"/>
  <c r="BT159" i="18"/>
  <c r="BT160" i="18"/>
  <c r="BT161" i="18"/>
  <c r="BT162" i="18"/>
  <c r="BT163" i="18"/>
  <c r="BT164" i="18"/>
  <c r="BT165" i="18"/>
  <c r="BT166" i="18"/>
  <c r="BT167" i="18"/>
  <c r="BT168" i="18"/>
  <c r="BT169" i="18"/>
  <c r="BT170" i="18"/>
  <c r="BT171" i="18"/>
  <c r="BT172" i="18"/>
  <c r="BT173" i="18"/>
  <c r="BT174" i="18"/>
  <c r="BT175" i="18"/>
  <c r="BT176" i="18"/>
  <c r="BT177" i="18"/>
  <c r="BT178" i="18"/>
  <c r="BT179" i="18"/>
  <c r="BT180" i="18"/>
  <c r="BT181" i="18"/>
  <c r="BT182" i="18"/>
  <c r="BT183" i="18"/>
  <c r="BT184" i="18"/>
  <c r="BT185" i="18"/>
  <c r="BT186" i="18"/>
  <c r="BT187" i="18"/>
  <c r="BT188" i="18"/>
  <c r="BT189" i="18"/>
  <c r="BT190" i="18"/>
  <c r="BT191" i="18"/>
  <c r="BT192" i="18"/>
  <c r="BT193" i="18"/>
  <c r="BT194" i="18"/>
  <c r="BT195" i="18"/>
  <c r="BT196" i="18"/>
  <c r="BT197" i="18"/>
  <c r="BT198" i="18"/>
  <c r="BT199" i="18"/>
  <c r="BT200" i="18"/>
  <c r="BT201" i="18"/>
  <c r="BG4" i="18"/>
  <c r="BG5" i="18"/>
  <c r="BG6" i="18"/>
  <c r="BG7" i="18"/>
  <c r="BG8" i="18"/>
  <c r="BG9" i="18"/>
  <c r="BG10" i="18"/>
  <c r="BG11" i="18"/>
  <c r="BG12" i="18"/>
  <c r="BG13" i="18"/>
  <c r="BG14" i="18"/>
  <c r="BG15" i="18"/>
  <c r="BG16" i="18"/>
  <c r="BG17" i="18"/>
  <c r="BG18" i="18"/>
  <c r="BG19" i="18"/>
  <c r="BG20" i="18"/>
  <c r="BG21" i="18"/>
  <c r="BG22" i="18"/>
  <c r="BG23" i="18"/>
  <c r="BG24" i="18"/>
  <c r="BG25" i="18"/>
  <c r="BG26" i="18"/>
  <c r="BG27" i="18"/>
  <c r="BG28" i="18"/>
  <c r="BG29" i="18"/>
  <c r="BG30" i="18"/>
  <c r="BG31" i="18"/>
  <c r="BG32" i="18"/>
  <c r="BG33" i="18"/>
  <c r="BG34" i="18"/>
  <c r="BG35" i="18"/>
  <c r="BG36" i="18"/>
  <c r="BG37" i="18"/>
  <c r="BG38" i="18"/>
  <c r="BG39" i="18"/>
  <c r="BG40" i="18"/>
  <c r="BG41" i="18"/>
  <c r="BG42" i="18"/>
  <c r="BG43" i="18"/>
  <c r="BG44" i="18"/>
  <c r="BG45" i="18"/>
  <c r="BG46" i="18"/>
  <c r="BG47" i="18"/>
  <c r="BG48" i="18"/>
  <c r="BG49" i="18"/>
  <c r="BG50" i="18"/>
  <c r="BG51" i="18"/>
  <c r="BG52" i="18"/>
  <c r="BG53" i="18"/>
  <c r="BG54" i="18"/>
  <c r="BG55" i="18"/>
  <c r="BG56" i="18"/>
  <c r="BG57" i="18"/>
  <c r="BG58" i="18"/>
  <c r="BG59" i="18"/>
  <c r="BG60" i="18"/>
  <c r="BG61" i="18"/>
  <c r="BG62" i="18"/>
  <c r="BG63" i="18"/>
  <c r="BG64" i="18"/>
  <c r="BG65" i="18"/>
  <c r="BG66" i="18"/>
  <c r="BG67" i="18"/>
  <c r="BG68" i="18"/>
  <c r="BG69" i="18"/>
  <c r="BG70" i="18"/>
  <c r="BG71" i="18"/>
  <c r="BG72" i="18"/>
  <c r="BG73" i="18"/>
  <c r="BG74" i="18"/>
  <c r="BG75" i="18"/>
  <c r="BG76" i="18"/>
  <c r="BG77" i="18"/>
  <c r="BG78" i="18"/>
  <c r="BG79" i="18"/>
  <c r="BG80" i="18"/>
  <c r="BG81" i="18"/>
  <c r="BG82" i="18"/>
  <c r="BG83" i="18"/>
  <c r="BG84" i="18"/>
  <c r="BG85" i="18"/>
  <c r="BG86" i="18"/>
  <c r="BG87" i="18"/>
  <c r="BG88" i="18"/>
  <c r="BG89" i="18"/>
  <c r="BG90" i="18"/>
  <c r="BG91" i="18"/>
  <c r="BG92" i="18"/>
  <c r="BG93" i="18"/>
  <c r="BG94" i="18"/>
  <c r="BG95" i="18"/>
  <c r="BG96" i="18"/>
  <c r="BG97" i="18"/>
  <c r="BG98" i="18"/>
  <c r="BG99" i="18"/>
  <c r="BG100" i="18"/>
  <c r="BG101" i="18"/>
  <c r="BG102" i="18"/>
  <c r="BG103" i="18"/>
  <c r="BG104" i="18"/>
  <c r="BG105" i="18"/>
  <c r="BG106" i="18"/>
  <c r="BG107" i="18"/>
  <c r="BG108" i="18"/>
  <c r="BG109" i="18"/>
  <c r="BG110" i="18"/>
  <c r="BG111" i="18"/>
  <c r="BG112" i="18"/>
  <c r="BG113" i="18"/>
  <c r="BG114" i="18"/>
  <c r="BG115" i="18"/>
  <c r="BG116" i="18"/>
  <c r="BG117" i="18"/>
  <c r="BG118" i="18"/>
  <c r="BG119" i="18"/>
  <c r="BG120" i="18"/>
  <c r="BG121" i="18"/>
  <c r="BG122" i="18"/>
  <c r="BG123" i="18"/>
  <c r="BG124" i="18"/>
  <c r="BG125" i="18"/>
  <c r="BG126" i="18"/>
  <c r="BG127" i="18"/>
  <c r="BG128" i="18"/>
  <c r="BG129" i="18"/>
  <c r="BG130" i="18"/>
  <c r="BG131" i="18"/>
  <c r="BG132" i="18"/>
  <c r="BG133" i="18"/>
  <c r="BG134" i="18"/>
  <c r="BG135" i="18"/>
  <c r="BG136" i="18"/>
  <c r="BG137" i="18"/>
  <c r="BG138" i="18"/>
  <c r="BG139" i="18"/>
  <c r="BG140" i="18"/>
  <c r="BG141" i="18"/>
  <c r="BG142" i="18"/>
  <c r="BG143" i="18"/>
  <c r="BG144" i="18"/>
  <c r="BG145" i="18"/>
  <c r="BG146" i="18"/>
  <c r="BG147" i="18"/>
  <c r="BG148" i="18"/>
  <c r="BG149" i="18"/>
  <c r="BG150" i="18"/>
  <c r="BG151" i="18"/>
  <c r="BG152" i="18"/>
  <c r="BG153" i="18"/>
  <c r="BG154" i="18"/>
  <c r="BG155" i="18"/>
  <c r="BG156" i="18"/>
  <c r="BG157" i="18"/>
  <c r="BG158" i="18"/>
  <c r="BG159" i="18"/>
  <c r="BG160" i="18"/>
  <c r="BG161" i="18"/>
  <c r="BG162" i="18"/>
  <c r="BG163" i="18"/>
  <c r="BG164" i="18"/>
  <c r="BG165" i="18"/>
  <c r="BG166" i="18"/>
  <c r="BG167" i="18"/>
  <c r="BG168" i="18"/>
  <c r="BG169" i="18"/>
  <c r="BG170" i="18"/>
  <c r="BG171" i="18"/>
  <c r="BG172" i="18"/>
  <c r="BG173" i="18"/>
  <c r="BG174" i="18"/>
  <c r="BG175" i="18"/>
  <c r="BG176" i="18"/>
  <c r="BG177" i="18"/>
  <c r="BG178" i="18"/>
  <c r="BG179" i="18"/>
  <c r="BG180" i="18"/>
  <c r="BG181" i="18"/>
  <c r="BG182" i="18"/>
  <c r="BG183" i="18"/>
  <c r="BG184" i="18"/>
  <c r="BG185" i="18"/>
  <c r="BG186" i="18"/>
  <c r="BG187" i="18"/>
  <c r="BG188" i="18"/>
  <c r="BG189" i="18"/>
  <c r="BG190" i="18"/>
  <c r="BG191" i="18"/>
  <c r="BG192" i="18"/>
  <c r="BG193" i="18"/>
  <c r="BG194" i="18"/>
  <c r="BG195" i="18"/>
  <c r="BG196" i="18"/>
  <c r="BG197" i="18"/>
  <c r="BG198" i="18"/>
  <c r="BG199" i="18"/>
  <c r="BG200" i="18"/>
  <c r="BG201" i="18"/>
  <c r="AZ4" i="18"/>
  <c r="AZ5" i="18"/>
  <c r="AZ6" i="18"/>
  <c r="AZ7" i="18"/>
  <c r="AZ8" i="18"/>
  <c r="AZ9" i="18"/>
  <c r="AZ10" i="18"/>
  <c r="AZ11" i="18"/>
  <c r="AZ12" i="18"/>
  <c r="AZ13" i="18"/>
  <c r="AZ14" i="18"/>
  <c r="AZ15" i="18"/>
  <c r="AZ16" i="18"/>
  <c r="AZ17" i="18"/>
  <c r="AZ18" i="18"/>
  <c r="AZ19" i="18"/>
  <c r="AZ20" i="18"/>
  <c r="AZ21" i="18"/>
  <c r="AZ22" i="18"/>
  <c r="AZ23" i="18"/>
  <c r="AZ24" i="18"/>
  <c r="AZ25" i="18"/>
  <c r="AZ26" i="18"/>
  <c r="AZ27" i="18"/>
  <c r="AZ28" i="18"/>
  <c r="AZ29" i="18"/>
  <c r="AZ30" i="18"/>
  <c r="AZ31" i="18"/>
  <c r="AZ32" i="18"/>
  <c r="AZ33" i="18"/>
  <c r="AZ34" i="18"/>
  <c r="AZ35" i="18"/>
  <c r="AZ36" i="18"/>
  <c r="AZ37" i="18"/>
  <c r="AZ38" i="18"/>
  <c r="AZ39" i="18"/>
  <c r="AZ40" i="18"/>
  <c r="AZ41" i="18"/>
  <c r="AZ42" i="18"/>
  <c r="AZ43" i="18"/>
  <c r="AZ44" i="18"/>
  <c r="AZ45" i="18"/>
  <c r="AZ46" i="18"/>
  <c r="AZ47" i="18"/>
  <c r="AZ48" i="18"/>
  <c r="AZ49" i="18"/>
  <c r="AZ50" i="18"/>
  <c r="AZ51" i="18"/>
  <c r="AZ52" i="18"/>
  <c r="AZ53" i="18"/>
  <c r="AZ54" i="18"/>
  <c r="AZ55" i="18"/>
  <c r="AZ56" i="18"/>
  <c r="AZ57" i="18"/>
  <c r="AZ58" i="18"/>
  <c r="AZ59" i="18"/>
  <c r="AZ60" i="18"/>
  <c r="AZ61" i="18"/>
  <c r="AZ62" i="18"/>
  <c r="AZ63" i="18"/>
  <c r="AZ64" i="18"/>
  <c r="AZ65" i="18"/>
  <c r="AZ66" i="18"/>
  <c r="AZ67" i="18"/>
  <c r="AZ68" i="18"/>
  <c r="AZ69" i="18"/>
  <c r="AZ70" i="18"/>
  <c r="AZ71" i="18"/>
  <c r="AZ72" i="18"/>
  <c r="AZ73" i="18"/>
  <c r="AZ74" i="18"/>
  <c r="AZ75" i="18"/>
  <c r="AZ76" i="18"/>
  <c r="AZ77" i="18"/>
  <c r="AZ78" i="18"/>
  <c r="AZ79" i="18"/>
  <c r="AZ80" i="18"/>
  <c r="AZ81" i="18"/>
  <c r="AZ82" i="18"/>
  <c r="AZ83" i="18"/>
  <c r="AZ84" i="18"/>
  <c r="AZ85" i="18"/>
  <c r="AZ86" i="18"/>
  <c r="AZ87" i="18"/>
  <c r="AZ88" i="18"/>
  <c r="AZ89" i="18"/>
  <c r="AZ90" i="18"/>
  <c r="AZ91" i="18"/>
  <c r="AZ92" i="18"/>
  <c r="AZ93" i="18"/>
  <c r="AZ94" i="18"/>
  <c r="AZ95" i="18"/>
  <c r="AZ96" i="18"/>
  <c r="AZ97" i="18"/>
  <c r="AZ98" i="18"/>
  <c r="AZ99" i="18"/>
  <c r="AZ100" i="18"/>
  <c r="AZ101" i="18"/>
  <c r="AZ102" i="18"/>
  <c r="AZ103" i="18"/>
  <c r="AZ104" i="18"/>
  <c r="AZ105" i="18"/>
  <c r="AZ106" i="18"/>
  <c r="AZ107" i="18"/>
  <c r="AZ108" i="18"/>
  <c r="AZ109" i="18"/>
  <c r="AZ110" i="18"/>
  <c r="AZ111" i="18"/>
  <c r="AZ112" i="18"/>
  <c r="AZ113" i="18"/>
  <c r="AZ114" i="18"/>
  <c r="AZ115" i="18"/>
  <c r="AZ116" i="18"/>
  <c r="AZ117" i="18"/>
  <c r="AZ118" i="18"/>
  <c r="AZ119" i="18"/>
  <c r="AZ120" i="18"/>
  <c r="AZ121" i="18"/>
  <c r="AZ122" i="18"/>
  <c r="AZ123" i="18"/>
  <c r="AZ124" i="18"/>
  <c r="AZ125" i="18"/>
  <c r="AZ126" i="18"/>
  <c r="AZ127" i="18"/>
  <c r="AZ128" i="18"/>
  <c r="AZ129" i="18"/>
  <c r="AZ130" i="18"/>
  <c r="AZ131" i="18"/>
  <c r="AZ132" i="18"/>
  <c r="AZ133" i="18"/>
  <c r="AZ134" i="18"/>
  <c r="AZ135" i="18"/>
  <c r="AZ136" i="18"/>
  <c r="AZ137" i="18"/>
  <c r="AZ138" i="18"/>
  <c r="AZ139" i="18"/>
  <c r="AZ140" i="18"/>
  <c r="AZ141" i="18"/>
  <c r="AZ142" i="18"/>
  <c r="AZ143" i="18"/>
  <c r="AZ144" i="18"/>
  <c r="AZ145" i="18"/>
  <c r="AZ146" i="18"/>
  <c r="AZ147" i="18"/>
  <c r="AZ148" i="18"/>
  <c r="AZ149" i="18"/>
  <c r="AZ150" i="18"/>
  <c r="AZ151" i="18"/>
  <c r="AZ152" i="18"/>
  <c r="AZ153" i="18"/>
  <c r="AZ154" i="18"/>
  <c r="AZ155" i="18"/>
  <c r="AZ156" i="18"/>
  <c r="AZ157" i="18"/>
  <c r="AZ158" i="18"/>
  <c r="AZ159" i="18"/>
  <c r="AZ160" i="18"/>
  <c r="AZ161" i="18"/>
  <c r="AZ162" i="18"/>
  <c r="AZ163" i="18"/>
  <c r="AZ164" i="18"/>
  <c r="AZ165" i="18"/>
  <c r="AZ166" i="18"/>
  <c r="AZ167" i="18"/>
  <c r="AZ168" i="18"/>
  <c r="AZ169" i="18"/>
  <c r="AZ170" i="18"/>
  <c r="AZ171" i="18"/>
  <c r="AZ172" i="18"/>
  <c r="AZ173" i="18"/>
  <c r="AZ174" i="18"/>
  <c r="AZ175" i="18"/>
  <c r="AZ176" i="18"/>
  <c r="AZ177" i="18"/>
  <c r="AZ178" i="18"/>
  <c r="AZ179" i="18"/>
  <c r="AZ180" i="18"/>
  <c r="AZ181" i="18"/>
  <c r="AZ182" i="18"/>
  <c r="AZ183" i="18"/>
  <c r="AZ184" i="18"/>
  <c r="AZ185" i="18"/>
  <c r="AZ186" i="18"/>
  <c r="AZ187" i="18"/>
  <c r="AZ188" i="18"/>
  <c r="AZ189" i="18"/>
  <c r="AZ190" i="18"/>
  <c r="AZ191" i="18"/>
  <c r="AZ192" i="18"/>
  <c r="AZ193" i="18"/>
  <c r="AZ194" i="18"/>
  <c r="AZ195" i="18"/>
  <c r="AZ196" i="18"/>
  <c r="AZ197" i="18"/>
  <c r="AZ198" i="18"/>
  <c r="AZ199" i="18"/>
  <c r="AZ200" i="18"/>
  <c r="AZ201" i="18"/>
  <c r="AS4" i="18"/>
  <c r="AS5" i="18"/>
  <c r="AS6" i="18"/>
  <c r="AS7" i="18"/>
  <c r="AS8" i="18"/>
  <c r="AS9" i="18"/>
  <c r="AS10" i="18"/>
  <c r="AS11" i="18"/>
  <c r="AS12" i="18"/>
  <c r="AS13" i="18"/>
  <c r="AS14" i="18"/>
  <c r="AS15" i="18"/>
  <c r="AS16" i="18"/>
  <c r="AS17" i="18"/>
  <c r="AS18" i="18"/>
  <c r="AS19" i="18"/>
  <c r="AS20" i="18"/>
  <c r="AS21" i="18"/>
  <c r="AS22" i="18"/>
  <c r="AS23" i="18"/>
  <c r="AS24" i="18"/>
  <c r="AS25" i="18"/>
  <c r="AS26" i="18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43" i="18"/>
  <c r="AS44" i="18"/>
  <c r="AS45" i="18"/>
  <c r="AS46" i="18"/>
  <c r="AS47" i="18"/>
  <c r="AS48" i="18"/>
  <c r="AS49" i="18"/>
  <c r="AS50" i="18"/>
  <c r="AS51" i="18"/>
  <c r="AS52" i="18"/>
  <c r="AS53" i="18"/>
  <c r="AS54" i="18"/>
  <c r="AS55" i="18"/>
  <c r="AS56" i="18"/>
  <c r="AS57" i="18"/>
  <c r="AS58" i="18"/>
  <c r="AS59" i="18"/>
  <c r="AS60" i="18"/>
  <c r="AS61" i="18"/>
  <c r="AS62" i="18"/>
  <c r="AS63" i="18"/>
  <c r="AS64" i="18"/>
  <c r="AS65" i="18"/>
  <c r="AS66" i="18"/>
  <c r="AS67" i="18"/>
  <c r="AS68" i="18"/>
  <c r="AS69" i="18"/>
  <c r="AS70" i="18"/>
  <c r="AS71" i="18"/>
  <c r="AS72" i="18"/>
  <c r="AS73" i="18"/>
  <c r="AS74" i="18"/>
  <c r="AS75" i="18"/>
  <c r="AS76" i="18"/>
  <c r="AS77" i="18"/>
  <c r="AS78" i="18"/>
  <c r="AS79" i="18"/>
  <c r="AS80" i="18"/>
  <c r="AS81" i="18"/>
  <c r="AS82" i="18"/>
  <c r="AS83" i="18"/>
  <c r="AS84" i="18"/>
  <c r="AS85" i="18"/>
  <c r="AS86" i="18"/>
  <c r="AS87" i="18"/>
  <c r="AS88" i="18"/>
  <c r="AS89" i="18"/>
  <c r="AS90" i="18"/>
  <c r="AS91" i="18"/>
  <c r="AS92" i="18"/>
  <c r="AS93" i="18"/>
  <c r="AS94" i="18"/>
  <c r="AS95" i="18"/>
  <c r="AS96" i="18"/>
  <c r="AS97" i="18"/>
  <c r="AS98" i="18"/>
  <c r="AS99" i="18"/>
  <c r="AS100" i="18"/>
  <c r="AS101" i="18"/>
  <c r="AS102" i="18"/>
  <c r="AS103" i="18"/>
  <c r="AS104" i="18"/>
  <c r="AS105" i="18"/>
  <c r="AS106" i="18"/>
  <c r="AS107" i="18"/>
  <c r="AS108" i="18"/>
  <c r="AS109" i="18"/>
  <c r="AS110" i="18"/>
  <c r="AS111" i="18"/>
  <c r="AS112" i="18"/>
  <c r="AS113" i="18"/>
  <c r="AS114" i="18"/>
  <c r="AS115" i="18"/>
  <c r="AS116" i="18"/>
  <c r="AS117" i="18"/>
  <c r="AS118" i="18"/>
  <c r="AS119" i="18"/>
  <c r="AS120" i="18"/>
  <c r="AS121" i="18"/>
  <c r="AS122" i="18"/>
  <c r="AS123" i="18"/>
  <c r="AS124" i="18"/>
  <c r="AS125" i="18"/>
  <c r="AS126" i="18"/>
  <c r="AS127" i="18"/>
  <c r="AS128" i="18"/>
  <c r="AS129" i="18"/>
  <c r="AS130" i="18"/>
  <c r="AS131" i="18"/>
  <c r="AS132" i="18"/>
  <c r="AS133" i="18"/>
  <c r="AS134" i="18"/>
  <c r="AS135" i="18"/>
  <c r="AS136" i="18"/>
  <c r="AS137" i="18"/>
  <c r="AS138" i="18"/>
  <c r="AS139" i="18"/>
  <c r="AS140" i="18"/>
  <c r="AS141" i="18"/>
  <c r="AS142" i="18"/>
  <c r="AS143" i="18"/>
  <c r="AS144" i="18"/>
  <c r="AS145" i="18"/>
  <c r="AS146" i="18"/>
  <c r="AS147" i="18"/>
  <c r="AS148" i="18"/>
  <c r="AS149" i="18"/>
  <c r="AS150" i="18"/>
  <c r="AS151" i="18"/>
  <c r="AS152" i="18"/>
  <c r="AS153" i="18"/>
  <c r="AS154" i="18"/>
  <c r="AS155" i="18"/>
  <c r="AS156" i="18"/>
  <c r="AS157" i="18"/>
  <c r="AS158" i="18"/>
  <c r="AS159" i="18"/>
  <c r="AS160" i="18"/>
  <c r="AS161" i="18"/>
  <c r="AS162" i="18"/>
  <c r="AS163" i="18"/>
  <c r="AS164" i="18"/>
  <c r="AS165" i="18"/>
  <c r="AS166" i="18"/>
  <c r="AS167" i="18"/>
  <c r="AS168" i="18"/>
  <c r="AS169" i="18"/>
  <c r="AS170" i="18"/>
  <c r="AS171" i="18"/>
  <c r="AS172" i="18"/>
  <c r="AS173" i="18"/>
  <c r="AS174" i="18"/>
  <c r="AS175" i="18"/>
  <c r="AS176" i="18"/>
  <c r="AS177" i="18"/>
  <c r="AS178" i="18"/>
  <c r="AS179" i="18"/>
  <c r="AS180" i="18"/>
  <c r="AS181" i="18"/>
  <c r="AS182" i="18"/>
  <c r="AS183" i="18"/>
  <c r="AS184" i="18"/>
  <c r="AS185" i="18"/>
  <c r="AS186" i="18"/>
  <c r="AS187" i="18"/>
  <c r="AS188" i="18"/>
  <c r="AS189" i="18"/>
  <c r="AS190" i="18"/>
  <c r="AS191" i="18"/>
  <c r="AS192" i="18"/>
  <c r="AS193" i="18"/>
  <c r="AS194" i="18"/>
  <c r="AS195" i="18"/>
  <c r="AS196" i="18"/>
  <c r="AS197" i="18"/>
  <c r="AS198" i="18"/>
  <c r="AS199" i="18"/>
  <c r="AS200" i="18"/>
  <c r="AS201" i="18"/>
  <c r="AF4" i="18"/>
  <c r="AF5" i="18"/>
  <c r="AF6" i="18"/>
  <c r="AF7" i="18"/>
  <c r="AF8" i="18"/>
  <c r="AF9" i="18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42" i="18"/>
  <c r="AF43" i="18"/>
  <c r="AF44" i="18"/>
  <c r="AF45" i="18"/>
  <c r="AF46" i="18"/>
  <c r="AF47" i="18"/>
  <c r="AF48" i="18"/>
  <c r="AF49" i="18"/>
  <c r="AF50" i="18"/>
  <c r="AF51" i="18"/>
  <c r="AF52" i="18"/>
  <c r="AF53" i="18"/>
  <c r="AF54" i="18"/>
  <c r="AF55" i="18"/>
  <c r="AF56" i="18"/>
  <c r="AF57" i="18"/>
  <c r="AF58" i="18"/>
  <c r="AF59" i="18"/>
  <c r="AF60" i="18"/>
  <c r="AF61" i="18"/>
  <c r="AF62" i="18"/>
  <c r="AF63" i="18"/>
  <c r="AF64" i="18"/>
  <c r="AF65" i="18"/>
  <c r="AF66" i="18"/>
  <c r="AF67" i="18"/>
  <c r="AF68" i="18"/>
  <c r="AF69" i="18"/>
  <c r="AF70" i="18"/>
  <c r="AF71" i="18"/>
  <c r="AF72" i="18"/>
  <c r="AF73" i="18"/>
  <c r="AF74" i="18"/>
  <c r="AF75" i="18"/>
  <c r="AF76" i="18"/>
  <c r="AF77" i="18"/>
  <c r="AF78" i="18"/>
  <c r="AF79" i="18"/>
  <c r="AF80" i="18"/>
  <c r="AF81" i="18"/>
  <c r="AF82" i="18"/>
  <c r="AF83" i="18"/>
  <c r="AF84" i="18"/>
  <c r="AF85" i="18"/>
  <c r="AF86" i="18"/>
  <c r="AF87" i="18"/>
  <c r="AF88" i="18"/>
  <c r="AF89" i="18"/>
  <c r="AF90" i="18"/>
  <c r="AF91" i="18"/>
  <c r="AF92" i="18"/>
  <c r="AF93" i="18"/>
  <c r="AF94" i="18"/>
  <c r="AF95" i="18"/>
  <c r="AF96" i="18"/>
  <c r="AF97" i="18"/>
  <c r="AF98" i="18"/>
  <c r="AF99" i="18"/>
  <c r="AF100" i="18"/>
  <c r="AF101" i="18"/>
  <c r="AF102" i="18"/>
  <c r="AF103" i="18"/>
  <c r="AF104" i="18"/>
  <c r="AF105" i="18"/>
  <c r="AF106" i="18"/>
  <c r="AF107" i="18"/>
  <c r="AF108" i="18"/>
  <c r="AF109" i="18"/>
  <c r="AF110" i="18"/>
  <c r="AF111" i="18"/>
  <c r="AF112" i="18"/>
  <c r="AF113" i="18"/>
  <c r="AF114" i="18"/>
  <c r="AF115" i="18"/>
  <c r="AF116" i="18"/>
  <c r="AF117" i="18"/>
  <c r="AF118" i="18"/>
  <c r="AF119" i="18"/>
  <c r="AF120" i="18"/>
  <c r="AF121" i="18"/>
  <c r="AF122" i="18"/>
  <c r="AF123" i="18"/>
  <c r="AF124" i="18"/>
  <c r="AF125" i="18"/>
  <c r="AF126" i="18"/>
  <c r="AF127" i="18"/>
  <c r="AF128" i="18"/>
  <c r="AF129" i="18"/>
  <c r="AF130" i="18"/>
  <c r="AF131" i="18"/>
  <c r="AF132" i="18"/>
  <c r="AF133" i="18"/>
  <c r="AF134" i="18"/>
  <c r="AF135" i="18"/>
  <c r="AF136" i="18"/>
  <c r="AF137" i="18"/>
  <c r="AF138" i="18"/>
  <c r="AF139" i="18"/>
  <c r="AF140" i="18"/>
  <c r="AF141" i="18"/>
  <c r="AF142" i="18"/>
  <c r="AF143" i="18"/>
  <c r="AF144" i="18"/>
  <c r="AF145" i="18"/>
  <c r="AF146" i="18"/>
  <c r="AF147" i="18"/>
  <c r="AF148" i="18"/>
  <c r="AF149" i="18"/>
  <c r="AF150" i="18"/>
  <c r="AF151" i="18"/>
  <c r="AF152" i="18"/>
  <c r="AF153" i="18"/>
  <c r="AF154" i="18"/>
  <c r="AF155" i="18"/>
  <c r="AF156" i="18"/>
  <c r="AF157" i="18"/>
  <c r="AF158" i="18"/>
  <c r="AF159" i="18"/>
  <c r="AF160" i="18"/>
  <c r="AF161" i="18"/>
  <c r="AF162" i="18"/>
  <c r="AF163" i="18"/>
  <c r="AF164" i="18"/>
  <c r="AF165" i="18"/>
  <c r="AF166" i="18"/>
  <c r="AF167" i="18"/>
  <c r="AF168" i="18"/>
  <c r="AF169" i="18"/>
  <c r="AF170" i="18"/>
  <c r="AF171" i="18"/>
  <c r="AF172" i="18"/>
  <c r="AF173" i="18"/>
  <c r="AF174" i="18"/>
  <c r="AF175" i="18"/>
  <c r="AF176" i="18"/>
  <c r="AF177" i="18"/>
  <c r="AF178" i="18"/>
  <c r="AF179" i="18"/>
  <c r="AF180" i="18"/>
  <c r="AF181" i="18"/>
  <c r="AF182" i="18"/>
  <c r="AF183" i="18"/>
  <c r="AF184" i="18"/>
  <c r="AF185" i="18"/>
  <c r="AF186" i="18"/>
  <c r="AF187" i="18"/>
  <c r="AF188" i="18"/>
  <c r="AF189" i="18"/>
  <c r="AF190" i="18"/>
  <c r="AF191" i="18"/>
  <c r="AF192" i="18"/>
  <c r="AF193" i="18"/>
  <c r="AF194" i="18"/>
  <c r="AF195" i="18"/>
  <c r="AF196" i="18"/>
  <c r="AF197" i="18"/>
  <c r="AF198" i="18"/>
  <c r="AF199" i="18"/>
  <c r="AF200" i="18"/>
  <c r="AF201" i="18"/>
  <c r="Y4" i="18"/>
  <c r="Y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Y102" i="18"/>
  <c r="Y103" i="18"/>
  <c r="Y104" i="18"/>
  <c r="Y105" i="18"/>
  <c r="Y106" i="18"/>
  <c r="Y107" i="18"/>
  <c r="Y108" i="18"/>
  <c r="Y109" i="18"/>
  <c r="Y110" i="18"/>
  <c r="Y111" i="18"/>
  <c r="Y112" i="18"/>
  <c r="Y113" i="18"/>
  <c r="Y114" i="18"/>
  <c r="Y115" i="18"/>
  <c r="Y116" i="18"/>
  <c r="Y117" i="18"/>
  <c r="Y118" i="18"/>
  <c r="Y119" i="18"/>
  <c r="Y120" i="18"/>
  <c r="Y121" i="18"/>
  <c r="Y122" i="18"/>
  <c r="Y123" i="18"/>
  <c r="Y124" i="18"/>
  <c r="Y125" i="18"/>
  <c r="Y126" i="18"/>
  <c r="Y127" i="18"/>
  <c r="Y128" i="18"/>
  <c r="Y129" i="18"/>
  <c r="Y130" i="18"/>
  <c r="Y131" i="18"/>
  <c r="Y132" i="18"/>
  <c r="Y133" i="18"/>
  <c r="Y134" i="18"/>
  <c r="Y135" i="18"/>
  <c r="Y136" i="18"/>
  <c r="Y137" i="18"/>
  <c r="Y138" i="18"/>
  <c r="Y139" i="18"/>
  <c r="Y140" i="18"/>
  <c r="Y141" i="18"/>
  <c r="Y142" i="18"/>
  <c r="Y143" i="18"/>
  <c r="Y144" i="18"/>
  <c r="Y145" i="18"/>
  <c r="Y146" i="18"/>
  <c r="Y147" i="18"/>
  <c r="Y148" i="18"/>
  <c r="Y149" i="18"/>
  <c r="Y150" i="18"/>
  <c r="Y151" i="18"/>
  <c r="Y152" i="18"/>
  <c r="Y153" i="18"/>
  <c r="Y154" i="18"/>
  <c r="Y155" i="18"/>
  <c r="Y156" i="18"/>
  <c r="Y157" i="18"/>
  <c r="Y158" i="18"/>
  <c r="Y159" i="18"/>
  <c r="Y160" i="18"/>
  <c r="Y161" i="18"/>
  <c r="Y162" i="18"/>
  <c r="Y163" i="18"/>
  <c r="Y164" i="18"/>
  <c r="Y165" i="18"/>
  <c r="Y166" i="18"/>
  <c r="Y167" i="18"/>
  <c r="Y168" i="18"/>
  <c r="Y169" i="18"/>
  <c r="Y170" i="18"/>
  <c r="Y171" i="18"/>
  <c r="Y172" i="18"/>
  <c r="Y173" i="18"/>
  <c r="Y174" i="18"/>
  <c r="Y175" i="18"/>
  <c r="Y176" i="18"/>
  <c r="Y177" i="18"/>
  <c r="Y178" i="18"/>
  <c r="Y179" i="18"/>
  <c r="Y180" i="18"/>
  <c r="Y181" i="18"/>
  <c r="Y182" i="18"/>
  <c r="Y183" i="18"/>
  <c r="Y184" i="18"/>
  <c r="Y185" i="18"/>
  <c r="Y186" i="18"/>
  <c r="Y187" i="18"/>
  <c r="Y188" i="18"/>
  <c r="Y189" i="18"/>
  <c r="Y190" i="18"/>
  <c r="Y191" i="18"/>
  <c r="Y192" i="18"/>
  <c r="Y193" i="18"/>
  <c r="Y194" i="18"/>
  <c r="Y195" i="18"/>
  <c r="Y196" i="18"/>
  <c r="Y197" i="18"/>
  <c r="Y198" i="18"/>
  <c r="Y199" i="18"/>
  <c r="Y200" i="18"/>
  <c r="Y201" i="18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R130" i="18"/>
  <c r="R131" i="18"/>
  <c r="R132" i="18"/>
  <c r="R133" i="18"/>
  <c r="R134" i="18"/>
  <c r="R135" i="18"/>
  <c r="R136" i="18"/>
  <c r="R137" i="18"/>
  <c r="R138" i="18"/>
  <c r="R139" i="18"/>
  <c r="R140" i="18"/>
  <c r="R141" i="18"/>
  <c r="R142" i="18"/>
  <c r="R143" i="18"/>
  <c r="R144" i="18"/>
  <c r="R145" i="18"/>
  <c r="R146" i="18"/>
  <c r="R147" i="18"/>
  <c r="R148" i="18"/>
  <c r="R149" i="18"/>
  <c r="R150" i="18"/>
  <c r="R151" i="18"/>
  <c r="R152" i="18"/>
  <c r="R153" i="18"/>
  <c r="R154" i="18"/>
  <c r="R155" i="18"/>
  <c r="R156" i="18"/>
  <c r="R157" i="18"/>
  <c r="R158" i="18"/>
  <c r="R159" i="18"/>
  <c r="R160" i="18"/>
  <c r="R161" i="18"/>
  <c r="R162" i="18"/>
  <c r="R163" i="18"/>
  <c r="R164" i="18"/>
  <c r="R165" i="18"/>
  <c r="R166" i="18"/>
  <c r="R167" i="18"/>
  <c r="R168" i="18"/>
  <c r="R169" i="18"/>
  <c r="R170" i="18"/>
  <c r="R171" i="18"/>
  <c r="R172" i="18"/>
  <c r="R173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R194" i="18"/>
  <c r="R195" i="18"/>
  <c r="R196" i="18"/>
  <c r="R197" i="18"/>
  <c r="R198" i="18"/>
  <c r="R199" i="18"/>
  <c r="R200" i="18"/>
  <c r="R201" i="18"/>
  <c r="CH4" i="17"/>
  <c r="CH5" i="17"/>
  <c r="CH6" i="17"/>
  <c r="CH7" i="17"/>
  <c r="CH8" i="17"/>
  <c r="CH9" i="17"/>
  <c r="CH10" i="17"/>
  <c r="CH11" i="17"/>
  <c r="CH12" i="17"/>
  <c r="CH13" i="17"/>
  <c r="CH14" i="17"/>
  <c r="CH15" i="17"/>
  <c r="CH16" i="17"/>
  <c r="CH17" i="17"/>
  <c r="CH18" i="17"/>
  <c r="CH19" i="17"/>
  <c r="CH20" i="17"/>
  <c r="CH21" i="17"/>
  <c r="CH22" i="17"/>
  <c r="CH23" i="17"/>
  <c r="CH24" i="17"/>
  <c r="CH25" i="17"/>
  <c r="CH26" i="17"/>
  <c r="CH27" i="17"/>
  <c r="CH28" i="17"/>
  <c r="CH29" i="17"/>
  <c r="CH30" i="17"/>
  <c r="CH31" i="17"/>
  <c r="CH32" i="17"/>
  <c r="CH33" i="17"/>
  <c r="CH34" i="17"/>
  <c r="CH35" i="17"/>
  <c r="CH36" i="17"/>
  <c r="CH37" i="17"/>
  <c r="CH38" i="17"/>
  <c r="CH39" i="17"/>
  <c r="CH40" i="17"/>
  <c r="CH41" i="17"/>
  <c r="CH42" i="17"/>
  <c r="CH43" i="17"/>
  <c r="CH44" i="17"/>
  <c r="CH45" i="17"/>
  <c r="CH46" i="17"/>
  <c r="CH47" i="17"/>
  <c r="CH48" i="17"/>
  <c r="CH49" i="17"/>
  <c r="CH50" i="17"/>
  <c r="CH51" i="17"/>
  <c r="CH52" i="17"/>
  <c r="CH53" i="17"/>
  <c r="CH54" i="17"/>
  <c r="CH55" i="17"/>
  <c r="CH56" i="17"/>
  <c r="CH57" i="17"/>
  <c r="CH58" i="17"/>
  <c r="CH59" i="17"/>
  <c r="CH60" i="17"/>
  <c r="CH61" i="17"/>
  <c r="CH62" i="17"/>
  <c r="CH63" i="17"/>
  <c r="CH64" i="17"/>
  <c r="CH65" i="17"/>
  <c r="CH66" i="17"/>
  <c r="CH67" i="17"/>
  <c r="CH68" i="17"/>
  <c r="CH69" i="17"/>
  <c r="CH70" i="17"/>
  <c r="CH71" i="17"/>
  <c r="CH72" i="17"/>
  <c r="CH73" i="17"/>
  <c r="CH74" i="17"/>
  <c r="CH75" i="17"/>
  <c r="CH76" i="17"/>
  <c r="CH77" i="17"/>
  <c r="CH78" i="17"/>
  <c r="CH79" i="17"/>
  <c r="CH80" i="17"/>
  <c r="CH81" i="17"/>
  <c r="CH82" i="17"/>
  <c r="CH83" i="17"/>
  <c r="CH84" i="17"/>
  <c r="CH85" i="17"/>
  <c r="CH86" i="17"/>
  <c r="CH87" i="17"/>
  <c r="CH88" i="17"/>
  <c r="CH89" i="17"/>
  <c r="CH90" i="17"/>
  <c r="CH91" i="17"/>
  <c r="CH92" i="17"/>
  <c r="CH93" i="17"/>
  <c r="CH94" i="17"/>
  <c r="CH95" i="17"/>
  <c r="CH96" i="17"/>
  <c r="CH97" i="17"/>
  <c r="CH98" i="17"/>
  <c r="CH99" i="17"/>
  <c r="CH100" i="17"/>
  <c r="CH101" i="17"/>
  <c r="CH102" i="17"/>
  <c r="CH103" i="17"/>
  <c r="CH104" i="17"/>
  <c r="CH105" i="17"/>
  <c r="CH106" i="17"/>
  <c r="CH107" i="17"/>
  <c r="CH108" i="17"/>
  <c r="CH109" i="17"/>
  <c r="CH110" i="17"/>
  <c r="CH111" i="17"/>
  <c r="CH112" i="17"/>
  <c r="CH113" i="17"/>
  <c r="CH114" i="17"/>
  <c r="CH115" i="17"/>
  <c r="CH116" i="17"/>
  <c r="CH117" i="17"/>
  <c r="CH118" i="17"/>
  <c r="CH119" i="17"/>
  <c r="CH120" i="17"/>
  <c r="CH121" i="17"/>
  <c r="CH122" i="17"/>
  <c r="CH123" i="17"/>
  <c r="CH124" i="17"/>
  <c r="CH125" i="17"/>
  <c r="CH126" i="17"/>
  <c r="CH127" i="17"/>
  <c r="CH128" i="17"/>
  <c r="CH129" i="17"/>
  <c r="CH130" i="17"/>
  <c r="CH131" i="17"/>
  <c r="CH132" i="17"/>
  <c r="CH133" i="17"/>
  <c r="CH134" i="17"/>
  <c r="CH135" i="17"/>
  <c r="CH136" i="17"/>
  <c r="CH137" i="17"/>
  <c r="CH138" i="17"/>
  <c r="CH139" i="17"/>
  <c r="CH140" i="17"/>
  <c r="CH141" i="17"/>
  <c r="CH142" i="17"/>
  <c r="CH143" i="17"/>
  <c r="CH144" i="17"/>
  <c r="CH145" i="17"/>
  <c r="CH146" i="17"/>
  <c r="CH147" i="17"/>
  <c r="CH148" i="17"/>
  <c r="CH149" i="17"/>
  <c r="CH150" i="17"/>
  <c r="CH151" i="17"/>
  <c r="CH152" i="17"/>
  <c r="CH153" i="17"/>
  <c r="CH154" i="17"/>
  <c r="CH155" i="17"/>
  <c r="CH156" i="17"/>
  <c r="CH157" i="17"/>
  <c r="CH158" i="17"/>
  <c r="CH159" i="17"/>
  <c r="CH160" i="17"/>
  <c r="CH161" i="17"/>
  <c r="CH162" i="17"/>
  <c r="CH163" i="17"/>
  <c r="CH164" i="17"/>
  <c r="CH165" i="17"/>
  <c r="CH166" i="17"/>
  <c r="CH167" i="17"/>
  <c r="CH168" i="17"/>
  <c r="CH169" i="17"/>
  <c r="CH170" i="17"/>
  <c r="CH171" i="17"/>
  <c r="CH172" i="17"/>
  <c r="CH173" i="17"/>
  <c r="CH174" i="17"/>
  <c r="CH175" i="17"/>
  <c r="CH176" i="17"/>
  <c r="CH177" i="17"/>
  <c r="CH178" i="17"/>
  <c r="CH179" i="17"/>
  <c r="CH180" i="17"/>
  <c r="CH181" i="17"/>
  <c r="CH182" i="17"/>
  <c r="CH183" i="17"/>
  <c r="CH184" i="17"/>
  <c r="CH185" i="17"/>
  <c r="CH186" i="17"/>
  <c r="CH187" i="17"/>
  <c r="CH188" i="17"/>
  <c r="CH189" i="17"/>
  <c r="CH190" i="17"/>
  <c r="CH191" i="17"/>
  <c r="CH192" i="17"/>
  <c r="CH193" i="17"/>
  <c r="CH194" i="17"/>
  <c r="CH195" i="17"/>
  <c r="CH196" i="17"/>
  <c r="CH197" i="17"/>
  <c r="CH198" i="17"/>
  <c r="CH199" i="17"/>
  <c r="CH200" i="17"/>
  <c r="CH201" i="17"/>
  <c r="CA4" i="17"/>
  <c r="CA5" i="17"/>
  <c r="CA6" i="17"/>
  <c r="CA7" i="17"/>
  <c r="CA8" i="17"/>
  <c r="CA9" i="17"/>
  <c r="CA10" i="17"/>
  <c r="CA11" i="17"/>
  <c r="CA12" i="17"/>
  <c r="CA13" i="17"/>
  <c r="CA14" i="17"/>
  <c r="CA15" i="17"/>
  <c r="CA16" i="17"/>
  <c r="CA17" i="17"/>
  <c r="CA18" i="17"/>
  <c r="CA19" i="17"/>
  <c r="CA20" i="17"/>
  <c r="CA21" i="17"/>
  <c r="CA22" i="17"/>
  <c r="CA23" i="17"/>
  <c r="CA24" i="17"/>
  <c r="CA25" i="17"/>
  <c r="CA26" i="17"/>
  <c r="CA27" i="17"/>
  <c r="CA28" i="17"/>
  <c r="CA29" i="17"/>
  <c r="CA30" i="17"/>
  <c r="CA31" i="17"/>
  <c r="CA32" i="17"/>
  <c r="CA33" i="17"/>
  <c r="CA34" i="17"/>
  <c r="CA35" i="17"/>
  <c r="CA36" i="17"/>
  <c r="CA37" i="17"/>
  <c r="CA38" i="17"/>
  <c r="CA39" i="17"/>
  <c r="CA40" i="17"/>
  <c r="CA41" i="17"/>
  <c r="CA42" i="17"/>
  <c r="CA43" i="17"/>
  <c r="CA44" i="17"/>
  <c r="CA45" i="17"/>
  <c r="CA46" i="17"/>
  <c r="CA47" i="17"/>
  <c r="CA48" i="17"/>
  <c r="CA49" i="17"/>
  <c r="CA50" i="17"/>
  <c r="CA51" i="17"/>
  <c r="CA52" i="17"/>
  <c r="CA53" i="17"/>
  <c r="CA54" i="17"/>
  <c r="CA55" i="17"/>
  <c r="CA56" i="17"/>
  <c r="CA57" i="17"/>
  <c r="CA58" i="17"/>
  <c r="CA59" i="17"/>
  <c r="CA60" i="17"/>
  <c r="CA61" i="17"/>
  <c r="CA62" i="17"/>
  <c r="CA63" i="17"/>
  <c r="CA64" i="17"/>
  <c r="CA65" i="17"/>
  <c r="CA66" i="17"/>
  <c r="CA67" i="17"/>
  <c r="CA68" i="17"/>
  <c r="CA69" i="17"/>
  <c r="CA70" i="17"/>
  <c r="CA71" i="17"/>
  <c r="CA72" i="17"/>
  <c r="CA73" i="17"/>
  <c r="CA74" i="17"/>
  <c r="CA75" i="17"/>
  <c r="CA76" i="17"/>
  <c r="CA77" i="17"/>
  <c r="CA78" i="17"/>
  <c r="CA79" i="17"/>
  <c r="CA80" i="17"/>
  <c r="CA81" i="17"/>
  <c r="CA82" i="17"/>
  <c r="CA83" i="17"/>
  <c r="CA84" i="17"/>
  <c r="CA85" i="17"/>
  <c r="CA86" i="17"/>
  <c r="CA87" i="17"/>
  <c r="CA88" i="17"/>
  <c r="CA89" i="17"/>
  <c r="CA90" i="17"/>
  <c r="CA91" i="17"/>
  <c r="CA92" i="17"/>
  <c r="CA93" i="17"/>
  <c r="CA94" i="17"/>
  <c r="CA95" i="17"/>
  <c r="CA96" i="17"/>
  <c r="CA97" i="17"/>
  <c r="CA98" i="17"/>
  <c r="CA99" i="17"/>
  <c r="CA100" i="17"/>
  <c r="CA101" i="17"/>
  <c r="CA102" i="17"/>
  <c r="CA103" i="17"/>
  <c r="CA104" i="17"/>
  <c r="CA105" i="17"/>
  <c r="CA106" i="17"/>
  <c r="CA107" i="17"/>
  <c r="CA108" i="17"/>
  <c r="CA109" i="17"/>
  <c r="CA110" i="17"/>
  <c r="CA111" i="17"/>
  <c r="CA112" i="17"/>
  <c r="CA113" i="17"/>
  <c r="CA114" i="17"/>
  <c r="CA115" i="17"/>
  <c r="CA116" i="17"/>
  <c r="CA117" i="17"/>
  <c r="CA118" i="17"/>
  <c r="CA119" i="17"/>
  <c r="CA120" i="17"/>
  <c r="CA121" i="17"/>
  <c r="CA122" i="17"/>
  <c r="CA123" i="17"/>
  <c r="CA124" i="17"/>
  <c r="CA125" i="17"/>
  <c r="CA126" i="17"/>
  <c r="CA127" i="17"/>
  <c r="CA128" i="17"/>
  <c r="CA129" i="17"/>
  <c r="CA130" i="17"/>
  <c r="CA131" i="17"/>
  <c r="CA132" i="17"/>
  <c r="CA133" i="17"/>
  <c r="CA134" i="17"/>
  <c r="CA135" i="17"/>
  <c r="CA136" i="17"/>
  <c r="CA137" i="17"/>
  <c r="CA138" i="17"/>
  <c r="CA139" i="17"/>
  <c r="CA140" i="17"/>
  <c r="CA141" i="17"/>
  <c r="CA142" i="17"/>
  <c r="CA143" i="17"/>
  <c r="CA144" i="17"/>
  <c r="CA145" i="17"/>
  <c r="CA146" i="17"/>
  <c r="CA147" i="17"/>
  <c r="CA148" i="17"/>
  <c r="CA149" i="17"/>
  <c r="CA150" i="17"/>
  <c r="CA151" i="17"/>
  <c r="CA152" i="17"/>
  <c r="CA153" i="17"/>
  <c r="CA154" i="17"/>
  <c r="CA155" i="17"/>
  <c r="CA156" i="17"/>
  <c r="CA157" i="17"/>
  <c r="CA158" i="17"/>
  <c r="CA159" i="17"/>
  <c r="CA160" i="17"/>
  <c r="CA161" i="17"/>
  <c r="CA162" i="17"/>
  <c r="CA163" i="17"/>
  <c r="CA164" i="17"/>
  <c r="CA165" i="17"/>
  <c r="CA166" i="17"/>
  <c r="CA167" i="17"/>
  <c r="CA168" i="17"/>
  <c r="CA169" i="17"/>
  <c r="CA170" i="17"/>
  <c r="CA171" i="17"/>
  <c r="CA172" i="17"/>
  <c r="CA173" i="17"/>
  <c r="CA174" i="17"/>
  <c r="CA175" i="17"/>
  <c r="CA176" i="17"/>
  <c r="CA177" i="17"/>
  <c r="CA178" i="17"/>
  <c r="CA179" i="17"/>
  <c r="CA180" i="17"/>
  <c r="CA181" i="17"/>
  <c r="CA182" i="17"/>
  <c r="CA183" i="17"/>
  <c r="CA184" i="17"/>
  <c r="CA185" i="17"/>
  <c r="CA186" i="17"/>
  <c r="CA187" i="17"/>
  <c r="CA188" i="17"/>
  <c r="CA189" i="17"/>
  <c r="CA190" i="17"/>
  <c r="CA191" i="17"/>
  <c r="CA192" i="17"/>
  <c r="CA193" i="17"/>
  <c r="CA194" i="17"/>
  <c r="CA195" i="17"/>
  <c r="CA196" i="17"/>
  <c r="CA197" i="17"/>
  <c r="CA198" i="17"/>
  <c r="CA199" i="17"/>
  <c r="CA200" i="17"/>
  <c r="CA201" i="17"/>
  <c r="BT4" i="17"/>
  <c r="BT5" i="17"/>
  <c r="BT6" i="17"/>
  <c r="BT7" i="17"/>
  <c r="BT8" i="17"/>
  <c r="BT9" i="17"/>
  <c r="BT10" i="17"/>
  <c r="BT11" i="17"/>
  <c r="BT12" i="17"/>
  <c r="BT13" i="17"/>
  <c r="BT14" i="17"/>
  <c r="BT15" i="17"/>
  <c r="BT16" i="17"/>
  <c r="BT17" i="17"/>
  <c r="BT18" i="17"/>
  <c r="BT19" i="17"/>
  <c r="BT20" i="17"/>
  <c r="BT21" i="17"/>
  <c r="BT22" i="17"/>
  <c r="BT23" i="17"/>
  <c r="BT24" i="17"/>
  <c r="BT25" i="17"/>
  <c r="BT26" i="17"/>
  <c r="BT27" i="17"/>
  <c r="BT28" i="17"/>
  <c r="BT29" i="17"/>
  <c r="BT30" i="17"/>
  <c r="BT31" i="17"/>
  <c r="BT32" i="17"/>
  <c r="BT33" i="17"/>
  <c r="BT34" i="17"/>
  <c r="BT35" i="17"/>
  <c r="BT36" i="17"/>
  <c r="BT37" i="17"/>
  <c r="BT38" i="17"/>
  <c r="BT39" i="17"/>
  <c r="BT40" i="17"/>
  <c r="BT41" i="17"/>
  <c r="BT42" i="17"/>
  <c r="BT43" i="17"/>
  <c r="BT44" i="17"/>
  <c r="BT45" i="17"/>
  <c r="BT46" i="17"/>
  <c r="BT47" i="17"/>
  <c r="BT48" i="17"/>
  <c r="BT49" i="17"/>
  <c r="BT50" i="17"/>
  <c r="BT51" i="17"/>
  <c r="BT52" i="17"/>
  <c r="BT53" i="17"/>
  <c r="BT54" i="17"/>
  <c r="BT55" i="17"/>
  <c r="BT56" i="17"/>
  <c r="BT57" i="17"/>
  <c r="BT58" i="17"/>
  <c r="BT59" i="17"/>
  <c r="BT60" i="17"/>
  <c r="BT61" i="17"/>
  <c r="BT62" i="17"/>
  <c r="BT63" i="17"/>
  <c r="BT64" i="17"/>
  <c r="BT65" i="17"/>
  <c r="BT66" i="17"/>
  <c r="BT67" i="17"/>
  <c r="BT68" i="17"/>
  <c r="BT69" i="17"/>
  <c r="BT70" i="17"/>
  <c r="BT71" i="17"/>
  <c r="BT72" i="17"/>
  <c r="BT73" i="17"/>
  <c r="BT74" i="17"/>
  <c r="BT75" i="17"/>
  <c r="BT76" i="17"/>
  <c r="BT77" i="17"/>
  <c r="BT78" i="17"/>
  <c r="BT79" i="17"/>
  <c r="BT80" i="17"/>
  <c r="BT81" i="17"/>
  <c r="BT82" i="17"/>
  <c r="BT83" i="17"/>
  <c r="BT84" i="17"/>
  <c r="BT85" i="17"/>
  <c r="BT86" i="17"/>
  <c r="BT87" i="17"/>
  <c r="BT88" i="17"/>
  <c r="BT89" i="17"/>
  <c r="BT90" i="17"/>
  <c r="BT91" i="17"/>
  <c r="BT92" i="17"/>
  <c r="BT93" i="17"/>
  <c r="BT94" i="17"/>
  <c r="BT95" i="17"/>
  <c r="BT96" i="17"/>
  <c r="BT97" i="17"/>
  <c r="BT98" i="17"/>
  <c r="BT99" i="17"/>
  <c r="BT100" i="17"/>
  <c r="BT101" i="17"/>
  <c r="BT102" i="17"/>
  <c r="BT103" i="17"/>
  <c r="BT104" i="17"/>
  <c r="BT105" i="17"/>
  <c r="BT106" i="17"/>
  <c r="BT107" i="17"/>
  <c r="BT108" i="17"/>
  <c r="BT109" i="17"/>
  <c r="BT110" i="17"/>
  <c r="BT111" i="17"/>
  <c r="BT112" i="17"/>
  <c r="BT113" i="17"/>
  <c r="BT114" i="17"/>
  <c r="BT115" i="17"/>
  <c r="BT116" i="17"/>
  <c r="BT117" i="17"/>
  <c r="BT118" i="17"/>
  <c r="BT119" i="17"/>
  <c r="BT120" i="17"/>
  <c r="BT121" i="17"/>
  <c r="BT122" i="17"/>
  <c r="BT123" i="17"/>
  <c r="BT124" i="17"/>
  <c r="BT125" i="17"/>
  <c r="BT126" i="17"/>
  <c r="BT127" i="17"/>
  <c r="BT128" i="17"/>
  <c r="BT129" i="17"/>
  <c r="BT130" i="17"/>
  <c r="BT131" i="17"/>
  <c r="BT132" i="17"/>
  <c r="BT133" i="17"/>
  <c r="BT134" i="17"/>
  <c r="BT135" i="17"/>
  <c r="BT136" i="17"/>
  <c r="BT137" i="17"/>
  <c r="BT138" i="17"/>
  <c r="BT139" i="17"/>
  <c r="BT140" i="17"/>
  <c r="BT141" i="17"/>
  <c r="BT142" i="17"/>
  <c r="BT143" i="17"/>
  <c r="BT144" i="17"/>
  <c r="BT145" i="17"/>
  <c r="BT146" i="17"/>
  <c r="BT147" i="17"/>
  <c r="BT148" i="17"/>
  <c r="BT149" i="17"/>
  <c r="BT150" i="17"/>
  <c r="BT151" i="17"/>
  <c r="BT152" i="17"/>
  <c r="BT153" i="17"/>
  <c r="BT154" i="17"/>
  <c r="BT155" i="17"/>
  <c r="BT156" i="17"/>
  <c r="BT157" i="17"/>
  <c r="BT158" i="17"/>
  <c r="BT159" i="17"/>
  <c r="BT160" i="17"/>
  <c r="BT161" i="17"/>
  <c r="BT162" i="17"/>
  <c r="BT163" i="17"/>
  <c r="BT164" i="17"/>
  <c r="BT165" i="17"/>
  <c r="BT166" i="17"/>
  <c r="BT167" i="17"/>
  <c r="BT168" i="17"/>
  <c r="BT169" i="17"/>
  <c r="BT170" i="17"/>
  <c r="BT171" i="17"/>
  <c r="BT172" i="17"/>
  <c r="BT173" i="17"/>
  <c r="BT174" i="17"/>
  <c r="BT175" i="17"/>
  <c r="BT176" i="17"/>
  <c r="BT177" i="17"/>
  <c r="BT178" i="17"/>
  <c r="BT179" i="17"/>
  <c r="BT180" i="17"/>
  <c r="BT181" i="17"/>
  <c r="BT182" i="17"/>
  <c r="BT183" i="17"/>
  <c r="BT184" i="17"/>
  <c r="BT185" i="17"/>
  <c r="BT186" i="17"/>
  <c r="BT187" i="17"/>
  <c r="BT188" i="17"/>
  <c r="BT189" i="17"/>
  <c r="BT190" i="17"/>
  <c r="BT191" i="17"/>
  <c r="BT192" i="17"/>
  <c r="BT193" i="17"/>
  <c r="BT194" i="17"/>
  <c r="BT195" i="17"/>
  <c r="BT196" i="17"/>
  <c r="BT197" i="17"/>
  <c r="BT198" i="17"/>
  <c r="BT199" i="17"/>
  <c r="BT200" i="17"/>
  <c r="BT201" i="17"/>
  <c r="BG4" i="17"/>
  <c r="BG5" i="17"/>
  <c r="BG6" i="17"/>
  <c r="BG7" i="17"/>
  <c r="BG8" i="17"/>
  <c r="BG9" i="17"/>
  <c r="BG10" i="17"/>
  <c r="BG11" i="17"/>
  <c r="BG12" i="17"/>
  <c r="BG13" i="17"/>
  <c r="BG14" i="17"/>
  <c r="BG15" i="17"/>
  <c r="BG16" i="17"/>
  <c r="BG17" i="17"/>
  <c r="BG18" i="17"/>
  <c r="BG19" i="17"/>
  <c r="BG20" i="17"/>
  <c r="BG21" i="17"/>
  <c r="BG22" i="17"/>
  <c r="BG23" i="17"/>
  <c r="BG24" i="17"/>
  <c r="BG25" i="17"/>
  <c r="BG26" i="17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BG42" i="17"/>
  <c r="BG43" i="17"/>
  <c r="BG44" i="17"/>
  <c r="BG45" i="17"/>
  <c r="BG46" i="17"/>
  <c r="BG47" i="17"/>
  <c r="BG48" i="17"/>
  <c r="BG49" i="17"/>
  <c r="BG50" i="17"/>
  <c r="BG51" i="17"/>
  <c r="BG52" i="17"/>
  <c r="BG53" i="17"/>
  <c r="BG54" i="17"/>
  <c r="BG55" i="17"/>
  <c r="BG56" i="17"/>
  <c r="BG57" i="17"/>
  <c r="BG58" i="17"/>
  <c r="BG59" i="17"/>
  <c r="BG60" i="17"/>
  <c r="BG61" i="17"/>
  <c r="BG62" i="17"/>
  <c r="BG63" i="17"/>
  <c r="BG64" i="17"/>
  <c r="BG65" i="17"/>
  <c r="BG66" i="17"/>
  <c r="BG67" i="17"/>
  <c r="BG68" i="17"/>
  <c r="BG69" i="17"/>
  <c r="BG70" i="17"/>
  <c r="BG71" i="17"/>
  <c r="BG72" i="17"/>
  <c r="BG73" i="17"/>
  <c r="BG74" i="17"/>
  <c r="BG75" i="17"/>
  <c r="BG76" i="17"/>
  <c r="BG77" i="17"/>
  <c r="BG78" i="17"/>
  <c r="BG79" i="17"/>
  <c r="BG80" i="17"/>
  <c r="BG81" i="17"/>
  <c r="BG82" i="17"/>
  <c r="BG83" i="17"/>
  <c r="BG84" i="17"/>
  <c r="BG85" i="17"/>
  <c r="BG86" i="17"/>
  <c r="BG87" i="17"/>
  <c r="BG88" i="17"/>
  <c r="BG89" i="17"/>
  <c r="BG90" i="17"/>
  <c r="BG91" i="17"/>
  <c r="BG92" i="17"/>
  <c r="BG93" i="17"/>
  <c r="BG94" i="17"/>
  <c r="BG95" i="17"/>
  <c r="BG96" i="17"/>
  <c r="BG97" i="17"/>
  <c r="BG98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2" i="17"/>
  <c r="BG113" i="17"/>
  <c r="BG114" i="17"/>
  <c r="BG115" i="17"/>
  <c r="BG116" i="17"/>
  <c r="BG117" i="17"/>
  <c r="BG118" i="17"/>
  <c r="BG119" i="17"/>
  <c r="BG120" i="17"/>
  <c r="BG121" i="17"/>
  <c r="BG122" i="17"/>
  <c r="BG123" i="17"/>
  <c r="BG124" i="17"/>
  <c r="BG125" i="17"/>
  <c r="BG126" i="17"/>
  <c r="BG127" i="17"/>
  <c r="BG128" i="17"/>
  <c r="BG129" i="17"/>
  <c r="BG130" i="17"/>
  <c r="BG131" i="17"/>
  <c r="BG132" i="17"/>
  <c r="BG133" i="17"/>
  <c r="BG134" i="17"/>
  <c r="BG135" i="17"/>
  <c r="BG136" i="17"/>
  <c r="BG137" i="17"/>
  <c r="BG138" i="17"/>
  <c r="BG139" i="17"/>
  <c r="BG140" i="17"/>
  <c r="BG141" i="17"/>
  <c r="BG142" i="17"/>
  <c r="BG143" i="17"/>
  <c r="BG144" i="17"/>
  <c r="BG145" i="17"/>
  <c r="BG146" i="17"/>
  <c r="BG147" i="17"/>
  <c r="BG148" i="17"/>
  <c r="BG149" i="17"/>
  <c r="BG150" i="17"/>
  <c r="BG151" i="17"/>
  <c r="BG152" i="17"/>
  <c r="BG153" i="17"/>
  <c r="BG154" i="17"/>
  <c r="BG155" i="17"/>
  <c r="BG156" i="17"/>
  <c r="BG157" i="17"/>
  <c r="BG158" i="17"/>
  <c r="BG159" i="17"/>
  <c r="BG160" i="17"/>
  <c r="BG161" i="17"/>
  <c r="BG162" i="17"/>
  <c r="BG163" i="17"/>
  <c r="BG164" i="17"/>
  <c r="BG165" i="17"/>
  <c r="BG166" i="17"/>
  <c r="BG167" i="17"/>
  <c r="BG168" i="17"/>
  <c r="BG169" i="17"/>
  <c r="BG170" i="17"/>
  <c r="BG171" i="17"/>
  <c r="BG172" i="17"/>
  <c r="BG173" i="17"/>
  <c r="BG174" i="17"/>
  <c r="BG175" i="17"/>
  <c r="BG176" i="17"/>
  <c r="BG177" i="17"/>
  <c r="BG178" i="17"/>
  <c r="BG179" i="17"/>
  <c r="BG180" i="17"/>
  <c r="BG181" i="17"/>
  <c r="BG182" i="17"/>
  <c r="BG183" i="17"/>
  <c r="BG184" i="17"/>
  <c r="BG185" i="17"/>
  <c r="BG186" i="17"/>
  <c r="BG187" i="17"/>
  <c r="BG188" i="17"/>
  <c r="BG189" i="17"/>
  <c r="BG190" i="17"/>
  <c r="BG191" i="17"/>
  <c r="BG192" i="17"/>
  <c r="BG193" i="17"/>
  <c r="BG194" i="17"/>
  <c r="BG195" i="17"/>
  <c r="BG196" i="17"/>
  <c r="BG197" i="17"/>
  <c r="BG198" i="17"/>
  <c r="BG199" i="17"/>
  <c r="BG200" i="17"/>
  <c r="BG201" i="17"/>
  <c r="AZ4" i="17"/>
  <c r="AZ5" i="17"/>
  <c r="AZ6" i="17"/>
  <c r="AZ7" i="17"/>
  <c r="AZ8" i="17"/>
  <c r="AZ9" i="17"/>
  <c r="AZ10" i="17"/>
  <c r="AZ11" i="17"/>
  <c r="AZ12" i="17"/>
  <c r="AZ13" i="17"/>
  <c r="AZ14" i="17"/>
  <c r="AZ15" i="17"/>
  <c r="AZ16" i="17"/>
  <c r="AZ17" i="17"/>
  <c r="AZ18" i="17"/>
  <c r="AZ19" i="17"/>
  <c r="AZ20" i="17"/>
  <c r="AZ21" i="17"/>
  <c r="AZ22" i="17"/>
  <c r="AZ23" i="17"/>
  <c r="AZ24" i="17"/>
  <c r="AZ25" i="17"/>
  <c r="AZ26" i="17"/>
  <c r="AZ27" i="17"/>
  <c r="AZ28" i="17"/>
  <c r="AZ29" i="17"/>
  <c r="AZ30" i="17"/>
  <c r="AZ31" i="17"/>
  <c r="AZ32" i="17"/>
  <c r="AZ33" i="17"/>
  <c r="AZ34" i="17"/>
  <c r="AZ35" i="17"/>
  <c r="AZ36" i="17"/>
  <c r="AZ37" i="17"/>
  <c r="AZ38" i="17"/>
  <c r="AZ39" i="17"/>
  <c r="AZ40" i="17"/>
  <c r="AZ41" i="17"/>
  <c r="AZ42" i="17"/>
  <c r="AZ43" i="17"/>
  <c r="AZ44" i="17"/>
  <c r="AZ45" i="17"/>
  <c r="AZ46" i="17"/>
  <c r="AZ47" i="17"/>
  <c r="AZ48" i="17"/>
  <c r="AZ49" i="17"/>
  <c r="AZ50" i="17"/>
  <c r="AZ51" i="17"/>
  <c r="AZ52" i="17"/>
  <c r="AZ53" i="17"/>
  <c r="AZ54" i="17"/>
  <c r="AZ55" i="17"/>
  <c r="AZ56" i="17"/>
  <c r="AZ57" i="17"/>
  <c r="AZ58" i="17"/>
  <c r="AZ59" i="17"/>
  <c r="AZ60" i="17"/>
  <c r="AZ61" i="17"/>
  <c r="AZ62" i="17"/>
  <c r="AZ63" i="17"/>
  <c r="AZ64" i="17"/>
  <c r="AZ65" i="17"/>
  <c r="AZ66" i="17"/>
  <c r="AZ67" i="17"/>
  <c r="AZ68" i="17"/>
  <c r="AZ69" i="17"/>
  <c r="AZ70" i="17"/>
  <c r="AZ71" i="17"/>
  <c r="AZ72" i="17"/>
  <c r="AZ73" i="17"/>
  <c r="AZ74" i="17"/>
  <c r="AZ75" i="17"/>
  <c r="AZ76" i="17"/>
  <c r="AZ77" i="17"/>
  <c r="AZ78" i="17"/>
  <c r="AZ79" i="17"/>
  <c r="AZ80" i="17"/>
  <c r="AZ81" i="17"/>
  <c r="AZ82" i="17"/>
  <c r="AZ83" i="17"/>
  <c r="AZ84" i="17"/>
  <c r="AZ85" i="17"/>
  <c r="AZ86" i="17"/>
  <c r="AZ87" i="17"/>
  <c r="AZ88" i="17"/>
  <c r="AZ89" i="17"/>
  <c r="AZ90" i="17"/>
  <c r="AZ91" i="17"/>
  <c r="AZ92" i="17"/>
  <c r="AZ93" i="17"/>
  <c r="AZ94" i="17"/>
  <c r="AZ95" i="17"/>
  <c r="AZ96" i="17"/>
  <c r="AZ97" i="17"/>
  <c r="AZ98" i="17"/>
  <c r="AZ99" i="17"/>
  <c r="AZ100" i="17"/>
  <c r="AZ101" i="17"/>
  <c r="AZ102" i="17"/>
  <c r="AZ103" i="17"/>
  <c r="AZ104" i="17"/>
  <c r="AZ105" i="17"/>
  <c r="AZ106" i="17"/>
  <c r="AZ107" i="17"/>
  <c r="AZ108" i="17"/>
  <c r="AZ109" i="17"/>
  <c r="AZ110" i="17"/>
  <c r="AZ111" i="17"/>
  <c r="AZ112" i="17"/>
  <c r="AZ113" i="17"/>
  <c r="AZ114" i="17"/>
  <c r="AZ115" i="17"/>
  <c r="AZ116" i="17"/>
  <c r="AZ117" i="17"/>
  <c r="AZ118" i="17"/>
  <c r="AZ119" i="17"/>
  <c r="AZ120" i="17"/>
  <c r="AZ121" i="17"/>
  <c r="AZ122" i="17"/>
  <c r="AZ123" i="17"/>
  <c r="AZ124" i="17"/>
  <c r="AZ125" i="17"/>
  <c r="AZ126" i="17"/>
  <c r="AZ127" i="17"/>
  <c r="AZ128" i="17"/>
  <c r="AZ129" i="17"/>
  <c r="AZ130" i="17"/>
  <c r="AZ131" i="17"/>
  <c r="AZ132" i="17"/>
  <c r="AZ133" i="17"/>
  <c r="AZ134" i="17"/>
  <c r="AZ135" i="17"/>
  <c r="AZ136" i="17"/>
  <c r="AZ137" i="17"/>
  <c r="AZ138" i="17"/>
  <c r="AZ139" i="17"/>
  <c r="AZ140" i="17"/>
  <c r="AZ141" i="17"/>
  <c r="AZ142" i="17"/>
  <c r="AZ143" i="17"/>
  <c r="AZ144" i="17"/>
  <c r="AZ145" i="17"/>
  <c r="AZ146" i="17"/>
  <c r="AZ147" i="17"/>
  <c r="AZ148" i="17"/>
  <c r="AZ149" i="17"/>
  <c r="AZ150" i="17"/>
  <c r="AZ151" i="17"/>
  <c r="AZ152" i="17"/>
  <c r="AZ153" i="17"/>
  <c r="AZ154" i="17"/>
  <c r="AZ155" i="17"/>
  <c r="AZ156" i="17"/>
  <c r="AZ157" i="17"/>
  <c r="AZ158" i="17"/>
  <c r="AZ159" i="17"/>
  <c r="AZ160" i="17"/>
  <c r="AZ161" i="17"/>
  <c r="AZ162" i="17"/>
  <c r="AZ163" i="17"/>
  <c r="AZ164" i="17"/>
  <c r="AZ165" i="17"/>
  <c r="AZ166" i="17"/>
  <c r="AZ167" i="17"/>
  <c r="AZ168" i="17"/>
  <c r="AZ169" i="17"/>
  <c r="AZ170" i="17"/>
  <c r="AZ171" i="17"/>
  <c r="AZ172" i="17"/>
  <c r="AZ173" i="17"/>
  <c r="AZ174" i="17"/>
  <c r="AZ175" i="17"/>
  <c r="AZ176" i="17"/>
  <c r="AZ177" i="17"/>
  <c r="AZ178" i="17"/>
  <c r="AZ179" i="17"/>
  <c r="AZ180" i="17"/>
  <c r="AZ181" i="17"/>
  <c r="AZ182" i="17"/>
  <c r="AZ183" i="17"/>
  <c r="AZ184" i="17"/>
  <c r="AZ185" i="17"/>
  <c r="AZ186" i="17"/>
  <c r="AZ187" i="17"/>
  <c r="AZ188" i="17"/>
  <c r="AZ189" i="17"/>
  <c r="AZ190" i="17"/>
  <c r="AZ191" i="17"/>
  <c r="AZ192" i="17"/>
  <c r="AZ193" i="17"/>
  <c r="AZ194" i="17"/>
  <c r="AZ195" i="17"/>
  <c r="AZ196" i="17"/>
  <c r="AZ197" i="17"/>
  <c r="AZ198" i="17"/>
  <c r="AZ199" i="17"/>
  <c r="AZ200" i="17"/>
  <c r="AZ201" i="17"/>
  <c r="AS4" i="17"/>
  <c r="AS5" i="17"/>
  <c r="AS6" i="17"/>
  <c r="AS7" i="17"/>
  <c r="AS8" i="17"/>
  <c r="AS9" i="17"/>
  <c r="AS10" i="17"/>
  <c r="AS11" i="17"/>
  <c r="AS12" i="17"/>
  <c r="AS13" i="17"/>
  <c r="AS14" i="17"/>
  <c r="AS15" i="17"/>
  <c r="AS16" i="17"/>
  <c r="AS17" i="17"/>
  <c r="AS18" i="17"/>
  <c r="AS19" i="17"/>
  <c r="AS20" i="17"/>
  <c r="AS21" i="17"/>
  <c r="AS22" i="17"/>
  <c r="AS23" i="17"/>
  <c r="AS24" i="17"/>
  <c r="AS25" i="17"/>
  <c r="AS26" i="17"/>
  <c r="AS27" i="17"/>
  <c r="AS28" i="17"/>
  <c r="AS29" i="17"/>
  <c r="AS30" i="17"/>
  <c r="AS31" i="17"/>
  <c r="AS32" i="17"/>
  <c r="AS33" i="17"/>
  <c r="AS34" i="17"/>
  <c r="AS35" i="17"/>
  <c r="AS36" i="17"/>
  <c r="AS37" i="17"/>
  <c r="AS38" i="17"/>
  <c r="AS39" i="17"/>
  <c r="AS40" i="17"/>
  <c r="AS41" i="17"/>
  <c r="AS42" i="17"/>
  <c r="AS43" i="17"/>
  <c r="AS44" i="17"/>
  <c r="AS45" i="17"/>
  <c r="AS46" i="17"/>
  <c r="AS47" i="17"/>
  <c r="AS48" i="17"/>
  <c r="AS49" i="17"/>
  <c r="AS50" i="17"/>
  <c r="AS51" i="17"/>
  <c r="AS52" i="17"/>
  <c r="AS53" i="17"/>
  <c r="AS54" i="17"/>
  <c r="AS55" i="17"/>
  <c r="AS56" i="17"/>
  <c r="AS57" i="17"/>
  <c r="AS58" i="17"/>
  <c r="AS59" i="17"/>
  <c r="AS60" i="17"/>
  <c r="AS61" i="17"/>
  <c r="AS62" i="17"/>
  <c r="AS63" i="17"/>
  <c r="AS64" i="17"/>
  <c r="AS65" i="17"/>
  <c r="AS66" i="17"/>
  <c r="AS67" i="17"/>
  <c r="AS68" i="17"/>
  <c r="AS69" i="17"/>
  <c r="AS70" i="17"/>
  <c r="AS71" i="17"/>
  <c r="AS72" i="17"/>
  <c r="AS73" i="17"/>
  <c r="AS74" i="17"/>
  <c r="AS75" i="17"/>
  <c r="AS76" i="17"/>
  <c r="AS77" i="17"/>
  <c r="AS78" i="17"/>
  <c r="AS79" i="17"/>
  <c r="AS80" i="17"/>
  <c r="AS81" i="17"/>
  <c r="AS82" i="17"/>
  <c r="AS83" i="17"/>
  <c r="AS84" i="17"/>
  <c r="AS85" i="17"/>
  <c r="AS86" i="17"/>
  <c r="AS87" i="17"/>
  <c r="AS88" i="17"/>
  <c r="AS89" i="17"/>
  <c r="AS90" i="17"/>
  <c r="AS91" i="17"/>
  <c r="AS92" i="17"/>
  <c r="AS93" i="17"/>
  <c r="AS94" i="17"/>
  <c r="AS95" i="17"/>
  <c r="AS96" i="17"/>
  <c r="AS97" i="17"/>
  <c r="AS98" i="17"/>
  <c r="AS99" i="17"/>
  <c r="AS100" i="17"/>
  <c r="AS101" i="17"/>
  <c r="AS102" i="17"/>
  <c r="AS103" i="17"/>
  <c r="AS104" i="17"/>
  <c r="AS105" i="17"/>
  <c r="AS106" i="17"/>
  <c r="AS107" i="17"/>
  <c r="AS108" i="17"/>
  <c r="AS109" i="17"/>
  <c r="AS110" i="17"/>
  <c r="AS111" i="17"/>
  <c r="AS112" i="17"/>
  <c r="AS113" i="17"/>
  <c r="AS114" i="17"/>
  <c r="AS115" i="17"/>
  <c r="AS116" i="17"/>
  <c r="AS117" i="17"/>
  <c r="AS118" i="17"/>
  <c r="AS119" i="17"/>
  <c r="AS120" i="17"/>
  <c r="AS121" i="17"/>
  <c r="AS122" i="17"/>
  <c r="AS123" i="17"/>
  <c r="AS124" i="17"/>
  <c r="AS125" i="17"/>
  <c r="AS126" i="17"/>
  <c r="AS127" i="17"/>
  <c r="AS128" i="17"/>
  <c r="AS129" i="17"/>
  <c r="AS130" i="17"/>
  <c r="AS131" i="17"/>
  <c r="AS132" i="17"/>
  <c r="AS133" i="17"/>
  <c r="AS134" i="17"/>
  <c r="AS135" i="17"/>
  <c r="AS136" i="17"/>
  <c r="AS137" i="17"/>
  <c r="AS138" i="17"/>
  <c r="AS139" i="17"/>
  <c r="AS140" i="17"/>
  <c r="AS141" i="17"/>
  <c r="AS142" i="17"/>
  <c r="AS143" i="17"/>
  <c r="AS144" i="17"/>
  <c r="AS145" i="17"/>
  <c r="AS146" i="17"/>
  <c r="AS147" i="17"/>
  <c r="AS148" i="17"/>
  <c r="AS149" i="17"/>
  <c r="AS150" i="17"/>
  <c r="AS151" i="17"/>
  <c r="AS152" i="17"/>
  <c r="AS153" i="17"/>
  <c r="AS154" i="17"/>
  <c r="AS155" i="17"/>
  <c r="AS156" i="17"/>
  <c r="AS157" i="17"/>
  <c r="AS158" i="17"/>
  <c r="AS159" i="17"/>
  <c r="AS160" i="17"/>
  <c r="AS161" i="17"/>
  <c r="AS162" i="17"/>
  <c r="AS163" i="17"/>
  <c r="AS164" i="17"/>
  <c r="AS165" i="17"/>
  <c r="AS166" i="17"/>
  <c r="AS167" i="17"/>
  <c r="AS168" i="17"/>
  <c r="AS169" i="17"/>
  <c r="AS170" i="17"/>
  <c r="AS171" i="17"/>
  <c r="AS172" i="17"/>
  <c r="AS173" i="17"/>
  <c r="AS174" i="17"/>
  <c r="AS175" i="17"/>
  <c r="AS176" i="17"/>
  <c r="AS177" i="17"/>
  <c r="AS178" i="17"/>
  <c r="AS179" i="17"/>
  <c r="AS180" i="17"/>
  <c r="AS181" i="17"/>
  <c r="AS182" i="17"/>
  <c r="AS183" i="17"/>
  <c r="AS184" i="17"/>
  <c r="AS185" i="17"/>
  <c r="AS186" i="17"/>
  <c r="AS187" i="17"/>
  <c r="AS188" i="17"/>
  <c r="AS189" i="17"/>
  <c r="AS190" i="17"/>
  <c r="AS191" i="17"/>
  <c r="AS192" i="17"/>
  <c r="AS193" i="17"/>
  <c r="AS194" i="17"/>
  <c r="AS195" i="17"/>
  <c r="AS196" i="17"/>
  <c r="AS197" i="17"/>
  <c r="AS198" i="17"/>
  <c r="AS199" i="17"/>
  <c r="AS200" i="17"/>
  <c r="AS201" i="17"/>
  <c r="AF4" i="17"/>
  <c r="AF5" i="17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F161" i="17"/>
  <c r="AF162" i="17"/>
  <c r="AF163" i="17"/>
  <c r="AF164" i="17"/>
  <c r="AF165" i="17"/>
  <c r="AF166" i="17"/>
  <c r="AF167" i="17"/>
  <c r="AF168" i="17"/>
  <c r="AF169" i="17"/>
  <c r="AF170" i="17"/>
  <c r="AF171" i="17"/>
  <c r="AF172" i="17"/>
  <c r="AF173" i="17"/>
  <c r="AF174" i="17"/>
  <c r="AF175" i="17"/>
  <c r="AF176" i="17"/>
  <c r="AF177" i="17"/>
  <c r="AF178" i="17"/>
  <c r="AF179" i="17"/>
  <c r="AF180" i="17"/>
  <c r="AF181" i="17"/>
  <c r="AF182" i="17"/>
  <c r="AF183" i="17"/>
  <c r="AF184" i="17"/>
  <c r="AF185" i="17"/>
  <c r="AF186" i="17"/>
  <c r="AF187" i="17"/>
  <c r="AF188" i="17"/>
  <c r="AF189" i="17"/>
  <c r="AF190" i="17"/>
  <c r="AF191" i="17"/>
  <c r="AF192" i="17"/>
  <c r="AF193" i="17"/>
  <c r="AF194" i="17"/>
  <c r="AF195" i="17"/>
  <c r="AF196" i="17"/>
  <c r="AF197" i="17"/>
  <c r="AF198" i="17"/>
  <c r="AF199" i="17"/>
  <c r="AF200" i="17"/>
  <c r="AF201" i="17"/>
  <c r="Y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95" i="17"/>
  <c r="Y96" i="17"/>
  <c r="Y97" i="17"/>
  <c r="Y98" i="17"/>
  <c r="Y99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Y119" i="17"/>
  <c r="Y120" i="17"/>
  <c r="Y121" i="17"/>
  <c r="Y122" i="17"/>
  <c r="Y123" i="17"/>
  <c r="Y124" i="17"/>
  <c r="Y125" i="17"/>
  <c r="Y126" i="17"/>
  <c r="Y127" i="17"/>
  <c r="Y128" i="17"/>
  <c r="Y129" i="17"/>
  <c r="Y130" i="17"/>
  <c r="Y131" i="17"/>
  <c r="Y132" i="17"/>
  <c r="Y133" i="17"/>
  <c r="Y134" i="17"/>
  <c r="Y135" i="17"/>
  <c r="Y136" i="17"/>
  <c r="Y137" i="17"/>
  <c r="Y138" i="17"/>
  <c r="Y139" i="17"/>
  <c r="Y140" i="17"/>
  <c r="Y141" i="17"/>
  <c r="Y142" i="17"/>
  <c r="Y143" i="17"/>
  <c r="Y144" i="17"/>
  <c r="Y145" i="17"/>
  <c r="Y146" i="17"/>
  <c r="Y147" i="17"/>
  <c r="Y148" i="17"/>
  <c r="Y149" i="17"/>
  <c r="Y150" i="17"/>
  <c r="Y151" i="17"/>
  <c r="Y152" i="17"/>
  <c r="Y153" i="17"/>
  <c r="Y154" i="17"/>
  <c r="Y155" i="17"/>
  <c r="Y156" i="17"/>
  <c r="Y157" i="17"/>
  <c r="Y158" i="17"/>
  <c r="Y159" i="17"/>
  <c r="Y160" i="17"/>
  <c r="Y161" i="17"/>
  <c r="Y162" i="17"/>
  <c r="Y163" i="17"/>
  <c r="Y164" i="17"/>
  <c r="Y165" i="17"/>
  <c r="Y166" i="17"/>
  <c r="Y167" i="17"/>
  <c r="Y168" i="17"/>
  <c r="Y169" i="17"/>
  <c r="Y170" i="17"/>
  <c r="Y171" i="17"/>
  <c r="Y172" i="17"/>
  <c r="Y173" i="17"/>
  <c r="Y174" i="17"/>
  <c r="Y175" i="17"/>
  <c r="Y176" i="17"/>
  <c r="Y177" i="17"/>
  <c r="Y178" i="17"/>
  <c r="Y179" i="17"/>
  <c r="Y180" i="17"/>
  <c r="Y181" i="17"/>
  <c r="Y182" i="17"/>
  <c r="Y183" i="17"/>
  <c r="Y184" i="17"/>
  <c r="Y185" i="17"/>
  <c r="Y186" i="17"/>
  <c r="Y187" i="17"/>
  <c r="Y188" i="17"/>
  <c r="Y189" i="17"/>
  <c r="Y190" i="17"/>
  <c r="Y191" i="17"/>
  <c r="Y192" i="17"/>
  <c r="Y193" i="17"/>
  <c r="Y194" i="17"/>
  <c r="Y195" i="17"/>
  <c r="Y196" i="17"/>
  <c r="Y197" i="17"/>
  <c r="Y198" i="17"/>
  <c r="Y199" i="17"/>
  <c r="Y200" i="17"/>
  <c r="Y201" i="17"/>
  <c r="R4" i="17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CH4" i="16"/>
  <c r="CH5" i="16"/>
  <c r="CH6" i="16"/>
  <c r="CH7" i="16"/>
  <c r="CH8" i="16"/>
  <c r="CH9" i="16"/>
  <c r="CH10" i="16"/>
  <c r="CH11" i="16"/>
  <c r="CH12" i="16"/>
  <c r="CH13" i="16"/>
  <c r="CH14" i="16"/>
  <c r="CH15" i="16"/>
  <c r="CH16" i="16"/>
  <c r="CH17" i="16"/>
  <c r="CH18" i="16"/>
  <c r="CH19" i="16"/>
  <c r="CH20" i="16"/>
  <c r="CH21" i="16"/>
  <c r="CH22" i="16"/>
  <c r="CH23" i="16"/>
  <c r="CH24" i="16"/>
  <c r="CH25" i="16"/>
  <c r="CH26" i="16"/>
  <c r="CH27" i="16"/>
  <c r="CH28" i="16"/>
  <c r="CH29" i="16"/>
  <c r="CH30" i="16"/>
  <c r="CH31" i="16"/>
  <c r="CH32" i="16"/>
  <c r="CH33" i="16"/>
  <c r="CH34" i="16"/>
  <c r="CH35" i="16"/>
  <c r="CH36" i="16"/>
  <c r="CH37" i="16"/>
  <c r="CH38" i="16"/>
  <c r="CH39" i="16"/>
  <c r="CH40" i="16"/>
  <c r="CH41" i="16"/>
  <c r="CH42" i="16"/>
  <c r="CH43" i="16"/>
  <c r="CH44" i="16"/>
  <c r="CH45" i="16"/>
  <c r="CH46" i="16"/>
  <c r="CH47" i="16"/>
  <c r="CH48" i="16"/>
  <c r="CH49" i="16"/>
  <c r="CH50" i="16"/>
  <c r="CH51" i="16"/>
  <c r="CH52" i="16"/>
  <c r="CH53" i="16"/>
  <c r="CH54" i="16"/>
  <c r="CH55" i="16"/>
  <c r="CH56" i="16"/>
  <c r="CH57" i="16"/>
  <c r="CH58" i="16"/>
  <c r="CH59" i="16"/>
  <c r="CH60" i="16"/>
  <c r="CH61" i="16"/>
  <c r="CH62" i="16"/>
  <c r="CH63" i="16"/>
  <c r="CH64" i="16"/>
  <c r="CH65" i="16"/>
  <c r="CH66" i="16"/>
  <c r="CH67" i="16"/>
  <c r="CH68" i="16"/>
  <c r="CH69" i="16"/>
  <c r="CH70" i="16"/>
  <c r="CH71" i="16"/>
  <c r="CH72" i="16"/>
  <c r="CH73" i="16"/>
  <c r="CH74" i="16"/>
  <c r="CH75" i="16"/>
  <c r="CH76" i="16"/>
  <c r="CH77" i="16"/>
  <c r="CH78" i="16"/>
  <c r="CH79" i="16"/>
  <c r="CH80" i="16"/>
  <c r="CH81" i="16"/>
  <c r="CH82" i="16"/>
  <c r="CH83" i="16"/>
  <c r="CH84" i="16"/>
  <c r="CH85" i="16"/>
  <c r="CH86" i="16"/>
  <c r="CH87" i="16"/>
  <c r="CH88" i="16"/>
  <c r="CH89" i="16"/>
  <c r="CH90" i="16"/>
  <c r="CH91" i="16"/>
  <c r="CH92" i="16"/>
  <c r="CH93" i="16"/>
  <c r="CH94" i="16"/>
  <c r="CH95" i="16"/>
  <c r="CH96" i="16"/>
  <c r="CH97" i="16"/>
  <c r="CH98" i="16"/>
  <c r="CH99" i="16"/>
  <c r="CH100" i="16"/>
  <c r="CH101" i="16"/>
  <c r="CH102" i="16"/>
  <c r="CH103" i="16"/>
  <c r="CH104" i="16"/>
  <c r="CH105" i="16"/>
  <c r="CH106" i="16"/>
  <c r="CH107" i="16"/>
  <c r="CH108" i="16"/>
  <c r="CH109" i="16"/>
  <c r="CH110" i="16"/>
  <c r="CH111" i="16"/>
  <c r="CH112" i="16"/>
  <c r="CH113" i="16"/>
  <c r="CH114" i="16"/>
  <c r="CH115" i="16"/>
  <c r="CH116" i="16"/>
  <c r="CH117" i="16"/>
  <c r="CH118" i="16"/>
  <c r="CH119" i="16"/>
  <c r="CH120" i="16"/>
  <c r="CH121" i="16"/>
  <c r="CH122" i="16"/>
  <c r="CH123" i="16"/>
  <c r="CH124" i="16"/>
  <c r="CH125" i="16"/>
  <c r="CH126" i="16"/>
  <c r="CH127" i="16"/>
  <c r="CH128" i="16"/>
  <c r="CH129" i="16"/>
  <c r="CH130" i="16"/>
  <c r="CH131" i="16"/>
  <c r="CH132" i="16"/>
  <c r="CH133" i="16"/>
  <c r="CH134" i="16"/>
  <c r="CH135" i="16"/>
  <c r="CH136" i="16"/>
  <c r="CH137" i="16"/>
  <c r="CH138" i="16"/>
  <c r="CH139" i="16"/>
  <c r="CH140" i="16"/>
  <c r="CH141" i="16"/>
  <c r="CH142" i="16"/>
  <c r="CH143" i="16"/>
  <c r="CH144" i="16"/>
  <c r="CH145" i="16"/>
  <c r="CH146" i="16"/>
  <c r="CH147" i="16"/>
  <c r="CH148" i="16"/>
  <c r="CH149" i="16"/>
  <c r="CH150" i="16"/>
  <c r="CH151" i="16"/>
  <c r="CH152" i="16"/>
  <c r="CH153" i="16"/>
  <c r="CH154" i="16"/>
  <c r="CH155" i="16"/>
  <c r="CH156" i="16"/>
  <c r="CH157" i="16"/>
  <c r="CH158" i="16"/>
  <c r="CH159" i="16"/>
  <c r="CH160" i="16"/>
  <c r="CH161" i="16"/>
  <c r="CH162" i="16"/>
  <c r="CH163" i="16"/>
  <c r="CH164" i="16"/>
  <c r="CH165" i="16"/>
  <c r="CH166" i="16"/>
  <c r="CH167" i="16"/>
  <c r="CH168" i="16"/>
  <c r="CH169" i="16"/>
  <c r="CH170" i="16"/>
  <c r="CH171" i="16"/>
  <c r="CH172" i="16"/>
  <c r="CH173" i="16"/>
  <c r="CH174" i="16"/>
  <c r="CH175" i="16"/>
  <c r="CH176" i="16"/>
  <c r="CH177" i="16"/>
  <c r="CH178" i="16"/>
  <c r="CH179" i="16"/>
  <c r="CH180" i="16"/>
  <c r="CH181" i="16"/>
  <c r="CH182" i="16"/>
  <c r="CH183" i="16"/>
  <c r="CH184" i="16"/>
  <c r="CH185" i="16"/>
  <c r="CH186" i="16"/>
  <c r="CH187" i="16"/>
  <c r="CH188" i="16"/>
  <c r="CH189" i="16"/>
  <c r="CH190" i="16"/>
  <c r="CH191" i="16"/>
  <c r="CH192" i="16"/>
  <c r="CH193" i="16"/>
  <c r="CH194" i="16"/>
  <c r="CH195" i="16"/>
  <c r="CH196" i="16"/>
  <c r="CH197" i="16"/>
  <c r="CH198" i="16"/>
  <c r="CH199" i="16"/>
  <c r="CH200" i="16"/>
  <c r="CH201" i="16"/>
  <c r="CA4" i="16"/>
  <c r="CA5" i="16"/>
  <c r="CA6" i="16"/>
  <c r="CA7" i="16"/>
  <c r="CA8" i="16"/>
  <c r="CA9" i="16"/>
  <c r="CA10" i="16"/>
  <c r="CA11" i="16"/>
  <c r="CA12" i="16"/>
  <c r="CA13" i="16"/>
  <c r="CA14" i="16"/>
  <c r="CA15" i="16"/>
  <c r="CA16" i="16"/>
  <c r="CA17" i="16"/>
  <c r="CA18" i="16"/>
  <c r="CA19" i="16"/>
  <c r="CA20" i="16"/>
  <c r="CA21" i="16"/>
  <c r="CA22" i="16"/>
  <c r="CA23" i="16"/>
  <c r="CA24" i="16"/>
  <c r="CA25" i="16"/>
  <c r="CA26" i="16"/>
  <c r="CA27" i="16"/>
  <c r="CA28" i="16"/>
  <c r="CA29" i="16"/>
  <c r="CA30" i="16"/>
  <c r="CA31" i="16"/>
  <c r="CA32" i="16"/>
  <c r="CA33" i="16"/>
  <c r="CA34" i="16"/>
  <c r="CA35" i="16"/>
  <c r="CA36" i="16"/>
  <c r="CA37" i="16"/>
  <c r="CA38" i="16"/>
  <c r="CA39" i="16"/>
  <c r="CA40" i="16"/>
  <c r="CA41" i="16"/>
  <c r="CA42" i="16"/>
  <c r="CA43" i="16"/>
  <c r="CA44" i="16"/>
  <c r="CA45" i="16"/>
  <c r="CA46" i="16"/>
  <c r="CA47" i="16"/>
  <c r="CA48" i="16"/>
  <c r="CA49" i="16"/>
  <c r="CA50" i="16"/>
  <c r="CA51" i="16"/>
  <c r="CA52" i="16"/>
  <c r="CA53" i="16"/>
  <c r="CA54" i="16"/>
  <c r="CA55" i="16"/>
  <c r="CA56" i="16"/>
  <c r="CA57" i="16"/>
  <c r="CA58" i="16"/>
  <c r="CA59" i="16"/>
  <c r="CA60" i="16"/>
  <c r="CA61" i="16"/>
  <c r="CA62" i="16"/>
  <c r="CA63" i="16"/>
  <c r="CA64" i="16"/>
  <c r="CA65" i="16"/>
  <c r="CA66" i="16"/>
  <c r="CA67" i="16"/>
  <c r="CA68" i="16"/>
  <c r="CA69" i="16"/>
  <c r="CA70" i="16"/>
  <c r="CA71" i="16"/>
  <c r="CA72" i="16"/>
  <c r="CA73" i="16"/>
  <c r="CA74" i="16"/>
  <c r="CA75" i="16"/>
  <c r="CA76" i="16"/>
  <c r="CA77" i="16"/>
  <c r="CA78" i="16"/>
  <c r="CA79" i="16"/>
  <c r="CA80" i="16"/>
  <c r="CA81" i="16"/>
  <c r="CA82" i="16"/>
  <c r="CA83" i="16"/>
  <c r="CA84" i="16"/>
  <c r="CA85" i="16"/>
  <c r="CA86" i="16"/>
  <c r="CA87" i="16"/>
  <c r="CA88" i="16"/>
  <c r="CA89" i="16"/>
  <c r="CA90" i="16"/>
  <c r="CA91" i="16"/>
  <c r="CA92" i="16"/>
  <c r="CA93" i="16"/>
  <c r="CA94" i="16"/>
  <c r="CA95" i="16"/>
  <c r="CA96" i="16"/>
  <c r="CA97" i="16"/>
  <c r="CA98" i="16"/>
  <c r="CA99" i="16"/>
  <c r="CA100" i="16"/>
  <c r="CA101" i="16"/>
  <c r="CA102" i="16"/>
  <c r="CA103" i="16"/>
  <c r="CA104" i="16"/>
  <c r="CA105" i="16"/>
  <c r="CA106" i="16"/>
  <c r="CA107" i="16"/>
  <c r="CA108" i="16"/>
  <c r="CA109" i="16"/>
  <c r="CA110" i="16"/>
  <c r="CA111" i="16"/>
  <c r="CA112" i="16"/>
  <c r="CA113" i="16"/>
  <c r="CA114" i="16"/>
  <c r="CA115" i="16"/>
  <c r="CA116" i="16"/>
  <c r="CA117" i="16"/>
  <c r="CA118" i="16"/>
  <c r="CA119" i="16"/>
  <c r="CA120" i="16"/>
  <c r="CA121" i="16"/>
  <c r="CA122" i="16"/>
  <c r="CA123" i="16"/>
  <c r="CA124" i="16"/>
  <c r="CA125" i="16"/>
  <c r="CA126" i="16"/>
  <c r="CA127" i="16"/>
  <c r="CA128" i="16"/>
  <c r="CA129" i="16"/>
  <c r="CA130" i="16"/>
  <c r="CA131" i="16"/>
  <c r="CA132" i="16"/>
  <c r="CA133" i="16"/>
  <c r="CA134" i="16"/>
  <c r="CA135" i="16"/>
  <c r="CA136" i="16"/>
  <c r="CA137" i="16"/>
  <c r="CA138" i="16"/>
  <c r="CA139" i="16"/>
  <c r="CA140" i="16"/>
  <c r="CA141" i="16"/>
  <c r="CA142" i="16"/>
  <c r="CA143" i="16"/>
  <c r="CA144" i="16"/>
  <c r="CA145" i="16"/>
  <c r="CA146" i="16"/>
  <c r="CA147" i="16"/>
  <c r="CA148" i="16"/>
  <c r="CA149" i="16"/>
  <c r="CA150" i="16"/>
  <c r="CA151" i="16"/>
  <c r="CA152" i="16"/>
  <c r="CA153" i="16"/>
  <c r="CA154" i="16"/>
  <c r="CA155" i="16"/>
  <c r="CA156" i="16"/>
  <c r="CA157" i="16"/>
  <c r="CA158" i="16"/>
  <c r="CA159" i="16"/>
  <c r="CA160" i="16"/>
  <c r="CA161" i="16"/>
  <c r="CA162" i="16"/>
  <c r="CA163" i="16"/>
  <c r="CA164" i="16"/>
  <c r="CA165" i="16"/>
  <c r="CA166" i="16"/>
  <c r="CA167" i="16"/>
  <c r="CA168" i="16"/>
  <c r="CA169" i="16"/>
  <c r="CA170" i="16"/>
  <c r="CA171" i="16"/>
  <c r="CA172" i="16"/>
  <c r="CA173" i="16"/>
  <c r="CA174" i="16"/>
  <c r="CA175" i="16"/>
  <c r="CA176" i="16"/>
  <c r="CA177" i="16"/>
  <c r="CA178" i="16"/>
  <c r="CA179" i="16"/>
  <c r="CA180" i="16"/>
  <c r="CA181" i="16"/>
  <c r="CA182" i="16"/>
  <c r="CA183" i="16"/>
  <c r="CA184" i="16"/>
  <c r="CA185" i="16"/>
  <c r="CA186" i="16"/>
  <c r="CA187" i="16"/>
  <c r="CA188" i="16"/>
  <c r="CA189" i="16"/>
  <c r="CA190" i="16"/>
  <c r="CA191" i="16"/>
  <c r="CA192" i="16"/>
  <c r="CA193" i="16"/>
  <c r="CA194" i="16"/>
  <c r="CA195" i="16"/>
  <c r="CA196" i="16"/>
  <c r="CA197" i="16"/>
  <c r="CA198" i="16"/>
  <c r="CA199" i="16"/>
  <c r="CA200" i="16"/>
  <c r="CA201" i="16"/>
  <c r="BT4" i="16"/>
  <c r="BT5" i="16"/>
  <c r="BT6" i="16"/>
  <c r="BT7" i="16"/>
  <c r="BT8" i="16"/>
  <c r="BT9" i="16"/>
  <c r="BT10" i="16"/>
  <c r="BT11" i="16"/>
  <c r="BT12" i="16"/>
  <c r="BT13" i="16"/>
  <c r="BT14" i="16"/>
  <c r="BT15" i="16"/>
  <c r="BT16" i="16"/>
  <c r="BT17" i="16"/>
  <c r="BT18" i="16"/>
  <c r="BT19" i="16"/>
  <c r="BT20" i="16"/>
  <c r="BT21" i="16"/>
  <c r="BT22" i="16"/>
  <c r="BT23" i="16"/>
  <c r="BT24" i="16"/>
  <c r="BT25" i="16"/>
  <c r="BT26" i="16"/>
  <c r="BT27" i="16"/>
  <c r="BT28" i="16"/>
  <c r="BT29" i="16"/>
  <c r="BT30" i="16"/>
  <c r="BT31" i="16"/>
  <c r="BT32" i="16"/>
  <c r="BT33" i="16"/>
  <c r="BT34" i="16"/>
  <c r="BT35" i="16"/>
  <c r="BT36" i="16"/>
  <c r="BT37" i="16"/>
  <c r="BT38" i="16"/>
  <c r="BT39" i="16"/>
  <c r="BT40" i="16"/>
  <c r="BT41" i="16"/>
  <c r="BT42" i="16"/>
  <c r="BT43" i="16"/>
  <c r="BT44" i="16"/>
  <c r="BT45" i="16"/>
  <c r="BT46" i="16"/>
  <c r="BT47" i="16"/>
  <c r="BT48" i="16"/>
  <c r="BT49" i="16"/>
  <c r="BT50" i="16"/>
  <c r="BT51" i="16"/>
  <c r="BT52" i="16"/>
  <c r="BT53" i="16"/>
  <c r="BT54" i="16"/>
  <c r="BT55" i="16"/>
  <c r="BT56" i="16"/>
  <c r="BT57" i="16"/>
  <c r="BT58" i="16"/>
  <c r="BT59" i="16"/>
  <c r="BT60" i="16"/>
  <c r="BT61" i="16"/>
  <c r="BT62" i="16"/>
  <c r="BT63" i="16"/>
  <c r="BT64" i="16"/>
  <c r="BT65" i="16"/>
  <c r="BT66" i="16"/>
  <c r="BT67" i="16"/>
  <c r="BT68" i="16"/>
  <c r="BT69" i="16"/>
  <c r="BT70" i="16"/>
  <c r="BT71" i="16"/>
  <c r="BT72" i="16"/>
  <c r="BT73" i="16"/>
  <c r="BT74" i="16"/>
  <c r="BT75" i="16"/>
  <c r="BT76" i="16"/>
  <c r="BT77" i="16"/>
  <c r="BT78" i="16"/>
  <c r="BT79" i="16"/>
  <c r="BT80" i="16"/>
  <c r="BT81" i="16"/>
  <c r="BT82" i="16"/>
  <c r="BT83" i="16"/>
  <c r="BT84" i="16"/>
  <c r="BT85" i="16"/>
  <c r="BT86" i="16"/>
  <c r="BT87" i="16"/>
  <c r="BT88" i="16"/>
  <c r="BT89" i="16"/>
  <c r="BT90" i="16"/>
  <c r="BT91" i="16"/>
  <c r="BT92" i="16"/>
  <c r="BT93" i="16"/>
  <c r="BT94" i="16"/>
  <c r="BT95" i="16"/>
  <c r="BT96" i="16"/>
  <c r="BT97" i="16"/>
  <c r="BT98" i="16"/>
  <c r="BT99" i="16"/>
  <c r="BT100" i="16"/>
  <c r="BT101" i="16"/>
  <c r="BT102" i="16"/>
  <c r="BT103" i="16"/>
  <c r="BT104" i="16"/>
  <c r="BT105" i="16"/>
  <c r="BT106" i="16"/>
  <c r="BT107" i="16"/>
  <c r="BT108" i="16"/>
  <c r="BT109" i="16"/>
  <c r="BT110" i="16"/>
  <c r="BT111" i="16"/>
  <c r="BT112" i="16"/>
  <c r="BT113" i="16"/>
  <c r="BT114" i="16"/>
  <c r="BT115" i="16"/>
  <c r="BT116" i="16"/>
  <c r="BT117" i="16"/>
  <c r="BT118" i="16"/>
  <c r="BT119" i="16"/>
  <c r="BT120" i="16"/>
  <c r="BT121" i="16"/>
  <c r="BT122" i="16"/>
  <c r="BT123" i="16"/>
  <c r="BT124" i="16"/>
  <c r="BT125" i="16"/>
  <c r="BT126" i="16"/>
  <c r="BT127" i="16"/>
  <c r="BT128" i="16"/>
  <c r="BT129" i="16"/>
  <c r="BT130" i="16"/>
  <c r="BT131" i="16"/>
  <c r="BT132" i="16"/>
  <c r="BT133" i="16"/>
  <c r="BT134" i="16"/>
  <c r="BT135" i="16"/>
  <c r="BT136" i="16"/>
  <c r="BT137" i="16"/>
  <c r="BT138" i="16"/>
  <c r="BT139" i="16"/>
  <c r="BT140" i="16"/>
  <c r="BT141" i="16"/>
  <c r="BT142" i="16"/>
  <c r="BT143" i="16"/>
  <c r="BT144" i="16"/>
  <c r="BT145" i="16"/>
  <c r="BT146" i="16"/>
  <c r="BT147" i="16"/>
  <c r="BT148" i="16"/>
  <c r="BT149" i="16"/>
  <c r="BT150" i="16"/>
  <c r="BT151" i="16"/>
  <c r="BT152" i="16"/>
  <c r="BT153" i="16"/>
  <c r="BT154" i="16"/>
  <c r="BT155" i="16"/>
  <c r="BT156" i="16"/>
  <c r="BT157" i="16"/>
  <c r="BT158" i="16"/>
  <c r="BT159" i="16"/>
  <c r="BT160" i="16"/>
  <c r="BT161" i="16"/>
  <c r="BT162" i="16"/>
  <c r="BT163" i="16"/>
  <c r="BT164" i="16"/>
  <c r="BT165" i="16"/>
  <c r="BT166" i="16"/>
  <c r="BT167" i="16"/>
  <c r="BT168" i="16"/>
  <c r="BT169" i="16"/>
  <c r="BT170" i="16"/>
  <c r="BT171" i="16"/>
  <c r="BT172" i="16"/>
  <c r="BT173" i="16"/>
  <c r="BT174" i="16"/>
  <c r="BT175" i="16"/>
  <c r="BT176" i="16"/>
  <c r="BT177" i="16"/>
  <c r="BT178" i="16"/>
  <c r="BT179" i="16"/>
  <c r="BT180" i="16"/>
  <c r="BT181" i="16"/>
  <c r="BT182" i="16"/>
  <c r="BT183" i="16"/>
  <c r="BT184" i="16"/>
  <c r="BT185" i="16"/>
  <c r="BT186" i="16"/>
  <c r="BT187" i="16"/>
  <c r="BT188" i="16"/>
  <c r="BT189" i="16"/>
  <c r="BT190" i="16"/>
  <c r="BT191" i="16"/>
  <c r="BT192" i="16"/>
  <c r="BT193" i="16"/>
  <c r="BT194" i="16"/>
  <c r="BT195" i="16"/>
  <c r="BT196" i="16"/>
  <c r="BT197" i="16"/>
  <c r="BT198" i="16"/>
  <c r="BT199" i="16"/>
  <c r="BT200" i="16"/>
  <c r="BT201" i="16"/>
  <c r="BG4" i="16"/>
  <c r="BG5" i="16"/>
  <c r="BG6" i="16"/>
  <c r="BG7" i="16"/>
  <c r="BG8" i="16"/>
  <c r="BG9" i="16"/>
  <c r="BG10" i="16"/>
  <c r="BG11" i="16"/>
  <c r="BG12" i="16"/>
  <c r="BG13" i="16"/>
  <c r="BG14" i="16"/>
  <c r="BG15" i="16"/>
  <c r="BG16" i="16"/>
  <c r="BG17" i="16"/>
  <c r="BG18" i="16"/>
  <c r="BG19" i="16"/>
  <c r="BG20" i="16"/>
  <c r="BG21" i="16"/>
  <c r="BG22" i="16"/>
  <c r="BG23" i="16"/>
  <c r="BG24" i="16"/>
  <c r="BG25" i="16"/>
  <c r="BG26" i="16"/>
  <c r="BG27" i="16"/>
  <c r="BG28" i="16"/>
  <c r="BG29" i="16"/>
  <c r="BG30" i="16"/>
  <c r="BG31" i="16"/>
  <c r="BG32" i="16"/>
  <c r="BG33" i="16"/>
  <c r="BG34" i="16"/>
  <c r="BG35" i="16"/>
  <c r="BG36" i="16"/>
  <c r="BG37" i="16"/>
  <c r="BG38" i="16"/>
  <c r="BG39" i="16"/>
  <c r="BG40" i="16"/>
  <c r="BG41" i="16"/>
  <c r="BG42" i="16"/>
  <c r="BG43" i="16"/>
  <c r="BG44" i="16"/>
  <c r="BG45" i="16"/>
  <c r="BG46" i="16"/>
  <c r="BG47" i="16"/>
  <c r="BG48" i="16"/>
  <c r="BG49" i="16"/>
  <c r="BG50" i="16"/>
  <c r="BG51" i="16"/>
  <c r="BG52" i="16"/>
  <c r="BG53" i="16"/>
  <c r="BG54" i="16"/>
  <c r="BG55" i="16"/>
  <c r="BG56" i="16"/>
  <c r="BG57" i="16"/>
  <c r="BG58" i="16"/>
  <c r="BG59" i="16"/>
  <c r="BG60" i="16"/>
  <c r="BG61" i="16"/>
  <c r="BG62" i="16"/>
  <c r="BG63" i="16"/>
  <c r="BG64" i="16"/>
  <c r="BG65" i="16"/>
  <c r="BG66" i="16"/>
  <c r="BG67" i="16"/>
  <c r="BG68" i="16"/>
  <c r="BG69" i="16"/>
  <c r="BG70" i="16"/>
  <c r="BG71" i="16"/>
  <c r="BG72" i="16"/>
  <c r="BG73" i="16"/>
  <c r="BG74" i="16"/>
  <c r="BG75" i="16"/>
  <c r="BG76" i="16"/>
  <c r="BG77" i="16"/>
  <c r="BG78" i="16"/>
  <c r="BG79" i="16"/>
  <c r="BG80" i="16"/>
  <c r="BG81" i="16"/>
  <c r="BG82" i="16"/>
  <c r="BG83" i="16"/>
  <c r="BG84" i="16"/>
  <c r="BG85" i="16"/>
  <c r="BG86" i="16"/>
  <c r="BG87" i="16"/>
  <c r="BG88" i="16"/>
  <c r="BG89" i="16"/>
  <c r="BG90" i="16"/>
  <c r="BG91" i="16"/>
  <c r="BG92" i="16"/>
  <c r="BG93" i="16"/>
  <c r="BG94" i="16"/>
  <c r="BG95" i="16"/>
  <c r="BG96" i="16"/>
  <c r="BG97" i="16"/>
  <c r="BG98" i="16"/>
  <c r="BG99" i="16"/>
  <c r="BG100" i="16"/>
  <c r="BG101" i="16"/>
  <c r="BG102" i="16"/>
  <c r="BG103" i="16"/>
  <c r="BG104" i="16"/>
  <c r="BG105" i="16"/>
  <c r="BG106" i="16"/>
  <c r="BG107" i="16"/>
  <c r="BG108" i="16"/>
  <c r="BG109" i="16"/>
  <c r="BG110" i="16"/>
  <c r="BG111" i="16"/>
  <c r="BG112" i="16"/>
  <c r="BG113" i="16"/>
  <c r="BG114" i="16"/>
  <c r="BG115" i="16"/>
  <c r="BG116" i="16"/>
  <c r="BG117" i="16"/>
  <c r="BG118" i="16"/>
  <c r="BG119" i="16"/>
  <c r="BG120" i="16"/>
  <c r="BG121" i="16"/>
  <c r="BG122" i="16"/>
  <c r="BG123" i="16"/>
  <c r="BG124" i="16"/>
  <c r="BG125" i="16"/>
  <c r="BG126" i="16"/>
  <c r="BG127" i="16"/>
  <c r="BG128" i="16"/>
  <c r="BG129" i="16"/>
  <c r="BG130" i="16"/>
  <c r="BG131" i="16"/>
  <c r="BG132" i="16"/>
  <c r="BG133" i="16"/>
  <c r="BG134" i="16"/>
  <c r="BG135" i="16"/>
  <c r="BG136" i="16"/>
  <c r="BG137" i="16"/>
  <c r="BG138" i="16"/>
  <c r="BG139" i="16"/>
  <c r="BG140" i="16"/>
  <c r="BG141" i="16"/>
  <c r="BG142" i="16"/>
  <c r="BG143" i="16"/>
  <c r="BG144" i="16"/>
  <c r="BG145" i="16"/>
  <c r="BG146" i="16"/>
  <c r="BG147" i="16"/>
  <c r="BG148" i="16"/>
  <c r="BG149" i="16"/>
  <c r="BG150" i="16"/>
  <c r="BG151" i="16"/>
  <c r="BG152" i="16"/>
  <c r="BG153" i="16"/>
  <c r="BG154" i="16"/>
  <c r="BG155" i="16"/>
  <c r="BG156" i="16"/>
  <c r="BG157" i="16"/>
  <c r="BG158" i="16"/>
  <c r="BG159" i="16"/>
  <c r="BG160" i="16"/>
  <c r="BG161" i="16"/>
  <c r="BG162" i="16"/>
  <c r="BG163" i="16"/>
  <c r="BG164" i="16"/>
  <c r="BG165" i="16"/>
  <c r="BG166" i="16"/>
  <c r="BG167" i="16"/>
  <c r="BG168" i="16"/>
  <c r="BG169" i="16"/>
  <c r="BG170" i="16"/>
  <c r="BG171" i="16"/>
  <c r="BG172" i="16"/>
  <c r="BG173" i="16"/>
  <c r="BG174" i="16"/>
  <c r="BG175" i="16"/>
  <c r="BG176" i="16"/>
  <c r="BG177" i="16"/>
  <c r="BG178" i="16"/>
  <c r="BG179" i="16"/>
  <c r="BG180" i="16"/>
  <c r="BG181" i="16"/>
  <c r="BG182" i="16"/>
  <c r="BG183" i="16"/>
  <c r="BG184" i="16"/>
  <c r="BG185" i="16"/>
  <c r="BG186" i="16"/>
  <c r="BG187" i="16"/>
  <c r="BG188" i="16"/>
  <c r="BG189" i="16"/>
  <c r="BG190" i="16"/>
  <c r="BG191" i="16"/>
  <c r="BG192" i="16"/>
  <c r="BG193" i="16"/>
  <c r="BG194" i="16"/>
  <c r="BG195" i="16"/>
  <c r="BG196" i="16"/>
  <c r="BG197" i="16"/>
  <c r="BG198" i="16"/>
  <c r="BG199" i="16"/>
  <c r="BG200" i="16"/>
  <c r="BG201" i="16"/>
  <c r="AZ4" i="16"/>
  <c r="AZ5" i="16"/>
  <c r="AZ6" i="16"/>
  <c r="AZ7" i="16"/>
  <c r="AZ8" i="16"/>
  <c r="AZ9" i="16"/>
  <c r="AZ10" i="16"/>
  <c r="AZ11" i="16"/>
  <c r="AZ12" i="16"/>
  <c r="AZ13" i="16"/>
  <c r="AZ14" i="16"/>
  <c r="AZ15" i="16"/>
  <c r="AZ16" i="16"/>
  <c r="AZ17" i="16"/>
  <c r="AZ18" i="16"/>
  <c r="AZ19" i="16"/>
  <c r="AZ20" i="16"/>
  <c r="AZ21" i="16"/>
  <c r="AZ22" i="16"/>
  <c r="AZ23" i="16"/>
  <c r="AZ24" i="16"/>
  <c r="AZ25" i="16"/>
  <c r="AZ26" i="16"/>
  <c r="AZ27" i="16"/>
  <c r="AZ28" i="16"/>
  <c r="AZ29" i="16"/>
  <c r="AZ30" i="16"/>
  <c r="AZ31" i="16"/>
  <c r="AZ32" i="16"/>
  <c r="AZ33" i="16"/>
  <c r="AZ34" i="16"/>
  <c r="AZ35" i="16"/>
  <c r="AZ36" i="16"/>
  <c r="AZ37" i="16"/>
  <c r="AZ38" i="16"/>
  <c r="AZ39" i="16"/>
  <c r="AZ40" i="16"/>
  <c r="AZ41" i="16"/>
  <c r="AZ42" i="16"/>
  <c r="AZ43" i="16"/>
  <c r="AZ44" i="16"/>
  <c r="AZ45" i="16"/>
  <c r="AZ46" i="16"/>
  <c r="AZ47" i="16"/>
  <c r="AZ48" i="16"/>
  <c r="AZ49" i="16"/>
  <c r="AZ50" i="16"/>
  <c r="AZ51" i="16"/>
  <c r="AZ52" i="16"/>
  <c r="AZ53" i="16"/>
  <c r="AZ54" i="16"/>
  <c r="AZ55" i="16"/>
  <c r="AZ56" i="16"/>
  <c r="AZ57" i="16"/>
  <c r="AZ58" i="16"/>
  <c r="AZ59" i="16"/>
  <c r="AZ60" i="16"/>
  <c r="AZ61" i="16"/>
  <c r="AZ62" i="16"/>
  <c r="AZ63" i="16"/>
  <c r="AZ64" i="16"/>
  <c r="AZ65" i="16"/>
  <c r="AZ66" i="16"/>
  <c r="AZ67" i="16"/>
  <c r="AZ68" i="16"/>
  <c r="AZ69" i="16"/>
  <c r="AZ70" i="16"/>
  <c r="AZ71" i="16"/>
  <c r="AZ72" i="16"/>
  <c r="AZ73" i="16"/>
  <c r="AZ74" i="16"/>
  <c r="AZ75" i="16"/>
  <c r="AZ76" i="16"/>
  <c r="AZ77" i="16"/>
  <c r="AZ78" i="16"/>
  <c r="AZ79" i="16"/>
  <c r="AZ80" i="16"/>
  <c r="AZ81" i="16"/>
  <c r="AZ82" i="16"/>
  <c r="AZ83" i="16"/>
  <c r="AZ84" i="16"/>
  <c r="AZ85" i="16"/>
  <c r="AZ86" i="16"/>
  <c r="AZ87" i="16"/>
  <c r="AZ88" i="16"/>
  <c r="AZ89" i="16"/>
  <c r="AZ90" i="16"/>
  <c r="AZ91" i="16"/>
  <c r="AZ92" i="16"/>
  <c r="AZ93" i="16"/>
  <c r="AZ94" i="16"/>
  <c r="AZ95" i="16"/>
  <c r="AZ96" i="16"/>
  <c r="AZ97" i="16"/>
  <c r="AZ98" i="16"/>
  <c r="AZ99" i="16"/>
  <c r="AZ100" i="16"/>
  <c r="AZ101" i="16"/>
  <c r="AZ102" i="16"/>
  <c r="AZ103" i="16"/>
  <c r="AZ104" i="16"/>
  <c r="AZ105" i="16"/>
  <c r="AZ106" i="16"/>
  <c r="AZ107" i="16"/>
  <c r="AZ108" i="16"/>
  <c r="AZ109" i="16"/>
  <c r="AZ110" i="16"/>
  <c r="AZ111" i="16"/>
  <c r="AZ112" i="16"/>
  <c r="AZ113" i="16"/>
  <c r="AZ114" i="16"/>
  <c r="AZ115" i="16"/>
  <c r="AZ116" i="16"/>
  <c r="AZ117" i="16"/>
  <c r="AZ118" i="16"/>
  <c r="AZ119" i="16"/>
  <c r="AZ120" i="16"/>
  <c r="AZ121" i="16"/>
  <c r="AZ122" i="16"/>
  <c r="AZ123" i="16"/>
  <c r="AZ124" i="16"/>
  <c r="AZ125" i="16"/>
  <c r="AZ126" i="16"/>
  <c r="AZ127" i="16"/>
  <c r="AZ128" i="16"/>
  <c r="AZ129" i="16"/>
  <c r="AZ130" i="16"/>
  <c r="AZ131" i="16"/>
  <c r="AZ132" i="16"/>
  <c r="AZ133" i="16"/>
  <c r="AZ134" i="16"/>
  <c r="AZ135" i="16"/>
  <c r="AZ136" i="16"/>
  <c r="AZ137" i="16"/>
  <c r="AZ138" i="16"/>
  <c r="AZ139" i="16"/>
  <c r="AZ140" i="16"/>
  <c r="AZ141" i="16"/>
  <c r="AZ142" i="16"/>
  <c r="AZ143" i="16"/>
  <c r="AZ144" i="16"/>
  <c r="AZ145" i="16"/>
  <c r="AZ146" i="16"/>
  <c r="AZ147" i="16"/>
  <c r="AZ148" i="16"/>
  <c r="AZ149" i="16"/>
  <c r="AZ150" i="16"/>
  <c r="AZ151" i="16"/>
  <c r="AZ152" i="16"/>
  <c r="AZ153" i="16"/>
  <c r="AZ154" i="16"/>
  <c r="AZ155" i="16"/>
  <c r="AZ156" i="16"/>
  <c r="AZ157" i="16"/>
  <c r="AZ158" i="16"/>
  <c r="AZ159" i="16"/>
  <c r="AZ160" i="16"/>
  <c r="AZ161" i="16"/>
  <c r="AZ162" i="16"/>
  <c r="AZ163" i="16"/>
  <c r="AZ164" i="16"/>
  <c r="AZ165" i="16"/>
  <c r="AZ166" i="16"/>
  <c r="AZ167" i="16"/>
  <c r="AZ168" i="16"/>
  <c r="AZ169" i="16"/>
  <c r="AZ170" i="16"/>
  <c r="AZ171" i="16"/>
  <c r="AZ172" i="16"/>
  <c r="AZ173" i="16"/>
  <c r="AZ174" i="16"/>
  <c r="AZ175" i="16"/>
  <c r="AZ176" i="16"/>
  <c r="AZ177" i="16"/>
  <c r="AZ178" i="16"/>
  <c r="AZ179" i="16"/>
  <c r="AZ180" i="16"/>
  <c r="AZ181" i="16"/>
  <c r="AZ182" i="16"/>
  <c r="AZ183" i="16"/>
  <c r="AZ184" i="16"/>
  <c r="AZ185" i="16"/>
  <c r="AZ186" i="16"/>
  <c r="AZ187" i="16"/>
  <c r="AZ188" i="16"/>
  <c r="AZ189" i="16"/>
  <c r="AZ190" i="16"/>
  <c r="AZ191" i="16"/>
  <c r="AZ192" i="16"/>
  <c r="AZ193" i="16"/>
  <c r="AZ194" i="16"/>
  <c r="AZ195" i="16"/>
  <c r="AZ196" i="16"/>
  <c r="AZ197" i="16"/>
  <c r="AZ198" i="16"/>
  <c r="AZ199" i="16"/>
  <c r="AZ200" i="16"/>
  <c r="AZ201" i="16"/>
  <c r="AS4" i="16"/>
  <c r="AS5" i="16"/>
  <c r="AS6" i="16"/>
  <c r="AS7" i="16"/>
  <c r="AS8" i="16"/>
  <c r="AS9" i="16"/>
  <c r="AS10" i="16"/>
  <c r="AS11" i="16"/>
  <c r="AS12" i="16"/>
  <c r="AS13" i="16"/>
  <c r="AS14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AS35" i="16"/>
  <c r="AS36" i="16"/>
  <c r="AS37" i="16"/>
  <c r="AS38" i="16"/>
  <c r="AS39" i="16"/>
  <c r="AS40" i="16"/>
  <c r="AS41" i="16"/>
  <c r="AS42" i="16"/>
  <c r="AS43" i="16"/>
  <c r="AS44" i="16"/>
  <c r="AS45" i="16"/>
  <c r="AS46" i="16"/>
  <c r="AS47" i="16"/>
  <c r="AS48" i="16"/>
  <c r="AS49" i="16"/>
  <c r="AS50" i="16"/>
  <c r="AS51" i="16"/>
  <c r="AS52" i="16"/>
  <c r="AS53" i="16"/>
  <c r="AS54" i="16"/>
  <c r="AS55" i="16"/>
  <c r="AS56" i="16"/>
  <c r="AS57" i="16"/>
  <c r="AS58" i="16"/>
  <c r="AS59" i="16"/>
  <c r="AS60" i="16"/>
  <c r="AS61" i="16"/>
  <c r="AS62" i="16"/>
  <c r="AS63" i="16"/>
  <c r="AS64" i="16"/>
  <c r="AS65" i="16"/>
  <c r="AS66" i="16"/>
  <c r="AS67" i="16"/>
  <c r="AS68" i="16"/>
  <c r="AS69" i="16"/>
  <c r="AS70" i="16"/>
  <c r="AS71" i="16"/>
  <c r="AS72" i="16"/>
  <c r="AS73" i="16"/>
  <c r="AS74" i="16"/>
  <c r="AS75" i="16"/>
  <c r="AS76" i="16"/>
  <c r="AS77" i="16"/>
  <c r="AS78" i="16"/>
  <c r="AS79" i="16"/>
  <c r="AS80" i="16"/>
  <c r="AS81" i="16"/>
  <c r="AS82" i="16"/>
  <c r="AS83" i="16"/>
  <c r="AS84" i="16"/>
  <c r="AS85" i="16"/>
  <c r="AS86" i="16"/>
  <c r="AS87" i="16"/>
  <c r="AS88" i="16"/>
  <c r="AS89" i="16"/>
  <c r="AS90" i="16"/>
  <c r="AS91" i="16"/>
  <c r="AS92" i="16"/>
  <c r="AS93" i="16"/>
  <c r="AS94" i="16"/>
  <c r="AS95" i="16"/>
  <c r="AS96" i="16"/>
  <c r="AS97" i="16"/>
  <c r="AS98" i="16"/>
  <c r="AS99" i="16"/>
  <c r="AS100" i="16"/>
  <c r="AS101" i="16"/>
  <c r="AS102" i="16"/>
  <c r="AS103" i="16"/>
  <c r="AS104" i="16"/>
  <c r="AS105" i="16"/>
  <c r="AS106" i="16"/>
  <c r="AS107" i="16"/>
  <c r="AS108" i="16"/>
  <c r="AS109" i="16"/>
  <c r="AS110" i="16"/>
  <c r="AS111" i="16"/>
  <c r="AS112" i="16"/>
  <c r="AS113" i="16"/>
  <c r="AS114" i="16"/>
  <c r="AS115" i="16"/>
  <c r="AS116" i="16"/>
  <c r="AS117" i="16"/>
  <c r="AS118" i="16"/>
  <c r="AS119" i="16"/>
  <c r="AS120" i="16"/>
  <c r="AS121" i="16"/>
  <c r="AS122" i="16"/>
  <c r="AS123" i="16"/>
  <c r="AS124" i="16"/>
  <c r="AS125" i="16"/>
  <c r="AS126" i="16"/>
  <c r="AS127" i="16"/>
  <c r="AS128" i="16"/>
  <c r="AS129" i="16"/>
  <c r="AS130" i="16"/>
  <c r="AS131" i="16"/>
  <c r="AS132" i="16"/>
  <c r="AS133" i="16"/>
  <c r="AS134" i="16"/>
  <c r="AS135" i="16"/>
  <c r="AS136" i="16"/>
  <c r="AS137" i="16"/>
  <c r="AS138" i="16"/>
  <c r="AS139" i="16"/>
  <c r="AS140" i="16"/>
  <c r="AS141" i="16"/>
  <c r="AS142" i="16"/>
  <c r="AS143" i="16"/>
  <c r="AS144" i="16"/>
  <c r="AS145" i="16"/>
  <c r="AS146" i="16"/>
  <c r="AS147" i="16"/>
  <c r="AS148" i="16"/>
  <c r="AS149" i="16"/>
  <c r="AS150" i="16"/>
  <c r="AS151" i="16"/>
  <c r="AS152" i="16"/>
  <c r="AS153" i="16"/>
  <c r="AS154" i="16"/>
  <c r="AS155" i="16"/>
  <c r="AS156" i="16"/>
  <c r="AS157" i="16"/>
  <c r="AS158" i="16"/>
  <c r="AS159" i="16"/>
  <c r="AS160" i="16"/>
  <c r="AS161" i="16"/>
  <c r="AS162" i="16"/>
  <c r="AS163" i="16"/>
  <c r="AS164" i="16"/>
  <c r="AS165" i="16"/>
  <c r="AS166" i="16"/>
  <c r="AS167" i="16"/>
  <c r="AS168" i="16"/>
  <c r="AS169" i="16"/>
  <c r="AS170" i="16"/>
  <c r="AS171" i="16"/>
  <c r="AS172" i="16"/>
  <c r="AS173" i="16"/>
  <c r="AS174" i="16"/>
  <c r="AS175" i="16"/>
  <c r="AS176" i="16"/>
  <c r="AS177" i="16"/>
  <c r="AS178" i="16"/>
  <c r="AS179" i="16"/>
  <c r="AS180" i="16"/>
  <c r="AS181" i="16"/>
  <c r="AS182" i="16"/>
  <c r="AS183" i="16"/>
  <c r="AS184" i="16"/>
  <c r="AS185" i="16"/>
  <c r="AS186" i="16"/>
  <c r="AS187" i="16"/>
  <c r="AS188" i="16"/>
  <c r="AS189" i="16"/>
  <c r="AS190" i="16"/>
  <c r="AS191" i="16"/>
  <c r="AS192" i="16"/>
  <c r="AS193" i="16"/>
  <c r="AS194" i="16"/>
  <c r="AS195" i="16"/>
  <c r="AS196" i="16"/>
  <c r="AS197" i="16"/>
  <c r="AS198" i="16"/>
  <c r="AS199" i="16"/>
  <c r="AS200" i="16"/>
  <c r="AS201" i="16"/>
  <c r="AF4" i="16"/>
  <c r="AF5" i="16"/>
  <c r="AF6" i="16"/>
  <c r="AF7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0" i="16"/>
  <c r="AF61" i="16"/>
  <c r="AF62" i="16"/>
  <c r="AF63" i="16"/>
  <c r="AF64" i="16"/>
  <c r="AF65" i="16"/>
  <c r="AF66" i="16"/>
  <c r="AF67" i="16"/>
  <c r="AF68" i="16"/>
  <c r="AF69" i="16"/>
  <c r="AF70" i="16"/>
  <c r="AF71" i="16"/>
  <c r="AF72" i="16"/>
  <c r="AF73" i="16"/>
  <c r="AF74" i="16"/>
  <c r="AF75" i="16"/>
  <c r="AF76" i="16"/>
  <c r="AF77" i="16"/>
  <c r="AF78" i="16"/>
  <c r="AF79" i="16"/>
  <c r="AF80" i="16"/>
  <c r="AF81" i="16"/>
  <c r="AF82" i="16"/>
  <c r="AF83" i="16"/>
  <c r="AF84" i="16"/>
  <c r="AF85" i="16"/>
  <c r="AF86" i="16"/>
  <c r="AF87" i="16"/>
  <c r="AF88" i="16"/>
  <c r="AF89" i="16"/>
  <c r="AF90" i="16"/>
  <c r="AF91" i="16"/>
  <c r="AF92" i="16"/>
  <c r="AF93" i="16"/>
  <c r="AF94" i="16"/>
  <c r="AF95" i="16"/>
  <c r="AF96" i="16"/>
  <c r="AF97" i="16"/>
  <c r="AF98" i="16"/>
  <c r="AF99" i="16"/>
  <c r="AF100" i="16"/>
  <c r="AF101" i="16"/>
  <c r="AF102" i="16"/>
  <c r="AF103" i="16"/>
  <c r="AF104" i="16"/>
  <c r="AF105" i="16"/>
  <c r="AF106" i="16"/>
  <c r="AF107" i="16"/>
  <c r="AF108" i="16"/>
  <c r="AF109" i="16"/>
  <c r="AF110" i="16"/>
  <c r="AF111" i="16"/>
  <c r="AF112" i="16"/>
  <c r="AF113" i="16"/>
  <c r="AF114" i="16"/>
  <c r="AF115" i="16"/>
  <c r="AF116" i="16"/>
  <c r="AF117" i="16"/>
  <c r="AF118" i="16"/>
  <c r="AF119" i="16"/>
  <c r="AF120" i="16"/>
  <c r="AF121" i="16"/>
  <c r="AF122" i="16"/>
  <c r="AF123" i="16"/>
  <c r="AF124" i="16"/>
  <c r="AF125" i="16"/>
  <c r="AF126" i="16"/>
  <c r="AF127" i="16"/>
  <c r="AF128" i="16"/>
  <c r="AF129" i="16"/>
  <c r="AF130" i="16"/>
  <c r="AF131" i="16"/>
  <c r="AF132" i="16"/>
  <c r="AF133" i="16"/>
  <c r="AF134" i="16"/>
  <c r="AF135" i="16"/>
  <c r="AF136" i="16"/>
  <c r="AF137" i="16"/>
  <c r="AF138" i="16"/>
  <c r="AF139" i="16"/>
  <c r="AF140" i="16"/>
  <c r="AF141" i="16"/>
  <c r="AF142" i="16"/>
  <c r="AF143" i="16"/>
  <c r="AF144" i="16"/>
  <c r="AF145" i="16"/>
  <c r="AF146" i="16"/>
  <c r="AF147" i="16"/>
  <c r="AF148" i="16"/>
  <c r="AF149" i="16"/>
  <c r="AF150" i="16"/>
  <c r="AF151" i="16"/>
  <c r="AF152" i="16"/>
  <c r="AF153" i="16"/>
  <c r="AF154" i="16"/>
  <c r="AF155" i="16"/>
  <c r="AF156" i="16"/>
  <c r="AF157" i="16"/>
  <c r="AF158" i="16"/>
  <c r="AF159" i="16"/>
  <c r="AF160" i="16"/>
  <c r="AF161" i="16"/>
  <c r="AF162" i="16"/>
  <c r="AF163" i="16"/>
  <c r="AF164" i="16"/>
  <c r="AF165" i="16"/>
  <c r="AF166" i="16"/>
  <c r="AF167" i="16"/>
  <c r="AF168" i="16"/>
  <c r="AF169" i="16"/>
  <c r="AF170" i="16"/>
  <c r="AF171" i="16"/>
  <c r="AF172" i="16"/>
  <c r="AF173" i="16"/>
  <c r="AF174" i="16"/>
  <c r="AF175" i="16"/>
  <c r="AF176" i="16"/>
  <c r="AF177" i="16"/>
  <c r="AF178" i="16"/>
  <c r="AF179" i="16"/>
  <c r="AF180" i="16"/>
  <c r="AF181" i="16"/>
  <c r="AF182" i="16"/>
  <c r="AF183" i="16"/>
  <c r="AF184" i="16"/>
  <c r="AF185" i="16"/>
  <c r="AF186" i="16"/>
  <c r="AF187" i="16"/>
  <c r="AF188" i="16"/>
  <c r="AF189" i="16"/>
  <c r="AF190" i="16"/>
  <c r="AF191" i="16"/>
  <c r="AF192" i="16"/>
  <c r="AF193" i="16"/>
  <c r="AF194" i="16"/>
  <c r="AF195" i="16"/>
  <c r="AF196" i="16"/>
  <c r="AF197" i="16"/>
  <c r="AF198" i="16"/>
  <c r="AF199" i="16"/>
  <c r="AF200" i="16"/>
  <c r="AF201" i="16"/>
  <c r="Y4" i="16"/>
  <c r="Y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79" i="16"/>
  <c r="Y80" i="16"/>
  <c r="Y81" i="16"/>
  <c r="Y82" i="16"/>
  <c r="Y83" i="16"/>
  <c r="Y84" i="16"/>
  <c r="Y85" i="16"/>
  <c r="Y86" i="16"/>
  <c r="Y87" i="16"/>
  <c r="Y88" i="16"/>
  <c r="Y89" i="16"/>
  <c r="Y90" i="16"/>
  <c r="Y91" i="16"/>
  <c r="Y92" i="16"/>
  <c r="Y93" i="16"/>
  <c r="Y94" i="16"/>
  <c r="Y95" i="16"/>
  <c r="Y96" i="16"/>
  <c r="Y97" i="16"/>
  <c r="Y98" i="16"/>
  <c r="Y99" i="16"/>
  <c r="Y100" i="16"/>
  <c r="Y101" i="16"/>
  <c r="Y102" i="16"/>
  <c r="Y103" i="16"/>
  <c r="Y104" i="16"/>
  <c r="Y105" i="16"/>
  <c r="Y106" i="16"/>
  <c r="Y107" i="16"/>
  <c r="Y108" i="16"/>
  <c r="Y109" i="16"/>
  <c r="Y110" i="16"/>
  <c r="Y111" i="16"/>
  <c r="Y112" i="16"/>
  <c r="Y113" i="16"/>
  <c r="Y114" i="16"/>
  <c r="Y115" i="16"/>
  <c r="Y116" i="16"/>
  <c r="Y117" i="16"/>
  <c r="Y118" i="16"/>
  <c r="Y119" i="16"/>
  <c r="Y120" i="16"/>
  <c r="Y121" i="16"/>
  <c r="Y122" i="16"/>
  <c r="Y123" i="16"/>
  <c r="Y124" i="16"/>
  <c r="Y125" i="16"/>
  <c r="Y126" i="16"/>
  <c r="Y127" i="16"/>
  <c r="Y128" i="16"/>
  <c r="Y129" i="16"/>
  <c r="Y130" i="16"/>
  <c r="Y131" i="16"/>
  <c r="Y132" i="16"/>
  <c r="Y133" i="16"/>
  <c r="Y134" i="16"/>
  <c r="Y135" i="16"/>
  <c r="Y136" i="16"/>
  <c r="Y137" i="16"/>
  <c r="Y138" i="16"/>
  <c r="Y139" i="16"/>
  <c r="Y140" i="16"/>
  <c r="Y141" i="16"/>
  <c r="Y142" i="16"/>
  <c r="Y143" i="16"/>
  <c r="Y144" i="16"/>
  <c r="Y145" i="16"/>
  <c r="Y146" i="16"/>
  <c r="Y147" i="16"/>
  <c r="Y148" i="16"/>
  <c r="Y149" i="16"/>
  <c r="Y150" i="16"/>
  <c r="Y151" i="16"/>
  <c r="Y152" i="16"/>
  <c r="Y153" i="16"/>
  <c r="Y154" i="16"/>
  <c r="Y155" i="16"/>
  <c r="Y156" i="16"/>
  <c r="Y157" i="16"/>
  <c r="Y158" i="16"/>
  <c r="Y159" i="16"/>
  <c r="Y160" i="16"/>
  <c r="Y161" i="16"/>
  <c r="Y162" i="16"/>
  <c r="Y163" i="16"/>
  <c r="Y164" i="16"/>
  <c r="Y165" i="16"/>
  <c r="Y166" i="16"/>
  <c r="Y167" i="16"/>
  <c r="Y168" i="16"/>
  <c r="Y169" i="16"/>
  <c r="Y170" i="16"/>
  <c r="Y171" i="16"/>
  <c r="Y172" i="16"/>
  <c r="Y173" i="16"/>
  <c r="Y174" i="16"/>
  <c r="Y175" i="16"/>
  <c r="Y176" i="16"/>
  <c r="Y177" i="16"/>
  <c r="Y178" i="16"/>
  <c r="Y179" i="16"/>
  <c r="Y180" i="16"/>
  <c r="Y181" i="16"/>
  <c r="Y182" i="16"/>
  <c r="Y183" i="16"/>
  <c r="Y184" i="16"/>
  <c r="Y185" i="16"/>
  <c r="Y186" i="16"/>
  <c r="Y187" i="16"/>
  <c r="Y188" i="16"/>
  <c r="Y189" i="16"/>
  <c r="Y190" i="16"/>
  <c r="Y191" i="16"/>
  <c r="Y192" i="16"/>
  <c r="Y193" i="16"/>
  <c r="Y194" i="16"/>
  <c r="Y195" i="16"/>
  <c r="Y196" i="16"/>
  <c r="Y197" i="16"/>
  <c r="Y198" i="16"/>
  <c r="Y199" i="16"/>
  <c r="Y200" i="16"/>
  <c r="Y201" i="16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41" i="16"/>
  <c r="R142" i="16"/>
  <c r="R143" i="16"/>
  <c r="R144" i="16"/>
  <c r="R145" i="16"/>
  <c r="R146" i="16"/>
  <c r="R147" i="16"/>
  <c r="R148" i="16"/>
  <c r="R149" i="16"/>
  <c r="R150" i="16"/>
  <c r="R151" i="16"/>
  <c r="R152" i="16"/>
  <c r="R153" i="16"/>
  <c r="R154" i="16"/>
  <c r="R155" i="16"/>
  <c r="R156" i="16"/>
  <c r="R157" i="16"/>
  <c r="R158" i="16"/>
  <c r="R159" i="16"/>
  <c r="R160" i="16"/>
  <c r="R161" i="16"/>
  <c r="R162" i="16"/>
  <c r="R163" i="16"/>
  <c r="R164" i="16"/>
  <c r="R165" i="16"/>
  <c r="R166" i="16"/>
  <c r="R167" i="16"/>
  <c r="R168" i="16"/>
  <c r="R169" i="16"/>
  <c r="R170" i="16"/>
  <c r="R171" i="16"/>
  <c r="R172" i="16"/>
  <c r="R173" i="16"/>
  <c r="R174" i="16"/>
  <c r="R175" i="16"/>
  <c r="R176" i="16"/>
  <c r="R177" i="16"/>
  <c r="R178" i="16"/>
  <c r="R179" i="16"/>
  <c r="R180" i="16"/>
  <c r="R181" i="16"/>
  <c r="R182" i="16"/>
  <c r="R183" i="16"/>
  <c r="R184" i="16"/>
  <c r="R185" i="16"/>
  <c r="R186" i="16"/>
  <c r="R187" i="16"/>
  <c r="R188" i="16"/>
  <c r="R189" i="16"/>
  <c r="R190" i="16"/>
  <c r="R191" i="16"/>
  <c r="R192" i="16"/>
  <c r="R193" i="16"/>
  <c r="R194" i="16"/>
  <c r="R195" i="16"/>
  <c r="R196" i="16"/>
  <c r="R197" i="16"/>
  <c r="R198" i="16"/>
  <c r="R199" i="16"/>
  <c r="R200" i="16"/>
  <c r="R201" i="16"/>
  <c r="CH4" i="15"/>
  <c r="CH5" i="15"/>
  <c r="CH6" i="15"/>
  <c r="CH7" i="15"/>
  <c r="CH8" i="15"/>
  <c r="CH9" i="15"/>
  <c r="CH10" i="15"/>
  <c r="CH11" i="15"/>
  <c r="CH12" i="15"/>
  <c r="CH13" i="15"/>
  <c r="CH14" i="15"/>
  <c r="CH15" i="15"/>
  <c r="CH16" i="15"/>
  <c r="CH17" i="15"/>
  <c r="CH18" i="15"/>
  <c r="CH19" i="15"/>
  <c r="CH20" i="15"/>
  <c r="CH21" i="15"/>
  <c r="CH22" i="15"/>
  <c r="CH23" i="15"/>
  <c r="CH24" i="15"/>
  <c r="CH25" i="15"/>
  <c r="CH26" i="15"/>
  <c r="CH27" i="15"/>
  <c r="CH28" i="15"/>
  <c r="CH29" i="15"/>
  <c r="CH30" i="15"/>
  <c r="CH31" i="15"/>
  <c r="CH32" i="15"/>
  <c r="CH33" i="15"/>
  <c r="CH34" i="15"/>
  <c r="CH35" i="15"/>
  <c r="CH36" i="15"/>
  <c r="CH37" i="15"/>
  <c r="CH38" i="15"/>
  <c r="CH39" i="15"/>
  <c r="CH40" i="15"/>
  <c r="CH41" i="15"/>
  <c r="CH42" i="15"/>
  <c r="CH43" i="15"/>
  <c r="CH44" i="15"/>
  <c r="CH45" i="15"/>
  <c r="CH46" i="15"/>
  <c r="CH47" i="15"/>
  <c r="CH48" i="15"/>
  <c r="CH49" i="15"/>
  <c r="CH50" i="15"/>
  <c r="CH51" i="15"/>
  <c r="CH52" i="15"/>
  <c r="CH53" i="15"/>
  <c r="CH54" i="15"/>
  <c r="CH55" i="15"/>
  <c r="CH56" i="15"/>
  <c r="CH57" i="15"/>
  <c r="CH58" i="15"/>
  <c r="CH59" i="15"/>
  <c r="CH60" i="15"/>
  <c r="CH61" i="15"/>
  <c r="CH62" i="15"/>
  <c r="CH63" i="15"/>
  <c r="CH64" i="15"/>
  <c r="CH65" i="15"/>
  <c r="CH66" i="15"/>
  <c r="CH67" i="15"/>
  <c r="CH68" i="15"/>
  <c r="CH69" i="15"/>
  <c r="CH70" i="15"/>
  <c r="CH71" i="15"/>
  <c r="CH72" i="15"/>
  <c r="CH73" i="15"/>
  <c r="CH74" i="15"/>
  <c r="CH75" i="15"/>
  <c r="CH76" i="15"/>
  <c r="CH77" i="15"/>
  <c r="CH78" i="15"/>
  <c r="CH79" i="15"/>
  <c r="CH80" i="15"/>
  <c r="CH81" i="15"/>
  <c r="CH82" i="15"/>
  <c r="CH83" i="15"/>
  <c r="CH84" i="15"/>
  <c r="CH85" i="15"/>
  <c r="CH86" i="15"/>
  <c r="CH87" i="15"/>
  <c r="CH88" i="15"/>
  <c r="CH89" i="15"/>
  <c r="CH90" i="15"/>
  <c r="CH91" i="15"/>
  <c r="CH92" i="15"/>
  <c r="CH93" i="15"/>
  <c r="CH94" i="15"/>
  <c r="CH95" i="15"/>
  <c r="CH96" i="15"/>
  <c r="CH97" i="15"/>
  <c r="CH98" i="15"/>
  <c r="CH99" i="15"/>
  <c r="CH100" i="15"/>
  <c r="CH101" i="15"/>
  <c r="CH102" i="15"/>
  <c r="CH103" i="15"/>
  <c r="CH104" i="15"/>
  <c r="CH105" i="15"/>
  <c r="CH106" i="15"/>
  <c r="CH107" i="15"/>
  <c r="CH108" i="15"/>
  <c r="CH109" i="15"/>
  <c r="CH110" i="15"/>
  <c r="CH111" i="15"/>
  <c r="CH112" i="15"/>
  <c r="CH113" i="15"/>
  <c r="CH114" i="15"/>
  <c r="CH115" i="15"/>
  <c r="CH116" i="15"/>
  <c r="CH117" i="15"/>
  <c r="CH118" i="15"/>
  <c r="CH119" i="15"/>
  <c r="CH120" i="15"/>
  <c r="CH121" i="15"/>
  <c r="CH122" i="15"/>
  <c r="CH123" i="15"/>
  <c r="CH124" i="15"/>
  <c r="CH125" i="15"/>
  <c r="CH126" i="15"/>
  <c r="CH127" i="15"/>
  <c r="CH128" i="15"/>
  <c r="CH129" i="15"/>
  <c r="CH130" i="15"/>
  <c r="CH131" i="15"/>
  <c r="CH132" i="15"/>
  <c r="CH133" i="15"/>
  <c r="CH134" i="15"/>
  <c r="CH135" i="15"/>
  <c r="CH136" i="15"/>
  <c r="CH137" i="15"/>
  <c r="CH138" i="15"/>
  <c r="CH139" i="15"/>
  <c r="CH140" i="15"/>
  <c r="CH141" i="15"/>
  <c r="CH142" i="15"/>
  <c r="CH143" i="15"/>
  <c r="CH144" i="15"/>
  <c r="CH145" i="15"/>
  <c r="CH146" i="15"/>
  <c r="CH147" i="15"/>
  <c r="CH148" i="15"/>
  <c r="CH149" i="15"/>
  <c r="CH150" i="15"/>
  <c r="CH151" i="15"/>
  <c r="CH152" i="15"/>
  <c r="CH153" i="15"/>
  <c r="CH154" i="15"/>
  <c r="CH155" i="15"/>
  <c r="CH156" i="15"/>
  <c r="CH157" i="15"/>
  <c r="CH158" i="15"/>
  <c r="CH159" i="15"/>
  <c r="CH160" i="15"/>
  <c r="CH161" i="15"/>
  <c r="CH162" i="15"/>
  <c r="CH163" i="15"/>
  <c r="CH164" i="15"/>
  <c r="CH165" i="15"/>
  <c r="CH166" i="15"/>
  <c r="CH167" i="15"/>
  <c r="CH168" i="15"/>
  <c r="CH169" i="15"/>
  <c r="CH170" i="15"/>
  <c r="CH171" i="15"/>
  <c r="CH172" i="15"/>
  <c r="CH173" i="15"/>
  <c r="CH174" i="15"/>
  <c r="CH175" i="15"/>
  <c r="CH176" i="15"/>
  <c r="CH177" i="15"/>
  <c r="CH178" i="15"/>
  <c r="CH179" i="15"/>
  <c r="CH180" i="15"/>
  <c r="CH181" i="15"/>
  <c r="CH182" i="15"/>
  <c r="CH183" i="15"/>
  <c r="CH184" i="15"/>
  <c r="CH185" i="15"/>
  <c r="CH186" i="15"/>
  <c r="CH187" i="15"/>
  <c r="CH188" i="15"/>
  <c r="CH189" i="15"/>
  <c r="CH190" i="15"/>
  <c r="CH191" i="15"/>
  <c r="CH192" i="15"/>
  <c r="CH193" i="15"/>
  <c r="CH194" i="15"/>
  <c r="CH195" i="15"/>
  <c r="CH196" i="15"/>
  <c r="CH197" i="15"/>
  <c r="CH198" i="15"/>
  <c r="CH199" i="15"/>
  <c r="CH200" i="15"/>
  <c r="CH201" i="15"/>
  <c r="CA4" i="15"/>
  <c r="CA5" i="15"/>
  <c r="CA6" i="15"/>
  <c r="CA7" i="15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20" i="15"/>
  <c r="CA21" i="15"/>
  <c r="CA22" i="15"/>
  <c r="CA23" i="15"/>
  <c r="CA24" i="15"/>
  <c r="CA25" i="15"/>
  <c r="CA26" i="15"/>
  <c r="CA27" i="15"/>
  <c r="CA28" i="15"/>
  <c r="CA29" i="15"/>
  <c r="CA30" i="15"/>
  <c r="CA31" i="15"/>
  <c r="CA32" i="15"/>
  <c r="CA33" i="15"/>
  <c r="CA34" i="15"/>
  <c r="CA35" i="15"/>
  <c r="CA36" i="15"/>
  <c r="CA37" i="15"/>
  <c r="CA38" i="15"/>
  <c r="CA39" i="15"/>
  <c r="CA40" i="15"/>
  <c r="CA41" i="15"/>
  <c r="CA42" i="15"/>
  <c r="CA43" i="15"/>
  <c r="CA44" i="15"/>
  <c r="CA45" i="15"/>
  <c r="CA46" i="15"/>
  <c r="CA47" i="15"/>
  <c r="CA48" i="15"/>
  <c r="CA49" i="15"/>
  <c r="CA50" i="15"/>
  <c r="CA51" i="15"/>
  <c r="CA52" i="15"/>
  <c r="CA53" i="15"/>
  <c r="CA54" i="15"/>
  <c r="CA55" i="15"/>
  <c r="CA56" i="15"/>
  <c r="CA57" i="15"/>
  <c r="CA58" i="15"/>
  <c r="CA59" i="15"/>
  <c r="CA60" i="15"/>
  <c r="CA61" i="15"/>
  <c r="CA62" i="15"/>
  <c r="CA63" i="15"/>
  <c r="CA64" i="15"/>
  <c r="CA65" i="15"/>
  <c r="CA66" i="15"/>
  <c r="CA67" i="15"/>
  <c r="CA68" i="15"/>
  <c r="CA69" i="15"/>
  <c r="CA70" i="15"/>
  <c r="CA71" i="15"/>
  <c r="CA72" i="15"/>
  <c r="CA73" i="15"/>
  <c r="CA74" i="15"/>
  <c r="CA75" i="15"/>
  <c r="CA76" i="15"/>
  <c r="CA77" i="15"/>
  <c r="CA78" i="15"/>
  <c r="CA79" i="15"/>
  <c r="CA80" i="15"/>
  <c r="CA81" i="15"/>
  <c r="CA82" i="15"/>
  <c r="CA83" i="15"/>
  <c r="CA84" i="15"/>
  <c r="CA85" i="15"/>
  <c r="CA86" i="15"/>
  <c r="CA87" i="15"/>
  <c r="CA88" i="15"/>
  <c r="CA89" i="15"/>
  <c r="CA90" i="15"/>
  <c r="CA91" i="15"/>
  <c r="CA92" i="15"/>
  <c r="CA93" i="15"/>
  <c r="CA94" i="15"/>
  <c r="CA95" i="15"/>
  <c r="CA96" i="15"/>
  <c r="CA97" i="15"/>
  <c r="CA98" i="15"/>
  <c r="CA99" i="15"/>
  <c r="CA100" i="15"/>
  <c r="CA101" i="15"/>
  <c r="CA102" i="15"/>
  <c r="CA103" i="15"/>
  <c r="CA104" i="15"/>
  <c r="CA105" i="15"/>
  <c r="CA106" i="15"/>
  <c r="CA107" i="15"/>
  <c r="CA108" i="15"/>
  <c r="CA109" i="15"/>
  <c r="CA110" i="15"/>
  <c r="CA111" i="15"/>
  <c r="CA112" i="15"/>
  <c r="CA113" i="15"/>
  <c r="CA114" i="15"/>
  <c r="CA115" i="15"/>
  <c r="CA116" i="15"/>
  <c r="CA117" i="15"/>
  <c r="CA118" i="15"/>
  <c r="CA119" i="15"/>
  <c r="CA120" i="15"/>
  <c r="CA121" i="15"/>
  <c r="CA122" i="15"/>
  <c r="CA123" i="15"/>
  <c r="CA124" i="15"/>
  <c r="CA125" i="15"/>
  <c r="CA126" i="15"/>
  <c r="CA127" i="15"/>
  <c r="CA128" i="15"/>
  <c r="CA129" i="15"/>
  <c r="CA130" i="15"/>
  <c r="CA131" i="15"/>
  <c r="CA132" i="15"/>
  <c r="CA133" i="15"/>
  <c r="CA134" i="15"/>
  <c r="CA135" i="15"/>
  <c r="CA136" i="15"/>
  <c r="CA137" i="15"/>
  <c r="CA138" i="15"/>
  <c r="CA139" i="15"/>
  <c r="CA140" i="15"/>
  <c r="CA141" i="15"/>
  <c r="CA142" i="15"/>
  <c r="CA143" i="15"/>
  <c r="CA144" i="15"/>
  <c r="CA145" i="15"/>
  <c r="CA146" i="15"/>
  <c r="CA147" i="15"/>
  <c r="CA148" i="15"/>
  <c r="CA149" i="15"/>
  <c r="CA150" i="15"/>
  <c r="CA151" i="15"/>
  <c r="CA152" i="15"/>
  <c r="CA153" i="15"/>
  <c r="CA154" i="15"/>
  <c r="CA155" i="15"/>
  <c r="CA156" i="15"/>
  <c r="CA157" i="15"/>
  <c r="CA158" i="15"/>
  <c r="CA159" i="15"/>
  <c r="CA160" i="15"/>
  <c r="CA161" i="15"/>
  <c r="CA162" i="15"/>
  <c r="CA163" i="15"/>
  <c r="CA164" i="15"/>
  <c r="CA165" i="15"/>
  <c r="CA166" i="15"/>
  <c r="CA167" i="15"/>
  <c r="CA168" i="15"/>
  <c r="CA169" i="15"/>
  <c r="CA170" i="15"/>
  <c r="CA171" i="15"/>
  <c r="CA172" i="15"/>
  <c r="CA173" i="15"/>
  <c r="CA174" i="15"/>
  <c r="CA175" i="15"/>
  <c r="CA176" i="15"/>
  <c r="CA177" i="15"/>
  <c r="CA178" i="15"/>
  <c r="CA179" i="15"/>
  <c r="CA180" i="15"/>
  <c r="CA181" i="15"/>
  <c r="CA182" i="15"/>
  <c r="CA183" i="15"/>
  <c r="CA184" i="15"/>
  <c r="CA185" i="15"/>
  <c r="CA186" i="15"/>
  <c r="CA187" i="15"/>
  <c r="CA188" i="15"/>
  <c r="CA189" i="15"/>
  <c r="CA190" i="15"/>
  <c r="CA191" i="15"/>
  <c r="CA192" i="15"/>
  <c r="CA193" i="15"/>
  <c r="CA194" i="15"/>
  <c r="CA195" i="15"/>
  <c r="CA196" i="15"/>
  <c r="CA197" i="15"/>
  <c r="CA198" i="15"/>
  <c r="CA199" i="15"/>
  <c r="CA200" i="15"/>
  <c r="CA201" i="15"/>
  <c r="BT4" i="15"/>
  <c r="BT5" i="15"/>
  <c r="BT6" i="15"/>
  <c r="BT7" i="15"/>
  <c r="BT8" i="15"/>
  <c r="BT9" i="15"/>
  <c r="BT10" i="15"/>
  <c r="BT11" i="15"/>
  <c r="BT12" i="15"/>
  <c r="BT13" i="15"/>
  <c r="BT14" i="15"/>
  <c r="BT15" i="15"/>
  <c r="BT16" i="15"/>
  <c r="BT17" i="15"/>
  <c r="BT18" i="15"/>
  <c r="BT19" i="15"/>
  <c r="BT20" i="15"/>
  <c r="BT21" i="15"/>
  <c r="BT22" i="15"/>
  <c r="BT23" i="15"/>
  <c r="BT24" i="15"/>
  <c r="BT25" i="15"/>
  <c r="BT26" i="15"/>
  <c r="BT27" i="15"/>
  <c r="BT28" i="15"/>
  <c r="BT29" i="15"/>
  <c r="BT30" i="15"/>
  <c r="BT31" i="15"/>
  <c r="BT32" i="15"/>
  <c r="BT33" i="15"/>
  <c r="BT34" i="15"/>
  <c r="BT35" i="15"/>
  <c r="BT36" i="15"/>
  <c r="BT37" i="15"/>
  <c r="BT38" i="15"/>
  <c r="BT39" i="15"/>
  <c r="BT40" i="15"/>
  <c r="BT41" i="15"/>
  <c r="BT42" i="15"/>
  <c r="BT43" i="15"/>
  <c r="BT44" i="15"/>
  <c r="BT45" i="15"/>
  <c r="BT46" i="15"/>
  <c r="BT47" i="15"/>
  <c r="BT48" i="15"/>
  <c r="BT49" i="15"/>
  <c r="BT50" i="15"/>
  <c r="BT51" i="15"/>
  <c r="BT52" i="15"/>
  <c r="BT53" i="15"/>
  <c r="BT54" i="15"/>
  <c r="BT55" i="15"/>
  <c r="BT56" i="15"/>
  <c r="BT57" i="15"/>
  <c r="BT58" i="15"/>
  <c r="BT59" i="15"/>
  <c r="BT60" i="15"/>
  <c r="BT61" i="15"/>
  <c r="BT62" i="15"/>
  <c r="BT63" i="15"/>
  <c r="BT64" i="15"/>
  <c r="BT65" i="15"/>
  <c r="BT66" i="15"/>
  <c r="BT67" i="15"/>
  <c r="BT68" i="15"/>
  <c r="BT69" i="15"/>
  <c r="BT70" i="15"/>
  <c r="BT71" i="15"/>
  <c r="BT72" i="15"/>
  <c r="BT73" i="15"/>
  <c r="BT74" i="15"/>
  <c r="BT75" i="15"/>
  <c r="BT76" i="15"/>
  <c r="BT77" i="15"/>
  <c r="BT78" i="15"/>
  <c r="BT79" i="15"/>
  <c r="BT80" i="15"/>
  <c r="BT81" i="15"/>
  <c r="BT82" i="15"/>
  <c r="BT83" i="15"/>
  <c r="BT84" i="15"/>
  <c r="BT85" i="15"/>
  <c r="BT86" i="15"/>
  <c r="BT87" i="15"/>
  <c r="BT88" i="15"/>
  <c r="BT89" i="15"/>
  <c r="BT90" i="15"/>
  <c r="BT91" i="15"/>
  <c r="BT92" i="15"/>
  <c r="BT93" i="15"/>
  <c r="BT94" i="15"/>
  <c r="BT95" i="15"/>
  <c r="BT96" i="15"/>
  <c r="BT97" i="15"/>
  <c r="BT98" i="15"/>
  <c r="BT99" i="15"/>
  <c r="BT100" i="15"/>
  <c r="BT101" i="15"/>
  <c r="BT102" i="15"/>
  <c r="BT103" i="15"/>
  <c r="BT104" i="15"/>
  <c r="BT105" i="15"/>
  <c r="BT106" i="15"/>
  <c r="BT107" i="15"/>
  <c r="BT108" i="15"/>
  <c r="BT109" i="15"/>
  <c r="BT110" i="15"/>
  <c r="BT111" i="15"/>
  <c r="BT112" i="15"/>
  <c r="BT113" i="15"/>
  <c r="BT114" i="15"/>
  <c r="BT115" i="15"/>
  <c r="BT116" i="15"/>
  <c r="BT117" i="15"/>
  <c r="BT118" i="15"/>
  <c r="BT119" i="15"/>
  <c r="BT120" i="15"/>
  <c r="BT121" i="15"/>
  <c r="BT122" i="15"/>
  <c r="BT123" i="15"/>
  <c r="BT124" i="15"/>
  <c r="BT125" i="15"/>
  <c r="BT126" i="15"/>
  <c r="BT127" i="15"/>
  <c r="BT128" i="15"/>
  <c r="BT129" i="15"/>
  <c r="BT130" i="15"/>
  <c r="BT131" i="15"/>
  <c r="BT132" i="15"/>
  <c r="BT133" i="15"/>
  <c r="BT134" i="15"/>
  <c r="BT135" i="15"/>
  <c r="BT136" i="15"/>
  <c r="BT137" i="15"/>
  <c r="BT138" i="15"/>
  <c r="BT139" i="15"/>
  <c r="BT140" i="15"/>
  <c r="BT141" i="15"/>
  <c r="BT142" i="15"/>
  <c r="BT143" i="15"/>
  <c r="BT144" i="15"/>
  <c r="BT145" i="15"/>
  <c r="BT146" i="15"/>
  <c r="BT147" i="15"/>
  <c r="BT148" i="15"/>
  <c r="BT149" i="15"/>
  <c r="BT150" i="15"/>
  <c r="BT151" i="15"/>
  <c r="BT152" i="15"/>
  <c r="BT153" i="15"/>
  <c r="BT154" i="15"/>
  <c r="BT155" i="15"/>
  <c r="BT156" i="15"/>
  <c r="BT157" i="15"/>
  <c r="BT158" i="15"/>
  <c r="BT159" i="15"/>
  <c r="BT160" i="15"/>
  <c r="BT161" i="15"/>
  <c r="BT162" i="15"/>
  <c r="BT163" i="15"/>
  <c r="BT164" i="15"/>
  <c r="BT165" i="15"/>
  <c r="BT166" i="15"/>
  <c r="BT167" i="15"/>
  <c r="BT168" i="15"/>
  <c r="BT169" i="15"/>
  <c r="BT170" i="15"/>
  <c r="BT171" i="15"/>
  <c r="BT172" i="15"/>
  <c r="BT173" i="15"/>
  <c r="BT174" i="15"/>
  <c r="BT175" i="15"/>
  <c r="BT176" i="15"/>
  <c r="BT177" i="15"/>
  <c r="BT178" i="15"/>
  <c r="BT179" i="15"/>
  <c r="BT180" i="15"/>
  <c r="BT181" i="15"/>
  <c r="BT182" i="15"/>
  <c r="BT183" i="15"/>
  <c r="BT184" i="15"/>
  <c r="BT185" i="15"/>
  <c r="BT186" i="15"/>
  <c r="BT187" i="15"/>
  <c r="BT188" i="15"/>
  <c r="BT189" i="15"/>
  <c r="BT190" i="15"/>
  <c r="BT191" i="15"/>
  <c r="BT192" i="15"/>
  <c r="BT193" i="15"/>
  <c r="BT194" i="15"/>
  <c r="BT195" i="15"/>
  <c r="BT196" i="15"/>
  <c r="BT197" i="15"/>
  <c r="BT198" i="15"/>
  <c r="BT199" i="15"/>
  <c r="BT200" i="15"/>
  <c r="BT201" i="15"/>
  <c r="BG4" i="15"/>
  <c r="BG5" i="15"/>
  <c r="BG6" i="15"/>
  <c r="BG7" i="15"/>
  <c r="BG8" i="15"/>
  <c r="BG9" i="15"/>
  <c r="BG10" i="15"/>
  <c r="BG11" i="15"/>
  <c r="BG12" i="15"/>
  <c r="BG13" i="15"/>
  <c r="BG14" i="15"/>
  <c r="BG15" i="15"/>
  <c r="BG16" i="15"/>
  <c r="BG17" i="15"/>
  <c r="BG18" i="15"/>
  <c r="BG19" i="15"/>
  <c r="BG20" i="15"/>
  <c r="BG21" i="15"/>
  <c r="BG22" i="15"/>
  <c r="BG23" i="15"/>
  <c r="BG24" i="15"/>
  <c r="BG25" i="15"/>
  <c r="BG26" i="15"/>
  <c r="BG27" i="15"/>
  <c r="BG28" i="15"/>
  <c r="BG29" i="15"/>
  <c r="BG30" i="15"/>
  <c r="BG31" i="15"/>
  <c r="BG32" i="15"/>
  <c r="BG33" i="15"/>
  <c r="BG34" i="15"/>
  <c r="BG35" i="15"/>
  <c r="BG36" i="15"/>
  <c r="BG37" i="15"/>
  <c r="BG38" i="15"/>
  <c r="BG39" i="15"/>
  <c r="BG40" i="15"/>
  <c r="BG41" i="15"/>
  <c r="BG42" i="15"/>
  <c r="BG43" i="15"/>
  <c r="BG44" i="15"/>
  <c r="BG45" i="15"/>
  <c r="BG46" i="15"/>
  <c r="BG47" i="15"/>
  <c r="BG48" i="15"/>
  <c r="BG49" i="15"/>
  <c r="BG50" i="15"/>
  <c r="BG51" i="15"/>
  <c r="BG52" i="15"/>
  <c r="BG53" i="15"/>
  <c r="BG54" i="15"/>
  <c r="BG55" i="15"/>
  <c r="BG56" i="15"/>
  <c r="BG57" i="15"/>
  <c r="BG58" i="15"/>
  <c r="BG59" i="15"/>
  <c r="BG60" i="15"/>
  <c r="BG61" i="15"/>
  <c r="BG62" i="15"/>
  <c r="BG63" i="15"/>
  <c r="BG64" i="15"/>
  <c r="BG65" i="15"/>
  <c r="BG66" i="15"/>
  <c r="BG67" i="15"/>
  <c r="BG68" i="15"/>
  <c r="BG69" i="15"/>
  <c r="BG70" i="15"/>
  <c r="BG71" i="15"/>
  <c r="BG72" i="15"/>
  <c r="BG73" i="15"/>
  <c r="BG74" i="15"/>
  <c r="BG75" i="15"/>
  <c r="BG76" i="15"/>
  <c r="BG77" i="15"/>
  <c r="BG78" i="15"/>
  <c r="BG79" i="15"/>
  <c r="BG80" i="15"/>
  <c r="BG81" i="15"/>
  <c r="BG82" i="15"/>
  <c r="BG83" i="15"/>
  <c r="BG84" i="15"/>
  <c r="BG85" i="15"/>
  <c r="BG86" i="15"/>
  <c r="BG87" i="15"/>
  <c r="BG88" i="15"/>
  <c r="BG89" i="15"/>
  <c r="BG90" i="15"/>
  <c r="BG91" i="15"/>
  <c r="BG92" i="15"/>
  <c r="BG93" i="15"/>
  <c r="BG94" i="15"/>
  <c r="BG95" i="15"/>
  <c r="BG96" i="15"/>
  <c r="BG97" i="15"/>
  <c r="BG98" i="15"/>
  <c r="BG99" i="15"/>
  <c r="BG100" i="15"/>
  <c r="BG101" i="15"/>
  <c r="BG102" i="15"/>
  <c r="BG103" i="15"/>
  <c r="BG104" i="15"/>
  <c r="BG105" i="15"/>
  <c r="BG106" i="15"/>
  <c r="BG107" i="15"/>
  <c r="BG108" i="15"/>
  <c r="BG109" i="15"/>
  <c r="BG110" i="15"/>
  <c r="BG111" i="15"/>
  <c r="BG112" i="15"/>
  <c r="BG113" i="15"/>
  <c r="BG114" i="15"/>
  <c r="BG115" i="15"/>
  <c r="BG116" i="15"/>
  <c r="BG117" i="15"/>
  <c r="BG118" i="15"/>
  <c r="BG119" i="15"/>
  <c r="BG120" i="15"/>
  <c r="BG121" i="15"/>
  <c r="BG122" i="15"/>
  <c r="BG123" i="15"/>
  <c r="BG124" i="15"/>
  <c r="BG125" i="15"/>
  <c r="BG126" i="15"/>
  <c r="BG127" i="15"/>
  <c r="BG128" i="15"/>
  <c r="BG129" i="15"/>
  <c r="BG130" i="15"/>
  <c r="BG131" i="15"/>
  <c r="BG132" i="15"/>
  <c r="BG133" i="15"/>
  <c r="BG134" i="15"/>
  <c r="BG135" i="15"/>
  <c r="BG136" i="15"/>
  <c r="BG137" i="15"/>
  <c r="BG138" i="15"/>
  <c r="BG139" i="15"/>
  <c r="BG140" i="15"/>
  <c r="BG141" i="15"/>
  <c r="BG142" i="15"/>
  <c r="BG143" i="15"/>
  <c r="BG144" i="15"/>
  <c r="BG145" i="15"/>
  <c r="BG146" i="15"/>
  <c r="BG147" i="15"/>
  <c r="BG148" i="15"/>
  <c r="BG149" i="15"/>
  <c r="BG150" i="15"/>
  <c r="BG151" i="15"/>
  <c r="BG152" i="15"/>
  <c r="BG153" i="15"/>
  <c r="BG154" i="15"/>
  <c r="BG155" i="15"/>
  <c r="BG156" i="15"/>
  <c r="BG157" i="15"/>
  <c r="BG158" i="15"/>
  <c r="BG159" i="15"/>
  <c r="BG160" i="15"/>
  <c r="BG161" i="15"/>
  <c r="BG162" i="15"/>
  <c r="BG163" i="15"/>
  <c r="BG164" i="15"/>
  <c r="BG165" i="15"/>
  <c r="BG166" i="15"/>
  <c r="BG167" i="15"/>
  <c r="BG168" i="15"/>
  <c r="BG169" i="15"/>
  <c r="BG170" i="15"/>
  <c r="BG171" i="15"/>
  <c r="BG172" i="15"/>
  <c r="BG173" i="15"/>
  <c r="BG174" i="15"/>
  <c r="BG175" i="15"/>
  <c r="BG176" i="15"/>
  <c r="BG177" i="15"/>
  <c r="BG178" i="15"/>
  <c r="BG179" i="15"/>
  <c r="BG180" i="15"/>
  <c r="BG181" i="15"/>
  <c r="BG182" i="15"/>
  <c r="BG183" i="15"/>
  <c r="BG184" i="15"/>
  <c r="BG185" i="15"/>
  <c r="BG186" i="15"/>
  <c r="BG187" i="15"/>
  <c r="BG188" i="15"/>
  <c r="BG189" i="15"/>
  <c r="BG190" i="15"/>
  <c r="BG191" i="15"/>
  <c r="BG192" i="15"/>
  <c r="BG193" i="15"/>
  <c r="BG194" i="15"/>
  <c r="BG195" i="15"/>
  <c r="BG196" i="15"/>
  <c r="BG197" i="15"/>
  <c r="BG198" i="15"/>
  <c r="BG199" i="15"/>
  <c r="BG200" i="15"/>
  <c r="BG201" i="15"/>
  <c r="AZ5" i="15"/>
  <c r="AZ6" i="15"/>
  <c r="AZ7" i="15"/>
  <c r="AZ8" i="15"/>
  <c r="AZ9" i="15"/>
  <c r="AZ10" i="15"/>
  <c r="AZ11" i="15"/>
  <c r="AZ12" i="15"/>
  <c r="AZ13" i="15"/>
  <c r="AZ14" i="15"/>
  <c r="AZ15" i="15"/>
  <c r="AZ16" i="15"/>
  <c r="AZ17" i="15"/>
  <c r="AZ18" i="15"/>
  <c r="AZ19" i="15"/>
  <c r="AZ20" i="15"/>
  <c r="AZ21" i="15"/>
  <c r="AZ22" i="15"/>
  <c r="AZ23" i="15"/>
  <c r="AZ24" i="15"/>
  <c r="AZ25" i="15"/>
  <c r="AZ26" i="15"/>
  <c r="AZ27" i="15"/>
  <c r="AZ28" i="15"/>
  <c r="AZ29" i="15"/>
  <c r="AZ30" i="15"/>
  <c r="AZ31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53" i="15"/>
  <c r="AZ54" i="15"/>
  <c r="AZ55" i="15"/>
  <c r="AZ56" i="15"/>
  <c r="AZ57" i="15"/>
  <c r="AZ58" i="15"/>
  <c r="AZ59" i="15"/>
  <c r="AZ60" i="15"/>
  <c r="AZ61" i="15"/>
  <c r="AZ62" i="15"/>
  <c r="AZ63" i="15"/>
  <c r="AZ64" i="15"/>
  <c r="AZ65" i="15"/>
  <c r="AZ66" i="15"/>
  <c r="AZ67" i="15"/>
  <c r="AZ68" i="15"/>
  <c r="AZ69" i="15"/>
  <c r="AZ70" i="15"/>
  <c r="AZ71" i="15"/>
  <c r="AZ72" i="15"/>
  <c r="AZ73" i="15"/>
  <c r="AZ74" i="15"/>
  <c r="AZ75" i="15"/>
  <c r="AZ76" i="15"/>
  <c r="AZ77" i="15"/>
  <c r="AZ78" i="15"/>
  <c r="AZ79" i="15"/>
  <c r="AZ80" i="15"/>
  <c r="AZ81" i="15"/>
  <c r="AZ82" i="15"/>
  <c r="AZ83" i="15"/>
  <c r="AZ84" i="15"/>
  <c r="AZ85" i="15"/>
  <c r="AZ86" i="15"/>
  <c r="AZ87" i="15"/>
  <c r="AZ88" i="15"/>
  <c r="AZ89" i="15"/>
  <c r="AZ90" i="15"/>
  <c r="AZ91" i="15"/>
  <c r="AZ92" i="15"/>
  <c r="AZ93" i="15"/>
  <c r="AZ94" i="15"/>
  <c r="AZ95" i="15"/>
  <c r="AZ96" i="15"/>
  <c r="AZ97" i="15"/>
  <c r="AZ98" i="15"/>
  <c r="AZ99" i="15"/>
  <c r="AZ100" i="15"/>
  <c r="AZ101" i="15"/>
  <c r="AZ102" i="15"/>
  <c r="AZ103" i="15"/>
  <c r="AZ104" i="15"/>
  <c r="AZ105" i="15"/>
  <c r="AZ106" i="15"/>
  <c r="AZ107" i="15"/>
  <c r="AZ108" i="15"/>
  <c r="AZ109" i="15"/>
  <c r="AZ110" i="15"/>
  <c r="AZ111" i="15"/>
  <c r="AZ112" i="15"/>
  <c r="AZ113" i="15"/>
  <c r="AZ114" i="15"/>
  <c r="AZ115" i="15"/>
  <c r="AZ116" i="15"/>
  <c r="AZ117" i="15"/>
  <c r="AZ118" i="15"/>
  <c r="AZ119" i="15"/>
  <c r="AZ120" i="15"/>
  <c r="AZ121" i="15"/>
  <c r="AZ122" i="15"/>
  <c r="AZ123" i="15"/>
  <c r="AZ124" i="15"/>
  <c r="AZ125" i="15"/>
  <c r="AZ126" i="15"/>
  <c r="AZ127" i="15"/>
  <c r="AZ128" i="15"/>
  <c r="AZ129" i="15"/>
  <c r="AZ130" i="15"/>
  <c r="AZ131" i="15"/>
  <c r="AZ132" i="15"/>
  <c r="AZ133" i="15"/>
  <c r="AZ134" i="15"/>
  <c r="AZ135" i="15"/>
  <c r="AZ136" i="15"/>
  <c r="AZ137" i="15"/>
  <c r="AZ138" i="15"/>
  <c r="AZ139" i="15"/>
  <c r="AZ140" i="15"/>
  <c r="AZ141" i="15"/>
  <c r="AZ142" i="15"/>
  <c r="AZ143" i="15"/>
  <c r="AZ144" i="15"/>
  <c r="AZ145" i="15"/>
  <c r="AZ146" i="15"/>
  <c r="AZ147" i="15"/>
  <c r="AZ148" i="15"/>
  <c r="AZ149" i="15"/>
  <c r="AZ150" i="15"/>
  <c r="AZ151" i="15"/>
  <c r="AZ152" i="15"/>
  <c r="AZ153" i="15"/>
  <c r="AZ154" i="15"/>
  <c r="AZ155" i="15"/>
  <c r="AZ156" i="15"/>
  <c r="AZ157" i="15"/>
  <c r="AZ158" i="15"/>
  <c r="AZ159" i="15"/>
  <c r="AZ160" i="15"/>
  <c r="AZ161" i="15"/>
  <c r="AZ162" i="15"/>
  <c r="AZ163" i="15"/>
  <c r="AZ164" i="15"/>
  <c r="AZ165" i="15"/>
  <c r="AZ166" i="15"/>
  <c r="AZ167" i="15"/>
  <c r="AZ168" i="15"/>
  <c r="AZ169" i="15"/>
  <c r="AZ170" i="15"/>
  <c r="AZ171" i="15"/>
  <c r="AZ172" i="15"/>
  <c r="AZ173" i="15"/>
  <c r="AZ174" i="15"/>
  <c r="AZ175" i="15"/>
  <c r="AZ176" i="15"/>
  <c r="AZ177" i="15"/>
  <c r="AZ178" i="15"/>
  <c r="AZ179" i="15"/>
  <c r="AZ180" i="15"/>
  <c r="AZ181" i="15"/>
  <c r="AZ182" i="15"/>
  <c r="AZ183" i="15"/>
  <c r="AZ184" i="15"/>
  <c r="AZ185" i="15"/>
  <c r="AZ186" i="15"/>
  <c r="AZ187" i="15"/>
  <c r="AZ188" i="15"/>
  <c r="AZ189" i="15"/>
  <c r="AZ190" i="15"/>
  <c r="AZ191" i="15"/>
  <c r="AZ192" i="15"/>
  <c r="AZ193" i="15"/>
  <c r="AZ194" i="15"/>
  <c r="AZ195" i="15"/>
  <c r="AZ196" i="15"/>
  <c r="AZ197" i="15"/>
  <c r="AZ198" i="15"/>
  <c r="AZ199" i="15"/>
  <c r="AZ200" i="15"/>
  <c r="AZ201" i="15"/>
  <c r="AZ4" i="15"/>
  <c r="AS5" i="15"/>
  <c r="AS4" i="15"/>
  <c r="AS6" i="15"/>
  <c r="AS7" i="15"/>
  <c r="AS8" i="15"/>
  <c r="AS9" i="15"/>
  <c r="AS10" i="15"/>
  <c r="AS11" i="15"/>
  <c r="AS12" i="15"/>
  <c r="AS13" i="15"/>
  <c r="AS14" i="15"/>
  <c r="AS15" i="15"/>
  <c r="AS16" i="15"/>
  <c r="AS17" i="15"/>
  <c r="AS18" i="15"/>
  <c r="AS19" i="15"/>
  <c r="AS20" i="15"/>
  <c r="AS21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S35" i="15"/>
  <c r="AS36" i="15"/>
  <c r="AS37" i="15"/>
  <c r="AS38" i="15"/>
  <c r="AS39" i="15"/>
  <c r="AS40" i="15"/>
  <c r="AS41" i="15"/>
  <c r="AS42" i="15"/>
  <c r="AS43" i="15"/>
  <c r="AS44" i="15"/>
  <c r="AS45" i="15"/>
  <c r="AS46" i="15"/>
  <c r="AS47" i="15"/>
  <c r="AS48" i="15"/>
  <c r="AS49" i="15"/>
  <c r="AS50" i="15"/>
  <c r="AS51" i="15"/>
  <c r="AS52" i="15"/>
  <c r="AS53" i="15"/>
  <c r="AS54" i="15"/>
  <c r="AS55" i="15"/>
  <c r="AS56" i="15"/>
  <c r="AS57" i="15"/>
  <c r="AS58" i="15"/>
  <c r="AS59" i="15"/>
  <c r="AS60" i="15"/>
  <c r="AS61" i="15"/>
  <c r="AS62" i="15"/>
  <c r="AS63" i="15"/>
  <c r="AS64" i="15"/>
  <c r="AS65" i="15"/>
  <c r="AS66" i="15"/>
  <c r="AS67" i="15"/>
  <c r="AS68" i="15"/>
  <c r="AS69" i="15"/>
  <c r="AS70" i="15"/>
  <c r="AS71" i="15"/>
  <c r="AS72" i="15"/>
  <c r="AS73" i="15"/>
  <c r="AS74" i="15"/>
  <c r="AS75" i="15"/>
  <c r="AS76" i="15"/>
  <c r="AS77" i="15"/>
  <c r="AS78" i="15"/>
  <c r="AS79" i="15"/>
  <c r="AS80" i="15"/>
  <c r="AS81" i="15"/>
  <c r="AS82" i="15"/>
  <c r="AS83" i="15"/>
  <c r="AS84" i="15"/>
  <c r="AS85" i="15"/>
  <c r="AS86" i="15"/>
  <c r="AS87" i="15"/>
  <c r="AS88" i="15"/>
  <c r="AS89" i="15"/>
  <c r="AS90" i="15"/>
  <c r="AS91" i="15"/>
  <c r="AS92" i="15"/>
  <c r="AS93" i="15"/>
  <c r="AS94" i="15"/>
  <c r="AS95" i="15"/>
  <c r="AS96" i="15"/>
  <c r="AS97" i="15"/>
  <c r="AS98" i="15"/>
  <c r="AS99" i="15"/>
  <c r="AS100" i="15"/>
  <c r="AS101" i="15"/>
  <c r="AS102" i="15"/>
  <c r="AS103" i="15"/>
  <c r="AS104" i="15"/>
  <c r="AS105" i="15"/>
  <c r="AS106" i="15"/>
  <c r="AS107" i="15"/>
  <c r="AS108" i="15"/>
  <c r="AS109" i="15"/>
  <c r="AS110" i="15"/>
  <c r="AS111" i="15"/>
  <c r="AS112" i="15"/>
  <c r="AS113" i="15"/>
  <c r="AS114" i="15"/>
  <c r="AS115" i="15"/>
  <c r="AS116" i="15"/>
  <c r="AS117" i="15"/>
  <c r="AS118" i="15"/>
  <c r="AS119" i="15"/>
  <c r="AS120" i="15"/>
  <c r="AS121" i="15"/>
  <c r="AS122" i="15"/>
  <c r="AS123" i="15"/>
  <c r="AS124" i="15"/>
  <c r="AS125" i="15"/>
  <c r="AS126" i="15"/>
  <c r="AS127" i="15"/>
  <c r="AS128" i="15"/>
  <c r="AS129" i="15"/>
  <c r="AS130" i="15"/>
  <c r="AS131" i="15"/>
  <c r="AS132" i="15"/>
  <c r="AS133" i="15"/>
  <c r="AS134" i="15"/>
  <c r="AS135" i="15"/>
  <c r="AS136" i="15"/>
  <c r="AS137" i="15"/>
  <c r="AS138" i="15"/>
  <c r="AS139" i="15"/>
  <c r="AS140" i="15"/>
  <c r="AS141" i="15"/>
  <c r="AS142" i="15"/>
  <c r="AS143" i="15"/>
  <c r="AS144" i="15"/>
  <c r="AS145" i="15"/>
  <c r="AS146" i="15"/>
  <c r="AS147" i="15"/>
  <c r="AS148" i="15"/>
  <c r="AS149" i="15"/>
  <c r="AS150" i="15"/>
  <c r="AS151" i="15"/>
  <c r="AS152" i="15"/>
  <c r="AS153" i="15"/>
  <c r="AS154" i="15"/>
  <c r="AS155" i="15"/>
  <c r="AS156" i="15"/>
  <c r="AS157" i="15"/>
  <c r="AS158" i="15"/>
  <c r="AS159" i="15"/>
  <c r="AS160" i="15"/>
  <c r="AS161" i="15"/>
  <c r="AS162" i="15"/>
  <c r="AS163" i="15"/>
  <c r="AS164" i="15"/>
  <c r="AS165" i="15"/>
  <c r="AS166" i="15"/>
  <c r="AS167" i="15"/>
  <c r="AS168" i="15"/>
  <c r="AS169" i="15"/>
  <c r="AS170" i="15"/>
  <c r="AS171" i="15"/>
  <c r="AS172" i="15"/>
  <c r="AS173" i="15"/>
  <c r="AS174" i="15"/>
  <c r="AS175" i="15"/>
  <c r="AS176" i="15"/>
  <c r="AS177" i="15"/>
  <c r="AS178" i="15"/>
  <c r="AS179" i="15"/>
  <c r="AS180" i="15"/>
  <c r="AS181" i="15"/>
  <c r="AS182" i="15"/>
  <c r="AS183" i="15"/>
  <c r="AS184" i="15"/>
  <c r="AS185" i="15"/>
  <c r="AS186" i="15"/>
  <c r="AS187" i="15"/>
  <c r="AS188" i="15"/>
  <c r="AS189" i="15"/>
  <c r="AS190" i="15"/>
  <c r="AS191" i="15"/>
  <c r="AS192" i="15"/>
  <c r="AS193" i="15"/>
  <c r="AS194" i="15"/>
  <c r="AS195" i="15"/>
  <c r="AS196" i="15"/>
  <c r="AS197" i="15"/>
  <c r="AS198" i="15"/>
  <c r="AS199" i="15"/>
  <c r="AS200" i="15"/>
  <c r="AS201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F160" i="15"/>
  <c r="AF161" i="15"/>
  <c r="AF162" i="15"/>
  <c r="AF163" i="15"/>
  <c r="AF164" i="15"/>
  <c r="AF165" i="15"/>
  <c r="AF166" i="15"/>
  <c r="AF167" i="15"/>
  <c r="AF168" i="15"/>
  <c r="AF169" i="15"/>
  <c r="AF170" i="15"/>
  <c r="AF171" i="15"/>
  <c r="AF172" i="15"/>
  <c r="AF173" i="15"/>
  <c r="AF174" i="15"/>
  <c r="AF175" i="15"/>
  <c r="AF176" i="15"/>
  <c r="AF177" i="15"/>
  <c r="AF178" i="15"/>
  <c r="AF179" i="15"/>
  <c r="AF180" i="15"/>
  <c r="AF181" i="15"/>
  <c r="AF182" i="15"/>
  <c r="AF183" i="15"/>
  <c r="AF184" i="15"/>
  <c r="AF185" i="15"/>
  <c r="AF186" i="15"/>
  <c r="AF187" i="15"/>
  <c r="AF188" i="15"/>
  <c r="AF189" i="15"/>
  <c r="AF190" i="15"/>
  <c r="AF191" i="15"/>
  <c r="AF192" i="15"/>
  <c r="AF193" i="15"/>
  <c r="AF194" i="15"/>
  <c r="AF195" i="15"/>
  <c r="AF196" i="15"/>
  <c r="AF197" i="15"/>
  <c r="AF198" i="15"/>
  <c r="AF199" i="15"/>
  <c r="AF200" i="15"/>
  <c r="AF201" i="15"/>
  <c r="AF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Y163" i="15"/>
  <c r="Y164" i="15"/>
  <c r="Y165" i="15"/>
  <c r="Y166" i="15"/>
  <c r="Y167" i="15"/>
  <c r="Y168" i="15"/>
  <c r="Y169" i="15"/>
  <c r="Y170" i="15"/>
  <c r="Y171" i="15"/>
  <c r="Y172" i="15"/>
  <c r="Y173" i="15"/>
  <c r="Y174" i="15"/>
  <c r="Y175" i="15"/>
  <c r="Y176" i="15"/>
  <c r="Y177" i="15"/>
  <c r="Y178" i="15"/>
  <c r="Y179" i="15"/>
  <c r="Y180" i="15"/>
  <c r="Y181" i="15"/>
  <c r="Y182" i="15"/>
  <c r="Y183" i="15"/>
  <c r="Y184" i="15"/>
  <c r="Y185" i="15"/>
  <c r="Y186" i="15"/>
  <c r="Y187" i="15"/>
  <c r="Y188" i="15"/>
  <c r="Y189" i="15"/>
  <c r="Y190" i="15"/>
  <c r="Y191" i="15"/>
  <c r="Y192" i="15"/>
  <c r="Y193" i="15"/>
  <c r="Y194" i="15"/>
  <c r="Y195" i="15"/>
  <c r="Y196" i="15"/>
  <c r="Y197" i="15"/>
  <c r="Y198" i="15"/>
  <c r="Y199" i="15"/>
  <c r="Y200" i="15"/>
  <c r="Y201" i="15"/>
  <c r="Y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4" i="15"/>
  <c r="CH4" i="14"/>
  <c r="CH5" i="14"/>
  <c r="CH6" i="14"/>
  <c r="CH7" i="14"/>
  <c r="CH8" i="14"/>
  <c r="CH9" i="14"/>
  <c r="CH10" i="14"/>
  <c r="CH11" i="14"/>
  <c r="CH12" i="14"/>
  <c r="CH13" i="14"/>
  <c r="CH14" i="14"/>
  <c r="CH15" i="14"/>
  <c r="CH16" i="14"/>
  <c r="CH17" i="14"/>
  <c r="CH18" i="14"/>
  <c r="CH19" i="14"/>
  <c r="CH20" i="14"/>
  <c r="CH21" i="14"/>
  <c r="CH22" i="14"/>
  <c r="CH23" i="14"/>
  <c r="CH24" i="14"/>
  <c r="CH25" i="14"/>
  <c r="CH26" i="14"/>
  <c r="CH27" i="14"/>
  <c r="CH28" i="14"/>
  <c r="CH29" i="14"/>
  <c r="CH30" i="14"/>
  <c r="CH31" i="14"/>
  <c r="CH32" i="14"/>
  <c r="CH33" i="14"/>
  <c r="CH34" i="14"/>
  <c r="CH35" i="14"/>
  <c r="CH36" i="14"/>
  <c r="CH37" i="14"/>
  <c r="CH38" i="14"/>
  <c r="CH39" i="14"/>
  <c r="CH40" i="14"/>
  <c r="CH41" i="14"/>
  <c r="CH42" i="14"/>
  <c r="CH43" i="14"/>
  <c r="CH44" i="14"/>
  <c r="CH45" i="14"/>
  <c r="CH46" i="14"/>
  <c r="CH47" i="14"/>
  <c r="CH48" i="14"/>
  <c r="CH49" i="14"/>
  <c r="CH50" i="14"/>
  <c r="CH51" i="14"/>
  <c r="CH52" i="14"/>
  <c r="CH53" i="14"/>
  <c r="CH54" i="14"/>
  <c r="CH55" i="14"/>
  <c r="CH56" i="14"/>
  <c r="CH57" i="14"/>
  <c r="CH58" i="14"/>
  <c r="CH59" i="14"/>
  <c r="CH60" i="14"/>
  <c r="CH61" i="14"/>
  <c r="CH62" i="14"/>
  <c r="CH63" i="14"/>
  <c r="CH64" i="14"/>
  <c r="CH65" i="14"/>
  <c r="CH66" i="14"/>
  <c r="CH67" i="14"/>
  <c r="CH68" i="14"/>
  <c r="CH69" i="14"/>
  <c r="CH70" i="14"/>
  <c r="CH71" i="14"/>
  <c r="CH72" i="14"/>
  <c r="CH73" i="14"/>
  <c r="CH74" i="14"/>
  <c r="CH75" i="14"/>
  <c r="CH76" i="14"/>
  <c r="CH77" i="14"/>
  <c r="CH78" i="14"/>
  <c r="CH79" i="14"/>
  <c r="CH80" i="14"/>
  <c r="CH81" i="14"/>
  <c r="CH82" i="14"/>
  <c r="CH83" i="14"/>
  <c r="CH84" i="14"/>
  <c r="CH85" i="14"/>
  <c r="CH86" i="14"/>
  <c r="CH87" i="14"/>
  <c r="CH88" i="14"/>
  <c r="CH89" i="14"/>
  <c r="CH90" i="14"/>
  <c r="CH91" i="14"/>
  <c r="CH92" i="14"/>
  <c r="CH93" i="14"/>
  <c r="CH94" i="14"/>
  <c r="CH95" i="14"/>
  <c r="CH96" i="14"/>
  <c r="CH97" i="14"/>
  <c r="CH98" i="14"/>
  <c r="CH99" i="14"/>
  <c r="CH100" i="14"/>
  <c r="CH101" i="14"/>
  <c r="CH102" i="14"/>
  <c r="CH103" i="14"/>
  <c r="CH104" i="14"/>
  <c r="CH105" i="14"/>
  <c r="CH106" i="14"/>
  <c r="CH107" i="14"/>
  <c r="CH108" i="14"/>
  <c r="CH109" i="14"/>
  <c r="CH110" i="14"/>
  <c r="CH111" i="14"/>
  <c r="CH112" i="14"/>
  <c r="CH113" i="14"/>
  <c r="CH114" i="14"/>
  <c r="CH115" i="14"/>
  <c r="CH116" i="14"/>
  <c r="CH117" i="14"/>
  <c r="CH118" i="14"/>
  <c r="CH119" i="14"/>
  <c r="CH120" i="14"/>
  <c r="CH121" i="14"/>
  <c r="CH122" i="14"/>
  <c r="CH123" i="14"/>
  <c r="CH124" i="14"/>
  <c r="CH125" i="14"/>
  <c r="CH126" i="14"/>
  <c r="CH127" i="14"/>
  <c r="CH128" i="14"/>
  <c r="CH129" i="14"/>
  <c r="CH130" i="14"/>
  <c r="CH131" i="14"/>
  <c r="CH132" i="14"/>
  <c r="CH133" i="14"/>
  <c r="CH134" i="14"/>
  <c r="CH135" i="14"/>
  <c r="CH136" i="14"/>
  <c r="CH137" i="14"/>
  <c r="CH138" i="14"/>
  <c r="CH139" i="14"/>
  <c r="CH140" i="14"/>
  <c r="CH141" i="14"/>
  <c r="CH142" i="14"/>
  <c r="CH143" i="14"/>
  <c r="CH144" i="14"/>
  <c r="CH145" i="14"/>
  <c r="CH146" i="14"/>
  <c r="CH147" i="14"/>
  <c r="CH148" i="14"/>
  <c r="CH149" i="14"/>
  <c r="CH150" i="14"/>
  <c r="CH151" i="14"/>
  <c r="CH152" i="14"/>
  <c r="CH153" i="14"/>
  <c r="CH154" i="14"/>
  <c r="CH155" i="14"/>
  <c r="CH156" i="14"/>
  <c r="CH157" i="14"/>
  <c r="CH158" i="14"/>
  <c r="CH159" i="14"/>
  <c r="CH160" i="14"/>
  <c r="CH161" i="14"/>
  <c r="CH162" i="14"/>
  <c r="CH163" i="14"/>
  <c r="CH164" i="14"/>
  <c r="CH165" i="14"/>
  <c r="CH166" i="14"/>
  <c r="CH167" i="14"/>
  <c r="CH168" i="14"/>
  <c r="CH169" i="14"/>
  <c r="CH170" i="14"/>
  <c r="CH171" i="14"/>
  <c r="CH172" i="14"/>
  <c r="CH173" i="14"/>
  <c r="CH174" i="14"/>
  <c r="CH175" i="14"/>
  <c r="CH176" i="14"/>
  <c r="CH177" i="14"/>
  <c r="CH178" i="14"/>
  <c r="CH179" i="14"/>
  <c r="CH180" i="14"/>
  <c r="CH181" i="14"/>
  <c r="CH182" i="14"/>
  <c r="CH183" i="14"/>
  <c r="CH184" i="14"/>
  <c r="CH185" i="14"/>
  <c r="CH186" i="14"/>
  <c r="CH187" i="14"/>
  <c r="CH188" i="14"/>
  <c r="CH189" i="14"/>
  <c r="CH190" i="14"/>
  <c r="CH191" i="14"/>
  <c r="CH192" i="14"/>
  <c r="CH193" i="14"/>
  <c r="CH194" i="14"/>
  <c r="CH195" i="14"/>
  <c r="CH196" i="14"/>
  <c r="CH197" i="14"/>
  <c r="CH198" i="14"/>
  <c r="CH199" i="14"/>
  <c r="CH200" i="14"/>
  <c r="CH201" i="14"/>
  <c r="CA4" i="14"/>
  <c r="CA5" i="14"/>
  <c r="CA6" i="14"/>
  <c r="CA7" i="14"/>
  <c r="CA8" i="14"/>
  <c r="CA9" i="14"/>
  <c r="CA10" i="14"/>
  <c r="CA11" i="14"/>
  <c r="CA12" i="14"/>
  <c r="CA13" i="14"/>
  <c r="CA14" i="14"/>
  <c r="CA15" i="14"/>
  <c r="CA16" i="14"/>
  <c r="CA17" i="14"/>
  <c r="CA18" i="14"/>
  <c r="CA19" i="14"/>
  <c r="CA20" i="14"/>
  <c r="CA21" i="14"/>
  <c r="CA22" i="14"/>
  <c r="CA23" i="14"/>
  <c r="CA24" i="14"/>
  <c r="CA25" i="14"/>
  <c r="CA26" i="14"/>
  <c r="CA27" i="14"/>
  <c r="CA28" i="14"/>
  <c r="CA29" i="14"/>
  <c r="CA30" i="14"/>
  <c r="CA31" i="14"/>
  <c r="CA32" i="14"/>
  <c r="CA33" i="14"/>
  <c r="CA34" i="14"/>
  <c r="CA35" i="14"/>
  <c r="CA36" i="14"/>
  <c r="CA37" i="14"/>
  <c r="CA38" i="14"/>
  <c r="CA39" i="14"/>
  <c r="CA40" i="14"/>
  <c r="CA41" i="14"/>
  <c r="CA42" i="14"/>
  <c r="CA43" i="14"/>
  <c r="CA44" i="14"/>
  <c r="CA45" i="14"/>
  <c r="CA46" i="14"/>
  <c r="CA47" i="14"/>
  <c r="CA48" i="14"/>
  <c r="CA49" i="14"/>
  <c r="CA50" i="14"/>
  <c r="CA51" i="14"/>
  <c r="CA52" i="14"/>
  <c r="CA53" i="14"/>
  <c r="CA54" i="14"/>
  <c r="CA55" i="14"/>
  <c r="CA56" i="14"/>
  <c r="CA57" i="14"/>
  <c r="CA58" i="14"/>
  <c r="CA59" i="14"/>
  <c r="CA60" i="14"/>
  <c r="CA61" i="14"/>
  <c r="CA62" i="14"/>
  <c r="CA63" i="14"/>
  <c r="CA64" i="14"/>
  <c r="CA65" i="14"/>
  <c r="CA66" i="14"/>
  <c r="CA67" i="14"/>
  <c r="CA68" i="14"/>
  <c r="CA69" i="14"/>
  <c r="CA70" i="14"/>
  <c r="CA71" i="14"/>
  <c r="CA72" i="14"/>
  <c r="CA73" i="14"/>
  <c r="CA74" i="14"/>
  <c r="CA75" i="14"/>
  <c r="CA76" i="14"/>
  <c r="CA77" i="14"/>
  <c r="CA78" i="14"/>
  <c r="CA79" i="14"/>
  <c r="CA80" i="14"/>
  <c r="CA81" i="14"/>
  <c r="CA82" i="14"/>
  <c r="CA83" i="14"/>
  <c r="CA84" i="14"/>
  <c r="CA85" i="14"/>
  <c r="CA86" i="14"/>
  <c r="CA87" i="14"/>
  <c r="CA88" i="14"/>
  <c r="CA89" i="14"/>
  <c r="CA90" i="14"/>
  <c r="CA91" i="14"/>
  <c r="CA92" i="14"/>
  <c r="CA93" i="14"/>
  <c r="CA94" i="14"/>
  <c r="CA95" i="14"/>
  <c r="CA96" i="14"/>
  <c r="CA97" i="14"/>
  <c r="CA98" i="14"/>
  <c r="CA99" i="14"/>
  <c r="CA100" i="14"/>
  <c r="CA101" i="14"/>
  <c r="CA102" i="14"/>
  <c r="CA103" i="14"/>
  <c r="CA104" i="14"/>
  <c r="CA105" i="14"/>
  <c r="CA106" i="14"/>
  <c r="CA107" i="14"/>
  <c r="CA108" i="14"/>
  <c r="CA109" i="14"/>
  <c r="CA110" i="14"/>
  <c r="CA111" i="14"/>
  <c r="CA112" i="14"/>
  <c r="CA113" i="14"/>
  <c r="CA114" i="14"/>
  <c r="CA115" i="14"/>
  <c r="CA116" i="14"/>
  <c r="CA117" i="14"/>
  <c r="CA118" i="14"/>
  <c r="CA119" i="14"/>
  <c r="CA120" i="14"/>
  <c r="CA121" i="14"/>
  <c r="CA122" i="14"/>
  <c r="CA123" i="14"/>
  <c r="CA124" i="14"/>
  <c r="CA125" i="14"/>
  <c r="CA126" i="14"/>
  <c r="CA127" i="14"/>
  <c r="CA128" i="14"/>
  <c r="CA129" i="14"/>
  <c r="CA130" i="14"/>
  <c r="CA131" i="14"/>
  <c r="CA132" i="14"/>
  <c r="CA133" i="14"/>
  <c r="CA134" i="14"/>
  <c r="CA135" i="14"/>
  <c r="CA136" i="14"/>
  <c r="CA137" i="14"/>
  <c r="CA138" i="14"/>
  <c r="CA139" i="14"/>
  <c r="CA140" i="14"/>
  <c r="CA141" i="14"/>
  <c r="CA142" i="14"/>
  <c r="CA143" i="14"/>
  <c r="CA144" i="14"/>
  <c r="CA145" i="14"/>
  <c r="CA146" i="14"/>
  <c r="CA147" i="14"/>
  <c r="CA148" i="14"/>
  <c r="CA149" i="14"/>
  <c r="CA150" i="14"/>
  <c r="CA151" i="14"/>
  <c r="CA152" i="14"/>
  <c r="CA153" i="14"/>
  <c r="CA154" i="14"/>
  <c r="CA155" i="14"/>
  <c r="CA156" i="14"/>
  <c r="CA157" i="14"/>
  <c r="CA158" i="14"/>
  <c r="CA159" i="14"/>
  <c r="CA160" i="14"/>
  <c r="CA161" i="14"/>
  <c r="CA162" i="14"/>
  <c r="CA163" i="14"/>
  <c r="CA164" i="14"/>
  <c r="CA165" i="14"/>
  <c r="CA166" i="14"/>
  <c r="CA167" i="14"/>
  <c r="CA168" i="14"/>
  <c r="CA169" i="14"/>
  <c r="CA170" i="14"/>
  <c r="CA171" i="14"/>
  <c r="CA172" i="14"/>
  <c r="CA173" i="14"/>
  <c r="CA174" i="14"/>
  <c r="CA175" i="14"/>
  <c r="CA176" i="14"/>
  <c r="CA177" i="14"/>
  <c r="CA178" i="14"/>
  <c r="CA179" i="14"/>
  <c r="CA180" i="14"/>
  <c r="CA181" i="14"/>
  <c r="CA182" i="14"/>
  <c r="CA183" i="14"/>
  <c r="CA184" i="14"/>
  <c r="CA185" i="14"/>
  <c r="CA186" i="14"/>
  <c r="CA187" i="14"/>
  <c r="CA188" i="14"/>
  <c r="CA189" i="14"/>
  <c r="CA190" i="14"/>
  <c r="CA191" i="14"/>
  <c r="CA192" i="14"/>
  <c r="CA193" i="14"/>
  <c r="CA194" i="14"/>
  <c r="CA195" i="14"/>
  <c r="CA196" i="14"/>
  <c r="CA197" i="14"/>
  <c r="CA198" i="14"/>
  <c r="CA199" i="14"/>
  <c r="CA200" i="14"/>
  <c r="CA201" i="14"/>
  <c r="BT4" i="14"/>
  <c r="BT5" i="14"/>
  <c r="BT6" i="14"/>
  <c r="BT7" i="14"/>
  <c r="BT8" i="14"/>
  <c r="BT9" i="14"/>
  <c r="BT10" i="14"/>
  <c r="BT11" i="14"/>
  <c r="BT12" i="14"/>
  <c r="BT13" i="14"/>
  <c r="BT14" i="14"/>
  <c r="BT15" i="14"/>
  <c r="BT16" i="14"/>
  <c r="BT17" i="14"/>
  <c r="BT18" i="14"/>
  <c r="BT19" i="14"/>
  <c r="BT20" i="14"/>
  <c r="BT21" i="14"/>
  <c r="BT22" i="14"/>
  <c r="BT23" i="14"/>
  <c r="BT24" i="14"/>
  <c r="BT25" i="14"/>
  <c r="BT26" i="14"/>
  <c r="BT27" i="14"/>
  <c r="BT28" i="14"/>
  <c r="BT29" i="14"/>
  <c r="BT30" i="14"/>
  <c r="BT31" i="14"/>
  <c r="BT32" i="14"/>
  <c r="BT33" i="14"/>
  <c r="BT34" i="14"/>
  <c r="BT35" i="14"/>
  <c r="BT36" i="14"/>
  <c r="BT37" i="14"/>
  <c r="BT38" i="14"/>
  <c r="BT39" i="14"/>
  <c r="BT40" i="14"/>
  <c r="BT41" i="14"/>
  <c r="BT42" i="14"/>
  <c r="BT43" i="14"/>
  <c r="BT44" i="14"/>
  <c r="BT45" i="14"/>
  <c r="BT46" i="14"/>
  <c r="BT47" i="14"/>
  <c r="BT48" i="14"/>
  <c r="BT49" i="14"/>
  <c r="BT50" i="14"/>
  <c r="BT51" i="14"/>
  <c r="BT52" i="14"/>
  <c r="BT53" i="14"/>
  <c r="BT54" i="14"/>
  <c r="BT55" i="14"/>
  <c r="BT56" i="14"/>
  <c r="BT57" i="14"/>
  <c r="BT58" i="14"/>
  <c r="BT59" i="14"/>
  <c r="BT60" i="14"/>
  <c r="BT61" i="14"/>
  <c r="BT62" i="14"/>
  <c r="BT63" i="14"/>
  <c r="BT64" i="14"/>
  <c r="BT65" i="14"/>
  <c r="BT66" i="14"/>
  <c r="BT67" i="14"/>
  <c r="BT68" i="14"/>
  <c r="BT69" i="14"/>
  <c r="BT70" i="14"/>
  <c r="BT71" i="14"/>
  <c r="BT72" i="14"/>
  <c r="BT73" i="14"/>
  <c r="BT74" i="14"/>
  <c r="BT75" i="14"/>
  <c r="BT76" i="14"/>
  <c r="BT77" i="14"/>
  <c r="BT78" i="14"/>
  <c r="BT79" i="14"/>
  <c r="BT80" i="14"/>
  <c r="BT81" i="14"/>
  <c r="BT82" i="14"/>
  <c r="BT83" i="14"/>
  <c r="BT84" i="14"/>
  <c r="BT85" i="14"/>
  <c r="BT86" i="14"/>
  <c r="BT87" i="14"/>
  <c r="BT88" i="14"/>
  <c r="BT89" i="14"/>
  <c r="BT90" i="14"/>
  <c r="BT91" i="14"/>
  <c r="BT92" i="14"/>
  <c r="BT93" i="14"/>
  <c r="BT94" i="14"/>
  <c r="BT95" i="14"/>
  <c r="BT96" i="14"/>
  <c r="BT97" i="14"/>
  <c r="BT98" i="14"/>
  <c r="BT99" i="14"/>
  <c r="BT100" i="14"/>
  <c r="BT101" i="14"/>
  <c r="BT102" i="14"/>
  <c r="BT103" i="14"/>
  <c r="BT104" i="14"/>
  <c r="BT105" i="14"/>
  <c r="BT106" i="14"/>
  <c r="BT107" i="14"/>
  <c r="BT108" i="14"/>
  <c r="BT109" i="14"/>
  <c r="BT110" i="14"/>
  <c r="BT111" i="14"/>
  <c r="BT112" i="14"/>
  <c r="BT113" i="14"/>
  <c r="BT114" i="14"/>
  <c r="BT115" i="14"/>
  <c r="BT116" i="14"/>
  <c r="BT117" i="14"/>
  <c r="BT118" i="14"/>
  <c r="BT119" i="14"/>
  <c r="BT120" i="14"/>
  <c r="BT121" i="14"/>
  <c r="BT122" i="14"/>
  <c r="BT123" i="14"/>
  <c r="BT124" i="14"/>
  <c r="BT125" i="14"/>
  <c r="BT126" i="14"/>
  <c r="BT127" i="14"/>
  <c r="BT128" i="14"/>
  <c r="BT129" i="14"/>
  <c r="BT130" i="14"/>
  <c r="BT131" i="14"/>
  <c r="BT132" i="14"/>
  <c r="BT133" i="14"/>
  <c r="BT134" i="14"/>
  <c r="BT135" i="14"/>
  <c r="BT136" i="14"/>
  <c r="BT137" i="14"/>
  <c r="BT138" i="14"/>
  <c r="BT139" i="14"/>
  <c r="BT140" i="14"/>
  <c r="BT141" i="14"/>
  <c r="BT142" i="14"/>
  <c r="BT143" i="14"/>
  <c r="BT144" i="14"/>
  <c r="BT145" i="14"/>
  <c r="BT146" i="14"/>
  <c r="BT147" i="14"/>
  <c r="BT148" i="14"/>
  <c r="BT149" i="14"/>
  <c r="BT150" i="14"/>
  <c r="BT151" i="14"/>
  <c r="BT152" i="14"/>
  <c r="BT153" i="14"/>
  <c r="BT154" i="14"/>
  <c r="BT155" i="14"/>
  <c r="BT156" i="14"/>
  <c r="BT157" i="14"/>
  <c r="BT158" i="14"/>
  <c r="BT159" i="14"/>
  <c r="BT160" i="14"/>
  <c r="BT161" i="14"/>
  <c r="BT162" i="14"/>
  <c r="BT163" i="14"/>
  <c r="BT164" i="14"/>
  <c r="BT165" i="14"/>
  <c r="BT166" i="14"/>
  <c r="BT167" i="14"/>
  <c r="BT168" i="14"/>
  <c r="BT169" i="14"/>
  <c r="BT170" i="14"/>
  <c r="BT171" i="14"/>
  <c r="BT172" i="14"/>
  <c r="BT173" i="14"/>
  <c r="BT174" i="14"/>
  <c r="BT175" i="14"/>
  <c r="BT176" i="14"/>
  <c r="BT177" i="14"/>
  <c r="BT178" i="14"/>
  <c r="BT179" i="14"/>
  <c r="BT180" i="14"/>
  <c r="BT181" i="14"/>
  <c r="BT182" i="14"/>
  <c r="BT183" i="14"/>
  <c r="BT184" i="14"/>
  <c r="BT185" i="14"/>
  <c r="BT186" i="14"/>
  <c r="BT187" i="14"/>
  <c r="BT188" i="14"/>
  <c r="BT189" i="14"/>
  <c r="BT190" i="14"/>
  <c r="BT191" i="14"/>
  <c r="BT192" i="14"/>
  <c r="BT193" i="14"/>
  <c r="BT194" i="14"/>
  <c r="BT195" i="14"/>
  <c r="BT196" i="14"/>
  <c r="BT197" i="14"/>
  <c r="BT198" i="14"/>
  <c r="BT199" i="14"/>
  <c r="BT200" i="14"/>
  <c r="BT201" i="14"/>
  <c r="BG4" i="14"/>
  <c r="BG5" i="14"/>
  <c r="BG6" i="14"/>
  <c r="BG7" i="14"/>
  <c r="BG8" i="14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8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7" i="14"/>
  <c r="BG98" i="14"/>
  <c r="BG99" i="14"/>
  <c r="BG100" i="14"/>
  <c r="BG101" i="14"/>
  <c r="BG102" i="14"/>
  <c r="BG103" i="14"/>
  <c r="BG104" i="14"/>
  <c r="BG105" i="14"/>
  <c r="BG106" i="14"/>
  <c r="BG107" i="14"/>
  <c r="BG108" i="14"/>
  <c r="BG109" i="14"/>
  <c r="BG110" i="14"/>
  <c r="BG111" i="14"/>
  <c r="BG112" i="14"/>
  <c r="BG113" i="14"/>
  <c r="BG114" i="14"/>
  <c r="BG115" i="14"/>
  <c r="BG116" i="14"/>
  <c r="BG117" i="14"/>
  <c r="BG118" i="14"/>
  <c r="BG119" i="14"/>
  <c r="BG120" i="14"/>
  <c r="BG121" i="14"/>
  <c r="BG122" i="14"/>
  <c r="BG123" i="14"/>
  <c r="BG124" i="14"/>
  <c r="BG125" i="14"/>
  <c r="BG126" i="14"/>
  <c r="BG127" i="14"/>
  <c r="BG128" i="14"/>
  <c r="BG129" i="14"/>
  <c r="BG130" i="14"/>
  <c r="BG131" i="14"/>
  <c r="BG132" i="14"/>
  <c r="BG133" i="14"/>
  <c r="BG134" i="14"/>
  <c r="BG135" i="14"/>
  <c r="BG136" i="14"/>
  <c r="BG137" i="14"/>
  <c r="BG138" i="14"/>
  <c r="BG139" i="14"/>
  <c r="BG140" i="14"/>
  <c r="BG141" i="14"/>
  <c r="BG142" i="14"/>
  <c r="BG143" i="14"/>
  <c r="BG144" i="14"/>
  <c r="BG145" i="14"/>
  <c r="BG146" i="14"/>
  <c r="BG147" i="14"/>
  <c r="BG148" i="14"/>
  <c r="BG149" i="14"/>
  <c r="BG150" i="14"/>
  <c r="BG151" i="14"/>
  <c r="BG152" i="14"/>
  <c r="BG153" i="14"/>
  <c r="BG154" i="14"/>
  <c r="BG155" i="14"/>
  <c r="BG156" i="14"/>
  <c r="BG157" i="14"/>
  <c r="BG158" i="14"/>
  <c r="BG159" i="14"/>
  <c r="BG160" i="14"/>
  <c r="BG161" i="14"/>
  <c r="BG162" i="14"/>
  <c r="BG163" i="14"/>
  <c r="BG164" i="14"/>
  <c r="BG165" i="14"/>
  <c r="BG166" i="14"/>
  <c r="BG167" i="14"/>
  <c r="BG168" i="14"/>
  <c r="BG169" i="14"/>
  <c r="BG170" i="14"/>
  <c r="BG171" i="14"/>
  <c r="BG172" i="14"/>
  <c r="BG173" i="14"/>
  <c r="BG174" i="14"/>
  <c r="BG175" i="14"/>
  <c r="BG176" i="14"/>
  <c r="BG177" i="14"/>
  <c r="BG178" i="14"/>
  <c r="BG179" i="14"/>
  <c r="BG180" i="14"/>
  <c r="BG181" i="14"/>
  <c r="BG182" i="14"/>
  <c r="BG183" i="14"/>
  <c r="BG184" i="14"/>
  <c r="BG185" i="14"/>
  <c r="BG186" i="14"/>
  <c r="BG187" i="14"/>
  <c r="BG188" i="14"/>
  <c r="BG189" i="14"/>
  <c r="BG190" i="14"/>
  <c r="BG191" i="14"/>
  <c r="BG192" i="14"/>
  <c r="BG193" i="14"/>
  <c r="BG194" i="14"/>
  <c r="BG195" i="14"/>
  <c r="BG196" i="14"/>
  <c r="BG197" i="14"/>
  <c r="BG198" i="14"/>
  <c r="BG199" i="14"/>
  <c r="BG200" i="14"/>
  <c r="BG201" i="14"/>
  <c r="AZ4" i="14"/>
  <c r="AZ5" i="14"/>
  <c r="AZ6" i="14"/>
  <c r="AZ7" i="14"/>
  <c r="AZ8" i="14"/>
  <c r="AZ9" i="14"/>
  <c r="AZ10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Z34" i="14"/>
  <c r="AZ35" i="14"/>
  <c r="AZ36" i="14"/>
  <c r="AZ37" i="14"/>
  <c r="AZ38" i="14"/>
  <c r="AZ39" i="14"/>
  <c r="AZ40" i="14"/>
  <c r="AZ41" i="14"/>
  <c r="AZ42" i="14"/>
  <c r="AZ43" i="14"/>
  <c r="AZ44" i="14"/>
  <c r="AZ45" i="14"/>
  <c r="AZ46" i="14"/>
  <c r="AZ47" i="14"/>
  <c r="AZ48" i="14"/>
  <c r="AZ49" i="14"/>
  <c r="AZ50" i="14"/>
  <c r="AZ51" i="14"/>
  <c r="AZ52" i="14"/>
  <c r="AZ53" i="14"/>
  <c r="AZ54" i="14"/>
  <c r="AZ55" i="14"/>
  <c r="AZ56" i="14"/>
  <c r="AZ57" i="14"/>
  <c r="AZ58" i="14"/>
  <c r="AZ59" i="14"/>
  <c r="AZ60" i="14"/>
  <c r="AZ61" i="14"/>
  <c r="AZ62" i="14"/>
  <c r="AZ63" i="14"/>
  <c r="AZ64" i="14"/>
  <c r="AZ65" i="14"/>
  <c r="AZ66" i="14"/>
  <c r="AZ67" i="14"/>
  <c r="AZ68" i="14"/>
  <c r="AZ69" i="14"/>
  <c r="AZ70" i="14"/>
  <c r="AZ71" i="14"/>
  <c r="AZ72" i="14"/>
  <c r="AZ73" i="14"/>
  <c r="AZ74" i="14"/>
  <c r="AZ75" i="14"/>
  <c r="AZ76" i="14"/>
  <c r="AZ77" i="14"/>
  <c r="AZ78" i="14"/>
  <c r="AZ79" i="14"/>
  <c r="AZ80" i="14"/>
  <c r="AZ81" i="14"/>
  <c r="AZ82" i="14"/>
  <c r="AZ83" i="14"/>
  <c r="AZ84" i="14"/>
  <c r="AZ85" i="14"/>
  <c r="AZ86" i="14"/>
  <c r="AZ87" i="14"/>
  <c r="AZ88" i="14"/>
  <c r="AZ89" i="14"/>
  <c r="AZ90" i="14"/>
  <c r="AZ91" i="14"/>
  <c r="AZ92" i="14"/>
  <c r="AZ93" i="14"/>
  <c r="AZ94" i="14"/>
  <c r="AZ95" i="14"/>
  <c r="AZ96" i="14"/>
  <c r="AZ97" i="14"/>
  <c r="AZ98" i="14"/>
  <c r="AZ99" i="14"/>
  <c r="AZ100" i="14"/>
  <c r="AZ101" i="14"/>
  <c r="AZ102" i="14"/>
  <c r="AZ103" i="14"/>
  <c r="AZ104" i="14"/>
  <c r="AZ105" i="14"/>
  <c r="AZ106" i="14"/>
  <c r="AZ107" i="14"/>
  <c r="AZ108" i="14"/>
  <c r="AZ109" i="14"/>
  <c r="AZ110" i="14"/>
  <c r="AZ111" i="14"/>
  <c r="AZ112" i="14"/>
  <c r="AZ113" i="14"/>
  <c r="AZ114" i="14"/>
  <c r="AZ115" i="14"/>
  <c r="AZ116" i="14"/>
  <c r="AZ117" i="14"/>
  <c r="AZ118" i="14"/>
  <c r="AZ119" i="14"/>
  <c r="AZ120" i="14"/>
  <c r="AZ121" i="14"/>
  <c r="AZ122" i="14"/>
  <c r="AZ123" i="14"/>
  <c r="AZ124" i="14"/>
  <c r="AZ125" i="14"/>
  <c r="AZ126" i="14"/>
  <c r="AZ127" i="14"/>
  <c r="AZ128" i="14"/>
  <c r="AZ129" i="14"/>
  <c r="AZ130" i="14"/>
  <c r="AZ131" i="14"/>
  <c r="AZ132" i="14"/>
  <c r="AZ133" i="14"/>
  <c r="AZ134" i="14"/>
  <c r="AZ135" i="14"/>
  <c r="AZ136" i="14"/>
  <c r="AZ137" i="14"/>
  <c r="AZ138" i="14"/>
  <c r="AZ139" i="14"/>
  <c r="AZ140" i="14"/>
  <c r="AZ141" i="14"/>
  <c r="AZ142" i="14"/>
  <c r="AZ143" i="14"/>
  <c r="AZ144" i="14"/>
  <c r="AZ145" i="14"/>
  <c r="AZ146" i="14"/>
  <c r="AZ147" i="14"/>
  <c r="AZ148" i="14"/>
  <c r="AZ149" i="14"/>
  <c r="AZ150" i="14"/>
  <c r="AZ151" i="14"/>
  <c r="AZ152" i="14"/>
  <c r="AZ153" i="14"/>
  <c r="AZ154" i="14"/>
  <c r="AZ155" i="14"/>
  <c r="AZ156" i="14"/>
  <c r="AZ157" i="14"/>
  <c r="AZ158" i="14"/>
  <c r="AZ159" i="14"/>
  <c r="AZ160" i="14"/>
  <c r="AZ161" i="14"/>
  <c r="AZ162" i="14"/>
  <c r="AZ163" i="14"/>
  <c r="AZ164" i="14"/>
  <c r="AZ165" i="14"/>
  <c r="AZ166" i="14"/>
  <c r="AZ167" i="14"/>
  <c r="AZ168" i="14"/>
  <c r="AZ169" i="14"/>
  <c r="AZ170" i="14"/>
  <c r="AZ171" i="14"/>
  <c r="AZ172" i="14"/>
  <c r="AZ173" i="14"/>
  <c r="AZ174" i="14"/>
  <c r="AZ175" i="14"/>
  <c r="AZ176" i="14"/>
  <c r="AZ177" i="14"/>
  <c r="AZ178" i="14"/>
  <c r="AZ179" i="14"/>
  <c r="AZ180" i="14"/>
  <c r="AZ181" i="14"/>
  <c r="AZ182" i="14"/>
  <c r="AZ183" i="14"/>
  <c r="AZ184" i="14"/>
  <c r="AZ185" i="14"/>
  <c r="AZ186" i="14"/>
  <c r="AZ187" i="14"/>
  <c r="AZ188" i="14"/>
  <c r="AZ189" i="14"/>
  <c r="AZ190" i="14"/>
  <c r="AZ191" i="14"/>
  <c r="AZ192" i="14"/>
  <c r="AZ193" i="14"/>
  <c r="AZ194" i="14"/>
  <c r="AZ195" i="14"/>
  <c r="AZ196" i="14"/>
  <c r="AZ197" i="14"/>
  <c r="AZ198" i="14"/>
  <c r="AZ199" i="14"/>
  <c r="AZ200" i="14"/>
  <c r="AZ201" i="14"/>
  <c r="AS4" i="14"/>
  <c r="AS5" i="14"/>
  <c r="AS6" i="14"/>
  <c r="AS7" i="14"/>
  <c r="AS8" i="14"/>
  <c r="AS9" i="14"/>
  <c r="AS10" i="14"/>
  <c r="AS11" i="14"/>
  <c r="AS12" i="14"/>
  <c r="AS13" i="14"/>
  <c r="AS14" i="14"/>
  <c r="AS15" i="14"/>
  <c r="AS16" i="14"/>
  <c r="AS17" i="14"/>
  <c r="AS18" i="14"/>
  <c r="AS19" i="14"/>
  <c r="AS20" i="14"/>
  <c r="AS21" i="14"/>
  <c r="AS22" i="14"/>
  <c r="AS23" i="14"/>
  <c r="AS24" i="14"/>
  <c r="AS25" i="14"/>
  <c r="AS26" i="14"/>
  <c r="AS27" i="14"/>
  <c r="AS28" i="14"/>
  <c r="AS29" i="14"/>
  <c r="AS30" i="14"/>
  <c r="AS31" i="14"/>
  <c r="AS32" i="14"/>
  <c r="AS33" i="14"/>
  <c r="AS34" i="14"/>
  <c r="AS35" i="14"/>
  <c r="AS36" i="14"/>
  <c r="AS37" i="14"/>
  <c r="AS38" i="14"/>
  <c r="AS39" i="14"/>
  <c r="AS40" i="14"/>
  <c r="AS41" i="14"/>
  <c r="AS42" i="14"/>
  <c r="AS43" i="14"/>
  <c r="AS44" i="14"/>
  <c r="AS45" i="14"/>
  <c r="AS46" i="14"/>
  <c r="AS47" i="14"/>
  <c r="AS48" i="14"/>
  <c r="AS49" i="14"/>
  <c r="AS50" i="14"/>
  <c r="AS51" i="14"/>
  <c r="AS52" i="14"/>
  <c r="AS53" i="14"/>
  <c r="AS54" i="14"/>
  <c r="AS55" i="14"/>
  <c r="AS56" i="14"/>
  <c r="AS57" i="14"/>
  <c r="AS58" i="14"/>
  <c r="AS59" i="14"/>
  <c r="AS60" i="14"/>
  <c r="AS61" i="14"/>
  <c r="AS62" i="14"/>
  <c r="AS63" i="14"/>
  <c r="AS64" i="14"/>
  <c r="AS65" i="14"/>
  <c r="AS66" i="14"/>
  <c r="AS67" i="14"/>
  <c r="AS68" i="14"/>
  <c r="AS69" i="14"/>
  <c r="AS70" i="14"/>
  <c r="AS71" i="14"/>
  <c r="AS72" i="14"/>
  <c r="AS73" i="14"/>
  <c r="AS74" i="14"/>
  <c r="AS75" i="14"/>
  <c r="AS76" i="14"/>
  <c r="AS77" i="14"/>
  <c r="AS78" i="14"/>
  <c r="AS79" i="14"/>
  <c r="AS80" i="14"/>
  <c r="AS81" i="14"/>
  <c r="AS82" i="14"/>
  <c r="AS83" i="14"/>
  <c r="AS84" i="14"/>
  <c r="AS85" i="14"/>
  <c r="AS86" i="14"/>
  <c r="AS87" i="14"/>
  <c r="AS88" i="14"/>
  <c r="AS89" i="14"/>
  <c r="AS90" i="14"/>
  <c r="AS91" i="14"/>
  <c r="AS92" i="14"/>
  <c r="AS93" i="14"/>
  <c r="AS94" i="14"/>
  <c r="AS95" i="14"/>
  <c r="AS96" i="14"/>
  <c r="AS97" i="14"/>
  <c r="AS98" i="14"/>
  <c r="AS99" i="14"/>
  <c r="AS100" i="14"/>
  <c r="AS101" i="14"/>
  <c r="AS102" i="14"/>
  <c r="AS103" i="14"/>
  <c r="AS104" i="14"/>
  <c r="AS105" i="14"/>
  <c r="AS106" i="14"/>
  <c r="AS107" i="14"/>
  <c r="AS108" i="14"/>
  <c r="AS109" i="14"/>
  <c r="AS110" i="14"/>
  <c r="AS111" i="14"/>
  <c r="AS112" i="14"/>
  <c r="AS113" i="14"/>
  <c r="AS114" i="14"/>
  <c r="AS115" i="14"/>
  <c r="AS116" i="14"/>
  <c r="AS117" i="14"/>
  <c r="AS118" i="14"/>
  <c r="AS119" i="14"/>
  <c r="AS120" i="14"/>
  <c r="AS121" i="14"/>
  <c r="AS122" i="14"/>
  <c r="AS123" i="14"/>
  <c r="AS124" i="14"/>
  <c r="AS125" i="14"/>
  <c r="AS126" i="14"/>
  <c r="AS127" i="14"/>
  <c r="AS128" i="14"/>
  <c r="AS129" i="14"/>
  <c r="AS130" i="14"/>
  <c r="AS131" i="14"/>
  <c r="AS132" i="14"/>
  <c r="AS133" i="14"/>
  <c r="AS134" i="14"/>
  <c r="AS135" i="14"/>
  <c r="AS136" i="14"/>
  <c r="AS137" i="14"/>
  <c r="AS138" i="14"/>
  <c r="AS139" i="14"/>
  <c r="AS140" i="14"/>
  <c r="AS141" i="14"/>
  <c r="AS142" i="14"/>
  <c r="AS143" i="14"/>
  <c r="AS144" i="14"/>
  <c r="AS145" i="14"/>
  <c r="AS146" i="14"/>
  <c r="AS147" i="14"/>
  <c r="AS148" i="14"/>
  <c r="AS149" i="14"/>
  <c r="AS150" i="14"/>
  <c r="AS151" i="14"/>
  <c r="AS152" i="14"/>
  <c r="AS153" i="14"/>
  <c r="AS154" i="14"/>
  <c r="AS155" i="14"/>
  <c r="AS156" i="14"/>
  <c r="AS157" i="14"/>
  <c r="AS158" i="14"/>
  <c r="AS159" i="14"/>
  <c r="AS160" i="14"/>
  <c r="AS161" i="14"/>
  <c r="AS162" i="14"/>
  <c r="AS163" i="14"/>
  <c r="AS164" i="14"/>
  <c r="AS165" i="14"/>
  <c r="AS166" i="14"/>
  <c r="AS167" i="14"/>
  <c r="AS168" i="14"/>
  <c r="AS169" i="14"/>
  <c r="AS170" i="14"/>
  <c r="AS171" i="14"/>
  <c r="AS172" i="14"/>
  <c r="AS173" i="14"/>
  <c r="AS174" i="14"/>
  <c r="AS175" i="14"/>
  <c r="AS176" i="14"/>
  <c r="AS177" i="14"/>
  <c r="AS178" i="14"/>
  <c r="AS179" i="14"/>
  <c r="AS180" i="14"/>
  <c r="AS181" i="14"/>
  <c r="AS182" i="14"/>
  <c r="AS183" i="14"/>
  <c r="AS184" i="14"/>
  <c r="AS185" i="14"/>
  <c r="AS186" i="14"/>
  <c r="AS187" i="14"/>
  <c r="AS188" i="14"/>
  <c r="AS189" i="14"/>
  <c r="AS190" i="14"/>
  <c r="AS191" i="14"/>
  <c r="AS192" i="14"/>
  <c r="AS193" i="14"/>
  <c r="AS194" i="14"/>
  <c r="AS195" i="14"/>
  <c r="AS196" i="14"/>
  <c r="AS197" i="14"/>
  <c r="AS198" i="14"/>
  <c r="AS199" i="14"/>
  <c r="AS200" i="14"/>
  <c r="AS201" i="14"/>
  <c r="AF4" i="14"/>
  <c r="AF5" i="14"/>
  <c r="AF6" i="14"/>
  <c r="AF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2" i="14"/>
  <c r="AF53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2" i="14"/>
  <c r="AF73" i="14"/>
  <c r="AF74" i="14"/>
  <c r="AF75" i="14"/>
  <c r="AF76" i="14"/>
  <c r="AF77" i="14"/>
  <c r="AF78" i="14"/>
  <c r="AF79" i="14"/>
  <c r="AF80" i="14"/>
  <c r="AF81" i="14"/>
  <c r="AF82" i="14"/>
  <c r="AF83" i="14"/>
  <c r="AF84" i="14"/>
  <c r="AF85" i="14"/>
  <c r="AF86" i="14"/>
  <c r="AF87" i="14"/>
  <c r="AF88" i="14"/>
  <c r="AF89" i="14"/>
  <c r="AF90" i="14"/>
  <c r="AF91" i="14"/>
  <c r="AF92" i="14"/>
  <c r="AF93" i="14"/>
  <c r="AF94" i="14"/>
  <c r="AF95" i="14"/>
  <c r="AF96" i="14"/>
  <c r="AF97" i="14"/>
  <c r="AF98" i="14"/>
  <c r="AF99" i="14"/>
  <c r="AF100" i="14"/>
  <c r="AF101" i="14"/>
  <c r="AF102" i="14"/>
  <c r="AF103" i="14"/>
  <c r="AF104" i="14"/>
  <c r="AF105" i="14"/>
  <c r="AF106" i="14"/>
  <c r="AF107" i="14"/>
  <c r="AF108" i="14"/>
  <c r="AF109" i="14"/>
  <c r="AF110" i="14"/>
  <c r="AF111" i="14"/>
  <c r="AF112" i="14"/>
  <c r="AF113" i="14"/>
  <c r="AF114" i="14"/>
  <c r="AF115" i="14"/>
  <c r="AF116" i="14"/>
  <c r="AF117" i="14"/>
  <c r="AF118" i="14"/>
  <c r="AF119" i="14"/>
  <c r="AF120" i="14"/>
  <c r="AF121" i="14"/>
  <c r="AF122" i="14"/>
  <c r="AF123" i="14"/>
  <c r="AF124" i="14"/>
  <c r="AF125" i="14"/>
  <c r="AF126" i="14"/>
  <c r="AF127" i="14"/>
  <c r="AF128" i="14"/>
  <c r="AF129" i="14"/>
  <c r="AF130" i="14"/>
  <c r="AF131" i="14"/>
  <c r="AF132" i="14"/>
  <c r="AF133" i="14"/>
  <c r="AF134" i="14"/>
  <c r="AF135" i="14"/>
  <c r="AF136" i="14"/>
  <c r="AF137" i="14"/>
  <c r="AF138" i="14"/>
  <c r="AF139" i="14"/>
  <c r="AF140" i="14"/>
  <c r="AF141" i="14"/>
  <c r="AF142" i="14"/>
  <c r="AF143" i="14"/>
  <c r="AF144" i="14"/>
  <c r="AF145" i="14"/>
  <c r="AF146" i="14"/>
  <c r="AF147" i="14"/>
  <c r="AF148" i="14"/>
  <c r="AF149" i="14"/>
  <c r="AF150" i="14"/>
  <c r="AF151" i="14"/>
  <c r="AF152" i="14"/>
  <c r="AF153" i="14"/>
  <c r="AF154" i="14"/>
  <c r="AF155" i="14"/>
  <c r="AF156" i="14"/>
  <c r="AF157" i="14"/>
  <c r="AF158" i="14"/>
  <c r="AF159" i="14"/>
  <c r="AF160" i="14"/>
  <c r="AF161" i="14"/>
  <c r="AF162" i="14"/>
  <c r="AF163" i="14"/>
  <c r="AF164" i="14"/>
  <c r="AF165" i="14"/>
  <c r="AF166" i="14"/>
  <c r="AF167" i="14"/>
  <c r="AF168" i="14"/>
  <c r="AF169" i="14"/>
  <c r="AF170" i="14"/>
  <c r="AF171" i="14"/>
  <c r="AF172" i="14"/>
  <c r="AF173" i="14"/>
  <c r="AF174" i="14"/>
  <c r="AF175" i="14"/>
  <c r="AF176" i="14"/>
  <c r="AF177" i="14"/>
  <c r="AF178" i="14"/>
  <c r="AF179" i="14"/>
  <c r="AF180" i="14"/>
  <c r="AF181" i="14"/>
  <c r="AF182" i="14"/>
  <c r="AF183" i="14"/>
  <c r="AF184" i="14"/>
  <c r="AF185" i="14"/>
  <c r="AF186" i="14"/>
  <c r="AF187" i="14"/>
  <c r="AF188" i="14"/>
  <c r="AF189" i="14"/>
  <c r="AF190" i="14"/>
  <c r="AF191" i="14"/>
  <c r="AF192" i="14"/>
  <c r="AF193" i="14"/>
  <c r="AF194" i="14"/>
  <c r="AF195" i="14"/>
  <c r="AF196" i="14"/>
  <c r="AF197" i="14"/>
  <c r="AF198" i="14"/>
  <c r="AF199" i="14"/>
  <c r="AF200" i="14"/>
  <c r="AF201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4" i="14"/>
  <c r="Y85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46" i="14"/>
  <c r="Y147" i="14"/>
  <c r="Y148" i="14"/>
  <c r="Y149" i="14"/>
  <c r="Y150" i="14"/>
  <c r="Y151" i="14"/>
  <c r="Y152" i="14"/>
  <c r="Y153" i="14"/>
  <c r="Y154" i="14"/>
  <c r="Y155" i="14"/>
  <c r="Y156" i="14"/>
  <c r="Y157" i="14"/>
  <c r="Y158" i="14"/>
  <c r="Y159" i="14"/>
  <c r="Y160" i="14"/>
  <c r="Y161" i="14"/>
  <c r="Y162" i="14"/>
  <c r="Y163" i="14"/>
  <c r="Y164" i="14"/>
  <c r="Y165" i="14"/>
  <c r="Y166" i="14"/>
  <c r="Y167" i="14"/>
  <c r="Y168" i="14"/>
  <c r="Y169" i="14"/>
  <c r="Y170" i="14"/>
  <c r="Y171" i="14"/>
  <c r="Y172" i="14"/>
  <c r="Y173" i="14"/>
  <c r="Y174" i="14"/>
  <c r="Y175" i="14"/>
  <c r="Y176" i="14"/>
  <c r="Y177" i="14"/>
  <c r="Y178" i="14"/>
  <c r="Y179" i="14"/>
  <c r="Y180" i="14"/>
  <c r="Y181" i="14"/>
  <c r="Y182" i="14"/>
  <c r="Y183" i="14"/>
  <c r="Y184" i="14"/>
  <c r="Y185" i="14"/>
  <c r="Y186" i="14"/>
  <c r="Y187" i="14"/>
  <c r="Y188" i="14"/>
  <c r="Y189" i="14"/>
  <c r="Y190" i="14"/>
  <c r="Y191" i="14"/>
  <c r="Y192" i="14"/>
  <c r="Y193" i="14"/>
  <c r="Y194" i="14"/>
  <c r="Y195" i="14"/>
  <c r="Y196" i="14"/>
  <c r="Y197" i="14"/>
  <c r="Y198" i="14"/>
  <c r="Y199" i="14"/>
  <c r="Y200" i="14"/>
  <c r="Y201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R157" i="14"/>
  <c r="R158" i="14"/>
  <c r="R159" i="14"/>
  <c r="R160" i="14"/>
  <c r="R161" i="14"/>
  <c r="R162" i="14"/>
  <c r="R163" i="14"/>
  <c r="R164" i="14"/>
  <c r="R165" i="14"/>
  <c r="R166" i="14"/>
  <c r="R167" i="14"/>
  <c r="R168" i="14"/>
  <c r="R169" i="14"/>
  <c r="R170" i="14"/>
  <c r="R171" i="14"/>
  <c r="R172" i="14"/>
  <c r="R173" i="14"/>
  <c r="R174" i="14"/>
  <c r="R175" i="14"/>
  <c r="R176" i="14"/>
  <c r="R177" i="14"/>
  <c r="R178" i="14"/>
  <c r="R179" i="14"/>
  <c r="R180" i="14"/>
  <c r="R181" i="14"/>
  <c r="R182" i="14"/>
  <c r="R183" i="14"/>
  <c r="R184" i="14"/>
  <c r="R185" i="14"/>
  <c r="R186" i="14"/>
  <c r="R187" i="14"/>
  <c r="R188" i="14"/>
  <c r="R189" i="14"/>
  <c r="R190" i="14"/>
  <c r="R191" i="14"/>
  <c r="R192" i="14"/>
  <c r="R193" i="14"/>
  <c r="R194" i="14"/>
  <c r="R195" i="14"/>
  <c r="R196" i="14"/>
  <c r="R197" i="14"/>
  <c r="R198" i="14"/>
  <c r="R199" i="14"/>
  <c r="R200" i="14"/>
  <c r="R201" i="14"/>
  <c r="O155" i="2" l="1"/>
  <c r="O154" i="2"/>
  <c r="N26" i="2"/>
  <c r="CH4" i="13"/>
  <c r="CH5" i="13"/>
  <c r="CH6" i="13"/>
  <c r="CH7" i="13"/>
  <c r="CH8" i="13"/>
  <c r="CH9" i="13"/>
  <c r="CH10" i="13"/>
  <c r="CH11" i="13"/>
  <c r="CH12" i="13"/>
  <c r="CH13" i="13"/>
  <c r="CH14" i="13"/>
  <c r="CH15" i="13"/>
  <c r="CH16" i="13"/>
  <c r="CH17" i="13"/>
  <c r="CH18" i="13"/>
  <c r="CH19" i="13"/>
  <c r="CH20" i="13"/>
  <c r="CH21" i="13"/>
  <c r="CH22" i="13"/>
  <c r="CH23" i="13"/>
  <c r="CH24" i="13"/>
  <c r="CH25" i="13"/>
  <c r="CH26" i="13"/>
  <c r="CH27" i="13"/>
  <c r="CH28" i="13"/>
  <c r="CH29" i="13"/>
  <c r="CH30" i="13"/>
  <c r="CH31" i="13"/>
  <c r="CH32" i="13"/>
  <c r="CH33" i="13"/>
  <c r="CH34" i="13"/>
  <c r="CH35" i="13"/>
  <c r="CH36" i="13"/>
  <c r="CH37" i="13"/>
  <c r="CH38" i="13"/>
  <c r="CH39" i="13"/>
  <c r="CH40" i="13"/>
  <c r="CH41" i="13"/>
  <c r="CH42" i="13"/>
  <c r="CH43" i="13"/>
  <c r="CH44" i="13"/>
  <c r="CH45" i="13"/>
  <c r="CH46" i="13"/>
  <c r="CH47" i="13"/>
  <c r="CH48" i="13"/>
  <c r="CH49" i="13"/>
  <c r="CH50" i="13"/>
  <c r="CH51" i="13"/>
  <c r="CH52" i="13"/>
  <c r="CH53" i="13"/>
  <c r="CH54" i="13"/>
  <c r="CH55" i="13"/>
  <c r="CH56" i="13"/>
  <c r="CH57" i="13"/>
  <c r="CH58" i="13"/>
  <c r="CH59" i="13"/>
  <c r="CH60" i="13"/>
  <c r="CH61" i="13"/>
  <c r="CH62" i="13"/>
  <c r="CH63" i="13"/>
  <c r="CH64" i="13"/>
  <c r="CH65" i="13"/>
  <c r="CH66" i="13"/>
  <c r="CH67" i="13"/>
  <c r="CH68" i="13"/>
  <c r="CH69" i="13"/>
  <c r="CH70" i="13"/>
  <c r="CH71" i="13"/>
  <c r="CH72" i="13"/>
  <c r="CH73" i="13"/>
  <c r="CH74" i="13"/>
  <c r="CH75" i="13"/>
  <c r="CH76" i="13"/>
  <c r="CH77" i="13"/>
  <c r="CH78" i="13"/>
  <c r="CH79" i="13"/>
  <c r="CH80" i="13"/>
  <c r="CH81" i="13"/>
  <c r="CH82" i="13"/>
  <c r="CH83" i="13"/>
  <c r="CH84" i="13"/>
  <c r="CH85" i="13"/>
  <c r="CH86" i="13"/>
  <c r="CH87" i="13"/>
  <c r="CH88" i="13"/>
  <c r="CH89" i="13"/>
  <c r="CH90" i="13"/>
  <c r="CH91" i="13"/>
  <c r="CH92" i="13"/>
  <c r="CH93" i="13"/>
  <c r="CH94" i="13"/>
  <c r="CH95" i="13"/>
  <c r="CH96" i="13"/>
  <c r="CH97" i="13"/>
  <c r="CH98" i="13"/>
  <c r="CH99" i="13"/>
  <c r="CH100" i="13"/>
  <c r="CH101" i="13"/>
  <c r="CH102" i="13"/>
  <c r="CH103" i="13"/>
  <c r="CH104" i="13"/>
  <c r="CH105" i="13"/>
  <c r="CH106" i="13"/>
  <c r="CH107" i="13"/>
  <c r="CH108" i="13"/>
  <c r="CH109" i="13"/>
  <c r="CH110" i="13"/>
  <c r="CH111" i="13"/>
  <c r="CH112" i="13"/>
  <c r="CH113" i="13"/>
  <c r="CH114" i="13"/>
  <c r="CH115" i="13"/>
  <c r="CH116" i="13"/>
  <c r="CH117" i="13"/>
  <c r="CH118" i="13"/>
  <c r="CH119" i="13"/>
  <c r="CH120" i="13"/>
  <c r="CH121" i="13"/>
  <c r="CH122" i="13"/>
  <c r="CH123" i="13"/>
  <c r="CH124" i="13"/>
  <c r="CH125" i="13"/>
  <c r="CH126" i="13"/>
  <c r="CH127" i="13"/>
  <c r="CH128" i="13"/>
  <c r="CH129" i="13"/>
  <c r="CH130" i="13"/>
  <c r="CH131" i="13"/>
  <c r="CH132" i="13"/>
  <c r="CH133" i="13"/>
  <c r="CH134" i="13"/>
  <c r="CH135" i="13"/>
  <c r="CH136" i="13"/>
  <c r="CH137" i="13"/>
  <c r="CH138" i="13"/>
  <c r="CH139" i="13"/>
  <c r="CH140" i="13"/>
  <c r="CH141" i="13"/>
  <c r="CH142" i="13"/>
  <c r="CH143" i="13"/>
  <c r="CH144" i="13"/>
  <c r="CH145" i="13"/>
  <c r="CH146" i="13"/>
  <c r="CH147" i="13"/>
  <c r="CH148" i="13"/>
  <c r="CH149" i="13"/>
  <c r="CH150" i="13"/>
  <c r="CH151" i="13"/>
  <c r="CH152" i="13"/>
  <c r="CH153" i="13"/>
  <c r="CH154" i="13"/>
  <c r="CH155" i="13"/>
  <c r="CH156" i="13"/>
  <c r="CH157" i="13"/>
  <c r="CH158" i="13"/>
  <c r="CH159" i="13"/>
  <c r="CH160" i="13"/>
  <c r="CH161" i="13"/>
  <c r="CH162" i="13"/>
  <c r="CH163" i="13"/>
  <c r="CH164" i="13"/>
  <c r="CH165" i="13"/>
  <c r="CH166" i="13"/>
  <c r="CH167" i="13"/>
  <c r="CH168" i="13"/>
  <c r="CH169" i="13"/>
  <c r="CH170" i="13"/>
  <c r="CH171" i="13"/>
  <c r="CH172" i="13"/>
  <c r="CH173" i="13"/>
  <c r="CH174" i="13"/>
  <c r="CH175" i="13"/>
  <c r="CH176" i="13"/>
  <c r="CH177" i="13"/>
  <c r="CH178" i="13"/>
  <c r="CH179" i="13"/>
  <c r="CH180" i="13"/>
  <c r="CH181" i="13"/>
  <c r="CH182" i="13"/>
  <c r="CH183" i="13"/>
  <c r="CH184" i="13"/>
  <c r="CH185" i="13"/>
  <c r="CH186" i="13"/>
  <c r="CH187" i="13"/>
  <c r="CH188" i="13"/>
  <c r="CH189" i="13"/>
  <c r="CH190" i="13"/>
  <c r="CH191" i="13"/>
  <c r="CH192" i="13"/>
  <c r="CH193" i="13"/>
  <c r="CH194" i="13"/>
  <c r="CH195" i="13"/>
  <c r="CH196" i="13"/>
  <c r="CH197" i="13"/>
  <c r="CH198" i="13"/>
  <c r="CH199" i="13"/>
  <c r="CH200" i="13"/>
  <c r="CH201" i="13"/>
  <c r="CA4" i="13"/>
  <c r="CA5" i="13"/>
  <c r="CA6" i="13"/>
  <c r="CA7" i="13"/>
  <c r="CA8" i="13"/>
  <c r="CA9" i="13"/>
  <c r="CA10" i="13"/>
  <c r="CA11" i="13"/>
  <c r="CA12" i="13"/>
  <c r="CA13" i="13"/>
  <c r="CA14" i="13"/>
  <c r="CA15" i="13"/>
  <c r="CA16" i="13"/>
  <c r="CA17" i="13"/>
  <c r="CA18" i="13"/>
  <c r="CA19" i="13"/>
  <c r="CA20" i="13"/>
  <c r="CA21" i="13"/>
  <c r="CA22" i="13"/>
  <c r="CA23" i="13"/>
  <c r="CA24" i="13"/>
  <c r="CA25" i="13"/>
  <c r="CA26" i="13"/>
  <c r="CA27" i="13"/>
  <c r="CA28" i="13"/>
  <c r="CA29" i="13"/>
  <c r="CA30" i="13"/>
  <c r="CA31" i="13"/>
  <c r="CA32" i="13"/>
  <c r="CA33" i="13"/>
  <c r="CA34" i="13"/>
  <c r="CA35" i="13"/>
  <c r="CA36" i="13"/>
  <c r="CA37" i="13"/>
  <c r="CA38" i="13"/>
  <c r="CA39" i="13"/>
  <c r="CA40" i="13"/>
  <c r="CA41" i="13"/>
  <c r="CA42" i="13"/>
  <c r="CA43" i="13"/>
  <c r="CA44" i="13"/>
  <c r="CA45" i="13"/>
  <c r="CA46" i="13"/>
  <c r="CA47" i="13"/>
  <c r="CA48" i="13"/>
  <c r="CA49" i="13"/>
  <c r="CA50" i="13"/>
  <c r="CA51" i="13"/>
  <c r="CA52" i="13"/>
  <c r="CA53" i="13"/>
  <c r="CA54" i="13"/>
  <c r="CA55" i="13"/>
  <c r="CA56" i="13"/>
  <c r="CA57" i="13"/>
  <c r="CA58" i="13"/>
  <c r="CA59" i="13"/>
  <c r="CA60" i="13"/>
  <c r="CA61" i="13"/>
  <c r="CA62" i="13"/>
  <c r="CA63" i="13"/>
  <c r="CA64" i="13"/>
  <c r="CA65" i="13"/>
  <c r="CA66" i="13"/>
  <c r="CA67" i="13"/>
  <c r="CA68" i="13"/>
  <c r="CA69" i="13"/>
  <c r="CA70" i="13"/>
  <c r="CA71" i="13"/>
  <c r="CA72" i="13"/>
  <c r="CA73" i="13"/>
  <c r="CA74" i="13"/>
  <c r="CA75" i="13"/>
  <c r="CA76" i="13"/>
  <c r="CA77" i="13"/>
  <c r="CA78" i="13"/>
  <c r="CA79" i="13"/>
  <c r="CA80" i="13"/>
  <c r="CA81" i="13"/>
  <c r="CA82" i="13"/>
  <c r="CA83" i="13"/>
  <c r="CA84" i="13"/>
  <c r="CA85" i="13"/>
  <c r="CA86" i="13"/>
  <c r="CA87" i="13"/>
  <c r="CA88" i="13"/>
  <c r="CA89" i="13"/>
  <c r="CA90" i="13"/>
  <c r="CA91" i="13"/>
  <c r="CA92" i="13"/>
  <c r="CA93" i="13"/>
  <c r="CA94" i="13"/>
  <c r="CA95" i="13"/>
  <c r="CA96" i="13"/>
  <c r="CA97" i="13"/>
  <c r="CA98" i="13"/>
  <c r="CA99" i="13"/>
  <c r="CA100" i="13"/>
  <c r="CA101" i="13"/>
  <c r="CA102" i="13"/>
  <c r="CA103" i="13"/>
  <c r="CA104" i="13"/>
  <c r="CA105" i="13"/>
  <c r="CA106" i="13"/>
  <c r="CA107" i="13"/>
  <c r="CA108" i="13"/>
  <c r="CA109" i="13"/>
  <c r="CA110" i="13"/>
  <c r="CA111" i="13"/>
  <c r="CA112" i="13"/>
  <c r="CA113" i="13"/>
  <c r="CA114" i="13"/>
  <c r="CA115" i="13"/>
  <c r="CA116" i="13"/>
  <c r="CA117" i="13"/>
  <c r="CA118" i="13"/>
  <c r="CA119" i="13"/>
  <c r="CA120" i="13"/>
  <c r="CA121" i="13"/>
  <c r="CA122" i="13"/>
  <c r="CA123" i="13"/>
  <c r="CA124" i="13"/>
  <c r="CA125" i="13"/>
  <c r="CA126" i="13"/>
  <c r="CA127" i="13"/>
  <c r="CA128" i="13"/>
  <c r="CA129" i="13"/>
  <c r="CA130" i="13"/>
  <c r="CA131" i="13"/>
  <c r="CA132" i="13"/>
  <c r="CA133" i="13"/>
  <c r="CA134" i="13"/>
  <c r="CA135" i="13"/>
  <c r="CA136" i="13"/>
  <c r="CA137" i="13"/>
  <c r="CA138" i="13"/>
  <c r="CA139" i="13"/>
  <c r="CA140" i="13"/>
  <c r="CA141" i="13"/>
  <c r="CA142" i="13"/>
  <c r="CA143" i="13"/>
  <c r="CA144" i="13"/>
  <c r="CA145" i="13"/>
  <c r="CA146" i="13"/>
  <c r="CA147" i="13"/>
  <c r="CA148" i="13"/>
  <c r="CA149" i="13"/>
  <c r="CA150" i="13"/>
  <c r="CA151" i="13"/>
  <c r="CA152" i="13"/>
  <c r="CA153" i="13"/>
  <c r="CA154" i="13"/>
  <c r="CA155" i="13"/>
  <c r="CA156" i="13"/>
  <c r="CA157" i="13"/>
  <c r="CA158" i="13"/>
  <c r="CA159" i="13"/>
  <c r="CA160" i="13"/>
  <c r="CA161" i="13"/>
  <c r="CA162" i="13"/>
  <c r="CA163" i="13"/>
  <c r="CA164" i="13"/>
  <c r="CA165" i="13"/>
  <c r="CA166" i="13"/>
  <c r="CA167" i="13"/>
  <c r="CA168" i="13"/>
  <c r="CA169" i="13"/>
  <c r="CA170" i="13"/>
  <c r="CA171" i="13"/>
  <c r="CA172" i="13"/>
  <c r="CA173" i="13"/>
  <c r="CA174" i="13"/>
  <c r="CA175" i="13"/>
  <c r="CA176" i="13"/>
  <c r="CA177" i="13"/>
  <c r="CA178" i="13"/>
  <c r="CA179" i="13"/>
  <c r="CA180" i="13"/>
  <c r="CA181" i="13"/>
  <c r="CA182" i="13"/>
  <c r="CA183" i="13"/>
  <c r="CA184" i="13"/>
  <c r="CA185" i="13"/>
  <c r="CA186" i="13"/>
  <c r="CA187" i="13"/>
  <c r="CA188" i="13"/>
  <c r="CA189" i="13"/>
  <c r="CA190" i="13"/>
  <c r="CA191" i="13"/>
  <c r="CA192" i="13"/>
  <c r="CA193" i="13"/>
  <c r="CA194" i="13"/>
  <c r="CA195" i="13"/>
  <c r="CA196" i="13"/>
  <c r="CA197" i="13"/>
  <c r="CA198" i="13"/>
  <c r="CA199" i="13"/>
  <c r="CA200" i="13"/>
  <c r="CA201" i="13"/>
  <c r="BT4" i="13"/>
  <c r="BT5" i="13"/>
  <c r="BT6" i="13"/>
  <c r="BT7" i="13"/>
  <c r="BT8" i="13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27" i="13"/>
  <c r="BT28" i="13"/>
  <c r="BT29" i="13"/>
  <c r="BT30" i="13"/>
  <c r="BT31" i="13"/>
  <c r="BT32" i="13"/>
  <c r="BT33" i="13"/>
  <c r="BT34" i="13"/>
  <c r="BT35" i="13"/>
  <c r="BT36" i="13"/>
  <c r="BT37" i="13"/>
  <c r="BT38" i="13"/>
  <c r="BT39" i="13"/>
  <c r="BT40" i="13"/>
  <c r="BT41" i="13"/>
  <c r="BT42" i="13"/>
  <c r="BT43" i="13"/>
  <c r="BT44" i="13"/>
  <c r="BT45" i="13"/>
  <c r="BT46" i="13"/>
  <c r="BT47" i="13"/>
  <c r="BT48" i="13"/>
  <c r="BT49" i="13"/>
  <c r="BT50" i="13"/>
  <c r="BT51" i="13"/>
  <c r="BT52" i="13"/>
  <c r="BT53" i="13"/>
  <c r="BT54" i="13"/>
  <c r="BT55" i="13"/>
  <c r="BT56" i="13"/>
  <c r="BT57" i="13"/>
  <c r="BT58" i="13"/>
  <c r="BT59" i="13"/>
  <c r="BT60" i="13"/>
  <c r="BT61" i="13"/>
  <c r="BT62" i="13"/>
  <c r="BT63" i="13"/>
  <c r="BT64" i="13"/>
  <c r="BT65" i="13"/>
  <c r="BT66" i="13"/>
  <c r="BT67" i="13"/>
  <c r="BT68" i="13"/>
  <c r="BT69" i="13"/>
  <c r="BT70" i="13"/>
  <c r="BT71" i="13"/>
  <c r="BT72" i="13"/>
  <c r="BT73" i="13"/>
  <c r="BT74" i="13"/>
  <c r="BT75" i="13"/>
  <c r="BT76" i="13"/>
  <c r="BT77" i="13"/>
  <c r="BT78" i="13"/>
  <c r="BT79" i="13"/>
  <c r="BT80" i="13"/>
  <c r="BT81" i="13"/>
  <c r="BT82" i="13"/>
  <c r="BT83" i="13"/>
  <c r="BT84" i="13"/>
  <c r="BT85" i="13"/>
  <c r="BT86" i="13"/>
  <c r="BT87" i="13"/>
  <c r="BT88" i="13"/>
  <c r="BT89" i="13"/>
  <c r="BT90" i="13"/>
  <c r="BT91" i="13"/>
  <c r="BT92" i="13"/>
  <c r="BT93" i="13"/>
  <c r="BT94" i="13"/>
  <c r="BT95" i="13"/>
  <c r="BT96" i="13"/>
  <c r="BT97" i="13"/>
  <c r="BT98" i="13"/>
  <c r="BT99" i="13"/>
  <c r="BT100" i="13"/>
  <c r="BT101" i="13"/>
  <c r="BT102" i="13"/>
  <c r="BT103" i="13"/>
  <c r="BT104" i="13"/>
  <c r="BT105" i="13"/>
  <c r="BT106" i="13"/>
  <c r="BT107" i="13"/>
  <c r="BT108" i="13"/>
  <c r="BT109" i="13"/>
  <c r="BT110" i="13"/>
  <c r="BT111" i="13"/>
  <c r="BT112" i="13"/>
  <c r="BT113" i="13"/>
  <c r="BT114" i="13"/>
  <c r="BT115" i="13"/>
  <c r="BT116" i="13"/>
  <c r="BT117" i="13"/>
  <c r="BT118" i="13"/>
  <c r="BT119" i="13"/>
  <c r="BT120" i="13"/>
  <c r="BT121" i="13"/>
  <c r="BT122" i="13"/>
  <c r="BT123" i="13"/>
  <c r="BT124" i="13"/>
  <c r="BT125" i="13"/>
  <c r="BT126" i="13"/>
  <c r="BT127" i="13"/>
  <c r="BT128" i="13"/>
  <c r="BT129" i="13"/>
  <c r="BT130" i="13"/>
  <c r="BT131" i="13"/>
  <c r="BT132" i="13"/>
  <c r="BT133" i="13"/>
  <c r="BT134" i="13"/>
  <c r="BT135" i="13"/>
  <c r="BT136" i="13"/>
  <c r="BT137" i="13"/>
  <c r="BT138" i="13"/>
  <c r="BT139" i="13"/>
  <c r="BT140" i="13"/>
  <c r="BT141" i="13"/>
  <c r="BT142" i="13"/>
  <c r="BT143" i="13"/>
  <c r="BT144" i="13"/>
  <c r="BT145" i="13"/>
  <c r="BT146" i="13"/>
  <c r="BT147" i="13"/>
  <c r="BT148" i="13"/>
  <c r="BT149" i="13"/>
  <c r="BT150" i="13"/>
  <c r="BT151" i="13"/>
  <c r="BT152" i="13"/>
  <c r="BT153" i="13"/>
  <c r="BT154" i="13"/>
  <c r="BT155" i="13"/>
  <c r="BT156" i="13"/>
  <c r="BT157" i="13"/>
  <c r="BT158" i="13"/>
  <c r="BT159" i="13"/>
  <c r="BT160" i="13"/>
  <c r="BT161" i="13"/>
  <c r="BT162" i="13"/>
  <c r="BT163" i="13"/>
  <c r="BT164" i="13"/>
  <c r="BT165" i="13"/>
  <c r="BT166" i="13"/>
  <c r="BT167" i="13"/>
  <c r="BT168" i="13"/>
  <c r="BT169" i="13"/>
  <c r="BT170" i="13"/>
  <c r="BT171" i="13"/>
  <c r="BT172" i="13"/>
  <c r="BT173" i="13"/>
  <c r="BT174" i="13"/>
  <c r="BT175" i="13"/>
  <c r="BT176" i="13"/>
  <c r="BT177" i="13"/>
  <c r="BT178" i="13"/>
  <c r="BT179" i="13"/>
  <c r="BT180" i="13"/>
  <c r="BT181" i="13"/>
  <c r="BT182" i="13"/>
  <c r="BT183" i="13"/>
  <c r="BT184" i="13"/>
  <c r="BT185" i="13"/>
  <c r="BT186" i="13"/>
  <c r="BT187" i="13"/>
  <c r="BT188" i="13"/>
  <c r="BT189" i="13"/>
  <c r="BT190" i="13"/>
  <c r="BT191" i="13"/>
  <c r="BT192" i="13"/>
  <c r="BT193" i="13"/>
  <c r="BT194" i="13"/>
  <c r="BT195" i="13"/>
  <c r="BT196" i="13"/>
  <c r="BT197" i="13"/>
  <c r="BT198" i="13"/>
  <c r="BT199" i="13"/>
  <c r="BT200" i="13"/>
  <c r="BT201" i="13"/>
  <c r="BG4" i="13"/>
  <c r="BG5" i="13"/>
  <c r="BG6" i="13"/>
  <c r="BG7" i="13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99" i="13"/>
  <c r="BG100" i="13"/>
  <c r="BG101" i="13"/>
  <c r="BG102" i="13"/>
  <c r="BG103" i="13"/>
  <c r="BG104" i="13"/>
  <c r="BG105" i="13"/>
  <c r="BG106" i="13"/>
  <c r="BG107" i="13"/>
  <c r="BG108" i="13"/>
  <c r="BG109" i="13"/>
  <c r="BG110" i="13"/>
  <c r="BG111" i="13"/>
  <c r="BG112" i="13"/>
  <c r="BG113" i="13"/>
  <c r="BG114" i="13"/>
  <c r="BG115" i="13"/>
  <c r="BG116" i="13"/>
  <c r="BG117" i="13"/>
  <c r="BG118" i="13"/>
  <c r="BG119" i="13"/>
  <c r="BG120" i="13"/>
  <c r="BG121" i="13"/>
  <c r="BG122" i="13"/>
  <c r="BG123" i="13"/>
  <c r="BG124" i="13"/>
  <c r="BG125" i="13"/>
  <c r="BG126" i="13"/>
  <c r="BG127" i="13"/>
  <c r="BG128" i="13"/>
  <c r="BG129" i="13"/>
  <c r="BG130" i="13"/>
  <c r="BG131" i="13"/>
  <c r="BG132" i="13"/>
  <c r="BG133" i="13"/>
  <c r="BG134" i="13"/>
  <c r="BG135" i="13"/>
  <c r="BG136" i="13"/>
  <c r="BG137" i="13"/>
  <c r="BG138" i="13"/>
  <c r="BG139" i="13"/>
  <c r="BG140" i="13"/>
  <c r="BG141" i="13"/>
  <c r="BG142" i="13"/>
  <c r="BG143" i="13"/>
  <c r="BG144" i="13"/>
  <c r="BG145" i="13"/>
  <c r="BG146" i="13"/>
  <c r="BG147" i="13"/>
  <c r="BG148" i="13"/>
  <c r="BG149" i="13"/>
  <c r="BG150" i="13"/>
  <c r="BG151" i="13"/>
  <c r="BG152" i="13"/>
  <c r="BG153" i="13"/>
  <c r="BG154" i="13"/>
  <c r="BG155" i="13"/>
  <c r="BG156" i="13"/>
  <c r="BG157" i="13"/>
  <c r="BG158" i="13"/>
  <c r="BG159" i="13"/>
  <c r="BG160" i="13"/>
  <c r="BG161" i="13"/>
  <c r="BG162" i="13"/>
  <c r="BG163" i="13"/>
  <c r="BG164" i="13"/>
  <c r="BG165" i="13"/>
  <c r="BG166" i="13"/>
  <c r="BG167" i="13"/>
  <c r="BG168" i="13"/>
  <c r="BG169" i="13"/>
  <c r="BG170" i="13"/>
  <c r="BG171" i="13"/>
  <c r="BG172" i="13"/>
  <c r="BG173" i="13"/>
  <c r="BG174" i="13"/>
  <c r="BG175" i="13"/>
  <c r="BG176" i="13"/>
  <c r="BG177" i="13"/>
  <c r="BG178" i="13"/>
  <c r="BG179" i="13"/>
  <c r="BG180" i="13"/>
  <c r="BG181" i="13"/>
  <c r="BG182" i="13"/>
  <c r="BG183" i="13"/>
  <c r="BG184" i="13"/>
  <c r="BG185" i="13"/>
  <c r="BG186" i="13"/>
  <c r="BG187" i="13"/>
  <c r="BG188" i="13"/>
  <c r="BG189" i="13"/>
  <c r="BG190" i="13"/>
  <c r="BG191" i="13"/>
  <c r="BG192" i="13"/>
  <c r="BG193" i="13"/>
  <c r="BG194" i="13"/>
  <c r="BG195" i="13"/>
  <c r="BG196" i="13"/>
  <c r="BG197" i="13"/>
  <c r="BG198" i="13"/>
  <c r="BG199" i="13"/>
  <c r="BG200" i="13"/>
  <c r="BG201" i="13"/>
  <c r="AZ4" i="13"/>
  <c r="AZ5" i="13"/>
  <c r="AZ6" i="13"/>
  <c r="AZ7" i="13"/>
  <c r="AZ8" i="13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39" i="13"/>
  <c r="AZ40" i="13"/>
  <c r="AZ41" i="13"/>
  <c r="AZ42" i="13"/>
  <c r="AZ43" i="13"/>
  <c r="AZ44" i="13"/>
  <c r="AZ45" i="13"/>
  <c r="AZ46" i="13"/>
  <c r="AZ47" i="13"/>
  <c r="AZ48" i="13"/>
  <c r="AZ49" i="13"/>
  <c r="AZ50" i="13"/>
  <c r="AZ51" i="13"/>
  <c r="AZ52" i="13"/>
  <c r="AZ53" i="13"/>
  <c r="AZ54" i="13"/>
  <c r="AZ55" i="13"/>
  <c r="AZ56" i="13"/>
  <c r="AZ57" i="13"/>
  <c r="AZ58" i="13"/>
  <c r="AZ59" i="13"/>
  <c r="AZ60" i="13"/>
  <c r="AZ61" i="13"/>
  <c r="AZ62" i="13"/>
  <c r="AZ63" i="13"/>
  <c r="AZ64" i="13"/>
  <c r="AZ65" i="13"/>
  <c r="AZ66" i="13"/>
  <c r="AZ67" i="13"/>
  <c r="AZ68" i="13"/>
  <c r="AZ69" i="13"/>
  <c r="AZ70" i="13"/>
  <c r="AZ71" i="13"/>
  <c r="AZ72" i="13"/>
  <c r="AZ73" i="13"/>
  <c r="AZ74" i="13"/>
  <c r="AZ75" i="13"/>
  <c r="AZ76" i="13"/>
  <c r="AZ77" i="13"/>
  <c r="AZ78" i="13"/>
  <c r="AZ79" i="13"/>
  <c r="AZ80" i="13"/>
  <c r="AZ81" i="13"/>
  <c r="AZ82" i="13"/>
  <c r="AZ83" i="13"/>
  <c r="AZ84" i="13"/>
  <c r="AZ85" i="13"/>
  <c r="AZ86" i="13"/>
  <c r="AZ87" i="13"/>
  <c r="AZ88" i="13"/>
  <c r="AZ89" i="13"/>
  <c r="AZ90" i="13"/>
  <c r="AZ91" i="13"/>
  <c r="AZ92" i="13"/>
  <c r="AZ93" i="13"/>
  <c r="AZ94" i="13"/>
  <c r="AZ95" i="13"/>
  <c r="AZ96" i="13"/>
  <c r="AZ97" i="13"/>
  <c r="AZ98" i="13"/>
  <c r="AZ99" i="13"/>
  <c r="AZ100" i="13"/>
  <c r="AZ101" i="13"/>
  <c r="AZ102" i="13"/>
  <c r="AZ103" i="13"/>
  <c r="AZ104" i="13"/>
  <c r="AZ105" i="13"/>
  <c r="AZ106" i="13"/>
  <c r="AZ107" i="13"/>
  <c r="AZ108" i="13"/>
  <c r="AZ109" i="13"/>
  <c r="AZ110" i="13"/>
  <c r="AZ111" i="13"/>
  <c r="AZ112" i="13"/>
  <c r="AZ113" i="13"/>
  <c r="AZ114" i="13"/>
  <c r="AZ115" i="13"/>
  <c r="AZ116" i="13"/>
  <c r="AZ117" i="13"/>
  <c r="AZ118" i="13"/>
  <c r="AZ119" i="13"/>
  <c r="AZ120" i="13"/>
  <c r="AZ121" i="13"/>
  <c r="AZ122" i="13"/>
  <c r="AZ123" i="13"/>
  <c r="AZ124" i="13"/>
  <c r="AZ125" i="13"/>
  <c r="AZ126" i="13"/>
  <c r="AZ127" i="13"/>
  <c r="AZ128" i="13"/>
  <c r="AZ129" i="13"/>
  <c r="AZ130" i="13"/>
  <c r="AZ131" i="13"/>
  <c r="AZ132" i="13"/>
  <c r="AZ133" i="13"/>
  <c r="AZ134" i="13"/>
  <c r="AZ135" i="13"/>
  <c r="AZ136" i="13"/>
  <c r="AZ137" i="13"/>
  <c r="AZ138" i="13"/>
  <c r="AZ139" i="13"/>
  <c r="AZ140" i="13"/>
  <c r="AZ141" i="13"/>
  <c r="AZ142" i="13"/>
  <c r="AZ143" i="13"/>
  <c r="AZ144" i="13"/>
  <c r="AZ145" i="13"/>
  <c r="AZ146" i="13"/>
  <c r="AZ147" i="13"/>
  <c r="AZ148" i="13"/>
  <c r="AZ149" i="13"/>
  <c r="AZ150" i="13"/>
  <c r="AZ151" i="13"/>
  <c r="AZ152" i="13"/>
  <c r="AZ153" i="13"/>
  <c r="AZ154" i="13"/>
  <c r="AZ155" i="13"/>
  <c r="AZ156" i="13"/>
  <c r="AZ157" i="13"/>
  <c r="AZ158" i="13"/>
  <c r="AZ159" i="13"/>
  <c r="AZ160" i="13"/>
  <c r="AZ161" i="13"/>
  <c r="AZ162" i="13"/>
  <c r="AZ163" i="13"/>
  <c r="AZ164" i="13"/>
  <c r="AZ165" i="13"/>
  <c r="AZ166" i="13"/>
  <c r="AZ167" i="13"/>
  <c r="AZ168" i="13"/>
  <c r="AZ169" i="13"/>
  <c r="AZ170" i="13"/>
  <c r="AZ171" i="13"/>
  <c r="AZ172" i="13"/>
  <c r="AZ173" i="13"/>
  <c r="AZ174" i="13"/>
  <c r="AZ175" i="13"/>
  <c r="AZ176" i="13"/>
  <c r="AZ177" i="13"/>
  <c r="AZ178" i="13"/>
  <c r="AZ179" i="13"/>
  <c r="AZ180" i="13"/>
  <c r="AZ181" i="13"/>
  <c r="AZ182" i="13"/>
  <c r="AZ183" i="13"/>
  <c r="AZ184" i="13"/>
  <c r="AZ185" i="13"/>
  <c r="AZ186" i="13"/>
  <c r="AZ187" i="13"/>
  <c r="AZ188" i="13"/>
  <c r="AZ189" i="13"/>
  <c r="AZ190" i="13"/>
  <c r="AZ191" i="13"/>
  <c r="AZ192" i="13"/>
  <c r="AZ193" i="13"/>
  <c r="AZ194" i="13"/>
  <c r="AZ195" i="13"/>
  <c r="AZ196" i="13"/>
  <c r="AZ197" i="13"/>
  <c r="AZ198" i="13"/>
  <c r="AZ199" i="13"/>
  <c r="AZ200" i="13"/>
  <c r="AZ201" i="13"/>
  <c r="AS4" i="13"/>
  <c r="AS5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AS80" i="13"/>
  <c r="AS81" i="13"/>
  <c r="AS82" i="13"/>
  <c r="AS83" i="13"/>
  <c r="AS84" i="13"/>
  <c r="AS85" i="13"/>
  <c r="AS86" i="13"/>
  <c r="AS87" i="13"/>
  <c r="AS88" i="13"/>
  <c r="AS89" i="13"/>
  <c r="AS90" i="13"/>
  <c r="AS91" i="13"/>
  <c r="AS92" i="13"/>
  <c r="AS93" i="13"/>
  <c r="AS94" i="13"/>
  <c r="AS95" i="13"/>
  <c r="AS96" i="13"/>
  <c r="AS97" i="13"/>
  <c r="AS98" i="13"/>
  <c r="AS99" i="13"/>
  <c r="AS100" i="13"/>
  <c r="AS101" i="13"/>
  <c r="AS102" i="13"/>
  <c r="AS103" i="13"/>
  <c r="AS104" i="13"/>
  <c r="AS105" i="13"/>
  <c r="AS106" i="13"/>
  <c r="AS107" i="13"/>
  <c r="AS108" i="13"/>
  <c r="AS109" i="13"/>
  <c r="AS110" i="13"/>
  <c r="AS111" i="13"/>
  <c r="AS112" i="13"/>
  <c r="AS113" i="13"/>
  <c r="AS114" i="13"/>
  <c r="AS115" i="13"/>
  <c r="AS116" i="13"/>
  <c r="AS117" i="13"/>
  <c r="AS118" i="13"/>
  <c r="AS119" i="13"/>
  <c r="AS120" i="13"/>
  <c r="AS121" i="13"/>
  <c r="AS122" i="13"/>
  <c r="AS123" i="13"/>
  <c r="AS124" i="13"/>
  <c r="AS125" i="13"/>
  <c r="AS126" i="13"/>
  <c r="AS127" i="13"/>
  <c r="AS128" i="13"/>
  <c r="AS129" i="13"/>
  <c r="AS130" i="13"/>
  <c r="AS131" i="13"/>
  <c r="AS132" i="13"/>
  <c r="AS133" i="13"/>
  <c r="AS134" i="13"/>
  <c r="AS135" i="13"/>
  <c r="AS136" i="13"/>
  <c r="AS137" i="13"/>
  <c r="AS138" i="13"/>
  <c r="AS139" i="13"/>
  <c r="AS140" i="13"/>
  <c r="AS141" i="13"/>
  <c r="AS142" i="13"/>
  <c r="AS143" i="13"/>
  <c r="AS144" i="13"/>
  <c r="AS145" i="13"/>
  <c r="AS146" i="13"/>
  <c r="AS147" i="13"/>
  <c r="AS148" i="13"/>
  <c r="AS149" i="13"/>
  <c r="AS150" i="13"/>
  <c r="AS151" i="13"/>
  <c r="AS152" i="13"/>
  <c r="AS153" i="13"/>
  <c r="AS154" i="13"/>
  <c r="AS155" i="13"/>
  <c r="AS156" i="13"/>
  <c r="AS157" i="13"/>
  <c r="AS158" i="13"/>
  <c r="AS159" i="13"/>
  <c r="AS160" i="13"/>
  <c r="AS161" i="13"/>
  <c r="AS162" i="13"/>
  <c r="AS163" i="13"/>
  <c r="AS164" i="13"/>
  <c r="AS165" i="13"/>
  <c r="AS166" i="13"/>
  <c r="AS167" i="13"/>
  <c r="AS168" i="13"/>
  <c r="AS169" i="13"/>
  <c r="AS170" i="13"/>
  <c r="AS171" i="13"/>
  <c r="AS172" i="13"/>
  <c r="AS173" i="13"/>
  <c r="AS174" i="13"/>
  <c r="AS175" i="13"/>
  <c r="AS176" i="13"/>
  <c r="AS177" i="13"/>
  <c r="AS178" i="13"/>
  <c r="AS179" i="13"/>
  <c r="AS180" i="13"/>
  <c r="AS181" i="13"/>
  <c r="AS182" i="13"/>
  <c r="AS183" i="13"/>
  <c r="AS184" i="13"/>
  <c r="AS185" i="13"/>
  <c r="AS186" i="13"/>
  <c r="AS187" i="13"/>
  <c r="AS188" i="13"/>
  <c r="AS189" i="13"/>
  <c r="AS190" i="13"/>
  <c r="AS191" i="13"/>
  <c r="AS192" i="13"/>
  <c r="AS193" i="13"/>
  <c r="AS194" i="13"/>
  <c r="AS195" i="13"/>
  <c r="AS196" i="13"/>
  <c r="AS197" i="13"/>
  <c r="AS198" i="13"/>
  <c r="AS199" i="13"/>
  <c r="AS200" i="13"/>
  <c r="AS201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F81" i="13"/>
  <c r="AF82" i="13"/>
  <c r="AF83" i="13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100" i="13"/>
  <c r="AF101" i="13"/>
  <c r="AF102" i="13"/>
  <c r="AF103" i="13"/>
  <c r="AF104" i="13"/>
  <c r="AF105" i="13"/>
  <c r="AF106" i="13"/>
  <c r="AF107" i="13"/>
  <c r="AF108" i="13"/>
  <c r="AF109" i="13"/>
  <c r="AF110" i="13"/>
  <c r="AF111" i="13"/>
  <c r="AF112" i="13"/>
  <c r="AF113" i="13"/>
  <c r="AF114" i="13"/>
  <c r="AF115" i="13"/>
  <c r="AF116" i="13"/>
  <c r="AF117" i="13"/>
  <c r="AF118" i="13"/>
  <c r="AF119" i="13"/>
  <c r="AF120" i="13"/>
  <c r="AF121" i="13"/>
  <c r="AF122" i="13"/>
  <c r="AF123" i="13"/>
  <c r="AF124" i="13"/>
  <c r="AF125" i="13"/>
  <c r="AF126" i="13"/>
  <c r="AF127" i="13"/>
  <c r="AF128" i="13"/>
  <c r="AF129" i="13"/>
  <c r="AF130" i="13"/>
  <c r="AF131" i="13"/>
  <c r="AF132" i="13"/>
  <c r="AF133" i="13"/>
  <c r="AF134" i="13"/>
  <c r="AF135" i="13"/>
  <c r="AF136" i="13"/>
  <c r="AF137" i="13"/>
  <c r="AF138" i="13"/>
  <c r="AF139" i="13"/>
  <c r="AF140" i="13"/>
  <c r="AF141" i="13"/>
  <c r="AF142" i="13"/>
  <c r="AF143" i="13"/>
  <c r="AF144" i="13"/>
  <c r="AF145" i="13"/>
  <c r="AF146" i="13"/>
  <c r="AF147" i="13"/>
  <c r="AF148" i="13"/>
  <c r="AF149" i="13"/>
  <c r="AF150" i="13"/>
  <c r="AF151" i="13"/>
  <c r="AF152" i="13"/>
  <c r="AF153" i="13"/>
  <c r="AF154" i="13"/>
  <c r="AF155" i="13"/>
  <c r="AF156" i="13"/>
  <c r="AF157" i="13"/>
  <c r="AF158" i="13"/>
  <c r="AF159" i="13"/>
  <c r="AF160" i="13"/>
  <c r="AF161" i="13"/>
  <c r="AF162" i="13"/>
  <c r="AF163" i="13"/>
  <c r="AF164" i="13"/>
  <c r="AF165" i="13"/>
  <c r="AF166" i="13"/>
  <c r="AF167" i="13"/>
  <c r="AF168" i="13"/>
  <c r="AF169" i="13"/>
  <c r="AF170" i="13"/>
  <c r="AF171" i="13"/>
  <c r="AF172" i="13"/>
  <c r="AF173" i="13"/>
  <c r="AF174" i="13"/>
  <c r="AF175" i="13"/>
  <c r="AF176" i="13"/>
  <c r="AF177" i="13"/>
  <c r="AF178" i="13"/>
  <c r="AF179" i="13"/>
  <c r="AF180" i="13"/>
  <c r="AF181" i="13"/>
  <c r="AF182" i="13"/>
  <c r="AF183" i="13"/>
  <c r="AF184" i="13"/>
  <c r="AF185" i="13"/>
  <c r="AF186" i="13"/>
  <c r="AF187" i="13"/>
  <c r="AF188" i="13"/>
  <c r="AF189" i="13"/>
  <c r="AF190" i="13"/>
  <c r="AF191" i="13"/>
  <c r="AF192" i="13"/>
  <c r="AF193" i="13"/>
  <c r="AF194" i="13"/>
  <c r="AF195" i="13"/>
  <c r="AF196" i="13"/>
  <c r="AF197" i="13"/>
  <c r="AF198" i="13"/>
  <c r="AF199" i="13"/>
  <c r="AF200" i="13"/>
  <c r="AF201" i="13"/>
  <c r="AF4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Y88" i="13"/>
  <c r="Y89" i="13"/>
  <c r="Y90" i="13"/>
  <c r="Y91" i="13"/>
  <c r="Y92" i="13"/>
  <c r="Y93" i="13"/>
  <c r="Y94" i="13"/>
  <c r="Y95" i="13"/>
  <c r="Y96" i="13"/>
  <c r="Y97" i="13"/>
  <c r="Y98" i="13"/>
  <c r="Y99" i="13"/>
  <c r="Y100" i="13"/>
  <c r="Y101" i="13"/>
  <c r="Y102" i="13"/>
  <c r="Y103" i="13"/>
  <c r="Y104" i="13"/>
  <c r="Y105" i="13"/>
  <c r="Y106" i="13"/>
  <c r="Y107" i="13"/>
  <c r="Y108" i="13"/>
  <c r="Y109" i="13"/>
  <c r="Y110" i="13"/>
  <c r="Y111" i="13"/>
  <c r="Y112" i="13"/>
  <c r="Y113" i="13"/>
  <c r="Y114" i="13"/>
  <c r="Y115" i="13"/>
  <c r="Y116" i="13"/>
  <c r="Y117" i="13"/>
  <c r="Y118" i="13"/>
  <c r="Y119" i="13"/>
  <c r="Y120" i="13"/>
  <c r="Y121" i="13"/>
  <c r="Y122" i="13"/>
  <c r="Y123" i="13"/>
  <c r="Y124" i="13"/>
  <c r="Y125" i="13"/>
  <c r="Y126" i="13"/>
  <c r="Y127" i="13"/>
  <c r="Y128" i="13"/>
  <c r="Y129" i="13"/>
  <c r="Y130" i="13"/>
  <c r="Y131" i="13"/>
  <c r="Y132" i="13"/>
  <c r="Y133" i="13"/>
  <c r="Y134" i="13"/>
  <c r="Y135" i="13"/>
  <c r="Y136" i="13"/>
  <c r="Y137" i="13"/>
  <c r="Y138" i="13"/>
  <c r="Y139" i="13"/>
  <c r="Y140" i="13"/>
  <c r="Y141" i="13"/>
  <c r="Y142" i="13"/>
  <c r="Y143" i="13"/>
  <c r="Y144" i="13"/>
  <c r="Y145" i="13"/>
  <c r="Y146" i="13"/>
  <c r="Y147" i="13"/>
  <c r="Y148" i="13"/>
  <c r="Y149" i="13"/>
  <c r="Y150" i="13"/>
  <c r="Y151" i="13"/>
  <c r="Y152" i="13"/>
  <c r="Y153" i="13"/>
  <c r="Y154" i="13"/>
  <c r="Y155" i="13"/>
  <c r="Y156" i="13"/>
  <c r="Y157" i="13"/>
  <c r="Y158" i="13"/>
  <c r="Y159" i="13"/>
  <c r="Y160" i="13"/>
  <c r="Y161" i="13"/>
  <c r="Y162" i="13"/>
  <c r="Y163" i="13"/>
  <c r="Y164" i="13"/>
  <c r="Y165" i="13"/>
  <c r="Y166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Y187" i="13"/>
  <c r="Y188" i="13"/>
  <c r="Y189" i="13"/>
  <c r="Y190" i="13"/>
  <c r="Y191" i="13"/>
  <c r="Y192" i="13"/>
  <c r="Y193" i="13"/>
  <c r="Y194" i="13"/>
  <c r="Y195" i="13"/>
  <c r="Y196" i="13"/>
  <c r="Y197" i="13"/>
  <c r="Y198" i="13"/>
  <c r="Y199" i="13"/>
  <c r="Y200" i="13"/>
  <c r="Y201" i="13"/>
  <c r="Y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3" i="13"/>
  <c r="R124" i="13"/>
  <c r="R125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52" i="13"/>
  <c r="R153" i="13"/>
  <c r="R154" i="13"/>
  <c r="R155" i="13"/>
  <c r="R156" i="13"/>
  <c r="R157" i="13"/>
  <c r="R158" i="13"/>
  <c r="R159" i="13"/>
  <c r="R160" i="13"/>
  <c r="R161" i="13"/>
  <c r="R162" i="13"/>
  <c r="R163" i="13"/>
  <c r="R164" i="13"/>
  <c r="R165" i="13"/>
  <c r="R166" i="13"/>
  <c r="R167" i="13"/>
  <c r="R168" i="13"/>
  <c r="R169" i="13"/>
  <c r="R170" i="13"/>
  <c r="R171" i="13"/>
  <c r="R172" i="13"/>
  <c r="R173" i="13"/>
  <c r="R174" i="13"/>
  <c r="R175" i="13"/>
  <c r="R176" i="13"/>
  <c r="R177" i="13"/>
  <c r="R178" i="13"/>
  <c r="R179" i="13"/>
  <c r="R180" i="13"/>
  <c r="R181" i="13"/>
  <c r="R182" i="13"/>
  <c r="R183" i="13"/>
  <c r="R184" i="13"/>
  <c r="R185" i="13"/>
  <c r="R186" i="13"/>
  <c r="R187" i="13"/>
  <c r="R188" i="13"/>
  <c r="R189" i="13"/>
  <c r="R190" i="13"/>
  <c r="R191" i="13"/>
  <c r="R192" i="13"/>
  <c r="R193" i="13"/>
  <c r="R194" i="13"/>
  <c r="R195" i="13"/>
  <c r="R196" i="13"/>
  <c r="R197" i="13"/>
  <c r="R198" i="13"/>
  <c r="R199" i="13"/>
  <c r="R200" i="13"/>
  <c r="R201" i="13"/>
  <c r="R4" i="13"/>
  <c r="CH4" i="12"/>
  <c r="CH5" i="12"/>
  <c r="CH6" i="12"/>
  <c r="CH7" i="12"/>
  <c r="CH8" i="12"/>
  <c r="CH9" i="12"/>
  <c r="CH10" i="12"/>
  <c r="CH11" i="12"/>
  <c r="CH12" i="12"/>
  <c r="CH13" i="12"/>
  <c r="CH14" i="12"/>
  <c r="CH15" i="12"/>
  <c r="CH16" i="12"/>
  <c r="CH17" i="12"/>
  <c r="CH18" i="12"/>
  <c r="CH19" i="12"/>
  <c r="CH20" i="12"/>
  <c r="CH21" i="12"/>
  <c r="CH22" i="12"/>
  <c r="CH23" i="12"/>
  <c r="CH24" i="12"/>
  <c r="CH25" i="12"/>
  <c r="CH26" i="12"/>
  <c r="CH27" i="12"/>
  <c r="CH28" i="12"/>
  <c r="CH29" i="12"/>
  <c r="CH30" i="12"/>
  <c r="CH31" i="12"/>
  <c r="CH32" i="12"/>
  <c r="CH33" i="12"/>
  <c r="CH34" i="12"/>
  <c r="CH35" i="12"/>
  <c r="CH36" i="12"/>
  <c r="CH37" i="12"/>
  <c r="CH38" i="12"/>
  <c r="CH39" i="12"/>
  <c r="CH40" i="12"/>
  <c r="CH41" i="12"/>
  <c r="CH42" i="12"/>
  <c r="CH43" i="12"/>
  <c r="CH44" i="12"/>
  <c r="CH45" i="12"/>
  <c r="CH46" i="12"/>
  <c r="CH47" i="12"/>
  <c r="CH48" i="12"/>
  <c r="CH49" i="12"/>
  <c r="CH50" i="12"/>
  <c r="CH51" i="12"/>
  <c r="CH52" i="12"/>
  <c r="CH53" i="12"/>
  <c r="CH54" i="12"/>
  <c r="CH55" i="12"/>
  <c r="CH56" i="12"/>
  <c r="CH57" i="12"/>
  <c r="CH58" i="12"/>
  <c r="CH59" i="12"/>
  <c r="CH60" i="12"/>
  <c r="CH61" i="12"/>
  <c r="CH62" i="12"/>
  <c r="CH63" i="12"/>
  <c r="CH64" i="12"/>
  <c r="CH65" i="12"/>
  <c r="CH66" i="12"/>
  <c r="CH67" i="12"/>
  <c r="CH68" i="12"/>
  <c r="CH69" i="12"/>
  <c r="CH70" i="12"/>
  <c r="CH71" i="12"/>
  <c r="CH72" i="12"/>
  <c r="CH73" i="12"/>
  <c r="CH74" i="12"/>
  <c r="CH75" i="12"/>
  <c r="CH76" i="12"/>
  <c r="CH77" i="12"/>
  <c r="CH78" i="12"/>
  <c r="CH79" i="12"/>
  <c r="CH80" i="12"/>
  <c r="CH81" i="12"/>
  <c r="CH82" i="12"/>
  <c r="CH83" i="12"/>
  <c r="CH84" i="12"/>
  <c r="CH85" i="12"/>
  <c r="CH86" i="12"/>
  <c r="CH87" i="12"/>
  <c r="CH88" i="12"/>
  <c r="CH89" i="12"/>
  <c r="CH90" i="12"/>
  <c r="CH91" i="12"/>
  <c r="CH92" i="12"/>
  <c r="CH93" i="12"/>
  <c r="CH94" i="12"/>
  <c r="CH95" i="12"/>
  <c r="CH96" i="12"/>
  <c r="CH97" i="12"/>
  <c r="CH98" i="12"/>
  <c r="CH99" i="12"/>
  <c r="CH100" i="12"/>
  <c r="CH101" i="12"/>
  <c r="CH102" i="12"/>
  <c r="CH103" i="12"/>
  <c r="CH104" i="12"/>
  <c r="CH105" i="12"/>
  <c r="CH106" i="12"/>
  <c r="CH107" i="12"/>
  <c r="CH108" i="12"/>
  <c r="CH109" i="12"/>
  <c r="CH110" i="12"/>
  <c r="CH111" i="12"/>
  <c r="CH112" i="12"/>
  <c r="CH113" i="12"/>
  <c r="CH114" i="12"/>
  <c r="CH115" i="12"/>
  <c r="CH116" i="12"/>
  <c r="CH117" i="12"/>
  <c r="CH118" i="12"/>
  <c r="CH119" i="12"/>
  <c r="CH120" i="12"/>
  <c r="CH121" i="12"/>
  <c r="CH122" i="12"/>
  <c r="CH123" i="12"/>
  <c r="CH124" i="12"/>
  <c r="CH125" i="12"/>
  <c r="CH126" i="12"/>
  <c r="CH127" i="12"/>
  <c r="CH128" i="12"/>
  <c r="CH129" i="12"/>
  <c r="CH130" i="12"/>
  <c r="CH131" i="12"/>
  <c r="CH132" i="12"/>
  <c r="CH133" i="12"/>
  <c r="CH134" i="12"/>
  <c r="CH135" i="12"/>
  <c r="CH136" i="12"/>
  <c r="CH137" i="12"/>
  <c r="CH138" i="12"/>
  <c r="CH139" i="12"/>
  <c r="CH140" i="12"/>
  <c r="CH141" i="12"/>
  <c r="CH142" i="12"/>
  <c r="CH143" i="12"/>
  <c r="CH144" i="12"/>
  <c r="CH145" i="12"/>
  <c r="CH146" i="12"/>
  <c r="CH147" i="12"/>
  <c r="CH148" i="12"/>
  <c r="CH149" i="12"/>
  <c r="CH150" i="12"/>
  <c r="CH151" i="12"/>
  <c r="CH152" i="12"/>
  <c r="CH153" i="12"/>
  <c r="CH154" i="12"/>
  <c r="CH155" i="12"/>
  <c r="CH156" i="12"/>
  <c r="CH157" i="12"/>
  <c r="CH158" i="12"/>
  <c r="CH159" i="12"/>
  <c r="CH160" i="12"/>
  <c r="CH161" i="12"/>
  <c r="CH162" i="12"/>
  <c r="CH163" i="12"/>
  <c r="CH164" i="12"/>
  <c r="CH165" i="12"/>
  <c r="CH166" i="12"/>
  <c r="CH167" i="12"/>
  <c r="CH168" i="12"/>
  <c r="CH169" i="12"/>
  <c r="CH170" i="12"/>
  <c r="CH171" i="12"/>
  <c r="CH172" i="12"/>
  <c r="CH173" i="12"/>
  <c r="CH174" i="12"/>
  <c r="CH175" i="12"/>
  <c r="CH176" i="12"/>
  <c r="CH177" i="12"/>
  <c r="CH178" i="12"/>
  <c r="CH179" i="12"/>
  <c r="CH180" i="12"/>
  <c r="CH181" i="12"/>
  <c r="CH182" i="12"/>
  <c r="CH183" i="12"/>
  <c r="CH184" i="12"/>
  <c r="CH185" i="12"/>
  <c r="CH186" i="12"/>
  <c r="CH187" i="12"/>
  <c r="CH188" i="12"/>
  <c r="CH189" i="12"/>
  <c r="CH190" i="12"/>
  <c r="CH191" i="12"/>
  <c r="CH192" i="12"/>
  <c r="CH193" i="12"/>
  <c r="CH194" i="12"/>
  <c r="CH195" i="12"/>
  <c r="CH196" i="12"/>
  <c r="CH197" i="12"/>
  <c r="CH198" i="12"/>
  <c r="CH199" i="12"/>
  <c r="CH200" i="12"/>
  <c r="CH201" i="12"/>
  <c r="CA4" i="12"/>
  <c r="CA5" i="12"/>
  <c r="CA6" i="12"/>
  <c r="CA7" i="12"/>
  <c r="CA8" i="12"/>
  <c r="CA9" i="12"/>
  <c r="CA10" i="12"/>
  <c r="CA11" i="12"/>
  <c r="CA12" i="12"/>
  <c r="CA13" i="12"/>
  <c r="CA14" i="12"/>
  <c r="CA15" i="12"/>
  <c r="CA16" i="12"/>
  <c r="CA17" i="12"/>
  <c r="CA18" i="12"/>
  <c r="CA19" i="12"/>
  <c r="CA20" i="12"/>
  <c r="CA21" i="12"/>
  <c r="CA22" i="12"/>
  <c r="CA23" i="12"/>
  <c r="CA24" i="12"/>
  <c r="CA25" i="12"/>
  <c r="CA26" i="12"/>
  <c r="CA27" i="12"/>
  <c r="CA28" i="12"/>
  <c r="CA29" i="12"/>
  <c r="CA30" i="12"/>
  <c r="CA31" i="12"/>
  <c r="CA32" i="12"/>
  <c r="CA33" i="12"/>
  <c r="CA34" i="12"/>
  <c r="CA35" i="12"/>
  <c r="CA36" i="12"/>
  <c r="CA37" i="12"/>
  <c r="CA38" i="12"/>
  <c r="CA39" i="12"/>
  <c r="CA40" i="12"/>
  <c r="CA41" i="12"/>
  <c r="CA42" i="12"/>
  <c r="CA43" i="12"/>
  <c r="CA44" i="12"/>
  <c r="CA45" i="12"/>
  <c r="CA46" i="12"/>
  <c r="CA47" i="12"/>
  <c r="CA48" i="12"/>
  <c r="CA49" i="12"/>
  <c r="CA50" i="12"/>
  <c r="CA51" i="12"/>
  <c r="CA52" i="12"/>
  <c r="CA53" i="12"/>
  <c r="CA54" i="12"/>
  <c r="CA55" i="12"/>
  <c r="CA56" i="12"/>
  <c r="CA57" i="12"/>
  <c r="CA58" i="12"/>
  <c r="CA59" i="12"/>
  <c r="CA60" i="12"/>
  <c r="CA61" i="12"/>
  <c r="CA62" i="12"/>
  <c r="CA63" i="12"/>
  <c r="CA64" i="12"/>
  <c r="CA65" i="12"/>
  <c r="CA66" i="12"/>
  <c r="CA67" i="12"/>
  <c r="CA68" i="12"/>
  <c r="CA69" i="12"/>
  <c r="CA70" i="12"/>
  <c r="CA71" i="12"/>
  <c r="CA72" i="12"/>
  <c r="CA73" i="12"/>
  <c r="CA74" i="12"/>
  <c r="CA75" i="12"/>
  <c r="CA76" i="12"/>
  <c r="CA77" i="12"/>
  <c r="CA78" i="12"/>
  <c r="CA79" i="12"/>
  <c r="CA80" i="12"/>
  <c r="CA81" i="12"/>
  <c r="CA82" i="12"/>
  <c r="CA83" i="12"/>
  <c r="CA84" i="12"/>
  <c r="CA85" i="12"/>
  <c r="CA86" i="12"/>
  <c r="CA87" i="12"/>
  <c r="CA88" i="12"/>
  <c r="CA89" i="12"/>
  <c r="CA90" i="12"/>
  <c r="CA91" i="12"/>
  <c r="CA92" i="12"/>
  <c r="CA93" i="12"/>
  <c r="CA94" i="12"/>
  <c r="CA95" i="12"/>
  <c r="CA96" i="12"/>
  <c r="CA97" i="12"/>
  <c r="CA98" i="12"/>
  <c r="CA99" i="12"/>
  <c r="CA100" i="12"/>
  <c r="CA101" i="12"/>
  <c r="CA102" i="12"/>
  <c r="CA103" i="12"/>
  <c r="CA104" i="12"/>
  <c r="CA105" i="12"/>
  <c r="CA106" i="12"/>
  <c r="CA107" i="12"/>
  <c r="CA108" i="12"/>
  <c r="CA109" i="12"/>
  <c r="CA110" i="12"/>
  <c r="CA111" i="12"/>
  <c r="CA112" i="12"/>
  <c r="CA113" i="12"/>
  <c r="CA114" i="12"/>
  <c r="CA115" i="12"/>
  <c r="CA116" i="12"/>
  <c r="CA117" i="12"/>
  <c r="CA118" i="12"/>
  <c r="CA119" i="12"/>
  <c r="CA120" i="12"/>
  <c r="CA121" i="12"/>
  <c r="CA122" i="12"/>
  <c r="CA123" i="12"/>
  <c r="CA124" i="12"/>
  <c r="CA125" i="12"/>
  <c r="CA126" i="12"/>
  <c r="CA127" i="12"/>
  <c r="CA128" i="12"/>
  <c r="CA129" i="12"/>
  <c r="CA130" i="12"/>
  <c r="CA131" i="12"/>
  <c r="CA132" i="12"/>
  <c r="CA133" i="12"/>
  <c r="CA134" i="12"/>
  <c r="CA135" i="12"/>
  <c r="CA136" i="12"/>
  <c r="CA137" i="12"/>
  <c r="CA138" i="12"/>
  <c r="CA139" i="12"/>
  <c r="CA140" i="12"/>
  <c r="CA141" i="12"/>
  <c r="CA142" i="12"/>
  <c r="CA143" i="12"/>
  <c r="CA144" i="12"/>
  <c r="CA145" i="12"/>
  <c r="CA146" i="12"/>
  <c r="CA147" i="12"/>
  <c r="CA148" i="12"/>
  <c r="CA149" i="12"/>
  <c r="CA150" i="12"/>
  <c r="CA151" i="12"/>
  <c r="CA152" i="12"/>
  <c r="CA153" i="12"/>
  <c r="CA154" i="12"/>
  <c r="CA155" i="12"/>
  <c r="CA156" i="12"/>
  <c r="CA157" i="12"/>
  <c r="CA158" i="12"/>
  <c r="CA159" i="12"/>
  <c r="CA160" i="12"/>
  <c r="CA161" i="12"/>
  <c r="CA162" i="12"/>
  <c r="CA163" i="12"/>
  <c r="CA164" i="12"/>
  <c r="CA165" i="12"/>
  <c r="CA166" i="12"/>
  <c r="CA167" i="12"/>
  <c r="CA168" i="12"/>
  <c r="CA169" i="12"/>
  <c r="CA170" i="12"/>
  <c r="CA171" i="12"/>
  <c r="CA172" i="12"/>
  <c r="CA173" i="12"/>
  <c r="CA174" i="12"/>
  <c r="CA175" i="12"/>
  <c r="CA176" i="12"/>
  <c r="CA177" i="12"/>
  <c r="CA178" i="12"/>
  <c r="CA179" i="12"/>
  <c r="CA180" i="12"/>
  <c r="CA181" i="12"/>
  <c r="CA182" i="12"/>
  <c r="CA183" i="12"/>
  <c r="CA184" i="12"/>
  <c r="CA185" i="12"/>
  <c r="CA186" i="12"/>
  <c r="CA187" i="12"/>
  <c r="CA188" i="12"/>
  <c r="CA189" i="12"/>
  <c r="CA190" i="12"/>
  <c r="CA191" i="12"/>
  <c r="CA192" i="12"/>
  <c r="CA193" i="12"/>
  <c r="CA194" i="12"/>
  <c r="CA195" i="12"/>
  <c r="CA196" i="12"/>
  <c r="CA197" i="12"/>
  <c r="CA198" i="12"/>
  <c r="CA199" i="12"/>
  <c r="CA200" i="12"/>
  <c r="CA201" i="12"/>
  <c r="BT4" i="12"/>
  <c r="BT5" i="12"/>
  <c r="BT6" i="12"/>
  <c r="BT7" i="12"/>
  <c r="BT8" i="12"/>
  <c r="BT9" i="12"/>
  <c r="BT10" i="12"/>
  <c r="BT11" i="12"/>
  <c r="BT12" i="12"/>
  <c r="BT13" i="12"/>
  <c r="BT14" i="12"/>
  <c r="BT15" i="12"/>
  <c r="BT16" i="12"/>
  <c r="BT17" i="12"/>
  <c r="BT18" i="12"/>
  <c r="BT19" i="12"/>
  <c r="BT20" i="12"/>
  <c r="BT21" i="12"/>
  <c r="BT22" i="12"/>
  <c r="BT23" i="12"/>
  <c r="BT24" i="12"/>
  <c r="BT25" i="12"/>
  <c r="BT26" i="12"/>
  <c r="BT27" i="12"/>
  <c r="BT28" i="12"/>
  <c r="BT29" i="12"/>
  <c r="BT30" i="12"/>
  <c r="BT31" i="12"/>
  <c r="BT32" i="12"/>
  <c r="BT33" i="12"/>
  <c r="BT34" i="12"/>
  <c r="BT35" i="12"/>
  <c r="BT36" i="12"/>
  <c r="BT37" i="12"/>
  <c r="BT38" i="12"/>
  <c r="BT39" i="12"/>
  <c r="BT40" i="12"/>
  <c r="BT41" i="12"/>
  <c r="BT42" i="12"/>
  <c r="BT43" i="12"/>
  <c r="BT44" i="12"/>
  <c r="BT45" i="12"/>
  <c r="BT46" i="12"/>
  <c r="BT47" i="12"/>
  <c r="BT48" i="12"/>
  <c r="BT49" i="12"/>
  <c r="BT50" i="12"/>
  <c r="BT51" i="12"/>
  <c r="BT52" i="12"/>
  <c r="BT53" i="12"/>
  <c r="BT54" i="12"/>
  <c r="BT55" i="12"/>
  <c r="BT56" i="12"/>
  <c r="BT57" i="12"/>
  <c r="BT58" i="12"/>
  <c r="BT59" i="12"/>
  <c r="BT60" i="12"/>
  <c r="BT61" i="12"/>
  <c r="BT62" i="12"/>
  <c r="BT63" i="12"/>
  <c r="BT64" i="12"/>
  <c r="BT65" i="12"/>
  <c r="BT66" i="12"/>
  <c r="BT67" i="12"/>
  <c r="BT68" i="12"/>
  <c r="BT69" i="12"/>
  <c r="BT70" i="12"/>
  <c r="BT71" i="12"/>
  <c r="BT72" i="12"/>
  <c r="BT73" i="12"/>
  <c r="BT74" i="12"/>
  <c r="BT75" i="12"/>
  <c r="BT76" i="12"/>
  <c r="BT77" i="12"/>
  <c r="BT78" i="12"/>
  <c r="BT79" i="12"/>
  <c r="BT80" i="12"/>
  <c r="BT81" i="12"/>
  <c r="BT82" i="12"/>
  <c r="BT83" i="12"/>
  <c r="BT84" i="12"/>
  <c r="BT85" i="12"/>
  <c r="BT86" i="12"/>
  <c r="BT87" i="12"/>
  <c r="BT88" i="12"/>
  <c r="BT89" i="12"/>
  <c r="BT90" i="12"/>
  <c r="BT91" i="12"/>
  <c r="BT92" i="12"/>
  <c r="BT93" i="12"/>
  <c r="BT94" i="12"/>
  <c r="BT95" i="12"/>
  <c r="BT96" i="12"/>
  <c r="BT97" i="12"/>
  <c r="BT98" i="12"/>
  <c r="BT99" i="12"/>
  <c r="BT100" i="12"/>
  <c r="BT101" i="12"/>
  <c r="BT102" i="12"/>
  <c r="BT103" i="12"/>
  <c r="BT104" i="12"/>
  <c r="BT105" i="12"/>
  <c r="BT106" i="12"/>
  <c r="BT107" i="12"/>
  <c r="BT108" i="12"/>
  <c r="BT109" i="12"/>
  <c r="BT110" i="12"/>
  <c r="BT111" i="12"/>
  <c r="BT112" i="12"/>
  <c r="BT113" i="12"/>
  <c r="BT114" i="12"/>
  <c r="BT115" i="12"/>
  <c r="BT116" i="12"/>
  <c r="BT117" i="12"/>
  <c r="BT118" i="12"/>
  <c r="BT119" i="12"/>
  <c r="BT120" i="12"/>
  <c r="BT121" i="12"/>
  <c r="BT122" i="12"/>
  <c r="BT123" i="12"/>
  <c r="BT124" i="12"/>
  <c r="BT125" i="12"/>
  <c r="BT126" i="12"/>
  <c r="BT127" i="12"/>
  <c r="BT128" i="12"/>
  <c r="BT129" i="12"/>
  <c r="BT130" i="12"/>
  <c r="BT131" i="12"/>
  <c r="BT132" i="12"/>
  <c r="BT133" i="12"/>
  <c r="BT134" i="12"/>
  <c r="BT135" i="12"/>
  <c r="BT136" i="12"/>
  <c r="BT137" i="12"/>
  <c r="BT138" i="12"/>
  <c r="BT139" i="12"/>
  <c r="BT140" i="12"/>
  <c r="BT141" i="12"/>
  <c r="BT142" i="12"/>
  <c r="BT143" i="12"/>
  <c r="BT144" i="12"/>
  <c r="BT145" i="12"/>
  <c r="BT146" i="12"/>
  <c r="BT147" i="12"/>
  <c r="BT148" i="12"/>
  <c r="BT149" i="12"/>
  <c r="BT150" i="12"/>
  <c r="BT151" i="12"/>
  <c r="BT152" i="12"/>
  <c r="BT153" i="12"/>
  <c r="BT154" i="12"/>
  <c r="BT155" i="12"/>
  <c r="BT156" i="12"/>
  <c r="BT157" i="12"/>
  <c r="BT158" i="12"/>
  <c r="BT159" i="12"/>
  <c r="BT160" i="12"/>
  <c r="BT161" i="12"/>
  <c r="BT162" i="12"/>
  <c r="BT163" i="12"/>
  <c r="BT164" i="12"/>
  <c r="BT165" i="12"/>
  <c r="BT166" i="12"/>
  <c r="BT167" i="12"/>
  <c r="BT168" i="12"/>
  <c r="BT169" i="12"/>
  <c r="BT170" i="12"/>
  <c r="BT171" i="12"/>
  <c r="BT172" i="12"/>
  <c r="BT173" i="12"/>
  <c r="BT174" i="12"/>
  <c r="BT175" i="12"/>
  <c r="BT176" i="12"/>
  <c r="BT177" i="12"/>
  <c r="BT178" i="12"/>
  <c r="BT179" i="12"/>
  <c r="BT180" i="12"/>
  <c r="BT181" i="12"/>
  <c r="BT182" i="12"/>
  <c r="BT183" i="12"/>
  <c r="BT184" i="12"/>
  <c r="BT185" i="12"/>
  <c r="BT186" i="12"/>
  <c r="BT187" i="12"/>
  <c r="BT188" i="12"/>
  <c r="BT189" i="12"/>
  <c r="BT190" i="12"/>
  <c r="BT191" i="12"/>
  <c r="BT192" i="12"/>
  <c r="BT193" i="12"/>
  <c r="BT194" i="12"/>
  <c r="BT195" i="12"/>
  <c r="BT196" i="12"/>
  <c r="BT197" i="12"/>
  <c r="BT198" i="12"/>
  <c r="BT199" i="12"/>
  <c r="BT200" i="12"/>
  <c r="BT201" i="12"/>
  <c r="BG4" i="12"/>
  <c r="BG5" i="12"/>
  <c r="BG6" i="12"/>
  <c r="BG7" i="12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99" i="12"/>
  <c r="BG100" i="12"/>
  <c r="BG101" i="12"/>
  <c r="BG102" i="12"/>
  <c r="BG103" i="12"/>
  <c r="BG104" i="12"/>
  <c r="BG105" i="12"/>
  <c r="BG106" i="12"/>
  <c r="BG107" i="12"/>
  <c r="BG108" i="12"/>
  <c r="BG109" i="12"/>
  <c r="BG110" i="12"/>
  <c r="BG111" i="12"/>
  <c r="BG112" i="12"/>
  <c r="BG113" i="12"/>
  <c r="BG114" i="12"/>
  <c r="BG115" i="12"/>
  <c r="BG116" i="12"/>
  <c r="BG117" i="12"/>
  <c r="BG118" i="12"/>
  <c r="BG119" i="12"/>
  <c r="BG120" i="12"/>
  <c r="BG121" i="12"/>
  <c r="BG122" i="12"/>
  <c r="BG123" i="12"/>
  <c r="BG124" i="12"/>
  <c r="BG125" i="12"/>
  <c r="BG126" i="12"/>
  <c r="BG127" i="12"/>
  <c r="BG128" i="12"/>
  <c r="BG129" i="12"/>
  <c r="BG130" i="12"/>
  <c r="BG131" i="12"/>
  <c r="BG132" i="12"/>
  <c r="BG133" i="12"/>
  <c r="BG134" i="12"/>
  <c r="BG135" i="12"/>
  <c r="BG136" i="12"/>
  <c r="BG137" i="12"/>
  <c r="BG138" i="12"/>
  <c r="BG139" i="12"/>
  <c r="BG140" i="12"/>
  <c r="BG141" i="12"/>
  <c r="BG142" i="12"/>
  <c r="BG143" i="12"/>
  <c r="BG144" i="12"/>
  <c r="BG145" i="12"/>
  <c r="BG146" i="12"/>
  <c r="BG147" i="12"/>
  <c r="BG148" i="12"/>
  <c r="BG149" i="12"/>
  <c r="BG150" i="12"/>
  <c r="BG151" i="12"/>
  <c r="BG152" i="12"/>
  <c r="BG153" i="12"/>
  <c r="BG154" i="12"/>
  <c r="BG155" i="12"/>
  <c r="BG156" i="12"/>
  <c r="BG157" i="12"/>
  <c r="BG158" i="12"/>
  <c r="BG159" i="12"/>
  <c r="BG160" i="12"/>
  <c r="BG161" i="12"/>
  <c r="BG162" i="12"/>
  <c r="BG163" i="12"/>
  <c r="BG164" i="12"/>
  <c r="BG165" i="12"/>
  <c r="BG166" i="12"/>
  <c r="BG167" i="12"/>
  <c r="BG168" i="12"/>
  <c r="BG169" i="12"/>
  <c r="BG170" i="12"/>
  <c r="BG171" i="12"/>
  <c r="BG172" i="12"/>
  <c r="BG173" i="12"/>
  <c r="BG174" i="12"/>
  <c r="BG175" i="12"/>
  <c r="BG176" i="12"/>
  <c r="BG177" i="12"/>
  <c r="BG178" i="12"/>
  <c r="BG179" i="12"/>
  <c r="BG180" i="12"/>
  <c r="BG181" i="12"/>
  <c r="BG182" i="12"/>
  <c r="BG183" i="12"/>
  <c r="BG184" i="12"/>
  <c r="BG185" i="12"/>
  <c r="BG186" i="12"/>
  <c r="BG187" i="12"/>
  <c r="BG188" i="12"/>
  <c r="BG189" i="12"/>
  <c r="BG190" i="12"/>
  <c r="BG191" i="12"/>
  <c r="BG192" i="12"/>
  <c r="BG193" i="12"/>
  <c r="BG194" i="12"/>
  <c r="BG195" i="12"/>
  <c r="BG196" i="12"/>
  <c r="BG197" i="12"/>
  <c r="BG198" i="12"/>
  <c r="BG199" i="12"/>
  <c r="BG200" i="12"/>
  <c r="BG201" i="12"/>
  <c r="AZ4" i="12"/>
  <c r="AZ5" i="12"/>
  <c r="AZ6" i="12"/>
  <c r="AZ7" i="12"/>
  <c r="AZ8" i="12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36" i="12"/>
  <c r="AZ37" i="12"/>
  <c r="AZ38" i="12"/>
  <c r="AZ39" i="12"/>
  <c r="AZ40" i="12"/>
  <c r="AZ41" i="12"/>
  <c r="AZ42" i="12"/>
  <c r="AZ43" i="12"/>
  <c r="AZ44" i="12"/>
  <c r="AZ45" i="12"/>
  <c r="AZ46" i="12"/>
  <c r="AZ47" i="12"/>
  <c r="AZ48" i="12"/>
  <c r="AZ49" i="12"/>
  <c r="AZ50" i="12"/>
  <c r="AZ51" i="12"/>
  <c r="AZ52" i="12"/>
  <c r="AZ53" i="12"/>
  <c r="AZ54" i="12"/>
  <c r="AZ55" i="12"/>
  <c r="AZ56" i="12"/>
  <c r="AZ57" i="12"/>
  <c r="AZ58" i="12"/>
  <c r="AZ59" i="12"/>
  <c r="AZ60" i="12"/>
  <c r="AZ61" i="12"/>
  <c r="AZ62" i="12"/>
  <c r="AZ63" i="12"/>
  <c r="AZ64" i="12"/>
  <c r="AZ65" i="12"/>
  <c r="AZ66" i="12"/>
  <c r="AZ67" i="12"/>
  <c r="AZ68" i="12"/>
  <c r="AZ69" i="12"/>
  <c r="AZ70" i="12"/>
  <c r="AZ71" i="12"/>
  <c r="AZ72" i="12"/>
  <c r="AZ73" i="12"/>
  <c r="AZ74" i="12"/>
  <c r="AZ75" i="12"/>
  <c r="AZ76" i="12"/>
  <c r="AZ77" i="12"/>
  <c r="AZ78" i="12"/>
  <c r="AZ79" i="12"/>
  <c r="AZ80" i="12"/>
  <c r="AZ81" i="12"/>
  <c r="AZ82" i="12"/>
  <c r="AZ83" i="12"/>
  <c r="AZ84" i="12"/>
  <c r="AZ85" i="12"/>
  <c r="AZ86" i="12"/>
  <c r="AZ87" i="12"/>
  <c r="AZ88" i="12"/>
  <c r="AZ89" i="12"/>
  <c r="AZ90" i="12"/>
  <c r="AZ91" i="12"/>
  <c r="AZ92" i="12"/>
  <c r="AZ93" i="12"/>
  <c r="AZ94" i="12"/>
  <c r="AZ95" i="12"/>
  <c r="AZ96" i="12"/>
  <c r="AZ97" i="12"/>
  <c r="AZ98" i="12"/>
  <c r="AZ99" i="12"/>
  <c r="AZ100" i="12"/>
  <c r="AZ101" i="12"/>
  <c r="AZ102" i="12"/>
  <c r="AZ103" i="12"/>
  <c r="AZ104" i="12"/>
  <c r="AZ105" i="12"/>
  <c r="AZ106" i="12"/>
  <c r="AZ107" i="12"/>
  <c r="AZ108" i="12"/>
  <c r="AZ109" i="12"/>
  <c r="AZ110" i="12"/>
  <c r="AZ111" i="12"/>
  <c r="AZ112" i="12"/>
  <c r="AZ113" i="12"/>
  <c r="AZ114" i="12"/>
  <c r="AZ115" i="12"/>
  <c r="AZ116" i="12"/>
  <c r="AZ117" i="12"/>
  <c r="AZ118" i="12"/>
  <c r="AZ119" i="12"/>
  <c r="AZ120" i="12"/>
  <c r="AZ121" i="12"/>
  <c r="AZ122" i="12"/>
  <c r="AZ123" i="12"/>
  <c r="AZ124" i="12"/>
  <c r="AZ125" i="12"/>
  <c r="AZ126" i="12"/>
  <c r="AZ127" i="12"/>
  <c r="AZ128" i="12"/>
  <c r="AZ129" i="12"/>
  <c r="AZ130" i="12"/>
  <c r="AZ131" i="12"/>
  <c r="AZ132" i="12"/>
  <c r="AZ133" i="12"/>
  <c r="AZ134" i="12"/>
  <c r="AZ135" i="12"/>
  <c r="AZ136" i="12"/>
  <c r="AZ137" i="12"/>
  <c r="AZ138" i="12"/>
  <c r="AZ139" i="12"/>
  <c r="AZ140" i="12"/>
  <c r="AZ141" i="12"/>
  <c r="AZ142" i="12"/>
  <c r="AZ143" i="12"/>
  <c r="AZ144" i="12"/>
  <c r="AZ145" i="12"/>
  <c r="AZ146" i="12"/>
  <c r="AZ147" i="12"/>
  <c r="AZ148" i="12"/>
  <c r="AZ149" i="12"/>
  <c r="AZ150" i="12"/>
  <c r="AZ151" i="12"/>
  <c r="AZ152" i="12"/>
  <c r="AZ153" i="12"/>
  <c r="AZ154" i="12"/>
  <c r="AZ155" i="12"/>
  <c r="AZ156" i="12"/>
  <c r="AZ157" i="12"/>
  <c r="AZ158" i="12"/>
  <c r="AZ159" i="12"/>
  <c r="AZ160" i="12"/>
  <c r="AZ161" i="12"/>
  <c r="AZ162" i="12"/>
  <c r="AZ163" i="12"/>
  <c r="AZ164" i="12"/>
  <c r="AZ165" i="12"/>
  <c r="AZ166" i="12"/>
  <c r="AZ167" i="12"/>
  <c r="AZ168" i="12"/>
  <c r="AZ169" i="12"/>
  <c r="AZ170" i="12"/>
  <c r="AZ171" i="12"/>
  <c r="AZ172" i="12"/>
  <c r="AZ173" i="12"/>
  <c r="AZ174" i="12"/>
  <c r="AZ175" i="12"/>
  <c r="AZ176" i="12"/>
  <c r="AZ177" i="12"/>
  <c r="AZ178" i="12"/>
  <c r="AZ179" i="12"/>
  <c r="AZ180" i="12"/>
  <c r="AZ181" i="12"/>
  <c r="AZ182" i="12"/>
  <c r="AZ183" i="12"/>
  <c r="AZ184" i="12"/>
  <c r="AZ185" i="12"/>
  <c r="AZ186" i="12"/>
  <c r="AZ187" i="12"/>
  <c r="AZ188" i="12"/>
  <c r="AZ189" i="12"/>
  <c r="AZ190" i="12"/>
  <c r="AZ191" i="12"/>
  <c r="AZ192" i="12"/>
  <c r="AZ193" i="12"/>
  <c r="AZ194" i="12"/>
  <c r="AZ195" i="12"/>
  <c r="AZ196" i="12"/>
  <c r="AZ197" i="12"/>
  <c r="AZ198" i="12"/>
  <c r="AZ199" i="12"/>
  <c r="AZ200" i="12"/>
  <c r="AZ201" i="12"/>
  <c r="AS4" i="12"/>
  <c r="AS5" i="12"/>
  <c r="AS6" i="12"/>
  <c r="AS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S48" i="12"/>
  <c r="AS49" i="12"/>
  <c r="AS50" i="12"/>
  <c r="AS51" i="12"/>
  <c r="AS52" i="12"/>
  <c r="AS53" i="12"/>
  <c r="AS54" i="12"/>
  <c r="AS55" i="12"/>
  <c r="AS56" i="12"/>
  <c r="AS57" i="12"/>
  <c r="AS58" i="12"/>
  <c r="AS59" i="12"/>
  <c r="AS60" i="12"/>
  <c r="AS61" i="12"/>
  <c r="AS62" i="12"/>
  <c r="AS63" i="12"/>
  <c r="AS64" i="12"/>
  <c r="AS65" i="12"/>
  <c r="AS66" i="12"/>
  <c r="AS67" i="12"/>
  <c r="AS68" i="12"/>
  <c r="AS69" i="12"/>
  <c r="AS70" i="12"/>
  <c r="AS71" i="12"/>
  <c r="AS72" i="12"/>
  <c r="AS73" i="12"/>
  <c r="AS74" i="12"/>
  <c r="AS75" i="12"/>
  <c r="AS76" i="12"/>
  <c r="AS77" i="12"/>
  <c r="AS78" i="12"/>
  <c r="AS79" i="12"/>
  <c r="AS80" i="12"/>
  <c r="AS81" i="12"/>
  <c r="AS82" i="12"/>
  <c r="AS83" i="12"/>
  <c r="AS84" i="12"/>
  <c r="AS85" i="12"/>
  <c r="AS86" i="12"/>
  <c r="AS87" i="12"/>
  <c r="AS88" i="12"/>
  <c r="AS89" i="12"/>
  <c r="AS90" i="12"/>
  <c r="AS91" i="12"/>
  <c r="AS92" i="12"/>
  <c r="AS93" i="12"/>
  <c r="AS94" i="12"/>
  <c r="AS95" i="12"/>
  <c r="AS96" i="12"/>
  <c r="AS97" i="12"/>
  <c r="AS98" i="12"/>
  <c r="AS99" i="12"/>
  <c r="AS100" i="12"/>
  <c r="AS101" i="12"/>
  <c r="AS102" i="12"/>
  <c r="AS103" i="12"/>
  <c r="AS104" i="12"/>
  <c r="AS105" i="12"/>
  <c r="AS106" i="12"/>
  <c r="AS107" i="12"/>
  <c r="AS108" i="12"/>
  <c r="AS109" i="12"/>
  <c r="AS110" i="12"/>
  <c r="AS111" i="12"/>
  <c r="AS112" i="12"/>
  <c r="AS113" i="12"/>
  <c r="AS114" i="12"/>
  <c r="AS115" i="12"/>
  <c r="AS116" i="12"/>
  <c r="AS117" i="12"/>
  <c r="AS118" i="12"/>
  <c r="AS119" i="12"/>
  <c r="AS120" i="12"/>
  <c r="AS121" i="12"/>
  <c r="AS122" i="12"/>
  <c r="AS123" i="12"/>
  <c r="AS124" i="12"/>
  <c r="AS125" i="12"/>
  <c r="AS126" i="12"/>
  <c r="AS127" i="12"/>
  <c r="AS128" i="12"/>
  <c r="AS129" i="12"/>
  <c r="AS130" i="12"/>
  <c r="AS131" i="12"/>
  <c r="AS132" i="12"/>
  <c r="AS133" i="12"/>
  <c r="AS134" i="12"/>
  <c r="AS135" i="12"/>
  <c r="AS136" i="12"/>
  <c r="AS137" i="12"/>
  <c r="AS138" i="12"/>
  <c r="AS139" i="12"/>
  <c r="AS140" i="12"/>
  <c r="AS141" i="12"/>
  <c r="AS142" i="12"/>
  <c r="AS143" i="12"/>
  <c r="AS144" i="12"/>
  <c r="AS145" i="12"/>
  <c r="AS146" i="12"/>
  <c r="AS147" i="12"/>
  <c r="AS148" i="12"/>
  <c r="AS149" i="12"/>
  <c r="AS150" i="12"/>
  <c r="AS151" i="12"/>
  <c r="AS152" i="12"/>
  <c r="AS153" i="12"/>
  <c r="AS154" i="12"/>
  <c r="AS155" i="12"/>
  <c r="AS156" i="12"/>
  <c r="AS157" i="12"/>
  <c r="AS158" i="12"/>
  <c r="AS159" i="12"/>
  <c r="AS160" i="12"/>
  <c r="AS161" i="12"/>
  <c r="AS162" i="12"/>
  <c r="AS163" i="12"/>
  <c r="AS164" i="12"/>
  <c r="AS165" i="12"/>
  <c r="AS166" i="12"/>
  <c r="AS167" i="12"/>
  <c r="AS168" i="12"/>
  <c r="AS169" i="12"/>
  <c r="AS170" i="12"/>
  <c r="AS171" i="12"/>
  <c r="AS172" i="12"/>
  <c r="AS173" i="12"/>
  <c r="AS174" i="12"/>
  <c r="AS175" i="12"/>
  <c r="AS176" i="12"/>
  <c r="AS177" i="12"/>
  <c r="AS178" i="12"/>
  <c r="AS179" i="12"/>
  <c r="AS180" i="12"/>
  <c r="AS181" i="12"/>
  <c r="AS182" i="12"/>
  <c r="AS183" i="12"/>
  <c r="AS184" i="12"/>
  <c r="AS185" i="12"/>
  <c r="AS186" i="12"/>
  <c r="AS187" i="12"/>
  <c r="AS188" i="12"/>
  <c r="AS189" i="12"/>
  <c r="AS190" i="12"/>
  <c r="AS191" i="12"/>
  <c r="AS192" i="12"/>
  <c r="AS193" i="12"/>
  <c r="AS194" i="12"/>
  <c r="AS195" i="12"/>
  <c r="AS196" i="12"/>
  <c r="AS197" i="12"/>
  <c r="AS198" i="12"/>
  <c r="AS199" i="12"/>
  <c r="AS200" i="12"/>
  <c r="AS201" i="12"/>
  <c r="AF4" i="12"/>
  <c r="AF5" i="12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71" i="12"/>
  <c r="AF72" i="12"/>
  <c r="AF73" i="12"/>
  <c r="AF74" i="12"/>
  <c r="AF75" i="12"/>
  <c r="AF76" i="12"/>
  <c r="AF77" i="12"/>
  <c r="AF78" i="12"/>
  <c r="AF79" i="12"/>
  <c r="AF80" i="12"/>
  <c r="AF81" i="12"/>
  <c r="AF82" i="12"/>
  <c r="AF83" i="12"/>
  <c r="AF84" i="12"/>
  <c r="AF85" i="12"/>
  <c r="AF86" i="12"/>
  <c r="AF87" i="12"/>
  <c r="AF88" i="12"/>
  <c r="AF89" i="12"/>
  <c r="AF90" i="12"/>
  <c r="AF91" i="12"/>
  <c r="AF92" i="12"/>
  <c r="AF93" i="12"/>
  <c r="AF94" i="12"/>
  <c r="AF95" i="12"/>
  <c r="AF96" i="12"/>
  <c r="AF97" i="12"/>
  <c r="AF98" i="12"/>
  <c r="AF99" i="12"/>
  <c r="AF100" i="12"/>
  <c r="AF101" i="12"/>
  <c r="AF102" i="12"/>
  <c r="AF103" i="12"/>
  <c r="AF104" i="12"/>
  <c r="AF105" i="12"/>
  <c r="AF106" i="12"/>
  <c r="AF107" i="12"/>
  <c r="AF108" i="12"/>
  <c r="AF109" i="12"/>
  <c r="AF110" i="12"/>
  <c r="AF111" i="12"/>
  <c r="AF112" i="12"/>
  <c r="AF113" i="12"/>
  <c r="AF114" i="12"/>
  <c r="AF115" i="12"/>
  <c r="AF116" i="12"/>
  <c r="AF117" i="12"/>
  <c r="AF118" i="12"/>
  <c r="AF119" i="12"/>
  <c r="AF120" i="12"/>
  <c r="AF121" i="12"/>
  <c r="AF122" i="12"/>
  <c r="AF123" i="12"/>
  <c r="AF124" i="12"/>
  <c r="AF125" i="12"/>
  <c r="AF126" i="12"/>
  <c r="AF127" i="12"/>
  <c r="AF128" i="12"/>
  <c r="AF129" i="12"/>
  <c r="AF130" i="12"/>
  <c r="AF131" i="12"/>
  <c r="AF132" i="12"/>
  <c r="AF133" i="12"/>
  <c r="AF134" i="12"/>
  <c r="AF135" i="12"/>
  <c r="AF136" i="12"/>
  <c r="AF137" i="12"/>
  <c r="AF138" i="12"/>
  <c r="AF139" i="12"/>
  <c r="AF140" i="12"/>
  <c r="AF141" i="12"/>
  <c r="AF142" i="12"/>
  <c r="AF143" i="12"/>
  <c r="AF144" i="12"/>
  <c r="AF145" i="12"/>
  <c r="AF146" i="12"/>
  <c r="AF147" i="12"/>
  <c r="AF148" i="12"/>
  <c r="AF149" i="12"/>
  <c r="AF150" i="12"/>
  <c r="AF151" i="12"/>
  <c r="AF152" i="12"/>
  <c r="AF153" i="12"/>
  <c r="AF154" i="12"/>
  <c r="AF155" i="12"/>
  <c r="AF156" i="12"/>
  <c r="AF157" i="12"/>
  <c r="AF158" i="12"/>
  <c r="AF159" i="12"/>
  <c r="AF160" i="12"/>
  <c r="AF161" i="12"/>
  <c r="AF162" i="12"/>
  <c r="AF163" i="12"/>
  <c r="AF164" i="12"/>
  <c r="AF165" i="12"/>
  <c r="AF166" i="12"/>
  <c r="AF167" i="12"/>
  <c r="AF168" i="12"/>
  <c r="AF169" i="12"/>
  <c r="AF170" i="12"/>
  <c r="AF171" i="12"/>
  <c r="AF172" i="12"/>
  <c r="AF173" i="12"/>
  <c r="AF174" i="12"/>
  <c r="AF175" i="12"/>
  <c r="AF176" i="12"/>
  <c r="AF177" i="12"/>
  <c r="AF178" i="12"/>
  <c r="AF179" i="12"/>
  <c r="AF180" i="12"/>
  <c r="AF181" i="12"/>
  <c r="AF182" i="12"/>
  <c r="AF183" i="12"/>
  <c r="AF184" i="12"/>
  <c r="AF185" i="12"/>
  <c r="AF186" i="12"/>
  <c r="AF187" i="12"/>
  <c r="AF188" i="12"/>
  <c r="AF189" i="12"/>
  <c r="AF190" i="12"/>
  <c r="AF191" i="12"/>
  <c r="AF192" i="12"/>
  <c r="AF193" i="12"/>
  <c r="AF194" i="12"/>
  <c r="AF195" i="12"/>
  <c r="AF196" i="12"/>
  <c r="AF197" i="12"/>
  <c r="AF198" i="12"/>
  <c r="AF199" i="12"/>
  <c r="AF200" i="12"/>
  <c r="AF201" i="12"/>
  <c r="Y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167" i="12"/>
  <c r="Y168" i="12"/>
  <c r="Y169" i="12"/>
  <c r="Y170" i="12"/>
  <c r="Y171" i="12"/>
  <c r="Y172" i="12"/>
  <c r="Y173" i="12"/>
  <c r="Y174" i="12"/>
  <c r="Y175" i="12"/>
  <c r="Y176" i="12"/>
  <c r="Y177" i="12"/>
  <c r="Y178" i="12"/>
  <c r="Y179" i="12"/>
  <c r="Y180" i="12"/>
  <c r="Y181" i="12"/>
  <c r="Y182" i="12"/>
  <c r="Y183" i="12"/>
  <c r="Y184" i="12"/>
  <c r="Y185" i="12"/>
  <c r="Y186" i="12"/>
  <c r="Y187" i="12"/>
  <c r="Y188" i="12"/>
  <c r="Y189" i="12"/>
  <c r="Y190" i="12"/>
  <c r="Y191" i="12"/>
  <c r="Y192" i="12"/>
  <c r="Y193" i="12"/>
  <c r="Y194" i="12"/>
  <c r="Y195" i="12"/>
  <c r="Y196" i="12"/>
  <c r="Y197" i="12"/>
  <c r="Y198" i="12"/>
  <c r="Y199" i="12"/>
  <c r="Y200" i="12"/>
  <c r="Y201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4" i="12"/>
  <c r="V14" i="2" l="1"/>
  <c r="V13" i="2"/>
  <c r="V12" i="2"/>
  <c r="V11" i="2"/>
  <c r="V10" i="2"/>
  <c r="V9" i="2"/>
  <c r="V8" i="2"/>
  <c r="V7" i="2"/>
  <c r="V6" i="2"/>
  <c r="V5" i="2"/>
  <c r="V4" i="2"/>
  <c r="V3" i="2"/>
  <c r="U14" i="2"/>
  <c r="U13" i="2"/>
  <c r="U12" i="2"/>
  <c r="U11" i="2"/>
  <c r="U10" i="2"/>
  <c r="U9" i="2"/>
  <c r="U8" i="2"/>
  <c r="U7" i="2"/>
  <c r="U6" i="2"/>
  <c r="U5" i="2"/>
  <c r="U4" i="2"/>
  <c r="U3" i="2"/>
  <c r="L22" i="2"/>
  <c r="B21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J29" i="2"/>
  <c r="K29" i="2"/>
  <c r="L29" i="2"/>
  <c r="M29" i="2"/>
  <c r="B29" i="2"/>
  <c r="V15" i="2" l="1"/>
  <c r="U15" i="2"/>
  <c r="N32" i="2"/>
  <c r="N29" i="2"/>
  <c r="C53" i="2"/>
  <c r="C52" i="2"/>
  <c r="C51" i="2"/>
  <c r="C50" i="2"/>
  <c r="C49" i="2"/>
  <c r="C48" i="2"/>
  <c r="C47" i="2"/>
  <c r="C46" i="2"/>
  <c r="C45" i="2"/>
  <c r="C44" i="2"/>
  <c r="C43" i="2"/>
  <c r="C42" i="2"/>
  <c r="B46" i="2"/>
  <c r="B53" i="2"/>
  <c r="B52" i="2"/>
  <c r="B51" i="2"/>
  <c r="B50" i="2"/>
  <c r="B49" i="2"/>
  <c r="B48" i="2"/>
  <c r="B47" i="2"/>
  <c r="B45" i="2"/>
  <c r="B44" i="2"/>
  <c r="B42" i="2"/>
  <c r="B43" i="2"/>
  <c r="I13" i="2"/>
  <c r="I12" i="2"/>
  <c r="I11" i="2"/>
  <c r="I10" i="2"/>
  <c r="I9" i="2"/>
  <c r="I8" i="2"/>
  <c r="I7" i="2"/>
  <c r="I6" i="2"/>
  <c r="I5" i="2"/>
  <c r="I4" i="2"/>
  <c r="I3" i="2"/>
  <c r="I2" i="2"/>
  <c r="G2" i="2"/>
  <c r="M22" i="2"/>
  <c r="M19" i="2"/>
  <c r="L19" i="2"/>
  <c r="K22" i="2"/>
  <c r="K19" i="2"/>
  <c r="J22" i="2"/>
  <c r="J19" i="2"/>
  <c r="I22" i="2"/>
  <c r="I19" i="2"/>
  <c r="H22" i="2"/>
  <c r="H19" i="2"/>
  <c r="G22" i="2"/>
  <c r="G19" i="2"/>
  <c r="F22" i="2"/>
  <c r="F19" i="2"/>
  <c r="E22" i="2"/>
  <c r="E19" i="2"/>
  <c r="D22" i="2"/>
  <c r="D19" i="2"/>
  <c r="C22" i="2"/>
  <c r="C19" i="2"/>
  <c r="B22" i="2"/>
  <c r="B19" i="2"/>
  <c r="N22" i="2" l="1"/>
  <c r="C54" i="2"/>
  <c r="B54" i="2"/>
  <c r="I14" i="2"/>
  <c r="C22" i="8"/>
  <c r="M36" i="2"/>
  <c r="M35" i="2"/>
  <c r="M34" i="2"/>
  <c r="M33" i="2"/>
  <c r="M28" i="2"/>
  <c r="M27" i="2"/>
  <c r="M24" i="2"/>
  <c r="M21" i="2"/>
  <c r="M20" i="2"/>
  <c r="L36" i="2"/>
  <c r="L35" i="2"/>
  <c r="L34" i="2"/>
  <c r="L33" i="2"/>
  <c r="L28" i="2"/>
  <c r="L27" i="2"/>
  <c r="L24" i="2"/>
  <c r="L21" i="2"/>
  <c r="L20" i="2"/>
  <c r="K36" i="2"/>
  <c r="K35" i="2"/>
  <c r="K34" i="2"/>
  <c r="K33" i="2"/>
  <c r="K28" i="2"/>
  <c r="K27" i="2"/>
  <c r="K24" i="2"/>
  <c r="K21" i="2"/>
  <c r="K20" i="2"/>
  <c r="J36" i="2"/>
  <c r="J35" i="2"/>
  <c r="J34" i="2"/>
  <c r="J33" i="2"/>
  <c r="J28" i="2"/>
  <c r="J27" i="2"/>
  <c r="J24" i="2"/>
  <c r="J21" i="2"/>
  <c r="J20" i="2"/>
  <c r="I36" i="2"/>
  <c r="I35" i="2"/>
  <c r="I34" i="2"/>
  <c r="I33" i="2"/>
  <c r="I28" i="2"/>
  <c r="I27" i="2"/>
  <c r="I24" i="2"/>
  <c r="I21" i="2"/>
  <c r="I20" i="2"/>
  <c r="H36" i="2"/>
  <c r="H35" i="2"/>
  <c r="H34" i="2"/>
  <c r="H33" i="2"/>
  <c r="H28" i="2"/>
  <c r="H27" i="2"/>
  <c r="H24" i="2"/>
  <c r="H21" i="2"/>
  <c r="H20" i="2"/>
  <c r="G36" i="2"/>
  <c r="G35" i="2"/>
  <c r="G34" i="2"/>
  <c r="G33" i="2"/>
  <c r="G28" i="2"/>
  <c r="G27" i="2"/>
  <c r="G24" i="2"/>
  <c r="G21" i="2"/>
  <c r="G20" i="2"/>
  <c r="F36" i="2"/>
  <c r="F35" i="2"/>
  <c r="F34" i="2"/>
  <c r="F33" i="2"/>
  <c r="F28" i="2"/>
  <c r="F27" i="2"/>
  <c r="F24" i="2"/>
  <c r="F21" i="2"/>
  <c r="F20" i="2"/>
  <c r="E36" i="2"/>
  <c r="E35" i="2"/>
  <c r="E34" i="2"/>
  <c r="E33" i="2"/>
  <c r="E28" i="2"/>
  <c r="E27" i="2"/>
  <c r="E24" i="2"/>
  <c r="E21" i="2"/>
  <c r="E20" i="2"/>
  <c r="D36" i="2"/>
  <c r="D35" i="2"/>
  <c r="D34" i="2"/>
  <c r="D33" i="2"/>
  <c r="D28" i="2"/>
  <c r="D27" i="2"/>
  <c r="D24" i="2"/>
  <c r="D21" i="2"/>
  <c r="D20" i="2"/>
  <c r="C36" i="2"/>
  <c r="C35" i="2"/>
  <c r="C34" i="2"/>
  <c r="C33" i="2"/>
  <c r="C28" i="2"/>
  <c r="C27" i="2"/>
  <c r="C24" i="2"/>
  <c r="C21" i="2"/>
  <c r="C20" i="2"/>
  <c r="B36" i="2"/>
  <c r="B35" i="2"/>
  <c r="B34" i="2"/>
  <c r="B33" i="2"/>
  <c r="B28" i="2"/>
  <c r="B27" i="2"/>
  <c r="B24" i="2"/>
  <c r="B20" i="2"/>
  <c r="N21" i="2" l="1"/>
  <c r="N28" i="2"/>
  <c r="N31" i="2"/>
  <c r="N35" i="2"/>
  <c r="N20" i="2"/>
  <c r="N27" i="2"/>
  <c r="N33" i="2"/>
  <c r="N36" i="2"/>
  <c r="N25" i="2"/>
  <c r="N24" i="2"/>
  <c r="N30" i="2"/>
  <c r="N34" i="2"/>
  <c r="N19" i="2"/>
  <c r="G13" i="2"/>
  <c r="G12" i="2"/>
  <c r="G11" i="2"/>
  <c r="G10" i="2"/>
  <c r="G9" i="2"/>
  <c r="G8" i="2"/>
  <c r="G7" i="2"/>
  <c r="G6" i="2"/>
  <c r="G5" i="2"/>
  <c r="G4" i="2"/>
  <c r="G3" i="2"/>
  <c r="E13" i="2"/>
  <c r="E12" i="2"/>
  <c r="E11" i="2"/>
  <c r="E10" i="2"/>
  <c r="E9" i="2"/>
  <c r="E8" i="2"/>
  <c r="E7" i="2"/>
  <c r="E6" i="2"/>
  <c r="E5" i="2"/>
  <c r="E4" i="2"/>
  <c r="E3" i="2"/>
  <c r="CM202" i="23"/>
  <c r="CM202" i="22"/>
  <c r="CM202" i="21"/>
  <c r="CM202" i="20"/>
  <c r="CM202" i="19"/>
  <c r="CM202" i="18"/>
  <c r="M143" i="2" s="1"/>
  <c r="CM202" i="17"/>
  <c r="CM202" i="16"/>
  <c r="M141" i="2" s="1"/>
  <c r="CM202" i="15"/>
  <c r="CM202" i="14"/>
  <c r="CM202" i="13"/>
  <c r="M148" i="2" l="1"/>
  <c r="L148" i="2"/>
  <c r="K148" i="2"/>
  <c r="K147" i="2"/>
  <c r="M147" i="2"/>
  <c r="L147" i="2"/>
  <c r="K146" i="2"/>
  <c r="L146" i="2"/>
  <c r="M146" i="2"/>
  <c r="K145" i="2"/>
  <c r="L145" i="2"/>
  <c r="M145" i="2"/>
  <c r="M144" i="2"/>
  <c r="L144" i="2"/>
  <c r="K144" i="2"/>
  <c r="L142" i="2"/>
  <c r="K142" i="2"/>
  <c r="M142" i="2"/>
  <c r="M140" i="2"/>
  <c r="K140" i="2"/>
  <c r="L140" i="2"/>
  <c r="M139" i="2"/>
  <c r="L139" i="2"/>
  <c r="K139" i="2"/>
  <c r="K138" i="2"/>
  <c r="L138" i="2"/>
  <c r="M138" i="2"/>
  <c r="K141" i="2"/>
  <c r="L141" i="2"/>
  <c r="L143" i="2"/>
  <c r="K143" i="2"/>
  <c r="Y89" i="2"/>
  <c r="Y87" i="2"/>
  <c r="Y90" i="2"/>
  <c r="Y86" i="2"/>
  <c r="Y88" i="2"/>
  <c r="AC89" i="2"/>
  <c r="AC87" i="2"/>
  <c r="AC88" i="2"/>
  <c r="AC90" i="2"/>
  <c r="AC86" i="2"/>
  <c r="X90" i="2"/>
  <c r="X86" i="2"/>
  <c r="X89" i="2"/>
  <c r="X88" i="2"/>
  <c r="X87" i="2"/>
  <c r="AB90" i="2"/>
  <c r="AB86" i="2"/>
  <c r="AB89" i="2"/>
  <c r="AB88" i="2"/>
  <c r="AB87" i="2"/>
  <c r="AF90" i="2"/>
  <c r="AF86" i="2"/>
  <c r="AF89" i="2"/>
  <c r="AF88" i="2"/>
  <c r="AF87" i="2"/>
  <c r="W86" i="2"/>
  <c r="W89" i="2"/>
  <c r="W90" i="2"/>
  <c r="W88" i="2"/>
  <c r="W87" i="2"/>
  <c r="AA87" i="2"/>
  <c r="AA86" i="2"/>
  <c r="AA89" i="2"/>
  <c r="AA90" i="2"/>
  <c r="AA88" i="2"/>
  <c r="AE87" i="2"/>
  <c r="AE90" i="2"/>
  <c r="AE89" i="2"/>
  <c r="AE86" i="2"/>
  <c r="AE88" i="2"/>
  <c r="Z88" i="2"/>
  <c r="Z90" i="2"/>
  <c r="Z86" i="2"/>
  <c r="Z87" i="2"/>
  <c r="Z89" i="2"/>
  <c r="AD88" i="2"/>
  <c r="AD87" i="2"/>
  <c r="AD90" i="2"/>
  <c r="AD86" i="2"/>
  <c r="AD89" i="2"/>
  <c r="V89" i="2"/>
  <c r="V88" i="2"/>
  <c r="V87" i="2"/>
  <c r="V90" i="2"/>
  <c r="V86" i="2"/>
  <c r="AA69" i="2"/>
  <c r="Y69" i="2"/>
  <c r="W69" i="2"/>
  <c r="U69" i="2"/>
  <c r="S69" i="2"/>
  <c r="Q69" i="2"/>
  <c r="O69" i="2"/>
  <c r="M69" i="2"/>
  <c r="K69" i="2"/>
  <c r="I69" i="2"/>
  <c r="G69" i="2"/>
  <c r="AB69" i="2"/>
  <c r="Z69" i="2"/>
  <c r="X69" i="2"/>
  <c r="V69" i="2"/>
  <c r="T69" i="2"/>
  <c r="R69" i="2"/>
  <c r="P69" i="2"/>
  <c r="N69" i="2"/>
  <c r="L69" i="2"/>
  <c r="J69" i="2"/>
  <c r="H69" i="2"/>
  <c r="AB68" i="2"/>
  <c r="Z68" i="2"/>
  <c r="X68" i="2"/>
  <c r="V68" i="2"/>
  <c r="T68" i="2"/>
  <c r="R68" i="2"/>
  <c r="P68" i="2"/>
  <c r="N68" i="2"/>
  <c r="L68" i="2"/>
  <c r="J68" i="2"/>
  <c r="H68" i="2"/>
  <c r="AA68" i="2"/>
  <c r="Y68" i="2"/>
  <c r="W68" i="2"/>
  <c r="U68" i="2"/>
  <c r="S68" i="2"/>
  <c r="Q68" i="2"/>
  <c r="O68" i="2"/>
  <c r="M68" i="2"/>
  <c r="K68" i="2"/>
  <c r="I68" i="2"/>
  <c r="AB76" i="2"/>
  <c r="Z76" i="2"/>
  <c r="X76" i="2"/>
  <c r="V76" i="2"/>
  <c r="T76" i="2"/>
  <c r="R76" i="2"/>
  <c r="P76" i="2"/>
  <c r="N76" i="2"/>
  <c r="L76" i="2"/>
  <c r="J76" i="2"/>
  <c r="H76" i="2"/>
  <c r="AA76" i="2"/>
  <c r="Y76" i="2"/>
  <c r="W76" i="2"/>
  <c r="U76" i="2"/>
  <c r="S76" i="2"/>
  <c r="Q76" i="2"/>
  <c r="O76" i="2"/>
  <c r="M76" i="2"/>
  <c r="K76" i="2"/>
  <c r="I76" i="2"/>
  <c r="G76" i="2"/>
  <c r="AB71" i="2"/>
  <c r="Z71" i="2"/>
  <c r="X71" i="2"/>
  <c r="V71" i="2"/>
  <c r="T71" i="2"/>
  <c r="R71" i="2"/>
  <c r="P71" i="2"/>
  <c r="N71" i="2"/>
  <c r="L71" i="2"/>
  <c r="J71" i="2"/>
  <c r="H71" i="2"/>
  <c r="AA71" i="2"/>
  <c r="Y71" i="2"/>
  <c r="W71" i="2"/>
  <c r="U71" i="2"/>
  <c r="S71" i="2"/>
  <c r="Q71" i="2"/>
  <c r="O71" i="2"/>
  <c r="M71" i="2"/>
  <c r="K71" i="2"/>
  <c r="I71" i="2"/>
  <c r="G71" i="2"/>
  <c r="AB66" i="2"/>
  <c r="Z66" i="2"/>
  <c r="X66" i="2"/>
  <c r="V66" i="2"/>
  <c r="T66" i="2"/>
  <c r="R66" i="2"/>
  <c r="P66" i="2"/>
  <c r="N66" i="2"/>
  <c r="L66" i="2"/>
  <c r="J66" i="2"/>
  <c r="H66" i="2"/>
  <c r="G66" i="2"/>
  <c r="AA66" i="2"/>
  <c r="Y66" i="2"/>
  <c r="W66" i="2"/>
  <c r="U66" i="2"/>
  <c r="S66" i="2"/>
  <c r="Q66" i="2"/>
  <c r="O66" i="2"/>
  <c r="M66" i="2"/>
  <c r="K66" i="2"/>
  <c r="I66" i="2"/>
  <c r="AA70" i="2"/>
  <c r="Y70" i="2"/>
  <c r="W70" i="2"/>
  <c r="U70" i="2"/>
  <c r="S70" i="2"/>
  <c r="Q70" i="2"/>
  <c r="O70" i="2"/>
  <c r="M70" i="2"/>
  <c r="K70" i="2"/>
  <c r="I70" i="2"/>
  <c r="G70" i="2"/>
  <c r="AB70" i="2"/>
  <c r="Z70" i="2"/>
  <c r="X70" i="2"/>
  <c r="V70" i="2"/>
  <c r="T70" i="2"/>
  <c r="R70" i="2"/>
  <c r="P70" i="2"/>
  <c r="N70" i="2"/>
  <c r="L70" i="2"/>
  <c r="J70" i="2"/>
  <c r="H70" i="2"/>
  <c r="H75" i="2"/>
  <c r="Y75" i="2"/>
  <c r="V75" i="2"/>
  <c r="S75" i="2"/>
  <c r="Q75" i="2"/>
  <c r="N75" i="2"/>
  <c r="K75" i="2"/>
  <c r="AB75" i="2"/>
  <c r="AA75" i="2"/>
  <c r="X75" i="2"/>
  <c r="U75" i="2"/>
  <c r="P75" i="2"/>
  <c r="L75" i="2"/>
  <c r="J75" i="2"/>
  <c r="G75" i="2"/>
  <c r="Z75" i="2"/>
  <c r="W75" i="2"/>
  <c r="T75" i="2"/>
  <c r="R75" i="2"/>
  <c r="O75" i="2"/>
  <c r="M75" i="2"/>
  <c r="I75" i="2"/>
  <c r="Z74" i="2"/>
  <c r="V74" i="2"/>
  <c r="R74" i="2"/>
  <c r="N74" i="2"/>
  <c r="J74" i="2"/>
  <c r="Y74" i="2"/>
  <c r="U74" i="2"/>
  <c r="Q74" i="2"/>
  <c r="M74" i="2"/>
  <c r="I74" i="2"/>
  <c r="H74" i="2"/>
  <c r="AB74" i="2"/>
  <c r="X74" i="2"/>
  <c r="T74" i="2"/>
  <c r="P74" i="2"/>
  <c r="L74" i="2"/>
  <c r="AA74" i="2"/>
  <c r="W74" i="2"/>
  <c r="S74" i="2"/>
  <c r="O74" i="2"/>
  <c r="K74" i="2"/>
  <c r="G74" i="2"/>
  <c r="Y73" i="2"/>
  <c r="W73" i="2"/>
  <c r="AA73" i="2"/>
  <c r="U73" i="2"/>
  <c r="S73" i="2"/>
  <c r="Q73" i="2"/>
  <c r="O73" i="2"/>
  <c r="M73" i="2"/>
  <c r="K73" i="2"/>
  <c r="H73" i="2"/>
  <c r="G73" i="2"/>
  <c r="V73" i="2"/>
  <c r="T73" i="2"/>
  <c r="P73" i="2"/>
  <c r="L73" i="2"/>
  <c r="AB73" i="2"/>
  <c r="Z73" i="2"/>
  <c r="X73" i="2"/>
  <c r="R73" i="2"/>
  <c r="N73" i="2"/>
  <c r="J73" i="2"/>
  <c r="I73" i="2"/>
  <c r="AB72" i="2"/>
  <c r="X72" i="2"/>
  <c r="T72" i="2"/>
  <c r="P72" i="2"/>
  <c r="L72" i="2"/>
  <c r="G72" i="2"/>
  <c r="Y72" i="2"/>
  <c r="U72" i="2"/>
  <c r="Q72" i="2"/>
  <c r="M72" i="2"/>
  <c r="I72" i="2"/>
  <c r="Z72" i="2"/>
  <c r="V72" i="2"/>
  <c r="R72" i="2"/>
  <c r="N72" i="2"/>
  <c r="J72" i="2"/>
  <c r="AA72" i="2"/>
  <c r="W72" i="2"/>
  <c r="S72" i="2"/>
  <c r="O72" i="2"/>
  <c r="K72" i="2"/>
  <c r="H72" i="2"/>
  <c r="Y67" i="2"/>
  <c r="U67" i="2"/>
  <c r="Q67" i="2"/>
  <c r="M67" i="2"/>
  <c r="I67" i="2"/>
  <c r="G67" i="2"/>
  <c r="AB67" i="2"/>
  <c r="X67" i="2"/>
  <c r="T67" i="2"/>
  <c r="P67" i="2"/>
  <c r="AA67" i="2"/>
  <c r="W67" i="2"/>
  <c r="S67" i="2"/>
  <c r="O67" i="2"/>
  <c r="K67" i="2"/>
  <c r="H67" i="2"/>
  <c r="Z67" i="2"/>
  <c r="V67" i="2"/>
  <c r="R67" i="2"/>
  <c r="N67" i="2"/>
  <c r="J67" i="2"/>
  <c r="L67" i="2"/>
  <c r="G68" i="2"/>
  <c r="N37" i="2"/>
  <c r="O26" i="2" s="1"/>
  <c r="B5" i="2"/>
  <c r="C6" i="3" s="1"/>
  <c r="G14" i="2"/>
  <c r="E2" i="2"/>
  <c r="E14" i="2" s="1"/>
  <c r="M7" i="2" s="1"/>
  <c r="B3" i="2"/>
  <c r="B4" i="2"/>
  <c r="C5" i="3" s="1"/>
  <c r="B6" i="2"/>
  <c r="C7" i="3" s="1"/>
  <c r="B7" i="2"/>
  <c r="C8" i="3" s="1"/>
  <c r="B8" i="2"/>
  <c r="C9" i="3" s="1"/>
  <c r="B9" i="2"/>
  <c r="C10" i="3" s="1"/>
  <c r="B10" i="2"/>
  <c r="C11" i="3" s="1"/>
  <c r="B11" i="2"/>
  <c r="C12" i="3" s="1"/>
  <c r="B12" i="2"/>
  <c r="C13" i="3" s="1"/>
  <c r="B13" i="2"/>
  <c r="C14" i="3" s="1"/>
  <c r="B2" i="2"/>
  <c r="O29" i="2" l="1"/>
  <c r="O32" i="2"/>
  <c r="O30" i="2"/>
  <c r="O22" i="2"/>
  <c r="O19" i="2"/>
  <c r="O24" i="2"/>
  <c r="O35" i="2"/>
  <c r="O25" i="2"/>
  <c r="O36" i="2"/>
  <c r="O33" i="2"/>
  <c r="O31" i="2"/>
  <c r="O21" i="2"/>
  <c r="O34" i="2"/>
  <c r="O28" i="2"/>
  <c r="O20" i="2"/>
  <c r="O27" i="2"/>
  <c r="C4" i="3"/>
  <c r="C3" i="3"/>
  <c r="B14" i="2"/>
  <c r="C15" i="3" l="1"/>
  <c r="M8" i="2"/>
  <c r="M9" i="2" s="1"/>
  <c r="M10" i="2" s="1"/>
  <c r="CM202" i="12"/>
  <c r="L137" i="2" l="1"/>
  <c r="L150" i="2" s="1"/>
  <c r="K137" i="2"/>
  <c r="K150" i="2" s="1"/>
  <c r="M137" i="2"/>
  <c r="M150" i="2" s="1"/>
  <c r="U87" i="2"/>
  <c r="G65" i="2"/>
  <c r="G77" i="2" s="1"/>
  <c r="M65" i="2"/>
  <c r="M77" i="2" s="1"/>
  <c r="R65" i="2"/>
  <c r="R77" i="2" s="1"/>
  <c r="W65" i="2"/>
  <c r="W77" i="2" s="1"/>
  <c r="AB65" i="2"/>
  <c r="AB77" i="2" s="1"/>
  <c r="U90" i="2"/>
  <c r="AH90" i="2" s="1"/>
  <c r="Y65" i="2"/>
  <c r="Y77" i="2" s="1"/>
  <c r="I65" i="2"/>
  <c r="I77" i="2" s="1"/>
  <c r="N65" i="2"/>
  <c r="N77" i="2" s="1"/>
  <c r="S65" i="2"/>
  <c r="S77" i="2" s="1"/>
  <c r="X65" i="2"/>
  <c r="X77" i="2" s="1"/>
  <c r="H65" i="2"/>
  <c r="H77" i="2" s="1"/>
  <c r="U86" i="2"/>
  <c r="AH86" i="2" s="1"/>
  <c r="U65" i="2"/>
  <c r="U77" i="2" s="1"/>
  <c r="Z65" i="2"/>
  <c r="Z77" i="2" s="1"/>
  <c r="J65" i="2"/>
  <c r="J77" i="2" s="1"/>
  <c r="O65" i="2"/>
  <c r="O77" i="2" s="1"/>
  <c r="T65" i="2"/>
  <c r="T77" i="2" s="1"/>
  <c r="L65" i="2"/>
  <c r="L77" i="2" s="1"/>
  <c r="U88" i="2"/>
  <c r="AH88" i="2" s="1"/>
  <c r="U89" i="2"/>
  <c r="AH89" i="2" s="1"/>
  <c r="Q65" i="2"/>
  <c r="Q77" i="2" s="1"/>
  <c r="V65" i="2"/>
  <c r="V77" i="2" s="1"/>
  <c r="AA65" i="2"/>
  <c r="AA77" i="2" s="1"/>
  <c r="K65" i="2"/>
  <c r="K77" i="2" s="1"/>
  <c r="P65" i="2"/>
  <c r="P77" i="2" s="1"/>
  <c r="AH87" i="2" l="1"/>
  <c r="V79" i="2"/>
  <c r="T79" i="2" l="1"/>
  <c r="Z79" i="2"/>
  <c r="P79" i="2"/>
  <c r="L79" i="2"/>
  <c r="Y79" i="2"/>
  <c r="J79" i="2"/>
  <c r="U79" i="2"/>
  <c r="I79" i="2"/>
  <c r="AB79" i="2"/>
  <c r="M79" i="2"/>
  <c r="R79" i="2"/>
  <c r="AA79" i="2"/>
  <c r="N79" i="2"/>
  <c r="W79" i="2"/>
  <c r="G79" i="2"/>
  <c r="S79" i="2"/>
  <c r="O79" i="2"/>
  <c r="H79" i="2"/>
  <c r="Q79" i="2"/>
  <c r="X79" i="2"/>
  <c r="K79" i="2"/>
</calcChain>
</file>

<file path=xl/sharedStrings.xml><?xml version="1.0" encoding="utf-8"?>
<sst xmlns="http://schemas.openxmlformats.org/spreadsheetml/2006/main" count="1944" uniqueCount="342">
  <si>
    <t>Patient Sex</t>
  </si>
  <si>
    <t>Reason for Visit</t>
  </si>
  <si>
    <t>Patient Prescribed Antibiotic</t>
  </si>
  <si>
    <t>Drug Class</t>
  </si>
  <si>
    <t>Date of Service</t>
  </si>
  <si>
    <t>Patient Medical Record Number</t>
  </si>
  <si>
    <t>Patient Species</t>
  </si>
  <si>
    <t>Total Number of Antibiotics Prescribed</t>
  </si>
  <si>
    <t>Drug Name</t>
  </si>
  <si>
    <t>Duration 
(in days)</t>
  </si>
  <si>
    <t>mm/dd/yyyy</t>
  </si>
  <si>
    <t>Free Text</t>
  </si>
  <si>
    <t>Canine</t>
  </si>
  <si>
    <t>Feline</t>
  </si>
  <si>
    <t>Male Intact</t>
  </si>
  <si>
    <t>Male Neutered</t>
  </si>
  <si>
    <t>Female Intact</t>
  </si>
  <si>
    <t>Female Spayed</t>
  </si>
  <si>
    <t>Preventive Care</t>
  </si>
  <si>
    <t>Re-check</t>
  </si>
  <si>
    <t>Sick</t>
  </si>
  <si>
    <t>Other</t>
  </si>
  <si>
    <t>Yes</t>
  </si>
  <si>
    <t>No</t>
  </si>
  <si>
    <t>Numerical value</t>
  </si>
  <si>
    <t>Amikacin</t>
  </si>
  <si>
    <t>Amoxicillin</t>
  </si>
  <si>
    <t>Ampicillin</t>
  </si>
  <si>
    <t>Azithromycin</t>
  </si>
  <si>
    <t>Cefadroxil</t>
  </si>
  <si>
    <t>Cefazolin</t>
  </si>
  <si>
    <t>Cefepime</t>
  </si>
  <si>
    <t>Cefotaxime</t>
  </si>
  <si>
    <t>Ceftazidime</t>
  </si>
  <si>
    <t>Ceftriaxone</t>
  </si>
  <si>
    <t>Cephalexin</t>
  </si>
  <si>
    <t>Chloramphenicol</t>
  </si>
  <si>
    <t>Clarithromycin</t>
  </si>
  <si>
    <t>Clindamycin</t>
  </si>
  <si>
    <t>Doxycycline</t>
  </si>
  <si>
    <t>Erythromycin</t>
  </si>
  <si>
    <t>Gentamicin</t>
  </si>
  <si>
    <t>Imipenem/Cilastatin</t>
  </si>
  <si>
    <t>Metronidazole</t>
  </si>
  <si>
    <t>Minocycline</t>
  </si>
  <si>
    <t>Nitrofurantoin</t>
  </si>
  <si>
    <t>Penicillin G</t>
  </si>
  <si>
    <t>Polymyxin B</t>
  </si>
  <si>
    <t>Rifampin</t>
  </si>
  <si>
    <t>Sulfamethoxazole/Trimethoprim</t>
  </si>
  <si>
    <t>Tetracycline</t>
  </si>
  <si>
    <t>Vancomycin</t>
  </si>
  <si>
    <t>Aminoglycosides</t>
  </si>
  <si>
    <t>Penicillins</t>
  </si>
  <si>
    <t>Macrolides</t>
  </si>
  <si>
    <t>Cephalosporins</t>
  </si>
  <si>
    <t>Phenicols</t>
  </si>
  <si>
    <t>Fluoroquinolones</t>
  </si>
  <si>
    <t>Lincosamides</t>
  </si>
  <si>
    <t>Polymyxins</t>
  </si>
  <si>
    <t>Glycopeptides</t>
  </si>
  <si>
    <t>Tetracyclines</t>
  </si>
  <si>
    <t>Nitroimidazoles</t>
  </si>
  <si>
    <t>Nitrofurans</t>
  </si>
  <si>
    <t>Unknown</t>
  </si>
  <si>
    <t>Frequency</t>
  </si>
  <si>
    <t>Numerical Value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</si>
  <si>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</si>
  <si>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</si>
  <si>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</si>
  <si>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</si>
  <si>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</si>
  <si>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</si>
  <si>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</si>
  <si>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</si>
  <si>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</si>
  <si>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</si>
  <si>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</si>
  <si>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</si>
  <si>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</si>
  <si>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Patients </t>
  </si>
  <si>
    <t>Patients Seen per Month</t>
  </si>
  <si>
    <t>Disease/Infection Type</t>
  </si>
  <si>
    <t>Disease Description</t>
  </si>
  <si>
    <t>Dose (in mg)</t>
  </si>
  <si>
    <t>Route</t>
  </si>
  <si>
    <t>Dermatologic Disease</t>
  </si>
  <si>
    <t>Acute</t>
  </si>
  <si>
    <t>SID</t>
  </si>
  <si>
    <t>PO</t>
  </si>
  <si>
    <t>Dental Disease</t>
  </si>
  <si>
    <t>Chronic</t>
  </si>
  <si>
    <t>BID</t>
  </si>
  <si>
    <t>SQ</t>
  </si>
  <si>
    <t>Recurrent</t>
  </si>
  <si>
    <t>TID</t>
  </si>
  <si>
    <t>IV</t>
  </si>
  <si>
    <t>Reproductive Disease</t>
  </si>
  <si>
    <t>Topical</t>
  </si>
  <si>
    <t>Peri-operative</t>
  </si>
  <si>
    <t>None</t>
  </si>
  <si>
    <t>Vector-borne Disease</t>
  </si>
  <si>
    <t>Gastrointestinal Disease</t>
  </si>
  <si>
    <t>PATIENT VISIT INFORMATION</t>
  </si>
  <si>
    <t>Disease 1 Antibiotic 1</t>
  </si>
  <si>
    <t>Disease 1  Antibiotic 2</t>
  </si>
  <si>
    <t>Disease 1  Antibiotic 3</t>
  </si>
  <si>
    <t>Disease 2 Antibiotic 1</t>
  </si>
  <si>
    <t>Disease 3  Antibiotic 3</t>
  </si>
  <si>
    <t>Disease 3 Antibiotic 1</t>
  </si>
  <si>
    <t>Disease 3  Antibiotic 2</t>
  </si>
  <si>
    <t>Patient Age</t>
  </si>
  <si>
    <t>Notes/Comments</t>
  </si>
  <si>
    <t>If Other Diseasee/Infection Type Explain</t>
  </si>
  <si>
    <t>Number of Antibiotics Prescribed for this Condition</t>
  </si>
  <si>
    <t>Diagnostics Offered for Infectious Condition</t>
  </si>
  <si>
    <t>Diagnostic Performed for Infectious Condition</t>
  </si>
  <si>
    <t>0-4 months</t>
  </si>
  <si>
    <t xml:space="preserve">Free Text </t>
  </si>
  <si>
    <t>B-lactam/B-lactamase inhibitor combination</t>
  </si>
  <si>
    <t>QID</t>
  </si>
  <si>
    <t>IM</t>
  </si>
  <si>
    <t>Once</t>
  </si>
  <si>
    <t>&gt;10 years</t>
  </si>
  <si>
    <t>Bacitracin</t>
  </si>
  <si>
    <t>Polypeptides</t>
  </si>
  <si>
    <t>N/A</t>
  </si>
  <si>
    <t>Ceftiofur sodium</t>
  </si>
  <si>
    <t>Ceftiofur crystalline free acid (long acting formulation)</t>
  </si>
  <si>
    <t>Chlortetracycline</t>
  </si>
  <si>
    <t>Enrofloxacin</t>
  </si>
  <si>
    <t>Lincomycin</t>
  </si>
  <si>
    <t>Neomycin</t>
  </si>
  <si>
    <t>Ofloxacin</t>
  </si>
  <si>
    <t>Oxytetracycline</t>
  </si>
  <si>
    <t>Oxytetracycline/Polymyxin B</t>
  </si>
  <si>
    <t>Tetracyclines/Polymyxins</t>
  </si>
  <si>
    <t>Penicillins/beta-lactamase inhibitor</t>
  </si>
  <si>
    <t>Pradofloxacin</t>
  </si>
  <si>
    <t>Silver Sulfadiazine (SSD)</t>
  </si>
  <si>
    <t>Sulfonamides</t>
  </si>
  <si>
    <t>Sulfadiazine/Trimethoprim</t>
  </si>
  <si>
    <t>Sulfonamides/Folate pathway inhibitors</t>
  </si>
  <si>
    <t>Sulfadimethoxine</t>
  </si>
  <si>
    <t>Sulfadimethoxine/Ormetoprim</t>
  </si>
  <si>
    <t>Sulfasalazine</t>
  </si>
  <si>
    <t>Tobramycin Sulfate</t>
  </si>
  <si>
    <t>Tulathromycin</t>
  </si>
  <si>
    <t>Tylosin</t>
  </si>
  <si>
    <t>Surgery/Procedure</t>
  </si>
  <si>
    <t>If Other Reason for Visit Explain</t>
  </si>
  <si>
    <t>Disease Informatiom</t>
  </si>
  <si>
    <t>Antibiotic Information</t>
  </si>
  <si>
    <t>Disease 1</t>
  </si>
  <si>
    <t>Disease 2</t>
  </si>
  <si>
    <t>Disease 2  Antibiotic 3</t>
  </si>
  <si>
    <t>Disease 3</t>
  </si>
  <si>
    <t>Drug Name2</t>
  </si>
  <si>
    <t>Drug Class3</t>
  </si>
  <si>
    <t>Dose (in mg)4</t>
  </si>
  <si>
    <t>Frequency5</t>
  </si>
  <si>
    <t>Route6</t>
  </si>
  <si>
    <t>Duration 
(in days)7</t>
  </si>
  <si>
    <t>Dose (in mg)2</t>
  </si>
  <si>
    <t>Drug Class2</t>
  </si>
  <si>
    <t>Frequency3</t>
  </si>
  <si>
    <t>Frequency2</t>
  </si>
  <si>
    <t>Route2</t>
  </si>
  <si>
    <t>Drug Name3</t>
  </si>
  <si>
    <t>Dose (in mg)3</t>
  </si>
  <si>
    <t>Route3</t>
  </si>
  <si>
    <t>Duration 
(in days)2</t>
  </si>
  <si>
    <t>Duration 
(in days)3</t>
  </si>
  <si>
    <t>Disease/Infection Type2</t>
  </si>
  <si>
    <t>Disease Description2</t>
  </si>
  <si>
    <t>Number of Antibiotics Prescribed for this Condition2</t>
  </si>
  <si>
    <t>Drug Name4</t>
  </si>
  <si>
    <t>Drug Class4</t>
  </si>
  <si>
    <t>Frequency4</t>
  </si>
  <si>
    <t>Route4</t>
  </si>
  <si>
    <t>Duration 
(in days)4</t>
  </si>
  <si>
    <t>Drug Name5</t>
  </si>
  <si>
    <t>Drug Class5</t>
  </si>
  <si>
    <t>Dose (in mg)5</t>
  </si>
  <si>
    <t>Route5</t>
  </si>
  <si>
    <t>Duration 
(in days)5</t>
  </si>
  <si>
    <t>Drug Name6</t>
  </si>
  <si>
    <t>Drug Class6</t>
  </si>
  <si>
    <t>Dose (in mg)6</t>
  </si>
  <si>
    <t>Frequency6</t>
  </si>
  <si>
    <t>Duration 
(in days)6</t>
  </si>
  <si>
    <t>Disease/Infection Type3</t>
  </si>
  <si>
    <t>Disease Description3</t>
  </si>
  <si>
    <t>Number of Antibiotics Prescribed for this Condition3</t>
  </si>
  <si>
    <t>Drug Name7</t>
  </si>
  <si>
    <t>Drug Class7</t>
  </si>
  <si>
    <t>Dose (in mg)7</t>
  </si>
  <si>
    <t>Frequency7</t>
  </si>
  <si>
    <t>Route7</t>
  </si>
  <si>
    <t>Drug Name8</t>
  </si>
  <si>
    <t>Drug Class8</t>
  </si>
  <si>
    <t>Dose (in mg)8</t>
  </si>
  <si>
    <t>Frequency8</t>
  </si>
  <si>
    <t>Route8</t>
  </si>
  <si>
    <t>Duration 
(in days)8</t>
  </si>
  <si>
    <t>Drug Name9</t>
  </si>
  <si>
    <t>Drug Class9</t>
  </si>
  <si>
    <t>Dose (in mg)9</t>
  </si>
  <si>
    <t>Frequency9</t>
  </si>
  <si>
    <t>Route9</t>
  </si>
  <si>
    <t>Duration 
(in days)9</t>
  </si>
  <si>
    <t xml:space="preserve">Number of Antibiotics Prescribed for this Condition </t>
  </si>
  <si>
    <t>Diagnostics Offered for Infectious Condition (Y/N)</t>
  </si>
  <si>
    <t>Diagnostic Performed for Infectious Condition (Y/N)</t>
  </si>
  <si>
    <t>Total Number of Antibiotics Prescribed for Patient</t>
  </si>
  <si>
    <t>If Other Disease/Infection Type Explain</t>
  </si>
  <si>
    <t>Disease 2 Antibiotic 2</t>
  </si>
  <si>
    <t>Attending Clinician</t>
  </si>
  <si>
    <t>Patient Prescribed Antibiotic (Y/N/WW)</t>
  </si>
  <si>
    <t xml:space="preserve">Location Filled </t>
  </si>
  <si>
    <t>Location Filled2</t>
  </si>
  <si>
    <t>Location Filled3</t>
  </si>
  <si>
    <t>If Other Disease/Infection Type Explain2</t>
  </si>
  <si>
    <t>Diagnostics Offered for Infectious Condition (Y/N)2</t>
  </si>
  <si>
    <t>Diagnostic Performed for Infectious Condition (Y/N)2</t>
  </si>
  <si>
    <t>Location Filled4</t>
  </si>
  <si>
    <t>Location Filled5</t>
  </si>
  <si>
    <t>Location Filled6</t>
  </si>
  <si>
    <t>Diagnostics Offered for Infectious Condition (Y/N)3</t>
  </si>
  <si>
    <t>Diagnostic Performed for Infectious Condition (Y/N)3</t>
  </si>
  <si>
    <t>Locatio  Filled7</t>
  </si>
  <si>
    <t>Location Filled8</t>
  </si>
  <si>
    <t>Location Filled9</t>
  </si>
  <si>
    <t>If Other Disease/Infection Type Explain3</t>
  </si>
  <si>
    <t>Patient Visit Information</t>
  </si>
  <si>
    <t>*Free text whole number up to 9*</t>
  </si>
  <si>
    <t>Location Filled</t>
  </si>
  <si>
    <t>In Clinic</t>
  </si>
  <si>
    <t xml:space="preserve"> </t>
  </si>
  <si>
    <t>Total</t>
  </si>
  <si>
    <t>Total Patients Seen</t>
  </si>
  <si>
    <t xml:space="preserve">December </t>
  </si>
  <si>
    <t xml:space="preserve">Total </t>
  </si>
  <si>
    <t>Total Patients Prescribed Antibiotics</t>
  </si>
  <si>
    <t>Total Patients Not Prescribed Antibiotics</t>
  </si>
  <si>
    <t>&gt;4-12 months</t>
  </si>
  <si>
    <t>&gt;1-3 years</t>
  </si>
  <si>
    <t>&gt;3-7 years</t>
  </si>
  <si>
    <t>&gt;7-10 years</t>
  </si>
  <si>
    <t>Leptospirosis</t>
  </si>
  <si>
    <t>Neurological Disease</t>
  </si>
  <si>
    <t>Ocular Disease</t>
  </si>
  <si>
    <t>Florfenicol</t>
  </si>
  <si>
    <t>Otic Florfenicol (Claro, Osurnia, etc.)</t>
  </si>
  <si>
    <t>Otic Gentamicin (Mometamax, Otomax, etc.)</t>
  </si>
  <si>
    <t>Otic Enrofloxacin (Baytril Otic, etc.)</t>
  </si>
  <si>
    <t>Otic Orbifloxacin (Posatex, etc.)</t>
  </si>
  <si>
    <t>Otic Neomycin (Animax, etc.)</t>
  </si>
  <si>
    <t xml:space="preserve">Antibiotics prescribed by Disease </t>
  </si>
  <si>
    <t>TOTAL</t>
  </si>
  <si>
    <t>Condition</t>
  </si>
  <si>
    <t xml:space="preserve">Percent </t>
  </si>
  <si>
    <t>Diagnostics Offered</t>
  </si>
  <si>
    <t>Otic Polymyxin B (Surolan, etc.)</t>
  </si>
  <si>
    <t>Ciprofloxacin (oral)</t>
  </si>
  <si>
    <t>Otic</t>
  </si>
  <si>
    <t>Ampicillin/Sulbactam (Unasyn)</t>
  </si>
  <si>
    <t>Amoxicillin/Clavulanic Acid (Clavamox, Augmentin)</t>
  </si>
  <si>
    <t>Cefovecin (Convenia)</t>
  </si>
  <si>
    <t xml:space="preserve">Cefpodoxime Proxetil </t>
  </si>
  <si>
    <t>Marbofloxacin (Zeniquin)</t>
  </si>
  <si>
    <t>Orbifloxacin (Orbax)</t>
  </si>
  <si>
    <t>Hepatic Disease</t>
  </si>
  <si>
    <t>External Pharmacy</t>
  </si>
  <si>
    <t>Watchful Waiting</t>
  </si>
  <si>
    <t>EOD</t>
  </si>
  <si>
    <t>Mupirocin (Bactroban)</t>
  </si>
  <si>
    <t>carboxylic acid </t>
  </si>
  <si>
    <t xml:space="preserve">Ophthalmic Antibiotic </t>
  </si>
  <si>
    <t>Ophthalmic</t>
  </si>
  <si>
    <t>Fosfomycin (Monurol)</t>
  </si>
  <si>
    <t>Fosfomycins</t>
  </si>
  <si>
    <t>Meropenem</t>
  </si>
  <si>
    <t>Carbapenems/dehydropeptidase inhibitors</t>
  </si>
  <si>
    <t>Carbapenems</t>
  </si>
  <si>
    <t>Tigecycline</t>
  </si>
  <si>
    <t>Glycylcyclines</t>
  </si>
  <si>
    <t>Piperacillin/Tazobactam (Zosyn)</t>
  </si>
  <si>
    <t>Linezolid</t>
  </si>
  <si>
    <t>Linezolid (Zyvox)</t>
  </si>
  <si>
    <t>Oxazolidinones</t>
  </si>
  <si>
    <t>Teicoplanin</t>
  </si>
  <si>
    <t>Colistin</t>
  </si>
  <si>
    <t>Total Patients Watchful Waiting</t>
  </si>
  <si>
    <t>Diagnostics Performed</t>
  </si>
  <si>
    <t>For patients prescribed antibiotics</t>
  </si>
  <si>
    <t>Drug Name Reference</t>
  </si>
  <si>
    <t>TOTAL:</t>
  </si>
  <si>
    <t>Percent</t>
  </si>
  <si>
    <t>Polymixin B</t>
  </si>
  <si>
    <t>Avoid Drugs</t>
  </si>
  <si>
    <t>Drugs</t>
  </si>
  <si>
    <t>Total Prescriptions</t>
  </si>
  <si>
    <t>Upper Urinary Tract Disease</t>
  </si>
  <si>
    <t>Lower Urinary Tract Disease</t>
  </si>
  <si>
    <t>Upper Respiratory Tract Disease</t>
  </si>
  <si>
    <t>Lower Respiratory Tract Disease</t>
  </si>
  <si>
    <t>Watchful Waiting By Disease</t>
  </si>
  <si>
    <t>Upper Respiratory</t>
  </si>
  <si>
    <t>First Generation</t>
  </si>
  <si>
    <t>Second Generation</t>
  </si>
  <si>
    <t xml:space="preserve">Third Generation </t>
  </si>
  <si>
    <t xml:space="preserve">Penicillin </t>
  </si>
  <si>
    <t>Fourth Generation</t>
  </si>
  <si>
    <t>Drug Use by Generation</t>
  </si>
  <si>
    <t>1st Generation</t>
  </si>
  <si>
    <t>2nd Generation</t>
  </si>
  <si>
    <t>3rd Generation</t>
  </si>
  <si>
    <t>Percentage of Patients Prescribed Antibiotics</t>
  </si>
  <si>
    <t>Otic Disease</t>
  </si>
  <si>
    <t>Euthanasia</t>
  </si>
  <si>
    <t>Percentage Dogs and Cats</t>
  </si>
  <si>
    <t>Total Patients</t>
  </si>
  <si>
    <t>Dental</t>
  </si>
  <si>
    <t>Dermatologic</t>
  </si>
  <si>
    <t xml:space="preserve">Gastrointestinal </t>
  </si>
  <si>
    <t>Hepatic</t>
  </si>
  <si>
    <t xml:space="preserve">Neurological </t>
  </si>
  <si>
    <t>Ocular</t>
  </si>
  <si>
    <t>Reproductive</t>
  </si>
  <si>
    <t xml:space="preserve">Upper Respiratory Tract </t>
  </si>
  <si>
    <t xml:space="preserve">Lower Respiratory Tract </t>
  </si>
  <si>
    <t xml:space="preserve">Upper Urinary Tract </t>
  </si>
  <si>
    <t xml:space="preserve">Lower Urinary Tract </t>
  </si>
  <si>
    <t xml:space="preserve">Vector-borne </t>
  </si>
  <si>
    <t>Otic Florfenicol (e.g. Claro, Osurnia)</t>
  </si>
  <si>
    <t>Otic Gentamicin (e.g. Mometamax, Otomax)</t>
  </si>
  <si>
    <t>Otic Enrofloxacin (e.g. Baytril Otic)</t>
  </si>
  <si>
    <t>Otic Orbifloxacin (e.g. Posatex)</t>
  </si>
  <si>
    <t>Otic Polymyxin B (e.g. Surolan)</t>
  </si>
  <si>
    <t>Otic Neomycin (e.g. Animax)</t>
  </si>
  <si>
    <t xml:space="preserve">Reason for Visit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</si>
</sst>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0" tint="-0.14999847407452621"/>
      <name val="Calibri"/>
      <family val="2"/>
    </font>
    <font>
      <sz val="11"/>
      <color theme="0" tint="-0.14999847407452621"/>
      <name val="Calibri"/>
      <family val="2"/>
    </font>
    <font>
      <b/>
      <sz val="11"/>
      <color theme="0" tint="-0.14999847407452621"/>
      <name val="Calibri"/>
      <family val="2"/>
    </font>
    <font>
      <b/>
      <sz val="16"/>
      <color theme="2" tint="-0.749992370372631"/>
      <name val="Calibri"/>
      <family val="2"/>
      <scheme val="minor"/>
    </font>
    <font>
      <sz val="14"/>
      <color rgb="FF222222"/>
      <name val="Calibri"/>
      <family val="2"/>
      <scheme val="minor"/>
    </font>
    <font>
      <sz val="12"/>
      <color theme="1"/>
      <name val="Calibri (Body)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921429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theme="9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5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0" borderId="8" xfId="0" applyFont="1" applyBorder="1"/>
    <xf numFmtId="0" fontId="0" fillId="0" borderId="0" xfId="0" applyAlignment="1">
      <alignment wrapText="1"/>
    </xf>
    <xf numFmtId="0" fontId="0" fillId="0" borderId="9" xfId="0" applyFont="1" applyFill="1" applyBorder="1"/>
    <xf numFmtId="0" fontId="17" fillId="0" borderId="0" xfId="0" applyFont="1"/>
    <xf numFmtId="0" fontId="0" fillId="0" borderId="0" xfId="0" applyFont="1"/>
    <xf numFmtId="0" fontId="18" fillId="0" borderId="0" xfId="0" applyFont="1"/>
    <xf numFmtId="2" fontId="1" fillId="0" borderId="0" xfId="0" applyNumberFormat="1" applyFont="1"/>
    <xf numFmtId="0" fontId="19" fillId="0" borderId="0" xfId="0" applyFont="1"/>
    <xf numFmtId="0" fontId="19" fillId="0" borderId="0" xfId="0" applyFont="1" applyAlignment="1">
      <alignment wrapText="1"/>
    </xf>
    <xf numFmtId="0" fontId="0" fillId="0" borderId="6" xfId="0" applyBorder="1" applyProtection="1"/>
    <xf numFmtId="0" fontId="0" fillId="0" borderId="0" xfId="0" applyProtection="1"/>
    <xf numFmtId="0" fontId="6" fillId="15" borderId="8" xfId="0" applyFont="1" applyFill="1" applyBorder="1"/>
    <xf numFmtId="0" fontId="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2" fontId="0" fillId="0" borderId="0" xfId="1" applyNumberFormat="1" applyFont="1" applyProtection="1"/>
    <xf numFmtId="2" fontId="0" fillId="0" borderId="0" xfId="0" applyNumberFormat="1" applyProtection="1"/>
    <xf numFmtId="0" fontId="1" fillId="0" borderId="0" xfId="0" applyFont="1" applyProtection="1"/>
    <xf numFmtId="0" fontId="0" fillId="0" borderId="0" xfId="0" quotePrefix="1" applyProtection="1"/>
    <xf numFmtId="0" fontId="0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6" fillId="15" borderId="8" xfId="0" applyFont="1" applyFill="1" applyBorder="1" applyProtection="1"/>
    <xf numFmtId="0" fontId="6" fillId="0" borderId="8" xfId="0" applyFont="1" applyBorder="1" applyProtection="1"/>
    <xf numFmtId="0" fontId="1" fillId="11" borderId="0" xfId="0" applyFont="1" applyFill="1" applyProtection="1">
      <protection locked="0"/>
    </xf>
    <xf numFmtId="0" fontId="10" fillId="12" borderId="0" xfId="0" applyFont="1" applyFill="1" applyProtection="1">
      <protection locked="0"/>
    </xf>
    <xf numFmtId="0" fontId="1" fillId="13" borderId="0" xfId="0" applyFont="1" applyFill="1" applyProtection="1">
      <protection locked="0"/>
    </xf>
    <xf numFmtId="0" fontId="2" fillId="14" borderId="0" xfId="0" applyFont="1" applyFill="1" applyProtection="1">
      <protection locked="0"/>
    </xf>
    <xf numFmtId="0" fontId="3" fillId="14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14" fontId="6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1" fillId="9" borderId="0" xfId="0" applyFont="1" applyFill="1" applyAlignment="1" applyProtection="1">
      <alignment horizontal="center"/>
      <protection locked="0"/>
    </xf>
    <xf numFmtId="0" fontId="9" fillId="10" borderId="0" xfId="0" applyFont="1" applyFill="1" applyAlignment="1" applyProtection="1">
      <alignment horizontal="center"/>
      <protection locked="0"/>
    </xf>
    <xf numFmtId="0" fontId="10" fillId="10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8" fillId="6" borderId="0" xfId="0" applyFont="1" applyFill="1" applyAlignment="1" applyProtection="1">
      <alignment horizontal="left"/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2" fillId="7" borderId="0" xfId="0" applyFont="1" applyFill="1" applyAlignment="1" applyProtection="1">
      <alignment horizontal="left"/>
      <protection locked="0"/>
    </xf>
    <xf numFmtId="0" fontId="10" fillId="12" borderId="0" xfId="0" applyFont="1" applyFill="1" applyAlignment="1" applyProtection="1">
      <alignment horizontal="left"/>
      <protection locked="0"/>
    </xf>
    <xf numFmtId="0" fontId="12" fillId="1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22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/>
      </font>
      <numFmt numFmtId="0" formatCode="General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</font>
    </dxf>
    <dxf>
      <border diagonalUp="0" diagonalDown="0" outline="0">
        <left style="thin">
          <color auto="1"/>
        </left>
        <right/>
        <top style="thin">
          <color auto="1"/>
        </top>
        <bottom/>
      </border>
      <protection locked="1" hidden="0"/>
    </dxf>
    <dxf>
      <protection locked="0" hidden="0"/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ill>
        <patternFill patternType="solid">
          <fgColor indexed="64"/>
          <bgColor rgb="FF92142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921429"/>
      <color rgb="FF7B1D1A"/>
      <color rgb="FFD87C79"/>
      <color rgb="FFFBDE7A"/>
      <color rgb="FF8C7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Antibiotic Prescriptions </a:t>
            </a:r>
            <a:r>
              <a:rPr lang="en-US" sz="1800" b="1" baseline="0"/>
              <a:t>by Month 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Antibiotic Prescribed</c:v>
          </c:tx>
          <c:spPr>
            <a:solidFill>
              <a:srgbClr val="921429"/>
            </a:solidFill>
            <a:ln>
              <a:noFill/>
            </a:ln>
            <a:effectLst/>
          </c:spPr>
          <c:invertIfNegative val="0"/>
          <c:val>
            <c:numRef>
              <c:f>Calculations!$E$2:$E$14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E-0A4E-94C3-E7C3C5C358CF}"/>
            </c:ext>
          </c:extLst>
        </c:ser>
        <c:ser>
          <c:idx val="0"/>
          <c:order val="1"/>
          <c:tx>
            <c:v>No Antibiotic Prescribed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Calculations!$A$2:$A$14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 </c:v>
                </c:pt>
                <c:pt idx="12">
                  <c:v>Total </c:v>
                </c:pt>
              </c:strCache>
            </c:strRef>
          </c:cat>
          <c:val>
            <c:numRef>
              <c:f>Calculations!$G$2:$G$14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E-0A4E-94C3-E7C3C5C358CF}"/>
            </c:ext>
          </c:extLst>
        </c:ser>
        <c:ser>
          <c:idx val="2"/>
          <c:order val="2"/>
          <c:tx>
            <c:v>Watchful Waiting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Calculations!$I$2:$I$14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A-1748-B8A4-A579F48E9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33347504"/>
        <c:axId val="1133349136"/>
      </c:barChart>
      <c:catAx>
        <c:axId val="11333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349136"/>
        <c:crosses val="autoZero"/>
        <c:auto val="1"/>
        <c:lblAlgn val="ctr"/>
        <c:lblOffset val="100"/>
        <c:noMultiLvlLbl val="0"/>
      </c:catAx>
      <c:valAx>
        <c:axId val="113334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Number of Patients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3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Percentage of Total Patient</a:t>
            </a:r>
            <a:r>
              <a:rPr lang="en-US" sz="2400" b="1" baseline="0"/>
              <a:t>s by Sex</a:t>
            </a:r>
            <a:endParaRPr lang="en-US" sz="2400" b="1"/>
          </a:p>
        </c:rich>
      </c:tx>
      <c:layout>
        <c:manualLayout>
          <c:xMode val="edge"/>
          <c:yMode val="edge"/>
          <c:x val="0.25965565379246158"/>
          <c:y val="8.4831056483865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583110532505"/>
          <c:y val="0.25411334657462692"/>
          <c:w val="0.38126277122245045"/>
          <c:h val="0.579703167824847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E2-304A-BF00-6966327843CC}"/>
              </c:ext>
            </c:extLst>
          </c:dPt>
          <c:dPt>
            <c:idx val="1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E2-304A-BF00-6966327843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E2-304A-BF00-6966327843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E2-304A-BF00-696632784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Calculations!$N$161:$N$164</c:f>
              <c:strCache>
                <c:ptCount val="4"/>
                <c:pt idx="0">
                  <c:v>Female Intact</c:v>
                </c:pt>
                <c:pt idx="1">
                  <c:v>Female Spayed</c:v>
                </c:pt>
                <c:pt idx="2">
                  <c:v>Male Intact</c:v>
                </c:pt>
                <c:pt idx="3">
                  <c:v>Male Neutered</c:v>
                </c:pt>
              </c:strCache>
            </c:strRef>
          </c:cat>
          <c:val>
            <c:numRef>
              <c:f>Calculations!$O$161:$O$164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E-5941-ADA5-9F394CA7C7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7717555046156131E-2"/>
          <c:y val="0.91752619969579763"/>
          <c:w val="0.89999996209616784"/>
          <c:h val="7.595169908827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Percentage of</a:t>
            </a:r>
            <a:r>
              <a:rPr lang="en-US" sz="2400" b="1" baseline="0"/>
              <a:t> Total Patients by Age</a:t>
            </a:r>
            <a:endParaRPr lang="en-US" sz="2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74265018223608"/>
          <c:y val="0.14233381643164927"/>
          <c:w val="0.48766045507629396"/>
          <c:h val="0.64895370265688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F4-4141-963D-03F7F037A5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F4-4141-963D-03F7F037A5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A7-9246-933D-0FF5726772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A7-9246-933D-0FF572677204}"/>
              </c:ext>
            </c:extLst>
          </c:dPt>
          <c:dPt>
            <c:idx val="4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A7-9246-933D-0FF5726772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7F4-4141-963D-03F7F037A5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Calculations!$N$171:$N$176</c:f>
              <c:strCache>
                <c:ptCount val="6"/>
                <c:pt idx="0">
                  <c:v>0-4 months</c:v>
                </c:pt>
                <c:pt idx="1">
                  <c:v>&gt;4-12 months</c:v>
                </c:pt>
                <c:pt idx="2">
                  <c:v>&gt;1-3 years</c:v>
                </c:pt>
                <c:pt idx="3">
                  <c:v>&gt;3-7 years</c:v>
                </c:pt>
                <c:pt idx="4">
                  <c:v>&gt;7-10 years</c:v>
                </c:pt>
                <c:pt idx="5">
                  <c:v>&gt;10 years</c:v>
                </c:pt>
              </c:strCache>
            </c:strRef>
          </c:cat>
          <c:val>
            <c:numRef>
              <c:f>Calculations!$O$171:$O$176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4-4141-963D-03F7F037A5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299072781741466"/>
          <c:y val="0.85206903281696178"/>
          <c:w val="0.5812341749851887"/>
          <c:h val="0.13250800151353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Percentage</a:t>
            </a:r>
            <a:r>
              <a:rPr lang="en-US" sz="1800" b="1" baseline="0"/>
              <a:t> of Total Patients by Reason for Visit 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12397832315127"/>
          <c:y val="0.12997951189441742"/>
          <c:w val="0.47286399825926556"/>
          <c:h val="0.655787592479380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BF-144A-9DF5-94EDCE2A43FF}"/>
              </c:ext>
            </c:extLst>
          </c:dPt>
          <c:dPt>
            <c:idx val="1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BF-144A-9DF5-94EDCE2A43F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BF-144A-9DF5-94EDCE2A43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FB-1D4D-82B4-7BDD15190A3C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CBF-144A-9DF5-94EDCE2A43FF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CBF-144A-9DF5-94EDCE2A43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Calculations!$N$180:$N$185</c:f>
              <c:strCache>
                <c:ptCount val="6"/>
                <c:pt idx="0">
                  <c:v>Preventive Care</c:v>
                </c:pt>
                <c:pt idx="1">
                  <c:v>Re-check</c:v>
                </c:pt>
                <c:pt idx="2">
                  <c:v>Sick</c:v>
                </c:pt>
                <c:pt idx="3">
                  <c:v>Surgery/Procedure</c:v>
                </c:pt>
                <c:pt idx="4">
                  <c:v>Euthanasia</c:v>
                </c:pt>
                <c:pt idx="5">
                  <c:v>Other</c:v>
                </c:pt>
              </c:strCache>
            </c:strRef>
          </c:cat>
          <c:val>
            <c:numRef>
              <c:f>Calculations!$O$180:$O$185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F-144A-9DF5-94EDCE2A43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25053834369509"/>
          <c:y val="0.83071401166894299"/>
          <c:w val="0.75442497934348041"/>
          <c:h val="0.16397994619196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Percentage of Patients Receiving Antibiotics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rgbClr val="7B1D1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2E6-1144-85C4-61464AAF7F6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2E6-1144-85C4-61464AAF7F6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2E6-1144-85C4-61464AAF7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Calculations!$M$9:$M$10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2E6-1144-85C4-61464AAF7F6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Percentage of </a:t>
            </a:r>
            <a:r>
              <a:rPr lang="en-US" sz="1800" b="1" baseline="0"/>
              <a:t>Total Antibiotics Prescribed by Condition/Disease </a:t>
            </a:r>
            <a:endParaRPr lang="en-US" sz="1800" b="1"/>
          </a:p>
        </c:rich>
      </c:tx>
      <c:layout>
        <c:manualLayout>
          <c:xMode val="edge"/>
          <c:yMode val="edge"/>
          <c:x val="0.19271160669409426"/>
          <c:y val="2.5243901750490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Calculations!$O$36</c:f>
              <c:strCache>
                <c:ptCount val="1"/>
                <c:pt idx="0">
                  <c:v>#DIV/0!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Calculations!$P$19:$P$36</c:f>
              <c:strCache>
                <c:ptCount val="18"/>
                <c:pt idx="0">
                  <c:v>Dental</c:v>
                </c:pt>
                <c:pt idx="1">
                  <c:v>Dermatologic</c:v>
                </c:pt>
                <c:pt idx="2">
                  <c:v>Gastrointestinal </c:v>
                </c:pt>
                <c:pt idx="3">
                  <c:v>Hepatic</c:v>
                </c:pt>
                <c:pt idx="4">
                  <c:v>Leptospirosis</c:v>
                </c:pt>
                <c:pt idx="5">
                  <c:v>Neurological </c:v>
                </c:pt>
                <c:pt idx="6">
                  <c:v>Ocular</c:v>
                </c:pt>
                <c:pt idx="7">
                  <c:v>Otic</c:v>
                </c:pt>
                <c:pt idx="8">
                  <c:v>Peri-operative</c:v>
                </c:pt>
                <c:pt idx="9">
                  <c:v>Reproductive</c:v>
                </c:pt>
                <c:pt idx="10">
                  <c:v>Upper Respiratory Tract </c:v>
                </c:pt>
                <c:pt idx="11">
                  <c:v>Lower Respiratory Tract </c:v>
                </c:pt>
                <c:pt idx="12">
                  <c:v>Upper Urinary Tract </c:v>
                </c:pt>
                <c:pt idx="13">
                  <c:v>Lower Urinary Tract </c:v>
                </c:pt>
                <c:pt idx="14">
                  <c:v>Vector-borne </c:v>
                </c:pt>
                <c:pt idx="15">
                  <c:v>Other</c:v>
                </c:pt>
                <c:pt idx="16">
                  <c:v>None</c:v>
                </c:pt>
                <c:pt idx="17">
                  <c:v>Unknown</c:v>
                </c:pt>
              </c:strCache>
            </c:strRef>
          </c:cat>
          <c:val>
            <c:numRef>
              <c:f>Calculations!$O$19:$O$36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F-C146-93ED-901B806F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9004416"/>
        <c:axId val="1221660304"/>
      </c:barChart>
      <c:catAx>
        <c:axId val="709004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660304"/>
        <c:crosses val="autoZero"/>
        <c:auto val="1"/>
        <c:lblAlgn val="ctr"/>
        <c:lblOffset val="100"/>
        <c:noMultiLvlLbl val="0"/>
      </c:catAx>
      <c:valAx>
        <c:axId val="1221660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0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Diagnostics Offered vs Performed for Patients Prescribed Antibiotics</a:t>
            </a:r>
            <a:r>
              <a:rPr lang="en-US" sz="1800" b="1" baseline="0"/>
              <a:t> 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Calculations!$B$41</c:f>
              <c:strCache>
                <c:ptCount val="1"/>
                <c:pt idx="0">
                  <c:v>Diagnostics Offered</c:v>
                </c:pt>
              </c:strCache>
            </c:strRef>
          </c:tx>
          <c:spPr>
            <a:solidFill>
              <a:srgbClr val="921429"/>
            </a:solidFill>
            <a:ln>
              <a:noFill/>
            </a:ln>
            <a:effectLst/>
          </c:spPr>
          <c:invertIfNegative val="0"/>
          <c:cat>
            <c:strRef>
              <c:f>Calculations!$A$42:$A$54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Calculations!$B$42:$B$54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5-264D-9CB8-C0A0079E71FF}"/>
            </c:ext>
          </c:extLst>
        </c:ser>
        <c:ser>
          <c:idx val="1"/>
          <c:order val="1"/>
          <c:tx>
            <c:strRef>
              <c:f>Calculations!$C$41</c:f>
              <c:strCache>
                <c:ptCount val="1"/>
                <c:pt idx="0">
                  <c:v>Diagnostics Performed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Calculations!$A$42:$A$54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Calculations!$C$42:$C$54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5-264D-9CB8-C0A0079E7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912688"/>
        <c:axId val="759129200"/>
      </c:barChart>
      <c:catAx>
        <c:axId val="121291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129200"/>
        <c:crosses val="autoZero"/>
        <c:auto val="1"/>
        <c:lblAlgn val="ctr"/>
        <c:lblOffset val="100"/>
        <c:noMultiLvlLbl val="0"/>
      </c:catAx>
      <c:valAx>
        <c:axId val="75912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of Patients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9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8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Percentage of Total Prescriptions by Drug Class</a:t>
            </a:r>
            <a:endParaRPr lang="en-US" sz="1800" b="1"/>
          </a:p>
        </c:rich>
      </c:tx>
      <c:layout>
        <c:manualLayout>
          <c:xMode val="edge"/>
          <c:yMode val="edge"/>
          <c:x val="0.31267441856165401"/>
          <c:y val="2.296080828071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Calculations!$G$78:$AB$78</c:f>
              <c:strCache>
                <c:ptCount val="22"/>
                <c:pt idx="0">
                  <c:v>Aminoglycosides</c:v>
                </c:pt>
                <c:pt idx="1">
                  <c:v>B-lactam/B-lactamase inhibitor combination</c:v>
                </c:pt>
                <c:pt idx="2">
                  <c:v>Carbapenems</c:v>
                </c:pt>
                <c:pt idx="3">
                  <c:v>Cephalosporins</c:v>
                </c:pt>
                <c:pt idx="4">
                  <c:v>Fluoroquinolones</c:v>
                </c:pt>
                <c:pt idx="5">
                  <c:v>Fosfomycins</c:v>
                </c:pt>
                <c:pt idx="6">
                  <c:v>Glycopeptides</c:v>
                </c:pt>
                <c:pt idx="7">
                  <c:v>Glycylcyclines</c:v>
                </c:pt>
                <c:pt idx="8">
                  <c:v>Lincosamides</c:v>
                </c:pt>
                <c:pt idx="9">
                  <c:v>Macrolides</c:v>
                </c:pt>
                <c:pt idx="10">
                  <c:v>Nitrofurans</c:v>
                </c:pt>
                <c:pt idx="11">
                  <c:v>Nitroimidazoles</c:v>
                </c:pt>
                <c:pt idx="12">
                  <c:v>Ophthalmic</c:v>
                </c:pt>
                <c:pt idx="13">
                  <c:v>Otic</c:v>
                </c:pt>
                <c:pt idx="14">
                  <c:v>Oxazolidinones</c:v>
                </c:pt>
                <c:pt idx="15">
                  <c:v>Penicillins</c:v>
                </c:pt>
                <c:pt idx="16">
                  <c:v>Phenicols</c:v>
                </c:pt>
                <c:pt idx="17">
                  <c:v>Polymyxins</c:v>
                </c:pt>
                <c:pt idx="18">
                  <c:v>Polypeptides</c:v>
                </c:pt>
                <c:pt idx="19">
                  <c:v>Rifampin</c:v>
                </c:pt>
                <c:pt idx="20">
                  <c:v>Sulfonamides</c:v>
                </c:pt>
                <c:pt idx="21">
                  <c:v>Tetracyclines</c:v>
                </c:pt>
              </c:strCache>
            </c:strRef>
          </c:cat>
          <c:val>
            <c:numRef>
              <c:f>Calculations!$G$79:$AB$79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4-C440-917F-21123894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2467008"/>
        <c:axId val="1212668336"/>
      </c:barChart>
      <c:catAx>
        <c:axId val="762467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668336"/>
        <c:crosses val="autoZero"/>
        <c:auto val="1"/>
        <c:lblAlgn val="ctr"/>
        <c:lblOffset val="100"/>
        <c:noMultiLvlLbl val="0"/>
      </c:catAx>
      <c:valAx>
        <c:axId val="1212668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4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Number</a:t>
            </a:r>
            <a:r>
              <a:rPr lang="en-US" sz="1800" b="1" baseline="0">
                <a:solidFill>
                  <a:schemeClr val="tx1"/>
                </a:solidFill>
              </a:rPr>
              <a:t> of Prescriptions of Drugs to Avoid Using</a:t>
            </a:r>
            <a:endParaRPr lang="en-US" sz="18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Calculations!$AG$86</c:f>
              <c:strCache>
                <c:ptCount val="1"/>
                <c:pt idx="0">
                  <c:v>Vancomycin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89-E347-B31B-90AC9833A33D}"/>
            </c:ext>
          </c:extLst>
        </c:ser>
        <c:ser>
          <c:idx val="1"/>
          <c:order val="1"/>
          <c:tx>
            <c:strRef>
              <c:f>Calculations!$AG$87</c:f>
              <c:strCache>
                <c:ptCount val="1"/>
                <c:pt idx="0">
                  <c:v>Linezolid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89-E347-B31B-90AC9833A33D}"/>
            </c:ext>
          </c:extLst>
        </c:ser>
        <c:ser>
          <c:idx val="2"/>
          <c:order val="2"/>
          <c:tx>
            <c:strRef>
              <c:f>Calculations!$AG$88</c:f>
              <c:strCache>
                <c:ptCount val="1"/>
                <c:pt idx="0">
                  <c:v>Teicoplanin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9-E347-B31B-90AC9833A33D}"/>
            </c:ext>
          </c:extLst>
        </c:ser>
        <c:ser>
          <c:idx val="3"/>
          <c:order val="3"/>
          <c:tx>
            <c:strRef>
              <c:f>Calculations!$AG$89</c:f>
              <c:strCache>
                <c:ptCount val="1"/>
                <c:pt idx="0">
                  <c:v>Colistin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89-E347-B31B-90AC9833A33D}"/>
            </c:ext>
          </c:extLst>
        </c:ser>
        <c:ser>
          <c:idx val="4"/>
          <c:order val="4"/>
          <c:tx>
            <c:strRef>
              <c:f>Calculations!$AG$90</c:f>
              <c:strCache>
                <c:ptCount val="1"/>
                <c:pt idx="0">
                  <c:v>Polymixin B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Calculations!$AH$90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89-E347-B31B-90AC9833A3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2227072"/>
        <c:axId val="776109728"/>
      </c:barChart>
      <c:catAx>
        <c:axId val="76222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6109728"/>
        <c:crosses val="autoZero"/>
        <c:auto val="1"/>
        <c:lblAlgn val="ctr"/>
        <c:lblOffset val="100"/>
        <c:noMultiLvlLbl val="0"/>
      </c:catAx>
      <c:valAx>
        <c:axId val="7761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22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01235405919085"/>
          <c:y val="0.91918644445062747"/>
          <c:w val="0.74700977464023899"/>
          <c:h val="5.9612142121810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Total Watchful Waiting Patients </a:t>
            </a:r>
          </a:p>
          <a:p>
            <a:pPr>
              <a:defRPr sz="1800" b="1"/>
            </a:pPr>
            <a:r>
              <a:rPr lang="en-US" sz="1800" b="0" baseline="0"/>
              <a:t>for Gastrointestinal and Upper Respiratory Tract Diseases</a:t>
            </a:r>
            <a:endParaRPr lang="en-US" sz="18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931392035636189E-2"/>
          <c:y val="0.19951167910180423"/>
          <c:w val="0.90914398585269751"/>
          <c:h val="0.68462027992756669"/>
        </c:manualLayout>
      </c:layout>
      <c:barChart>
        <c:barDir val="col"/>
        <c:grouping val="stacked"/>
        <c:varyColors val="0"/>
        <c:ser>
          <c:idx val="0"/>
          <c:order val="0"/>
          <c:tx>
            <c:v>Number of Patients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Calculations!$U$16:$V$16</c:f>
              <c:strCache>
                <c:ptCount val="2"/>
                <c:pt idx="0">
                  <c:v>Gastrointestinal Disease</c:v>
                </c:pt>
                <c:pt idx="1">
                  <c:v>Upper Respiratory Tract Disease</c:v>
                </c:pt>
              </c:strCache>
            </c:strRef>
          </c:cat>
          <c:val>
            <c:numRef>
              <c:f>Calculations!$U$15:$V$15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7-5846-84DB-81B7F889C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821392"/>
        <c:axId val="775479360"/>
      </c:barChart>
      <c:catAx>
        <c:axId val="77382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479360"/>
        <c:crosses val="autoZero"/>
        <c:auto val="1"/>
        <c:lblAlgn val="ctr"/>
        <c:lblOffset val="100"/>
        <c:noMultiLvlLbl val="0"/>
      </c:catAx>
      <c:valAx>
        <c:axId val="7754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</a:t>
                </a:r>
                <a:r>
                  <a:rPr lang="en-US" sz="1200" baseline="0"/>
                  <a:t> Patients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821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/>
              <a:t>Total Prescriptions by Antibiotic Generation </a:t>
            </a:r>
          </a:p>
          <a:p>
            <a:pPr>
              <a:defRPr/>
            </a:pPr>
            <a:r>
              <a:rPr lang="en-US" sz="1800" b="1" baseline="0"/>
              <a:t>(Penicillins and Cephalosporins) 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Calculations!$K$149:$M$149</c:f>
              <c:strCache>
                <c:ptCount val="3"/>
                <c:pt idx="0">
                  <c:v>1st Generation</c:v>
                </c:pt>
                <c:pt idx="1">
                  <c:v>2nd Generation</c:v>
                </c:pt>
                <c:pt idx="2">
                  <c:v>3rd Generation</c:v>
                </c:pt>
              </c:strCache>
            </c:strRef>
          </c:cat>
          <c:val>
            <c:numRef>
              <c:f>Calculations!$K$150:$M$150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B-794F-BD20-C56B8B66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107248"/>
        <c:axId val="804701904"/>
      </c:barChart>
      <c:catAx>
        <c:axId val="788107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701904"/>
        <c:crosses val="autoZero"/>
        <c:auto val="1"/>
        <c:lblAlgn val="ctr"/>
        <c:lblOffset val="100"/>
        <c:noMultiLvlLbl val="0"/>
      </c:catAx>
      <c:valAx>
        <c:axId val="8047019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10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Percentage</a:t>
            </a:r>
            <a:r>
              <a:rPr lang="en-US" sz="2400" b="1" baseline="0"/>
              <a:t> of Canine and Feline Patient Visits </a:t>
            </a:r>
            <a:endParaRPr lang="en-US" sz="2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2F-014D-A7FD-F808431AA68F}"/>
              </c:ext>
            </c:extLst>
          </c:dPt>
          <c:dPt>
            <c:idx val="1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22F-014D-A7FD-F808431AA68F}"/>
              </c:ext>
            </c:extLst>
          </c:dPt>
          <c:dLbls>
            <c:dLbl>
              <c:idx val="0"/>
              <c:layout>
                <c:manualLayout>
                  <c:x val="0.25099597262986323"/>
                  <c:y val="0.198718802680095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2F-014D-A7FD-F808431AA68F}"/>
                </c:ext>
              </c:extLst>
            </c:dLbl>
            <c:dLbl>
              <c:idx val="1"/>
              <c:layout>
                <c:manualLayout>
                  <c:x val="-0.2976095104039807"/>
                  <c:y val="0.21527870290343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22F-014D-A7FD-F808431AA68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Calculations!$N$154:$N$155</c:f>
              <c:strCache>
                <c:ptCount val="2"/>
                <c:pt idx="0">
                  <c:v>Canine</c:v>
                </c:pt>
                <c:pt idx="1">
                  <c:v>Feline</c:v>
                </c:pt>
              </c:strCache>
            </c:strRef>
          </c:cat>
          <c:val>
            <c:numRef>
              <c:f>Calculations!$O$154:$O$155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F-014D-A7FD-F808431A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rsi.umn.edu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23961</xdr:colOff>
      <xdr:row>1</xdr:row>
      <xdr:rowOff>46486</xdr:rowOff>
    </xdr:from>
    <xdr:to>
      <xdr:col>1</xdr:col>
      <xdr:colOff>216829</xdr:colOff>
      <xdr:row>4</xdr:row>
      <xdr:rowOff>789878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BD6EE62-D8A9-014F-91DC-9D4F7F127AA8}"/>
            </a:ext>
          </a:extLst>
        </xdr:cNvPr>
        <xdr:cNvSpPr/>
      </xdr:nvSpPr>
      <xdr:spPr>
        <a:xfrm>
          <a:off x="23961" y="898315"/>
          <a:ext cx="4033844" cy="2834246"/>
        </a:xfrm>
        <a:prstGeom prst="roundRect">
          <a:avLst/>
        </a:prstGeom>
        <a:solidFill>
          <a:srgbClr val="7B1D1A"/>
        </a:solidFill>
        <a:ln>
          <a:solidFill>
            <a:srgbClr val="7B1D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US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is an </a:t>
          </a:r>
          <a:r>
            <a:rPr lang="en-US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Infection and Antibiotic Use Tracking Tool for Companion Animal</a:t>
          </a:r>
          <a:r>
            <a:rPr lang="en-US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Clinics</a:t>
          </a:r>
          <a:endParaRPr lang="en-US" sz="16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Use this tool to understand your clinic's antibiotic use, prescribing patterns, and implement antibiotic stewardship initiatives based off tracking results.</a:t>
          </a:r>
          <a:endParaRPr lang="en-US" sz="1600"/>
        </a:p>
      </xdr:txBody>
    </xdr:sp>
    <xdr:clientData/>
  </xdr:twoCellAnchor>
  <xdr:twoCellAnchor>
    <xdr:from>
      <xdr:col>0</xdr:col>
      <xdr:colOff>47924</xdr:colOff>
      <xdr:row>0</xdr:row>
      <xdr:rowOff>35942</xdr:rowOff>
    </xdr:from>
    <xdr:to>
      <xdr:col>1</xdr:col>
      <xdr:colOff>619512</xdr:colOff>
      <xdr:row>1</xdr:row>
      <xdr:rowOff>108415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432849-A8A0-F14B-B3BB-9419A51475E9}"/>
            </a:ext>
          </a:extLst>
        </xdr:cNvPr>
        <xdr:cNvSpPr txBox="1"/>
      </xdr:nvSpPr>
      <xdr:spPr>
        <a:xfrm>
          <a:off x="47924" y="35942"/>
          <a:ext cx="4412564" cy="924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0" cap="none" spc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Antimicrobial</a:t>
          </a:r>
          <a:r>
            <a:rPr lang="en-US" sz="2400" b="0" cap="none" spc="0" baseline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Resistance and Stewardship Initiative </a:t>
          </a:r>
          <a:endParaRPr lang="en-US" sz="2400" b="0" cap="none" spc="0">
            <a:ln w="0">
              <a:solidFill>
                <a:srgbClr val="921429"/>
              </a:solidFill>
            </a:ln>
            <a:solidFill>
              <a:srgbClr val="921429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4</xdr:row>
      <xdr:rowOff>972515</xdr:rowOff>
    </xdr:from>
    <xdr:to>
      <xdr:col>1</xdr:col>
      <xdr:colOff>340730</xdr:colOff>
      <xdr:row>22</xdr:row>
      <xdr:rowOff>123901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ED0939-F339-0B4B-AC5C-B7119C31CF33}"/>
            </a:ext>
          </a:extLst>
        </xdr:cNvPr>
        <xdr:cNvSpPr/>
      </xdr:nvSpPr>
      <xdr:spPr>
        <a:xfrm>
          <a:off x="0" y="3915198"/>
          <a:ext cx="4181706" cy="6399679"/>
        </a:xfrm>
        <a:prstGeom prst="roundRect">
          <a:avLst/>
        </a:prstGeom>
        <a:solidFill>
          <a:schemeClr val="bg2">
            <a:lumMod val="75000"/>
          </a:schemeClr>
        </a:solidFill>
        <a:ln>
          <a:solidFill>
            <a:srgbClr val="7B1D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bg1"/>
              </a:solidFill>
            </a:rPr>
            <a:t>ARSI Project Background</a:t>
          </a:r>
        </a:p>
        <a:p>
          <a:pPr algn="ctr"/>
          <a:endParaRPr lang="en-US" sz="1600" b="1">
            <a:solidFill>
              <a:schemeClr val="bg1"/>
            </a:solidFill>
          </a:endParaRPr>
        </a:p>
        <a:p>
          <a:pPr algn="l"/>
          <a:r>
            <a:rPr lang="en-US" sz="1600" b="1">
              <a:solidFill>
                <a:schemeClr val="bg1"/>
              </a:solidFill>
            </a:rPr>
            <a:t>Mission: </a:t>
          </a:r>
          <a:r>
            <a:rPr lang="en-US" sz="1600">
              <a:solidFill>
                <a:schemeClr val="bg1"/>
              </a:solidFill>
            </a:rPr>
            <a:t>Provide an environment to foster discussion, exploration, and sharing of data and practices to enhance animal health and engage the veterinary profession. </a:t>
          </a:r>
        </a:p>
        <a:p>
          <a:pPr algn="l"/>
          <a:endParaRPr lang="en-US" sz="1600" b="1">
            <a:solidFill>
              <a:schemeClr val="bg1"/>
            </a:solidFill>
          </a:endParaRPr>
        </a:p>
        <a:p>
          <a:pPr algn="l"/>
          <a:r>
            <a:rPr lang="en-US" sz="1600" b="1">
              <a:solidFill>
                <a:schemeClr val="bg1"/>
              </a:solidFill>
            </a:rPr>
            <a:t>Goals: </a:t>
          </a:r>
        </a:p>
        <a:p>
          <a:pPr algn="l"/>
          <a:r>
            <a:rPr lang="en-US" sz="1600">
              <a:solidFill>
                <a:schemeClr val="bg1"/>
              </a:solidFill>
            </a:rPr>
            <a:t>1. To provide high-quality and evidence-based resources and materials for practitioners and clients in companion animal medicine.</a:t>
          </a:r>
        </a:p>
        <a:p>
          <a:pPr algn="l"/>
          <a:endParaRPr lang="en-US" sz="1600">
            <a:solidFill>
              <a:schemeClr val="bg1"/>
            </a:solidFill>
          </a:endParaRPr>
        </a:p>
        <a:p>
          <a:pPr algn="l"/>
          <a:r>
            <a:rPr lang="en-US" sz="1600">
              <a:solidFill>
                <a:schemeClr val="bg1"/>
              </a:solidFill>
            </a:rPr>
            <a:t>2. To establish a comprehensive surveillance system for companion animal disease and treatment.</a:t>
          </a:r>
        </a:p>
        <a:p>
          <a:pPr algn="l"/>
          <a:endParaRPr lang="en-US" sz="1600">
            <a:solidFill>
              <a:schemeClr val="bg1"/>
            </a:solidFill>
          </a:endParaRPr>
        </a:p>
        <a:p>
          <a:pPr algn="l"/>
          <a:r>
            <a:rPr lang="en-US" sz="1600">
              <a:solidFill>
                <a:schemeClr val="bg1"/>
              </a:solidFill>
            </a:rPr>
            <a:t>3. To understand local and national antimicrobial use and resistance patterns in companion animal practice.</a:t>
          </a:r>
        </a:p>
        <a:p>
          <a:pPr algn="l"/>
          <a:endParaRPr lang="en-US" sz="1200">
            <a:solidFill>
              <a:schemeClr val="bg1"/>
            </a:solidFill>
          </a:endParaRPr>
        </a:p>
        <a:p>
          <a:pPr algn="ctr"/>
          <a:r>
            <a:rPr lang="en-US" sz="1200">
              <a:solidFill>
                <a:schemeClr val="bg1"/>
              </a:solidFill>
            </a:rPr>
            <a:t>More information at:</a:t>
          </a:r>
        </a:p>
        <a:p>
          <a:pPr algn="ctr"/>
          <a:r>
            <a:rPr lang="en-US" sz="1600" b="1">
              <a:solidFill>
                <a:schemeClr val="tx1"/>
              </a:solidFill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https://arsi.umn.edu/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805364</xdr:colOff>
      <xdr:row>0</xdr:row>
      <xdr:rowOff>588536</xdr:rowOff>
    </xdr:from>
    <xdr:to>
      <xdr:col>14</xdr:col>
      <xdr:colOff>232317</xdr:colOff>
      <xdr:row>10</xdr:row>
      <xdr:rowOff>77439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26428C-BF53-3744-B161-60978CA2AA9A}"/>
            </a:ext>
          </a:extLst>
        </xdr:cNvPr>
        <xdr:cNvSpPr txBox="1"/>
      </xdr:nvSpPr>
      <xdr:spPr>
        <a:xfrm>
          <a:off x="4646340" y="588536"/>
          <a:ext cx="10098050" cy="7263781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About This</a:t>
          </a:r>
          <a:r>
            <a:rPr lang="en-US" sz="2000" b="1" baseline="0"/>
            <a:t> Excel Workbook</a:t>
          </a:r>
        </a:p>
        <a:p>
          <a:pPr algn="ctr"/>
          <a:endParaRPr lang="en-US" sz="1800" baseline="0"/>
        </a:p>
        <a:p>
          <a:pPr algn="ctr"/>
          <a:r>
            <a:rPr lang="en-US" sz="1800"/>
            <a:t>This workbook contains the total patients, summary tables, tracking tool, and dropdown options.</a:t>
          </a:r>
        </a:p>
        <a:p>
          <a:pPr algn="ctr"/>
          <a:endParaRPr lang="en-US" sz="1800"/>
        </a:p>
        <a:p>
          <a:pPr algn="l"/>
          <a:r>
            <a:rPr lang="en-US" sz="1800" b="1"/>
            <a:t>The sheets in the workbook include:</a:t>
          </a:r>
        </a:p>
        <a:p>
          <a:pPr algn="l"/>
          <a:endParaRPr lang="en-US" sz="1800"/>
        </a:p>
        <a:p>
          <a:pPr algn="l"/>
          <a:endParaRPr lang="en-US" sz="1800"/>
        </a:p>
        <a:p>
          <a:pPr algn="l"/>
          <a:r>
            <a:rPr lang="en-US" sz="1800" b="1"/>
            <a:t>Data Options</a:t>
          </a:r>
          <a:r>
            <a:rPr lang="en-US" sz="1800"/>
            <a:t>. Lists the type of data expected for each column and the dropdown values that are available for non-free text columns. </a:t>
          </a:r>
          <a:r>
            <a:rPr lang="en-US" sz="1800">
              <a:solidFill>
                <a:srgbClr val="C00000"/>
              </a:solidFill>
            </a:rPr>
            <a:t>Dropdown values can be tailored to your clinic's needs, so additional values can be added on the Data Options Sheet. </a:t>
          </a:r>
        </a:p>
        <a:p>
          <a:pPr algn="l"/>
          <a:endParaRPr lang="en-US" sz="1800"/>
        </a:p>
        <a:p>
          <a:pPr algn="l"/>
          <a:r>
            <a:rPr lang="en-US" sz="1800" b="1"/>
            <a:t>Month</a:t>
          </a:r>
          <a:r>
            <a:rPr lang="en-US" sz="1800"/>
            <a:t>. Enter patient information for the month (or time period) that you define for data recording. Each time period should be entered in its own sheet.</a:t>
          </a:r>
        </a:p>
        <a:p>
          <a:pPr algn="l"/>
          <a:endParaRPr lang="en-US" sz="1800"/>
        </a:p>
        <a:p>
          <a:pPr algn="l"/>
          <a:r>
            <a:rPr lang="en-US" sz="1800" b="1"/>
            <a:t>Total Patients</a:t>
          </a:r>
          <a:r>
            <a:rPr lang="en-US" sz="1800"/>
            <a:t>. List the total number of patients that were seen each month or during specified time period.</a:t>
          </a:r>
        </a:p>
        <a:p>
          <a:pPr algn="l"/>
          <a:endParaRPr lang="en-US" sz="1800"/>
        </a:p>
        <a:p>
          <a:pPr algn="l"/>
          <a:r>
            <a:rPr lang="en-US" sz="1800" b="1"/>
            <a:t>Summary Tables</a:t>
          </a:r>
          <a:r>
            <a:rPr lang="en-US" sz="1800"/>
            <a:t>. These charts and tables will help to easily visualize antibiotic prescribing. They are automatically generated as information is entered.</a:t>
          </a:r>
        </a:p>
        <a:p>
          <a:pPr algn="l"/>
          <a:endParaRPr lang="en-US" sz="1800"/>
        </a:p>
        <a:p>
          <a:pPr algn="l"/>
          <a:r>
            <a:rPr lang="en-US" sz="1800" b="1"/>
            <a:t>Calculations (hidden). </a:t>
          </a:r>
          <a:r>
            <a:rPr lang="en-US" sz="1800"/>
            <a:t>Formula sheet that generates the Summary Tables. Do not change or edit.</a:t>
          </a:r>
        </a:p>
        <a:p>
          <a:pPr algn="ctr"/>
          <a:endParaRPr lang="en-US" sz="1800"/>
        </a:p>
        <a:p>
          <a:pPr algn="ctr"/>
          <a:r>
            <a:rPr lang="en-US" sz="2400" b="1">
              <a:solidFill>
                <a:srgbClr val="7B1D1A"/>
              </a:solidFill>
            </a:rPr>
            <a:t>Please</a:t>
          </a:r>
          <a:r>
            <a:rPr lang="en-US" sz="2400" b="1" baseline="0">
              <a:solidFill>
                <a:srgbClr val="7B1D1A"/>
              </a:solidFill>
            </a:rPr>
            <a:t> refer to the </a:t>
          </a:r>
          <a:r>
            <a:rPr lang="en-US" sz="2400" b="1" baseline="0">
              <a:solidFill>
                <a:schemeClr val="tx1"/>
              </a:solidFill>
            </a:rPr>
            <a:t>Instructions Document </a:t>
          </a:r>
          <a:r>
            <a:rPr lang="en-US" sz="2400" b="1" baseline="0">
              <a:solidFill>
                <a:srgbClr val="7B1D1A"/>
              </a:solidFill>
            </a:rPr>
            <a:t>for more detailed information on proper use of this tool. </a:t>
          </a:r>
          <a:endParaRPr lang="en-US" sz="2400" b="1">
            <a:solidFill>
              <a:srgbClr val="7B1D1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0</xdr:row>
      <xdr:rowOff>50800</xdr:rowOff>
    </xdr:from>
    <xdr:to>
      <xdr:col>13</xdr:col>
      <xdr:colOff>365128</xdr:colOff>
      <xdr:row>24</xdr:row>
      <xdr:rowOff>174625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A78C291-4BCC-0945-B2FD-87EC9B88762B}"/>
            </a:ext>
          </a:extLst>
        </xdr:cNvPr>
        <xdr:cNvSpPr/>
      </xdr:nvSpPr>
      <xdr:spPr>
        <a:xfrm>
          <a:off x="4978400" y="50800"/>
          <a:ext cx="7832728" cy="5000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This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information must be manually entered </a:t>
          </a:r>
          <a:r>
            <a:rPr lang="en-US" sz="2000" b="1" u="non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before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any auto-calculations and/or charts can be generated by Excel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The total number of patients seen at your clinic must be entered in this chart.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The time period is set up by month by default, but can adjusted to fit your clinics goals for recording data.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 example, you can record data for the first week of every month, but the total number of patients entered into this chart must also be 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only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from the first week of the month to reflect the correct statistics.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419100</xdr:colOff>
      <xdr:row>0</xdr:row>
      <xdr:rowOff>177800</xdr:rowOff>
    </xdr:from>
    <xdr:to>
      <xdr:col>3</xdr:col>
      <xdr:colOff>330200</xdr:colOff>
      <xdr:row>6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CF2471-DC44-B94C-8205-984A6E28B19B}"/>
            </a:ext>
          </a:extLst>
        </xdr:cNvPr>
        <xdr:cNvSpPr txBox="1"/>
      </xdr:nvSpPr>
      <xdr:spPr>
        <a:xfrm>
          <a:off x="419100" y="177800"/>
          <a:ext cx="4279900" cy="1168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 cap="none" spc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Antimicrobial</a:t>
          </a:r>
          <a:r>
            <a:rPr lang="en-US" sz="2800" b="0" cap="none" spc="0" baseline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Resistance and Stewardship Initiative </a:t>
          </a:r>
          <a:endParaRPr lang="en-US" sz="2800" b="0" cap="none" spc="0">
            <a:ln w="0">
              <a:solidFill>
                <a:srgbClr val="921429"/>
              </a:solidFill>
            </a:ln>
            <a:solidFill>
              <a:srgbClr val="921429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298842</xdr:colOff>
      <xdr:row>24</xdr:row>
      <xdr:rowOff>138133</xdr:rowOff>
    </xdr:from>
    <xdr:to>
      <xdr:col>9</xdr:col>
      <xdr:colOff>209942</xdr:colOff>
      <xdr:row>40</xdr:row>
      <xdr:rowOff>163533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3F865-CF59-2A40-84FE-C14C08FFC0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1</xdr:row>
      <xdr:rowOff>0</xdr:rowOff>
    </xdr:from>
    <xdr:to>
      <xdr:col>9</xdr:col>
      <xdr:colOff>215900</xdr:colOff>
      <xdr:row>15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A70EA9-525B-4D49-B692-7FB0900BC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508000</xdr:colOff>
      <xdr:row>1</xdr:row>
      <xdr:rowOff>12700</xdr:rowOff>
    </xdr:from>
    <xdr:to>
      <xdr:col>19</xdr:col>
      <xdr:colOff>254000</xdr:colOff>
      <xdr:row>24</xdr:row>
      <xdr:rowOff>78395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E9F0A6-6DFE-8546-9514-28EFE9DDD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304810</xdr:colOff>
      <xdr:row>78</xdr:row>
      <xdr:rowOff>86284</xdr:rowOff>
    </xdr:from>
    <xdr:to>
      <xdr:col>9</xdr:col>
      <xdr:colOff>247660</xdr:colOff>
      <xdr:row>96</xdr:row>
      <xdr:rowOff>134598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CA2AE5-2520-5B4C-A66C-A89387C8D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488950</xdr:colOff>
      <xdr:row>30</xdr:row>
      <xdr:rowOff>158550</xdr:rowOff>
    </xdr:from>
    <xdr:to>
      <xdr:col>20</xdr:col>
      <xdr:colOff>109753</xdr:colOff>
      <xdr:row>69</xdr:row>
      <xdr:rowOff>185854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A0679C-7E72-2441-BB15-0E7E28CAD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603887</xdr:colOff>
      <xdr:row>95</xdr:row>
      <xdr:rowOff>172467</xdr:rowOff>
    </xdr:from>
    <xdr:to>
      <xdr:col>18</xdr:col>
      <xdr:colOff>800188</xdr:colOff>
      <xdr:row>113</xdr:row>
      <xdr:rowOff>108340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BEB122-A907-6149-88A6-E7F31098D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375913</xdr:colOff>
      <xdr:row>51</xdr:row>
      <xdr:rowOff>47612</xdr:rowOff>
    </xdr:from>
    <xdr:to>
      <xdr:col>9</xdr:col>
      <xdr:colOff>297519</xdr:colOff>
      <xdr:row>68</xdr:row>
      <xdr:rowOff>141685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C1EFD1F6-228A-B44F-8153-23203C2EF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535102</xdr:colOff>
      <xdr:row>74</xdr:row>
      <xdr:rowOff>19736</xdr:rowOff>
    </xdr:from>
    <xdr:to>
      <xdr:col>19</xdr:col>
      <xdr:colOff>407654</xdr:colOff>
      <xdr:row>91</xdr:row>
      <xdr:rowOff>63100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B6E886C5-F9F1-3646-9C2A-FAEC3A545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15678</xdr:colOff>
      <xdr:row>15</xdr:row>
      <xdr:rowOff>62716</xdr:rowOff>
    </xdr:from>
    <xdr:to>
      <xdr:col>9</xdr:col>
      <xdr:colOff>313580</xdr:colOff>
      <xdr:row>23</xdr:row>
      <xdr:rowOff>62716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251CEE8-CF8B-6847-9AF6-F7CF7DF72941}"/>
            </a:ext>
          </a:extLst>
        </xdr:cNvPr>
        <xdr:cNvSpPr txBox="1"/>
      </xdr:nvSpPr>
      <xdr:spPr>
        <a:xfrm>
          <a:off x="846666" y="3857037"/>
          <a:ext cx="8905679" cy="1630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Table 1. This table calculates the percentage of total patients prescribed antibiotics using the manually entered number on the Total Patients sheet and every patient that receives a "Yes" in Patient Prescibed Antibiotic Column for each month. </a:t>
          </a:r>
        </a:p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Figure 1. The </a:t>
          </a:r>
          <a:r>
            <a:rPr lang="en-US" sz="1600" b="1" baseline="0">
              <a:solidFill>
                <a:schemeClr val="bg2">
                  <a:lumMod val="25000"/>
                </a:schemeClr>
              </a:solidFill>
            </a:rPr>
            <a:t>total precentage of antibiotic prescriptions 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for all the months is illustrated by the pie graph. 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486050</xdr:colOff>
      <xdr:row>24</xdr:row>
      <xdr:rowOff>125432</xdr:rowOff>
    </xdr:from>
    <xdr:to>
      <xdr:col>18</xdr:col>
      <xdr:colOff>627161</xdr:colOff>
      <xdr:row>28</xdr:row>
      <xdr:rowOff>47037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C9E3BCF-64DB-AC41-8A84-C18BEFBB0CC6}"/>
            </a:ext>
          </a:extLst>
        </xdr:cNvPr>
        <xdr:cNvSpPr txBox="1"/>
      </xdr:nvSpPr>
      <xdr:spPr>
        <a:xfrm>
          <a:off x="9924815" y="5754197"/>
          <a:ext cx="7620000" cy="7369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Figure 2. Use this chart to evaluate which conditions are associated with the largest percentage of antibiotic prescriptions. 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0</xdr:col>
      <xdr:colOff>391975</xdr:colOff>
      <xdr:row>41</xdr:row>
      <xdr:rowOff>109754</xdr:rowOff>
    </xdr:from>
    <xdr:to>
      <xdr:col>9</xdr:col>
      <xdr:colOff>188149</xdr:colOff>
      <xdr:row>47</xdr:row>
      <xdr:rowOff>109753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A4CF568-B74C-B64B-B6C0-2A96AAAF3929}"/>
            </a:ext>
          </a:extLst>
        </xdr:cNvPr>
        <xdr:cNvSpPr txBox="1"/>
      </xdr:nvSpPr>
      <xdr:spPr>
        <a:xfrm>
          <a:off x="391975" y="9203581"/>
          <a:ext cx="9234939" cy="122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3.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en-US" sz="1600">
              <a:solidFill>
                <a:schemeClr val="bg2">
                  <a:lumMod val="25000"/>
                </a:schemeClr>
              </a:solidFill>
            </a:rPr>
            <a:t>This chart summarizes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the total number of patients per month and whether they were prescribed antibiotics, not prescribed antibiotics, or utilized watchful waiting*. </a:t>
          </a:r>
        </a:p>
        <a:p>
          <a:pPr algn="ctr"/>
          <a:endParaRPr lang="en-US" sz="1600" baseline="0">
            <a:solidFill>
              <a:schemeClr val="bg2">
                <a:lumMod val="25000"/>
              </a:schemeClr>
            </a:solidFill>
          </a:endParaRPr>
        </a:p>
        <a:p>
          <a:pPr algn="ctr"/>
          <a:r>
            <a:rPr lang="en-US" sz="1600" baseline="0">
              <a:solidFill>
                <a:schemeClr val="accent6">
                  <a:lumMod val="75000"/>
                </a:schemeClr>
              </a:solidFill>
            </a:rPr>
            <a:t>*Watchful waiting is d</a:t>
          </a:r>
          <a:r>
            <a:rPr lang="en-US" sz="1600">
              <a:solidFill>
                <a:schemeClr val="accent6">
                  <a:lumMod val="75000"/>
                </a:schemeClr>
              </a:solidFill>
            </a:rPr>
            <a:t>elayed prescribing for conditions that often self-resolve. </a:t>
          </a:r>
        </a:p>
      </xdr:txBody>
    </xdr:sp>
    <xdr:clientData/>
  </xdr:twoCellAnchor>
  <xdr:twoCellAnchor>
    <xdr:from>
      <xdr:col>0</xdr:col>
      <xdr:colOff>267115</xdr:colOff>
      <xdr:row>69</xdr:row>
      <xdr:rowOff>31549</xdr:rowOff>
    </xdr:from>
    <xdr:to>
      <xdr:col>9</xdr:col>
      <xdr:colOff>282795</xdr:colOff>
      <xdr:row>76</xdr:row>
      <xdr:rowOff>191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4AE4479-33AE-E34D-AE17-DA94961BBD33}"/>
            </a:ext>
          </a:extLst>
        </xdr:cNvPr>
        <xdr:cNvSpPr txBox="1"/>
      </xdr:nvSpPr>
      <xdr:spPr>
        <a:xfrm>
          <a:off x="267115" y="14853378"/>
          <a:ext cx="9385802" cy="1378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4. The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total number of patients using a watchful waiting approach for gastrointestinal disease and upper respiratory tract disease are shown in this graph.</a:t>
          </a:r>
        </a:p>
        <a:p>
          <a:pPr algn="ctr"/>
          <a:endParaRPr lang="en-US" sz="1600" baseline="0">
            <a:solidFill>
              <a:schemeClr val="bg2">
                <a:lumMod val="25000"/>
              </a:schemeClr>
            </a:solidFill>
          </a:endParaRPr>
        </a:p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en-US" sz="1600" i="1" baseline="0">
              <a:solidFill>
                <a:schemeClr val="bg2">
                  <a:lumMod val="25000"/>
                </a:schemeClr>
              </a:solidFill>
            </a:rPr>
            <a:t>These types of conditions often resolve on their own so consider watchful waiting guidance for clients and reduce antibiotic prescriptions that might be unnecessary. </a:t>
          </a:r>
          <a:endParaRPr lang="en-US" sz="1600" i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547619</xdr:colOff>
      <xdr:row>70</xdr:row>
      <xdr:rowOff>62525</xdr:rowOff>
    </xdr:from>
    <xdr:to>
      <xdr:col>19</xdr:col>
      <xdr:colOff>814162</xdr:colOff>
      <xdr:row>72</xdr:row>
      <xdr:rowOff>61952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84FAE90-B13F-FC4E-B483-2F375DF27527}"/>
            </a:ext>
          </a:extLst>
        </xdr:cNvPr>
        <xdr:cNvSpPr txBox="1"/>
      </xdr:nvSpPr>
      <xdr:spPr>
        <a:xfrm>
          <a:off x="9917741" y="15085696"/>
          <a:ext cx="8475080" cy="40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Figure 5. Use this chart to evaluate which antibiotic classes have the highest percentage of usage.</a:t>
          </a:r>
          <a:endParaRPr lang="en-US" sz="1100"/>
        </a:p>
      </xdr:txBody>
    </xdr:sp>
    <xdr:clientData/>
  </xdr:twoCellAnchor>
  <xdr:twoCellAnchor>
    <xdr:from>
      <xdr:col>9</xdr:col>
      <xdr:colOff>486051</xdr:colOff>
      <xdr:row>91</xdr:row>
      <xdr:rowOff>63673</xdr:rowOff>
    </xdr:from>
    <xdr:to>
      <xdr:col>19</xdr:col>
      <xdr:colOff>454692</xdr:colOff>
      <xdr:row>96</xdr:row>
      <xdr:rowOff>957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1C96D7C-8627-4149-A9DD-95C5867D98CC}"/>
            </a:ext>
          </a:extLst>
        </xdr:cNvPr>
        <xdr:cNvSpPr txBox="1"/>
      </xdr:nvSpPr>
      <xdr:spPr>
        <a:xfrm>
          <a:off x="9856173" y="19315014"/>
          <a:ext cx="8177178" cy="943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7. This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graph shows the total number of 1st generation, 2nd generation, and 3rd generation penicillins and cephalosporins prescriptions at the clinic. 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606129</xdr:colOff>
      <xdr:row>114</xdr:row>
      <xdr:rowOff>15488</xdr:rowOff>
    </xdr:from>
    <xdr:to>
      <xdr:col>19</xdr:col>
      <xdr:colOff>98854</xdr:colOff>
      <xdr:row>119</xdr:row>
      <xdr:rowOff>140921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E1826D2-666E-BB48-A6D0-63EF1589A452}"/>
            </a:ext>
          </a:extLst>
        </xdr:cNvPr>
        <xdr:cNvSpPr txBox="1"/>
      </xdr:nvSpPr>
      <xdr:spPr>
        <a:xfrm>
          <a:off x="9976251" y="23897683"/>
          <a:ext cx="7701262" cy="1132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ctr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Figure 8. This graph reflects the total number of antibiotic prescriptions that are considered</a:t>
          </a:r>
          <a:r>
            <a:rPr lang="en-US" sz="1600" baseline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restricted and should not be used in veterinary medicine</a:t>
          </a: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. They are reserved as last-line therapy for human infections. These drugs should NOT be</a:t>
          </a:r>
          <a:r>
            <a:rPr lang="en-US" sz="1600" baseline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kept on-hand in the clinic. The goal for this graph is to show zero</a:t>
          </a:r>
          <a:r>
            <a:rPr lang="en-US" sz="1600" baseline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prescriptions.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</xdr:col>
      <xdr:colOff>187575</xdr:colOff>
      <xdr:row>97</xdr:row>
      <xdr:rowOff>79924</xdr:rowOff>
    </xdr:from>
    <xdr:to>
      <xdr:col>7</xdr:col>
      <xdr:colOff>548193</xdr:colOff>
      <xdr:row>103</xdr:row>
      <xdr:rowOff>79924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1D0B18C-FA43-3441-81C0-18ED8F969E2E}"/>
            </a:ext>
          </a:extLst>
        </xdr:cNvPr>
        <xdr:cNvSpPr txBox="1"/>
      </xdr:nvSpPr>
      <xdr:spPr>
        <a:xfrm>
          <a:off x="1008429" y="20539314"/>
          <a:ext cx="7268179" cy="1208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6. Use this chart to assess how many patients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that were prescribed antibiotics were offered diagnostics compared to how many had diagnostics performed each month.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108414</xdr:colOff>
      <xdr:row>124</xdr:row>
      <xdr:rowOff>92927</xdr:rowOff>
    </xdr:from>
    <xdr:to>
      <xdr:col>19</xdr:col>
      <xdr:colOff>371706</xdr:colOff>
      <xdr:row>150</xdr:row>
      <xdr:rowOff>15488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4B35B5A-87EF-EA44-B479-ABCA12516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409259</xdr:colOff>
      <xdr:row>124</xdr:row>
      <xdr:rowOff>79923</xdr:rowOff>
    </xdr:from>
    <xdr:to>
      <xdr:col>8</xdr:col>
      <xdr:colOff>547236</xdr:colOff>
      <xdr:row>149</xdr:row>
      <xdr:rowOff>187192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F7C88D9-3E61-2948-BEF9-8780DAC60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156791</xdr:colOff>
      <xdr:row>154</xdr:row>
      <xdr:rowOff>170364</xdr:rowOff>
    </xdr:from>
    <xdr:to>
      <xdr:col>8</xdr:col>
      <xdr:colOff>573049</xdr:colOff>
      <xdr:row>184</xdr:row>
      <xdr:rowOff>92925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6460F2E-BC80-4749-B349-6F0436A47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526585</xdr:colOff>
      <xdr:row>184</xdr:row>
      <xdr:rowOff>170365</xdr:rowOff>
    </xdr:from>
    <xdr:to>
      <xdr:col>8</xdr:col>
      <xdr:colOff>387195</xdr:colOff>
      <xdr:row>189</xdr:row>
      <xdr:rowOff>139390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2A2929D-9082-8B4E-8157-926A15D96F65}"/>
            </a:ext>
          </a:extLst>
        </xdr:cNvPr>
        <xdr:cNvSpPr txBox="1"/>
      </xdr:nvSpPr>
      <xdr:spPr>
        <a:xfrm>
          <a:off x="2818780" y="38146463"/>
          <a:ext cx="6117683" cy="975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Figure 11. Age demographics</a:t>
          </a:r>
          <a:r>
            <a:rPr lang="en-US" sz="1800" baseline="0"/>
            <a:t> of patient visits.</a:t>
          </a:r>
          <a:endParaRPr lang="en-US" sz="1800"/>
        </a:p>
      </xdr:txBody>
    </xdr:sp>
    <xdr:clientData/>
  </xdr:twoCellAnchor>
  <xdr:twoCellAnchor>
    <xdr:from>
      <xdr:col>2</xdr:col>
      <xdr:colOff>15487</xdr:colOff>
      <xdr:row>150</xdr:row>
      <xdr:rowOff>77439</xdr:rowOff>
    </xdr:from>
    <xdr:to>
      <xdr:col>7</xdr:col>
      <xdr:colOff>696950</xdr:colOff>
      <xdr:row>153</xdr:row>
      <xdr:rowOff>30976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6403F49-C422-E84C-BF65-6C40209631B6}"/>
            </a:ext>
          </a:extLst>
        </xdr:cNvPr>
        <xdr:cNvSpPr txBox="1"/>
      </xdr:nvSpPr>
      <xdr:spPr>
        <a:xfrm>
          <a:off x="2307682" y="31207927"/>
          <a:ext cx="6117683" cy="557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Figure 9. Sex demographics</a:t>
          </a:r>
          <a:r>
            <a:rPr lang="en-US" sz="1800" baseline="0"/>
            <a:t> of patient visits.</a:t>
          </a:r>
          <a:endParaRPr lang="en-US" sz="1800"/>
        </a:p>
      </xdr:txBody>
    </xdr:sp>
    <xdr:clientData/>
  </xdr:twoCellAnchor>
  <xdr:twoCellAnchor>
    <xdr:from>
      <xdr:col>10</xdr:col>
      <xdr:colOff>681463</xdr:colOff>
      <xdr:row>150</xdr:row>
      <xdr:rowOff>92926</xdr:rowOff>
    </xdr:from>
    <xdr:to>
      <xdr:col>19</xdr:col>
      <xdr:colOff>92926</xdr:colOff>
      <xdr:row>154</xdr:row>
      <xdr:rowOff>30975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5A9E342-DBBC-F146-8C75-46676A2ED547}"/>
            </a:ext>
          </a:extLst>
        </xdr:cNvPr>
        <xdr:cNvSpPr txBox="1"/>
      </xdr:nvSpPr>
      <xdr:spPr>
        <a:xfrm>
          <a:off x="10872439" y="31223414"/>
          <a:ext cx="6799146" cy="743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Figure 10. Species demographics</a:t>
          </a:r>
          <a:r>
            <a:rPr lang="en-US" sz="1800" baseline="0"/>
            <a:t> of patient visits.</a:t>
          </a:r>
          <a:endParaRPr lang="en-US" sz="1800"/>
        </a:p>
      </xdr:txBody>
    </xdr:sp>
    <xdr:clientData/>
  </xdr:twoCellAnchor>
  <xdr:twoCellAnchor>
    <xdr:from>
      <xdr:col>9</xdr:col>
      <xdr:colOff>216831</xdr:colOff>
      <xdr:row>154</xdr:row>
      <xdr:rowOff>185853</xdr:rowOff>
    </xdr:from>
    <xdr:to>
      <xdr:col>19</xdr:col>
      <xdr:colOff>170366</xdr:colOff>
      <xdr:row>184</xdr:row>
      <xdr:rowOff>30975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9391617-05F3-FE44-8990-A4B8CA670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11</xdr:col>
      <xdr:colOff>449147</xdr:colOff>
      <xdr:row>184</xdr:row>
      <xdr:rowOff>170365</xdr:rowOff>
    </xdr:from>
    <xdr:ext cx="3866828" cy="546112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399496B-8530-F342-BA28-F1AD006137B2}"/>
            </a:ext>
          </a:extLst>
        </xdr:cNvPr>
        <xdr:cNvSpPr txBox="1"/>
      </xdr:nvSpPr>
      <xdr:spPr>
        <a:xfrm>
          <a:off x="11460976" y="38146463"/>
          <a:ext cx="3866828" cy="546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/>
            <a:t>Figure 12. Reason for visit percentages.</a:t>
          </a:r>
        </a:p>
        <a:p>
          <a:endParaRPr lang="en-US" sz="110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0.3641</cdr:x>
      <cdr:y>0.9004</cdr:y>
    </cdr:from>
    <cdr:to>
      <cdr:x>0.44872</cdr:x>
      <cdr:y>0.98406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65EE2E-E145-CA41-BAF9-517DAF360761}"/>
            </a:ext>
          </a:extLst>
        </cdr:cNvPr>
        <cdr:cNvSpPr txBox="1"/>
      </cdr:nvSpPr>
      <cdr:spPr>
        <a:xfrm xmlns:a="http://schemas.openxmlformats.org/drawingml/2006/main">
          <a:off x="1803400" y="2870200"/>
          <a:ext cx="4191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0.79828</cdr:x>
      <cdr:y>0.06007</cdr:y>
    </cdr:from>
    <cdr:to>
      <cdr:x>0.92586</cdr:x>
      <cdr:y>0.32155</cdr:y>
    </cdr:to>
    <cdr:sp macro="" textlink="">
      <cdr:nvSpPr>
        <cdr:cNvPr id="2" name="Summing Junction 1">
          <a:extLst xmlns:a="http://schemas.openxmlformats.org/drawingml/2006/main">
            <a:ext uri="{FF2B5EF4-FFF2-40B4-BE49-F238E27FC236}">
              <a16:creationId xmlns:a16="http://schemas.microsoft.com/office/drawing/2014/main" id="{F0A936C9-178D-5F46-8189-DF88687B477C}"/>
            </a:ext>
          </a:extLst>
        </cdr:cNvPr>
        <cdr:cNvSpPr/>
      </cdr:nvSpPr>
      <cdr:spPr>
        <a:xfrm xmlns:a="http://schemas.openxmlformats.org/drawingml/2006/main">
          <a:off x="5880100" y="215900"/>
          <a:ext cx="939800" cy="939800"/>
        </a:xfrm>
        <a:prstGeom xmlns:a="http://schemas.openxmlformats.org/drawingml/2006/main" prst="flowChartSummingJunction">
          <a:avLst/>
        </a:prstGeom>
        <a:solidFill xmlns:a="http://schemas.openxmlformats.org/drawingml/2006/main">
          <a:srgbClr val="FF0000"/>
        </a:solidFill>
        <a:ln xmlns:a="http://schemas.openxmlformats.org/drawingml/2006/main" w="571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0.73621</cdr:x>
      <cdr:y>0.34629</cdr:y>
    </cdr:from>
    <cdr:to>
      <cdr:x>0.98966</cdr:x>
      <cdr:y>0.75618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732F4B6-5F47-DC48-8551-78D6C0737BE5}"/>
            </a:ext>
          </a:extLst>
        </cdr:cNvPr>
        <cdr:cNvSpPr txBox="1"/>
      </cdr:nvSpPr>
      <cdr:spPr>
        <a:xfrm xmlns:a="http://schemas.openxmlformats.org/drawingml/2006/main">
          <a:off x="5422900" y="1244600"/>
          <a:ext cx="1866900" cy="147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 i="1">
              <a:effectLst/>
              <a:latin typeface="+mn-lt"/>
              <a:ea typeface="+mn-ea"/>
              <a:cs typeface="+mn-cs"/>
            </a:rPr>
            <a:t>These drugs should NOT be used, as they are reserved as last-line therapy for human infections. </a:t>
          </a:r>
          <a:endParaRPr lang="en-US" sz="1200" b="1"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tables/table1.xml><?xml version="1.0" encoding="utf-8"?>
<table xmlns="http://schemas.openxmlformats.org/spreadsheetml/2006/main" id="8" name="Total_Patients" displayName="Total_Patients" ref="B9:C22" totalsRowCount="1" headerRowDxfId="2286" dataDxfId="2284" totalsRowDxfId="2282" headerRowBorderDxfId="2285" tableBorderDxfId="2283" totalsRowBorderDxfId="2281">
  <autoFilter ref="B9:C21"/>
  <tableColumns count="2">
    <tableColumn id="1" name="Month" totalsRowLabel="Total" dataDxfId="2280" totalsRowDxfId="2279"/>
    <tableColumn id="2" name="Patients Seen per Month" totalsRowFunction="custom" dataDxfId="2278" totalsRowDxfId="2277">
      <totalsRowFormula>SUM(Total_Patients[Patients Seen per Month])</totalsRowFormula>
    </tableColumn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22" name="August" displayName="August" ref="A3:CM202" totalsRowCount="1" headerRowDxfId="971" dataDxfId="969" totalsRowDxfId="968" headerRowBorderDxfId="970">
  <autoFilter ref="A3:CM201"/>
  <tableColumns count="91">
    <tableColumn id="1" name="Date of Service" totalsRowLabel="Total" dataDxfId="967" totalsRowDxfId="966"/>
    <tableColumn id="3" name="Attending Clinician" dataDxfId="965" totalsRowDxfId="964"/>
    <tableColumn id="4" name="Patient Medical Record Number" dataDxfId="963" totalsRowDxfId="962"/>
    <tableColumn id="5" name="Patient Species" dataDxfId="961" totalsRowDxfId="960"/>
    <tableColumn id="6" name="Patient Sex" dataDxfId="959" totalsRowDxfId="958"/>
    <tableColumn id="7" name="Patient Age" dataDxfId="957" totalsRowDxfId="956"/>
    <tableColumn id="8" name="Reason for Visit" dataDxfId="955" totalsRowDxfId="954"/>
    <tableColumn id="9" name="If Other Reason for Visit Explain" dataDxfId="953" totalsRowDxfId="952"/>
    <tableColumn id="10" name="Patient Prescribed Antibiotic (Y/N/WW)" dataDxfId="951" totalsRowDxfId="950"/>
    <tableColumn id="11" name="Total Number of Antibiotics Prescribed for Patient" dataDxfId="949" totalsRowDxfId="948"/>
    <tableColumn id="13" name="Disease/Infection Type" dataDxfId="947" totalsRowDxfId="946"/>
    <tableColumn id="14" name="If Other Disease/Infection Type Explain" dataDxfId="945" totalsRowDxfId="944"/>
    <tableColumn id="15" name="Disease Description" dataDxfId="943" totalsRowDxfId="942"/>
    <tableColumn id="16" name="Number of Antibiotics Prescribed for this Condition " dataDxfId="941" totalsRowDxfId="940"/>
    <tableColumn id="17" name="Diagnostics Offered for Infectious Condition (Y/N)" dataDxfId="939" totalsRowDxfId="938"/>
    <tableColumn id="18" name="Diagnostic Performed for Infectious Condition (Y/N)" dataDxfId="937" totalsRowDxfId="936"/>
    <tableColumn id="23" name="Drug Name" dataDxfId="935" totalsRowDxfId="934"/>
    <tableColumn id="24" name="Drug Class" dataDxfId="933" totalsRowDxfId="932">
      <calculatedColumnFormula>IFERROR(VLOOKUP(August[[#This Row],[Drug Name]],'Data Options'!$R$1:$S$100,2,FALSE), " ")</calculatedColumnFormula>
    </tableColumn>
    <tableColumn id="25" name="Dose (in mg)" dataDxfId="931" totalsRowDxfId="930"/>
    <tableColumn id="26" name="Frequency" dataDxfId="929" totalsRowDxfId="928"/>
    <tableColumn id="27" name="Route" dataDxfId="927" totalsRowDxfId="926"/>
    <tableColumn id="28" name="Duration _x000a_(in days)" dataDxfId="925" totalsRowDxfId="924"/>
    <tableColumn id="30" name="Location Filled " dataDxfId="923" totalsRowDxfId="922"/>
    <tableColumn id="31" name="Drug Name2" dataDxfId="921" totalsRowDxfId="920"/>
    <tableColumn id="32" name="Drug Class2" dataDxfId="919" totalsRowDxfId="918">
      <calculatedColumnFormula>IFERROR(VLOOKUP(August[[#This Row],[Drug Name2]],'Data Options'!$R$1:$S$100,2,FALSE), " ")</calculatedColumnFormula>
    </tableColumn>
    <tableColumn id="33" name="Dose (in mg)2" dataDxfId="917" totalsRowDxfId="916"/>
    <tableColumn id="34" name="Frequency2" dataDxfId="915" totalsRowDxfId="914"/>
    <tableColumn id="35" name="Route2" dataDxfId="913" totalsRowDxfId="912"/>
    <tableColumn id="36" name="Duration _x000a_(in days)2" dataDxfId="911" totalsRowDxfId="910"/>
    <tableColumn id="38" name="Location Filled2" dataDxfId="909" totalsRowDxfId="908"/>
    <tableColumn id="39" name="Drug Name3" dataDxfId="907" totalsRowDxfId="906"/>
    <tableColumn id="40" name="Drug Class3" dataDxfId="905" totalsRowDxfId="904">
      <calculatedColumnFormula>IFERROR(VLOOKUP(August[[#This Row],[Drug Name3]],'Data Options'!$R$1:$S$100,2,FALSE), " ")</calculatedColumnFormula>
    </tableColumn>
    <tableColumn id="41" name="Dose (in mg)3" dataDxfId="903" totalsRowDxfId="902"/>
    <tableColumn id="42" name="Frequency3" dataDxfId="901" totalsRowDxfId="900"/>
    <tableColumn id="43" name="Route3" dataDxfId="899" totalsRowDxfId="898"/>
    <tableColumn id="44" name="Duration _x000a_(in days)3" dataDxfId="897" totalsRowDxfId="896"/>
    <tableColumn id="46" name="Location Filled3" dataDxfId="895" totalsRowDxfId="894"/>
    <tableColumn id="47" name="Disease/Infection Type2" dataDxfId="893" totalsRowDxfId="892"/>
    <tableColumn id="48" name="If Other Disease/Infection Type Explain2" dataDxfId="891" totalsRowDxfId="890"/>
    <tableColumn id="49" name="Disease Description2" dataDxfId="889" totalsRowDxfId="888"/>
    <tableColumn id="50" name="Number of Antibiotics Prescribed for this Condition2" dataDxfId="887" totalsRowDxfId="886"/>
    <tableColumn id="51" name="Diagnostics Offered for Infectious Condition (Y/N)2" dataDxfId="885" totalsRowDxfId="884"/>
    <tableColumn id="52" name="Diagnostic Performed for Infectious Condition (Y/N)2" dataDxfId="883" totalsRowDxfId="882"/>
    <tableColumn id="57" name="Drug Name4" dataDxfId="881" totalsRowDxfId="880"/>
    <tableColumn id="58" name="Drug Class4" dataDxfId="879" totalsRowDxfId="878">
      <calculatedColumnFormula>IFERROR(VLOOKUP(August[[#This Row],[Drug Name4]],'Data Options'!$R$1:$S$100,2,FALSE), " ")</calculatedColumnFormula>
    </tableColumn>
    <tableColumn id="59" name="Dose (in mg)4" dataDxfId="877" totalsRowDxfId="876"/>
    <tableColumn id="60" name="Frequency4" dataDxfId="875" totalsRowDxfId="874"/>
    <tableColumn id="61" name="Route4" dataDxfId="873" totalsRowDxfId="872"/>
    <tableColumn id="62" name="Duration _x000a_(in days)4" dataDxfId="871" totalsRowDxfId="870"/>
    <tableColumn id="64" name="Location Filled4" dataDxfId="869" totalsRowDxfId="868"/>
    <tableColumn id="65" name="Drug Name5" dataDxfId="867" totalsRowDxfId="866"/>
    <tableColumn id="66" name="Drug Class5" dataDxfId="865" totalsRowDxfId="864">
      <calculatedColumnFormula>IFERROR(VLOOKUP(August[[#This Row],[Drug Name5]],'Data Options'!$R$1:$S$100,2,FALSE), " ")</calculatedColumnFormula>
    </tableColumn>
    <tableColumn id="67" name="Dose (in mg)5" dataDxfId="863" totalsRowDxfId="862"/>
    <tableColumn id="68" name="Frequency5" dataDxfId="861" totalsRowDxfId="860"/>
    <tableColumn id="69" name="Route5" dataDxfId="859" totalsRowDxfId="858"/>
    <tableColumn id="70" name="Duration _x000a_(in days)5" dataDxfId="857" totalsRowDxfId="856"/>
    <tableColumn id="72" name="Location Filled5" dataDxfId="855" totalsRowDxfId="854"/>
    <tableColumn id="73" name="Drug Name6" dataDxfId="853" totalsRowDxfId="852"/>
    <tableColumn id="74" name="Drug Class6" dataDxfId="851" totalsRowDxfId="850">
      <calculatedColumnFormula>IFERROR(VLOOKUP(August[[#This Row],[Drug Name6]],'Data Options'!$R$1:$S$100,2,FALSE), " ")</calculatedColumnFormula>
    </tableColumn>
    <tableColumn id="75" name="Dose (in mg)6" dataDxfId="849" totalsRowDxfId="848"/>
    <tableColumn id="76" name="Frequency6" dataDxfId="847" totalsRowDxfId="846"/>
    <tableColumn id="77" name="Route6" dataDxfId="845" totalsRowDxfId="844"/>
    <tableColumn id="78" name="Duration _x000a_(in days)6" dataDxfId="843" totalsRowDxfId="842"/>
    <tableColumn id="80" name="Location Filled6" dataDxfId="841" totalsRowDxfId="840"/>
    <tableColumn id="81" name="Disease/Infection Type3" dataDxfId="839" totalsRowDxfId="838"/>
    <tableColumn id="82" name="If Other Disease/Infection Type Explain3" dataDxfId="837" totalsRowDxfId="836"/>
    <tableColumn id="83" name="Disease Description3" dataDxfId="835" totalsRowDxfId="834"/>
    <tableColumn id="84" name="Number of Antibiotics Prescribed for this Condition3" dataDxfId="833" totalsRowDxfId="832"/>
    <tableColumn id="85" name="Diagnostics Offered for Infectious Condition (Y/N)3" dataDxfId="831" totalsRowDxfId="830"/>
    <tableColumn id="86" name="Diagnostic Performed for Infectious Condition (Y/N)3" dataDxfId="829" totalsRowDxfId="828"/>
    <tableColumn id="91" name="Drug Name7" dataDxfId="827" totalsRowDxfId="826"/>
    <tableColumn id="92" name="Drug Class7" dataDxfId="825" totalsRowDxfId="824">
      <calculatedColumnFormula>IFERROR(VLOOKUP(August[[#This Row],[Drug Name7]],'Data Options'!$R$1:$S$100,2,FALSE), " ")</calculatedColumnFormula>
    </tableColumn>
    <tableColumn id="93" name="Dose (in mg)7" dataDxfId="823" totalsRowDxfId="822"/>
    <tableColumn id="94" name="Frequency7" dataDxfId="821" totalsRowDxfId="820"/>
    <tableColumn id="95" name="Route7" dataDxfId="819" totalsRowDxfId="818"/>
    <tableColumn id="96" name="Duration _x000a_(in days)7" dataDxfId="817" totalsRowDxfId="816"/>
    <tableColumn id="98" name="Locatio  Filled7" dataDxfId="815" totalsRowDxfId="814"/>
    <tableColumn id="99" name="Drug Name8" dataDxfId="813" totalsRowDxfId="812"/>
    <tableColumn id="100" name="Drug Class8" dataDxfId="811" totalsRowDxfId="810">
      <calculatedColumnFormula>IFERROR(VLOOKUP(August[[#This Row],[Drug Name8]],'Data Options'!$R$1:$S$100,2,FALSE), " ")</calculatedColumnFormula>
    </tableColumn>
    <tableColumn id="101" name="Dose (in mg)8" dataDxfId="809" totalsRowDxfId="808"/>
    <tableColumn id="102" name="Frequency8" dataDxfId="807" totalsRowDxfId="806"/>
    <tableColumn id="103" name="Route8" dataDxfId="805" totalsRowDxfId="804"/>
    <tableColumn id="104" name="Duration _x000a_(in days)8" dataDxfId="803" totalsRowDxfId="802"/>
    <tableColumn id="106" name="Location Filled8" dataDxfId="801" totalsRowDxfId="800"/>
    <tableColumn id="107" name="Drug Name9" dataDxfId="799" totalsRowDxfId="798"/>
    <tableColumn id="108" name="Drug Class9" dataDxfId="797" totalsRowDxfId="796">
      <calculatedColumnFormula>IFERROR(VLOOKUP(August[[#This Row],[Drug Name9]],'Data Options'!$R$1:$S$100,2,FALSE), " ")</calculatedColumnFormula>
    </tableColumn>
    <tableColumn id="109" name="Dose (in mg)9" dataDxfId="795" totalsRowDxfId="794"/>
    <tableColumn id="110" name="Frequency9" dataDxfId="793" totalsRowDxfId="792"/>
    <tableColumn id="111" name="Route9" dataDxfId="791" totalsRowDxfId="790"/>
    <tableColumn id="112" name="Duration _x000a_(in days)9" dataDxfId="789" totalsRowDxfId="788"/>
    <tableColumn id="114" name="Location Filled9" totalsRowFunction="count" dataDxfId="787" totalsRowDxfId="786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id="23" name="September" displayName="September" ref="A3:CM202" totalsRowCount="1" headerRowDxfId="785" dataDxfId="783" totalsRowDxfId="782" headerRowBorderDxfId="784">
  <autoFilter ref="A3:CM201"/>
  <tableColumns count="91">
    <tableColumn id="1" name="Date of Service" totalsRowLabel="Total" dataDxfId="781" totalsRowDxfId="780"/>
    <tableColumn id="3" name="Attending Clinician" dataDxfId="779" totalsRowDxfId="778"/>
    <tableColumn id="4" name="Patient Medical Record Number" dataDxfId="777" totalsRowDxfId="776"/>
    <tableColumn id="5" name="Patient Species" dataDxfId="775" totalsRowDxfId="774"/>
    <tableColumn id="6" name="Patient Sex" dataDxfId="773" totalsRowDxfId="772"/>
    <tableColumn id="7" name="Patient Age" dataDxfId="771" totalsRowDxfId="770"/>
    <tableColumn id="8" name="Reason for Visit" dataDxfId="769" totalsRowDxfId="768"/>
    <tableColumn id="9" name="If Other Reason for Visit Explain" dataDxfId="767" totalsRowDxfId="766"/>
    <tableColumn id="10" name="Patient Prescribed Antibiotic (Y/N/WW)" dataDxfId="765" totalsRowDxfId="764"/>
    <tableColumn id="11" name="Total Number of Antibiotics Prescribed for Patient" dataDxfId="763" totalsRowDxfId="762"/>
    <tableColumn id="13" name="Disease/Infection Type" dataDxfId="761" totalsRowDxfId="760"/>
    <tableColumn id="14" name="If Other Disease/Infection Type Explain" dataDxfId="759" totalsRowDxfId="758"/>
    <tableColumn id="15" name="Disease Description" dataDxfId="757" totalsRowDxfId="756"/>
    <tableColumn id="16" name="Number of Antibiotics Prescribed for this Condition " dataDxfId="755" totalsRowDxfId="754"/>
    <tableColumn id="17" name="Diagnostics Offered for Infectious Condition (Y/N)" dataDxfId="753" totalsRowDxfId="752"/>
    <tableColumn id="18" name="Diagnostic Performed for Infectious Condition (Y/N)" dataDxfId="751" totalsRowDxfId="750"/>
    <tableColumn id="23" name="Drug Name" dataDxfId="749" totalsRowDxfId="748"/>
    <tableColumn id="24" name="Drug Class" dataDxfId="747" totalsRowDxfId="746">
      <calculatedColumnFormula>IFERROR(VLOOKUP(September[[#This Row],[Drug Name]],'Data Options'!$R$1:$S$100,2,FALSE), " ")</calculatedColumnFormula>
    </tableColumn>
    <tableColumn id="25" name="Dose (in mg)" dataDxfId="745" totalsRowDxfId="744"/>
    <tableColumn id="26" name="Frequency" dataDxfId="743" totalsRowDxfId="742"/>
    <tableColumn id="27" name="Route" dataDxfId="741" totalsRowDxfId="740"/>
    <tableColumn id="28" name="Duration _x000a_(in days)" dataDxfId="739" totalsRowDxfId="738"/>
    <tableColumn id="30" name="Location Filled " dataDxfId="737" totalsRowDxfId="736"/>
    <tableColumn id="31" name="Drug Name2" dataDxfId="735" totalsRowDxfId="734"/>
    <tableColumn id="32" name="Drug Class2" dataDxfId="733" totalsRowDxfId="732">
      <calculatedColumnFormula>IFERROR(VLOOKUP(September[[#This Row],[Drug Name2]],'Data Options'!$R$1:$S$100,2,FALSE), " ")</calculatedColumnFormula>
    </tableColumn>
    <tableColumn id="33" name="Dose (in mg)2" dataDxfId="731" totalsRowDxfId="730"/>
    <tableColumn id="34" name="Frequency2" dataDxfId="729" totalsRowDxfId="728"/>
    <tableColumn id="35" name="Route2" dataDxfId="727" totalsRowDxfId="726"/>
    <tableColumn id="36" name="Duration _x000a_(in days)2" dataDxfId="725" totalsRowDxfId="724"/>
    <tableColumn id="38" name="Location Filled2" dataDxfId="723" totalsRowDxfId="722"/>
    <tableColumn id="39" name="Drug Name3" dataDxfId="721" totalsRowDxfId="720"/>
    <tableColumn id="40" name="Drug Class3" dataDxfId="719" totalsRowDxfId="718">
      <calculatedColumnFormula>IFERROR(VLOOKUP(September[[#This Row],[Drug Name3]],'Data Options'!$R$1:$S$100,2,FALSE), " ")</calculatedColumnFormula>
    </tableColumn>
    <tableColumn id="41" name="Dose (in mg)3" dataDxfId="717" totalsRowDxfId="716"/>
    <tableColumn id="42" name="Frequency3" dataDxfId="715" totalsRowDxfId="714"/>
    <tableColumn id="43" name="Route3" dataDxfId="713" totalsRowDxfId="712"/>
    <tableColumn id="44" name="Duration _x000a_(in days)3" dataDxfId="711" totalsRowDxfId="710"/>
    <tableColumn id="46" name="Location Filled3" dataDxfId="709" totalsRowDxfId="708"/>
    <tableColumn id="47" name="Disease/Infection Type2" dataDxfId="707" totalsRowDxfId="706"/>
    <tableColumn id="48" name="If Other Disease/Infection Type Explain2" dataDxfId="705" totalsRowDxfId="704"/>
    <tableColumn id="49" name="Disease Description2" dataDxfId="703" totalsRowDxfId="702"/>
    <tableColumn id="50" name="Number of Antibiotics Prescribed for this Condition2" dataDxfId="701" totalsRowDxfId="700"/>
    <tableColumn id="51" name="Diagnostics Offered for Infectious Condition (Y/N)2" dataDxfId="699" totalsRowDxfId="698"/>
    <tableColumn id="52" name="Diagnostic Performed for Infectious Condition (Y/N)2" dataDxfId="697" totalsRowDxfId="696"/>
    <tableColumn id="57" name="Drug Name4" dataDxfId="695" totalsRowDxfId="694"/>
    <tableColumn id="58" name="Drug Class4" dataDxfId="693" totalsRowDxfId="692">
      <calculatedColumnFormula>IFERROR(VLOOKUP(September[[#This Row],[Drug Name4]],'Data Options'!$R$1:$S$100,2,FALSE), " ")</calculatedColumnFormula>
    </tableColumn>
    <tableColumn id="59" name="Dose (in mg)4" dataDxfId="691" totalsRowDxfId="690"/>
    <tableColumn id="60" name="Frequency4" dataDxfId="689" totalsRowDxfId="688"/>
    <tableColumn id="61" name="Route4" dataDxfId="687" totalsRowDxfId="686"/>
    <tableColumn id="62" name="Duration _x000a_(in days)4" dataDxfId="685" totalsRowDxfId="684"/>
    <tableColumn id="64" name="Location Filled4" dataDxfId="683" totalsRowDxfId="682"/>
    <tableColumn id="65" name="Drug Name5" dataDxfId="681" totalsRowDxfId="680"/>
    <tableColumn id="66" name="Drug Class5" dataDxfId="679" totalsRowDxfId="678">
      <calculatedColumnFormula>IFERROR(VLOOKUP(September[[#This Row],[Drug Name5]],'Data Options'!$R$1:$S$100,2,FALSE), " ")</calculatedColumnFormula>
    </tableColumn>
    <tableColumn id="67" name="Dose (in mg)5" dataDxfId="677" totalsRowDxfId="676"/>
    <tableColumn id="68" name="Frequency5" dataDxfId="675" totalsRowDxfId="674"/>
    <tableColumn id="69" name="Route5" dataDxfId="673" totalsRowDxfId="672"/>
    <tableColumn id="70" name="Duration _x000a_(in days)5" dataDxfId="671" totalsRowDxfId="670"/>
    <tableColumn id="72" name="Location Filled5" dataDxfId="669" totalsRowDxfId="668"/>
    <tableColumn id="73" name="Drug Name6" dataDxfId="667" totalsRowDxfId="666"/>
    <tableColumn id="74" name="Drug Class6" dataDxfId="665" totalsRowDxfId="664">
      <calculatedColumnFormula>IFERROR(VLOOKUP(September[[#This Row],[Drug Name6]],'Data Options'!$R$1:$S$100,2,FALSE), " ")</calculatedColumnFormula>
    </tableColumn>
    <tableColumn id="75" name="Dose (in mg)6" dataDxfId="663" totalsRowDxfId="662"/>
    <tableColumn id="76" name="Frequency6" dataDxfId="661" totalsRowDxfId="660"/>
    <tableColumn id="77" name="Route6" dataDxfId="659" totalsRowDxfId="658"/>
    <tableColumn id="78" name="Duration _x000a_(in days)6" dataDxfId="657" totalsRowDxfId="656"/>
    <tableColumn id="80" name="Location Filled6" dataDxfId="655" totalsRowDxfId="654"/>
    <tableColumn id="81" name="Disease/Infection Type3" dataDxfId="653" totalsRowDxfId="652"/>
    <tableColumn id="82" name="If Other Disease/Infection Type Explain3" dataDxfId="651" totalsRowDxfId="650"/>
    <tableColumn id="83" name="Disease Description3" dataDxfId="649" totalsRowDxfId="648"/>
    <tableColumn id="84" name="Number of Antibiotics Prescribed for this Condition3" dataDxfId="647" totalsRowDxfId="646"/>
    <tableColumn id="85" name="Diagnostics Offered for Infectious Condition (Y/N)3" dataDxfId="645" totalsRowDxfId="644"/>
    <tableColumn id="86" name="Diagnostic Performed for Infectious Condition (Y/N)3" dataDxfId="643" totalsRowDxfId="642"/>
    <tableColumn id="91" name="Drug Name7" dataDxfId="641" totalsRowDxfId="640"/>
    <tableColumn id="92" name="Drug Class7" dataDxfId="639" totalsRowDxfId="638">
      <calculatedColumnFormula>IFERROR(VLOOKUP(September[[#This Row],[Drug Name7]],'Data Options'!$R$1:$S$100,2,FALSE), " ")</calculatedColumnFormula>
    </tableColumn>
    <tableColumn id="93" name="Dose (in mg)7" dataDxfId="637" totalsRowDxfId="636"/>
    <tableColumn id="94" name="Frequency7" dataDxfId="635" totalsRowDxfId="634"/>
    <tableColumn id="95" name="Route7" dataDxfId="633" totalsRowDxfId="632"/>
    <tableColumn id="96" name="Duration _x000a_(in days)7" dataDxfId="631" totalsRowDxfId="630"/>
    <tableColumn id="98" name="Locatio  Filled7" dataDxfId="629" totalsRowDxfId="628"/>
    <tableColumn id="99" name="Drug Name8" dataDxfId="627" totalsRowDxfId="626"/>
    <tableColumn id="100" name="Drug Class8" dataDxfId="625" totalsRowDxfId="624">
      <calculatedColumnFormula>IFERROR(VLOOKUP(September[[#This Row],[Drug Name8]],'Data Options'!$R$1:$S$100,2,FALSE), " ")</calculatedColumnFormula>
    </tableColumn>
    <tableColumn id="101" name="Dose (in mg)8" dataDxfId="623" totalsRowDxfId="622"/>
    <tableColumn id="102" name="Frequency8" dataDxfId="621" totalsRowDxfId="620"/>
    <tableColumn id="103" name="Route8" dataDxfId="619" totalsRowDxfId="618"/>
    <tableColumn id="104" name="Duration _x000a_(in days)8" dataDxfId="617" totalsRowDxfId="616"/>
    <tableColumn id="106" name="Location Filled8" dataDxfId="615" totalsRowDxfId="614"/>
    <tableColumn id="107" name="Drug Name9" dataDxfId="613" totalsRowDxfId="612"/>
    <tableColumn id="108" name="Drug Class9" dataDxfId="611" totalsRowDxfId="610">
      <calculatedColumnFormula>IFERROR(VLOOKUP(September[[#This Row],[Drug Name9]],'Data Options'!$R$1:$S$100,2,FALSE), " ")</calculatedColumnFormula>
    </tableColumn>
    <tableColumn id="109" name="Dose (in mg)9" dataDxfId="609" totalsRowDxfId="608"/>
    <tableColumn id="110" name="Frequency9" dataDxfId="607" totalsRowDxfId="606"/>
    <tableColumn id="111" name="Route9" dataDxfId="605" totalsRowDxfId="604"/>
    <tableColumn id="112" name="Duration _x000a_(in days)9" dataDxfId="603" totalsRowDxfId="602"/>
    <tableColumn id="114" name="Location Filled9" totalsRowFunction="count" dataDxfId="601" totalsRowDxfId="600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id="24" name="October" displayName="October" ref="A3:CM202" totalsRowCount="1" headerRowDxfId="599" dataDxfId="597" totalsRowDxfId="596" headerRowBorderDxfId="598">
  <autoFilter ref="A3:CM201"/>
  <tableColumns count="91">
    <tableColumn id="1" name="Date of Service" totalsRowLabel="Total" dataDxfId="595" totalsRowDxfId="594"/>
    <tableColumn id="3" name="Attending Clinician" dataDxfId="593" totalsRowDxfId="592"/>
    <tableColumn id="4" name="Patient Medical Record Number" dataDxfId="591" totalsRowDxfId="590"/>
    <tableColumn id="5" name="Patient Species" dataDxfId="589" totalsRowDxfId="588"/>
    <tableColumn id="6" name="Patient Sex" dataDxfId="587" totalsRowDxfId="586"/>
    <tableColumn id="7" name="Patient Age" dataDxfId="585" totalsRowDxfId="584"/>
    <tableColumn id="8" name="Reason for Visit" dataDxfId="583" totalsRowDxfId="582"/>
    <tableColumn id="9" name="If Other Reason for Visit Explain" dataDxfId="581" totalsRowDxfId="580"/>
    <tableColumn id="10" name="Patient Prescribed Antibiotic (Y/N/WW)" dataDxfId="579" totalsRowDxfId="578"/>
    <tableColumn id="11" name="Total Number of Antibiotics Prescribed for Patient" dataDxfId="577" totalsRowDxfId="576"/>
    <tableColumn id="13" name="Disease/Infection Type" dataDxfId="575" totalsRowDxfId="574"/>
    <tableColumn id="14" name="If Other Disease/Infection Type Explain" dataDxfId="573" totalsRowDxfId="572"/>
    <tableColumn id="15" name="Disease Description" dataDxfId="571" totalsRowDxfId="570"/>
    <tableColumn id="16" name="Number of Antibiotics Prescribed for this Condition " dataDxfId="569" totalsRowDxfId="568"/>
    <tableColumn id="17" name="Diagnostics Offered for Infectious Condition (Y/N)" dataDxfId="567" totalsRowDxfId="566"/>
    <tableColumn id="18" name="Diagnostic Performed for Infectious Condition (Y/N)" dataDxfId="565" totalsRowDxfId="564"/>
    <tableColumn id="23" name="Drug Name" dataDxfId="563" totalsRowDxfId="562"/>
    <tableColumn id="24" name="Drug Class" dataDxfId="561" totalsRowDxfId="560">
      <calculatedColumnFormula>IFERROR(VLOOKUP(October[[#This Row],[Drug Name]],'Data Options'!$R$1:$S$100,2,FALSE), " ")</calculatedColumnFormula>
    </tableColumn>
    <tableColumn id="25" name="Dose (in mg)" dataDxfId="559" totalsRowDxfId="558"/>
    <tableColumn id="26" name="Frequency" dataDxfId="557" totalsRowDxfId="556"/>
    <tableColumn id="27" name="Route" dataDxfId="555" totalsRowDxfId="554"/>
    <tableColumn id="28" name="Duration _x000a_(in days)" dataDxfId="553" totalsRowDxfId="552"/>
    <tableColumn id="30" name="Location Filled " dataDxfId="551" totalsRowDxfId="550"/>
    <tableColumn id="31" name="Drug Name2" dataDxfId="549" totalsRowDxfId="548"/>
    <tableColumn id="32" name="Drug Class2" dataDxfId="547" totalsRowDxfId="546">
      <calculatedColumnFormula>IFERROR(VLOOKUP(October[[#This Row],[Drug Name2]],'Data Options'!$R$1:$S$100,2,FALSE), " ")</calculatedColumnFormula>
    </tableColumn>
    <tableColumn id="33" name="Dose (in mg)2" dataDxfId="545" totalsRowDxfId="544"/>
    <tableColumn id="34" name="Frequency2" dataDxfId="543" totalsRowDxfId="542"/>
    <tableColumn id="35" name="Route2" dataDxfId="541" totalsRowDxfId="540"/>
    <tableColumn id="36" name="Duration _x000a_(in days)2" dataDxfId="539" totalsRowDxfId="538"/>
    <tableColumn id="38" name="Location Filled2" dataDxfId="537" totalsRowDxfId="536"/>
    <tableColumn id="39" name="Drug Name3" dataDxfId="535" totalsRowDxfId="534"/>
    <tableColumn id="40" name="Drug Class3" dataDxfId="533" totalsRowDxfId="532">
      <calculatedColumnFormula>IFERROR(VLOOKUP(October[[#This Row],[Drug Name3]],'Data Options'!$R$1:$S$100,2,FALSE), " ")</calculatedColumnFormula>
    </tableColumn>
    <tableColumn id="41" name="Dose (in mg)3" dataDxfId="531" totalsRowDxfId="530"/>
    <tableColumn id="42" name="Frequency3" dataDxfId="529" totalsRowDxfId="528"/>
    <tableColumn id="43" name="Route3" dataDxfId="527" totalsRowDxfId="526"/>
    <tableColumn id="44" name="Duration _x000a_(in days)3" dataDxfId="525" totalsRowDxfId="524"/>
    <tableColumn id="46" name="Location Filled3" dataDxfId="523" totalsRowDxfId="522"/>
    <tableColumn id="47" name="Disease/Infection Type2" dataDxfId="521" totalsRowDxfId="520"/>
    <tableColumn id="48" name="If Other Disease/Infection Type Explain2" dataDxfId="519" totalsRowDxfId="518"/>
    <tableColumn id="49" name="Disease Description2" dataDxfId="517" totalsRowDxfId="516"/>
    <tableColumn id="50" name="Number of Antibiotics Prescribed for this Condition2" dataDxfId="515" totalsRowDxfId="514"/>
    <tableColumn id="51" name="Diagnostics Offered for Infectious Condition (Y/N)2" dataDxfId="513" totalsRowDxfId="512"/>
    <tableColumn id="52" name="Diagnostic Performed for Infectious Condition (Y/N)2" dataDxfId="511" totalsRowDxfId="510"/>
    <tableColumn id="57" name="Drug Name4" dataDxfId="509" totalsRowDxfId="508"/>
    <tableColumn id="58" name="Drug Class4" dataDxfId="507" totalsRowDxfId="506">
      <calculatedColumnFormula>IFERROR(VLOOKUP(October[[#This Row],[Drug Name4]],'Data Options'!$R$1:$S$100,2,FALSE), " ")</calculatedColumnFormula>
    </tableColumn>
    <tableColumn id="59" name="Dose (in mg)4" dataDxfId="505" totalsRowDxfId="504"/>
    <tableColumn id="60" name="Frequency4" dataDxfId="503" totalsRowDxfId="502"/>
    <tableColumn id="61" name="Route4" dataDxfId="501" totalsRowDxfId="500"/>
    <tableColumn id="62" name="Duration _x000a_(in days)4" dataDxfId="499" totalsRowDxfId="498"/>
    <tableColumn id="64" name="Location Filled4" dataDxfId="497" totalsRowDxfId="496"/>
    <tableColumn id="65" name="Drug Name5" dataDxfId="495" totalsRowDxfId="494"/>
    <tableColumn id="66" name="Drug Class5" dataDxfId="493" totalsRowDxfId="492">
      <calculatedColumnFormula>IFERROR(VLOOKUP(October[[#This Row],[Drug Name5]],'Data Options'!$R$1:$S$100,2,FALSE), " ")</calculatedColumnFormula>
    </tableColumn>
    <tableColumn id="67" name="Dose (in mg)5" dataDxfId="491" totalsRowDxfId="490"/>
    <tableColumn id="68" name="Frequency5" dataDxfId="489" totalsRowDxfId="488"/>
    <tableColumn id="69" name="Route5" dataDxfId="487" totalsRowDxfId="486"/>
    <tableColumn id="70" name="Duration _x000a_(in days)5" dataDxfId="485" totalsRowDxfId="484"/>
    <tableColumn id="72" name="Location Filled5" dataDxfId="483" totalsRowDxfId="482"/>
    <tableColumn id="73" name="Drug Name6" dataDxfId="481" totalsRowDxfId="480"/>
    <tableColumn id="74" name="Drug Class6" dataDxfId="479" totalsRowDxfId="478">
      <calculatedColumnFormula>IFERROR(VLOOKUP(October[[#This Row],[Drug Name6]],'Data Options'!$R$1:$S$100,2,FALSE), " ")</calculatedColumnFormula>
    </tableColumn>
    <tableColumn id="75" name="Dose (in mg)6" dataDxfId="477" totalsRowDxfId="476"/>
    <tableColumn id="76" name="Frequency6" dataDxfId="475" totalsRowDxfId="474"/>
    <tableColumn id="77" name="Route6" dataDxfId="473" totalsRowDxfId="472"/>
    <tableColumn id="78" name="Duration _x000a_(in days)6" dataDxfId="471" totalsRowDxfId="470"/>
    <tableColumn id="80" name="Location Filled6" dataDxfId="469" totalsRowDxfId="468"/>
    <tableColumn id="81" name="Disease/Infection Type3" dataDxfId="467" totalsRowDxfId="466"/>
    <tableColumn id="82" name="If Other Disease/Infection Type Explain3" dataDxfId="465" totalsRowDxfId="464"/>
    <tableColumn id="83" name="Disease Description3" dataDxfId="463" totalsRowDxfId="462"/>
    <tableColumn id="84" name="Number of Antibiotics Prescribed for this Condition3" dataDxfId="461" totalsRowDxfId="460"/>
    <tableColumn id="85" name="Diagnostics Offered for Infectious Condition (Y/N)3" dataDxfId="459" totalsRowDxfId="458"/>
    <tableColumn id="86" name="Diagnostic Performed for Infectious Condition (Y/N)3" dataDxfId="457" totalsRowDxfId="456"/>
    <tableColumn id="91" name="Drug Name7" dataDxfId="455" totalsRowDxfId="454"/>
    <tableColumn id="92" name="Drug Class7" dataDxfId="453" totalsRowDxfId="452">
      <calculatedColumnFormula>IFERROR(VLOOKUP(October[[#This Row],[Drug Name7]],'Data Options'!$R$1:$S$100,2,FALSE), " ")</calculatedColumnFormula>
    </tableColumn>
    <tableColumn id="93" name="Dose (in mg)7" dataDxfId="451" totalsRowDxfId="450"/>
    <tableColumn id="94" name="Frequency7" dataDxfId="449" totalsRowDxfId="448"/>
    <tableColumn id="95" name="Route7" dataDxfId="447" totalsRowDxfId="446"/>
    <tableColumn id="96" name="Duration _x000a_(in days)7" dataDxfId="445" totalsRowDxfId="444"/>
    <tableColumn id="98" name="Locatio  Filled7" dataDxfId="443" totalsRowDxfId="442"/>
    <tableColumn id="99" name="Drug Name8" dataDxfId="441" totalsRowDxfId="440"/>
    <tableColumn id="100" name="Drug Class8" dataDxfId="439" totalsRowDxfId="438">
      <calculatedColumnFormula>IFERROR(VLOOKUP(October[[#This Row],[Drug Name8]],'Data Options'!$R$1:$S$100,2,FALSE), " ")</calculatedColumnFormula>
    </tableColumn>
    <tableColumn id="101" name="Dose (in mg)8" dataDxfId="437" totalsRowDxfId="436"/>
    <tableColumn id="102" name="Frequency8" dataDxfId="435" totalsRowDxfId="434"/>
    <tableColumn id="103" name="Route8" dataDxfId="433" totalsRowDxfId="432"/>
    <tableColumn id="104" name="Duration _x000a_(in days)8" dataDxfId="431" totalsRowDxfId="430"/>
    <tableColumn id="106" name="Location Filled8" dataDxfId="429" totalsRowDxfId="428"/>
    <tableColumn id="107" name="Drug Name9" dataDxfId="427" totalsRowDxfId="426"/>
    <tableColumn id="108" name="Drug Class9" dataDxfId="425" totalsRowDxfId="424">
      <calculatedColumnFormula>IFERROR(VLOOKUP(October[[#This Row],[Drug Name9]],'Data Options'!$R$1:$S$100,2,FALSE), " ")</calculatedColumnFormula>
    </tableColumn>
    <tableColumn id="109" name="Dose (in mg)9" dataDxfId="423" totalsRowDxfId="422"/>
    <tableColumn id="110" name="Frequency9" dataDxfId="421" totalsRowDxfId="420"/>
    <tableColumn id="111" name="Route9" dataDxfId="419" totalsRowDxfId="418"/>
    <tableColumn id="112" name="Duration _x000a_(in days)9" dataDxfId="417" totalsRowDxfId="416"/>
    <tableColumn id="114" name="Location Filled9" totalsRowFunction="count" dataDxfId="415" totalsRowDxfId="414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id="36" name="November" displayName="November" ref="A3:CM202" totalsRowCount="1" headerRowDxfId="413" dataDxfId="411" totalsRowDxfId="410" headerRowBorderDxfId="412">
  <autoFilter ref="A3:CM201"/>
  <tableColumns count="91">
    <tableColumn id="1" name="Date of Service" totalsRowLabel="Total" dataDxfId="409" totalsRowDxfId="408"/>
    <tableColumn id="3" name="Attending Clinician" dataDxfId="407" totalsRowDxfId="406"/>
    <tableColumn id="4" name="Patient Medical Record Number" dataDxfId="405" totalsRowDxfId="404"/>
    <tableColumn id="5" name="Patient Species" dataDxfId="403" totalsRowDxfId="402"/>
    <tableColumn id="6" name="Patient Sex" dataDxfId="401" totalsRowDxfId="400"/>
    <tableColumn id="7" name="Patient Age" dataDxfId="399" totalsRowDxfId="398"/>
    <tableColumn id="8" name="Reason for Visit" dataDxfId="397" totalsRowDxfId="396"/>
    <tableColumn id="9" name="If Other Reason for Visit Explain" dataDxfId="395" totalsRowDxfId="394"/>
    <tableColumn id="10" name="Patient Prescribed Antibiotic (Y/N/WW)" dataDxfId="393" totalsRowDxfId="392"/>
    <tableColumn id="11" name="Total Number of Antibiotics Prescribed for Patient" dataDxfId="391" totalsRowDxfId="390"/>
    <tableColumn id="13" name="Disease/Infection Type" dataDxfId="389" totalsRowDxfId="388"/>
    <tableColumn id="14" name="If Other Disease/Infection Type Explain" dataDxfId="387" totalsRowDxfId="386"/>
    <tableColumn id="15" name="Disease Description" dataDxfId="385" totalsRowDxfId="384"/>
    <tableColumn id="16" name="Number of Antibiotics Prescribed for this Condition " dataDxfId="383" totalsRowDxfId="382"/>
    <tableColumn id="17" name="Diagnostics Offered for Infectious Condition (Y/N)" dataDxfId="381" totalsRowDxfId="380"/>
    <tableColumn id="18" name="Diagnostic Performed for Infectious Condition (Y/N)" dataDxfId="379" totalsRowDxfId="378"/>
    <tableColumn id="23" name="Drug Name" dataDxfId="377" totalsRowDxfId="376"/>
    <tableColumn id="24" name="Drug Class" dataDxfId="375" totalsRowDxfId="374">
      <calculatedColumnFormula>IFERROR(VLOOKUP(November[[#This Row],[Drug Name]],'Data Options'!$R$1:$S$100,2,FALSE), " ")</calculatedColumnFormula>
    </tableColumn>
    <tableColumn id="25" name="Dose (in mg)" dataDxfId="373" totalsRowDxfId="372"/>
    <tableColumn id="26" name="Frequency" dataDxfId="371" totalsRowDxfId="370"/>
    <tableColumn id="27" name="Route" dataDxfId="369" totalsRowDxfId="368"/>
    <tableColumn id="28" name="Duration _x000a_(in days)" dataDxfId="367" totalsRowDxfId="366"/>
    <tableColumn id="30" name="Location Filled " dataDxfId="365" totalsRowDxfId="364"/>
    <tableColumn id="31" name="Drug Name2" dataDxfId="363" totalsRowDxfId="362"/>
    <tableColumn id="32" name="Drug Class2" dataDxfId="361" totalsRowDxfId="360">
      <calculatedColumnFormula>IFERROR(VLOOKUP(November[[#This Row],[Drug Name2]],'Data Options'!$R$1:$S$100,2,FALSE), " ")</calculatedColumnFormula>
    </tableColumn>
    <tableColumn id="33" name="Dose (in mg)2" dataDxfId="359" totalsRowDxfId="358"/>
    <tableColumn id="34" name="Frequency2" dataDxfId="357" totalsRowDxfId="356"/>
    <tableColumn id="35" name="Route2" dataDxfId="355" totalsRowDxfId="354"/>
    <tableColumn id="36" name="Duration _x000a_(in days)2" dataDxfId="353" totalsRowDxfId="352"/>
    <tableColumn id="38" name="Location Filled2" dataDxfId="351" totalsRowDxfId="350"/>
    <tableColumn id="39" name="Drug Name3" dataDxfId="349" totalsRowDxfId="348"/>
    <tableColumn id="40" name="Drug Class3" dataDxfId="347" totalsRowDxfId="346">
      <calculatedColumnFormula>IFERROR(VLOOKUP(November[[#This Row],[Drug Name3]],'Data Options'!$R$1:$S$100,2,FALSE), " ")</calculatedColumnFormula>
    </tableColumn>
    <tableColumn id="41" name="Dose (in mg)3" dataDxfId="345" totalsRowDxfId="344"/>
    <tableColumn id="42" name="Frequency3" dataDxfId="343" totalsRowDxfId="342"/>
    <tableColumn id="43" name="Route3" dataDxfId="341" totalsRowDxfId="340"/>
    <tableColumn id="44" name="Duration _x000a_(in days)3" dataDxfId="339" totalsRowDxfId="338"/>
    <tableColumn id="46" name="Location Filled3" dataDxfId="337" totalsRowDxfId="336"/>
    <tableColumn id="47" name="Disease/Infection Type2" dataDxfId="335" totalsRowDxfId="334"/>
    <tableColumn id="48" name="If Other Disease/Infection Type Explain2" dataDxfId="333" totalsRowDxfId="332"/>
    <tableColumn id="49" name="Disease Description2" dataDxfId="331" totalsRowDxfId="330"/>
    <tableColumn id="50" name="Number of Antibiotics Prescribed for this Condition2" dataDxfId="329" totalsRowDxfId="328"/>
    <tableColumn id="51" name="Diagnostics Offered for Infectious Condition (Y/N)2" dataDxfId="327" totalsRowDxfId="326"/>
    <tableColumn id="52" name="Diagnostic Performed for Infectious Condition (Y/N)2" dataDxfId="325" totalsRowDxfId="324"/>
    <tableColumn id="57" name="Drug Name4" dataDxfId="323" totalsRowDxfId="322"/>
    <tableColumn id="58" name="Drug Class4" dataDxfId="321" totalsRowDxfId="320">
      <calculatedColumnFormula>IFERROR(VLOOKUP(November[[#This Row],[Drug Name4]],'Data Options'!$R$1:$S$100,2,FALSE), " ")</calculatedColumnFormula>
    </tableColumn>
    <tableColumn id="59" name="Dose (in mg)4" dataDxfId="319" totalsRowDxfId="318"/>
    <tableColumn id="60" name="Frequency4" dataDxfId="317" totalsRowDxfId="316"/>
    <tableColumn id="61" name="Route4" dataDxfId="315" totalsRowDxfId="314"/>
    <tableColumn id="62" name="Duration _x000a_(in days)4" dataDxfId="313" totalsRowDxfId="312"/>
    <tableColumn id="64" name="Location Filled4" dataDxfId="311" totalsRowDxfId="310"/>
    <tableColumn id="65" name="Drug Name5" dataDxfId="309" totalsRowDxfId="308"/>
    <tableColumn id="66" name="Drug Class5" dataDxfId="307" totalsRowDxfId="306">
      <calculatedColumnFormula>IFERROR(VLOOKUP(November[[#This Row],[Drug Name5]],'Data Options'!$R$1:$S$100,2,FALSE), " ")</calculatedColumnFormula>
    </tableColumn>
    <tableColumn id="67" name="Dose (in mg)5" dataDxfId="305" totalsRowDxfId="304"/>
    <tableColumn id="68" name="Frequency5" dataDxfId="303" totalsRowDxfId="302"/>
    <tableColumn id="69" name="Route5" dataDxfId="301" totalsRowDxfId="300"/>
    <tableColumn id="70" name="Duration _x000a_(in days)5" dataDxfId="299" totalsRowDxfId="298"/>
    <tableColumn id="72" name="Location Filled5" dataDxfId="297" totalsRowDxfId="296"/>
    <tableColumn id="73" name="Drug Name6" dataDxfId="295" totalsRowDxfId="294"/>
    <tableColumn id="74" name="Drug Class6" dataDxfId="293" totalsRowDxfId="292">
      <calculatedColumnFormula>IFERROR(VLOOKUP(November[[#This Row],[Drug Name6]],'Data Options'!$R$1:$S$100,2,FALSE), " ")</calculatedColumnFormula>
    </tableColumn>
    <tableColumn id="75" name="Dose (in mg)6" dataDxfId="291" totalsRowDxfId="290"/>
    <tableColumn id="76" name="Frequency6" dataDxfId="289" totalsRowDxfId="288"/>
    <tableColumn id="77" name="Route6" dataDxfId="287" totalsRowDxfId="286"/>
    <tableColumn id="78" name="Duration _x000a_(in days)6" dataDxfId="285" totalsRowDxfId="284"/>
    <tableColumn id="80" name="Location Filled6" dataDxfId="283" totalsRowDxfId="282"/>
    <tableColumn id="81" name="Disease/Infection Type3" dataDxfId="281" totalsRowDxfId="280"/>
    <tableColumn id="82" name="If Other Disease/Infection Type Explain3" dataDxfId="279" totalsRowDxfId="278"/>
    <tableColumn id="83" name="Disease Description3" dataDxfId="277" totalsRowDxfId="276"/>
    <tableColumn id="84" name="Number of Antibiotics Prescribed for this Condition3" dataDxfId="275" totalsRowDxfId="274"/>
    <tableColumn id="85" name="Diagnostics Offered for Infectious Condition (Y/N)3" dataDxfId="273" totalsRowDxfId="272"/>
    <tableColumn id="86" name="Diagnostic Performed for Infectious Condition (Y/N)3" dataDxfId="271" totalsRowDxfId="270"/>
    <tableColumn id="91" name="Drug Name7" dataDxfId="269" totalsRowDxfId="268"/>
    <tableColumn id="92" name="Drug Class7" dataDxfId="267" totalsRowDxfId="266">
      <calculatedColumnFormula>IFERROR(VLOOKUP(November[[#This Row],[Drug Name7]],'Data Options'!$R$1:$S$100,2,FALSE), " ")</calculatedColumnFormula>
    </tableColumn>
    <tableColumn id="93" name="Dose (in mg)7" dataDxfId="265" totalsRowDxfId="264"/>
    <tableColumn id="94" name="Frequency7" dataDxfId="263" totalsRowDxfId="262"/>
    <tableColumn id="95" name="Route7" dataDxfId="261" totalsRowDxfId="260"/>
    <tableColumn id="96" name="Duration _x000a_(in days)7" dataDxfId="259" totalsRowDxfId="258"/>
    <tableColumn id="98" name="Locatio  Filled7" dataDxfId="257" totalsRowDxfId="256"/>
    <tableColumn id="99" name="Drug Name8" dataDxfId="255" totalsRowDxfId="254"/>
    <tableColumn id="100" name="Drug Class8" dataDxfId="253" totalsRowDxfId="252">
      <calculatedColumnFormula>IFERROR(VLOOKUP(November[[#This Row],[Drug Name8]],'Data Options'!$R$1:$S$100,2,FALSE), " ")</calculatedColumnFormula>
    </tableColumn>
    <tableColumn id="101" name="Dose (in mg)8" dataDxfId="251" totalsRowDxfId="250"/>
    <tableColumn id="102" name="Frequency8" dataDxfId="249" totalsRowDxfId="248"/>
    <tableColumn id="103" name="Route8" dataDxfId="247" totalsRowDxfId="246"/>
    <tableColumn id="104" name="Duration _x000a_(in days)8" dataDxfId="245" totalsRowDxfId="244"/>
    <tableColumn id="106" name="Location Filled8" dataDxfId="243" totalsRowDxfId="242"/>
    <tableColumn id="107" name="Drug Name9" dataDxfId="241" totalsRowDxfId="240"/>
    <tableColumn id="108" name="Drug Class9" dataDxfId="239" totalsRowDxfId="238">
      <calculatedColumnFormula>IFERROR(VLOOKUP(November[[#This Row],[Drug Name9]],'Data Options'!$R$1:$S$100,2,FALSE), " ")</calculatedColumnFormula>
    </tableColumn>
    <tableColumn id="109" name="Dose (in mg)9" dataDxfId="237" totalsRowDxfId="236"/>
    <tableColumn id="110" name="Frequency9" dataDxfId="235" totalsRowDxfId="234"/>
    <tableColumn id="111" name="Route9" dataDxfId="233" totalsRowDxfId="232"/>
    <tableColumn id="112" name="Duration _x000a_(in days)9" dataDxfId="231" totalsRowDxfId="230"/>
    <tableColumn id="114" name="Location Filled9" totalsRowFunction="count" dataDxfId="229" totalsRowDxfId="228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id="37" name="December" displayName="December" ref="A3:CM202" totalsRowCount="1" headerRowDxfId="227" dataDxfId="225" totalsRowDxfId="224" headerRowBorderDxfId="226">
  <autoFilter ref="A3:CM201"/>
  <tableColumns count="91">
    <tableColumn id="1" name="Date of Service" totalsRowLabel="Total" dataDxfId="223" totalsRowDxfId="222"/>
    <tableColumn id="3" name="Attending Clinician" dataDxfId="221" totalsRowDxfId="220"/>
    <tableColumn id="4" name="Patient Medical Record Number" dataDxfId="219" totalsRowDxfId="218"/>
    <tableColumn id="5" name="Patient Species" dataDxfId="217" totalsRowDxfId="216"/>
    <tableColumn id="6" name="Patient Sex" dataDxfId="215" totalsRowDxfId="214"/>
    <tableColumn id="7" name="Patient Age" dataDxfId="213" totalsRowDxfId="212"/>
    <tableColumn id="8" name="Reason for Visit" dataDxfId="211" totalsRowDxfId="210"/>
    <tableColumn id="9" name="If Other Reason for Visit Explain" dataDxfId="209" totalsRowDxfId="208"/>
    <tableColumn id="10" name="Patient Prescribed Antibiotic (Y/N/WW)" dataDxfId="207" totalsRowDxfId="206"/>
    <tableColumn id="11" name="Total Number of Antibiotics Prescribed for Patient" dataDxfId="205" totalsRowDxfId="204"/>
    <tableColumn id="13" name="Disease/Infection Type" dataDxfId="203" totalsRowDxfId="202"/>
    <tableColumn id="14" name="If Other Disease/Infection Type Explain" dataDxfId="201" totalsRowDxfId="200"/>
    <tableColumn id="15" name="Disease Description" dataDxfId="199" totalsRowDxfId="198"/>
    <tableColumn id="16" name="Number of Antibiotics Prescribed for this Condition " dataDxfId="197" totalsRowDxfId="196"/>
    <tableColumn id="17" name="Diagnostics Offered for Infectious Condition (Y/N)" dataDxfId="195" totalsRowDxfId="194"/>
    <tableColumn id="18" name="Diagnostic Performed for Infectious Condition (Y/N)" dataDxfId="193" totalsRowDxfId="192"/>
    <tableColumn id="23" name="Drug Name" dataDxfId="191" totalsRowDxfId="190"/>
    <tableColumn id="24" name="Drug Class" dataDxfId="189" totalsRowDxfId="188">
      <calculatedColumnFormula>IFERROR(VLOOKUP(December[[#This Row],[Drug Name]],'Data Options'!$R$1:$S$100,2,FALSE), " ")</calculatedColumnFormula>
    </tableColumn>
    <tableColumn id="25" name="Dose (in mg)" dataDxfId="187" totalsRowDxfId="186"/>
    <tableColumn id="26" name="Frequency" dataDxfId="185" totalsRowDxfId="184"/>
    <tableColumn id="27" name="Route" dataDxfId="183" totalsRowDxfId="182"/>
    <tableColumn id="28" name="Duration _x000a_(in days)" dataDxfId="181" totalsRowDxfId="180"/>
    <tableColumn id="30" name="Location Filled " dataDxfId="179" totalsRowDxfId="178"/>
    <tableColumn id="31" name="Drug Name2" dataDxfId="177" totalsRowDxfId="176"/>
    <tableColumn id="32" name="Drug Class2" dataDxfId="175" totalsRowDxfId="174">
      <calculatedColumnFormula>IFERROR(VLOOKUP(December[[#This Row],[Drug Name2]],'Data Options'!$R$1:$S$100,2,FALSE), " ")</calculatedColumnFormula>
    </tableColumn>
    <tableColumn id="33" name="Dose (in mg)2" dataDxfId="173" totalsRowDxfId="172"/>
    <tableColumn id="34" name="Frequency2" dataDxfId="171" totalsRowDxfId="170"/>
    <tableColumn id="35" name="Route2" dataDxfId="169" totalsRowDxfId="168"/>
    <tableColumn id="36" name="Duration _x000a_(in days)2" dataDxfId="167" totalsRowDxfId="166"/>
    <tableColumn id="38" name="Location Filled2" dataDxfId="165" totalsRowDxfId="164"/>
    <tableColumn id="39" name="Drug Name3" dataDxfId="163" totalsRowDxfId="162"/>
    <tableColumn id="40" name="Drug Class3" dataDxfId="161" totalsRowDxfId="160">
      <calculatedColumnFormula>IFERROR(VLOOKUP(December[[#This Row],[Drug Name3]],'Data Options'!$R$1:$S$100,2,FALSE), " ")</calculatedColumnFormula>
    </tableColumn>
    <tableColumn id="41" name="Dose (in mg)3" dataDxfId="159" totalsRowDxfId="158"/>
    <tableColumn id="42" name="Frequency3" dataDxfId="157" totalsRowDxfId="156"/>
    <tableColumn id="43" name="Route3" dataDxfId="155" totalsRowDxfId="154"/>
    <tableColumn id="44" name="Duration _x000a_(in days)3" dataDxfId="153" totalsRowDxfId="152"/>
    <tableColumn id="46" name="Location Filled3" dataDxfId="151" totalsRowDxfId="150"/>
    <tableColumn id="47" name="Disease/Infection Type2" dataDxfId="149" totalsRowDxfId="148"/>
    <tableColumn id="48" name="If Other Disease/Infection Type Explain2" dataDxfId="147" totalsRowDxfId="146"/>
    <tableColumn id="49" name="Disease Description2" dataDxfId="145" totalsRowDxfId="144"/>
    <tableColumn id="50" name="Number of Antibiotics Prescribed for this Condition2" dataDxfId="143" totalsRowDxfId="142"/>
    <tableColumn id="51" name="Diagnostics Offered for Infectious Condition (Y/N)2" dataDxfId="141" totalsRowDxfId="140"/>
    <tableColumn id="52" name="Diagnostic Performed for Infectious Condition (Y/N)2" dataDxfId="139" totalsRowDxfId="138"/>
    <tableColumn id="57" name="Drug Name4" dataDxfId="137" totalsRowDxfId="136"/>
    <tableColumn id="58" name="Drug Class4" dataDxfId="135" totalsRowDxfId="134">
      <calculatedColumnFormula>IFERROR(VLOOKUP(December[[#This Row],[Drug Name4]],'Data Options'!$R$1:$S$100,2,FALSE), " ")</calculatedColumnFormula>
    </tableColumn>
    <tableColumn id="59" name="Dose (in mg)4" dataDxfId="133" totalsRowDxfId="132"/>
    <tableColumn id="60" name="Frequency4" dataDxfId="131" totalsRowDxfId="130"/>
    <tableColumn id="61" name="Route4" dataDxfId="129" totalsRowDxfId="128"/>
    <tableColumn id="62" name="Duration _x000a_(in days)4" dataDxfId="127" totalsRowDxfId="126"/>
    <tableColumn id="64" name="Location Filled4" dataDxfId="125" totalsRowDxfId="124"/>
    <tableColumn id="65" name="Drug Name5" dataDxfId="123" totalsRowDxfId="122"/>
    <tableColumn id="66" name="Drug Class5" dataDxfId="121" totalsRowDxfId="120">
      <calculatedColumnFormula>IFERROR(VLOOKUP(December[[#This Row],[Drug Name5]],'Data Options'!$R$1:$S$100,2,FALSE), " ")</calculatedColumnFormula>
    </tableColumn>
    <tableColumn id="67" name="Dose (in mg)5" dataDxfId="119" totalsRowDxfId="118"/>
    <tableColumn id="68" name="Frequency5" dataDxfId="117" totalsRowDxfId="116"/>
    <tableColumn id="69" name="Route5" dataDxfId="115" totalsRowDxfId="114"/>
    <tableColumn id="70" name="Duration _x000a_(in days)5" dataDxfId="113" totalsRowDxfId="112"/>
    <tableColumn id="72" name="Location Filled5" dataDxfId="111" totalsRowDxfId="110"/>
    <tableColumn id="73" name="Drug Name6" dataDxfId="109" totalsRowDxfId="108"/>
    <tableColumn id="74" name="Drug Class6" dataDxfId="107" totalsRowDxfId="106">
      <calculatedColumnFormula>IFERROR(VLOOKUP(December[[#This Row],[Drug Name6]],'Data Options'!$R$1:$S$100,2,FALSE), " ")</calculatedColumnFormula>
    </tableColumn>
    <tableColumn id="75" name="Dose (in mg)6" dataDxfId="105" totalsRowDxfId="104"/>
    <tableColumn id="76" name="Frequency6" dataDxfId="103" totalsRowDxfId="102"/>
    <tableColumn id="77" name="Route6" dataDxfId="101" totalsRowDxfId="100"/>
    <tableColumn id="78" name="Duration _x000a_(in days)6" dataDxfId="99" totalsRowDxfId="98"/>
    <tableColumn id="80" name="Location Filled6" dataDxfId="97" totalsRowDxfId="96"/>
    <tableColumn id="81" name="Disease/Infection Type3" dataDxfId="95" totalsRowDxfId="94"/>
    <tableColumn id="82" name="If Other Disease/Infection Type Explain3" dataDxfId="93" totalsRowDxfId="92"/>
    <tableColumn id="83" name="Disease Description3" dataDxfId="91" totalsRowDxfId="90"/>
    <tableColumn id="84" name="Number of Antibiotics Prescribed for this Condition3" dataDxfId="89" totalsRowDxfId="88"/>
    <tableColumn id="85" name="Diagnostics Offered for Infectious Condition (Y/N)3" dataDxfId="87" totalsRowDxfId="86"/>
    <tableColumn id="86" name="Diagnostic Performed for Infectious Condition (Y/N)3" dataDxfId="85" totalsRowDxfId="84"/>
    <tableColumn id="91" name="Drug Name7" dataDxfId="83" totalsRowDxfId="82"/>
    <tableColumn id="92" name="Drug Class7" dataDxfId="81" totalsRowDxfId="80">
      <calculatedColumnFormula>IFERROR(VLOOKUP(December[[#This Row],[Drug Name7]],'Data Options'!$R$1:$S$100,2,FALSE), " ")</calculatedColumnFormula>
    </tableColumn>
    <tableColumn id="93" name="Dose (in mg)7" dataDxfId="79" totalsRowDxfId="78"/>
    <tableColumn id="94" name="Frequency7" dataDxfId="77" totalsRowDxfId="76"/>
    <tableColumn id="95" name="Route7" dataDxfId="75" totalsRowDxfId="74"/>
    <tableColumn id="96" name="Duration _x000a_(in days)7" dataDxfId="73" totalsRowDxfId="72"/>
    <tableColumn id="98" name="Locatio  Filled7" dataDxfId="71" totalsRowDxfId="70"/>
    <tableColumn id="99" name="Drug Name8" dataDxfId="69" totalsRowDxfId="68"/>
    <tableColumn id="100" name="Drug Class8" dataDxfId="67" totalsRowDxfId="66">
      <calculatedColumnFormula>IFERROR(VLOOKUP(December[[#This Row],[Drug Name8]],'Data Options'!$R$1:$S$100,2,FALSE), " ")</calculatedColumnFormula>
    </tableColumn>
    <tableColumn id="101" name="Dose (in mg)8" dataDxfId="65" totalsRowDxfId="64"/>
    <tableColumn id="102" name="Frequency8" dataDxfId="63" totalsRowDxfId="62"/>
    <tableColumn id="103" name="Route8" dataDxfId="61" totalsRowDxfId="60"/>
    <tableColumn id="104" name="Duration _x000a_(in days)8" dataDxfId="59" totalsRowDxfId="58"/>
    <tableColumn id="106" name="Location Filled8" dataDxfId="57" totalsRowDxfId="56"/>
    <tableColumn id="107" name="Drug Name9" dataDxfId="55" totalsRowDxfId="54"/>
    <tableColumn id="108" name="Drug Class9" dataDxfId="53" totalsRowDxfId="52">
      <calculatedColumnFormula>IFERROR(VLOOKUP(December[[#This Row],[Drug Name9]],'Data Options'!$R$1:$S$100,2,FALSE), " ")</calculatedColumnFormula>
    </tableColumn>
    <tableColumn id="109" name="Dose (in mg)9" dataDxfId="51" totalsRowDxfId="50"/>
    <tableColumn id="110" name="Frequency9" dataDxfId="49" totalsRowDxfId="48"/>
    <tableColumn id="111" name="Route9" dataDxfId="47" totalsRowDxfId="46"/>
    <tableColumn id="112" name="Duration _x000a_(in days)9" dataDxfId="45" totalsRowDxfId="44"/>
    <tableColumn id="114" name="Location Filled9" totalsRowFunction="count" dataDxfId="43" totalsRowDxfId="42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id="25" name="Species" displayName="Species" ref="D3:D5" totalsRowShown="0" headerRowDxfId="41" dataDxfId="40">
  <autoFilter ref="D3:D5"/>
  <tableColumns count="1">
    <tableColumn id="1" name="Patient Species" dataDxfId="39"/>
  </tableColumns>
  <tableStyleInfo name="TableStyleLight21" showFirstColumn="0" showLastColumn="0" showRowStripes="1" showColumnStripes="0"/>
</table>
</file>

<file path=xl/tables/table16.xml><?xml version="1.0" encoding="utf-8"?>
<table xmlns="http://schemas.openxmlformats.org/spreadsheetml/2006/main" id="26" name="Sex" displayName="Sex" ref="E3:E7" totalsRowShown="0" headerRowDxfId="38" dataDxfId="37">
  <autoFilter ref="E3:E7"/>
  <sortState ref="E4:E7">
    <sortCondition ref="E4"/>
  </sortState>
  <tableColumns count="1">
    <tableColumn id="1" name="Patient Sex" dataDxfId="36"/>
  </tableColumns>
  <tableStyleInfo name="TableStyleLight21" showFirstColumn="0" showLastColumn="0" showRowStripes="1" showColumnStripes="0"/>
</table>
</file>

<file path=xl/tables/table17.xml><?xml version="1.0" encoding="utf-8"?>
<table xmlns="http://schemas.openxmlformats.org/spreadsheetml/2006/main" id="27" name="Age" displayName="Age" ref="F3:F9" totalsRowShown="0" headerRowDxfId="35" dataDxfId="34">
  <autoFilter ref="F3:F9"/>
  <tableColumns count="1">
    <tableColumn id="1" name="Patient Age" dataDxfId="33"/>
  </tableColumns>
  <tableStyleInfo name="TableStyleLight21" showFirstColumn="0" showLastColumn="0" showRowStripes="1" showColumnStripes="0"/>
</table>
</file>

<file path=xl/tables/table18.xml><?xml version="1.0" encoding="utf-8"?>
<table xmlns="http://schemas.openxmlformats.org/spreadsheetml/2006/main" id="28" name="Visit_Reason" displayName="Visit_Reason" ref="G3:G9" totalsRowShown="0" headerRowDxfId="32" dataDxfId="31">
  <autoFilter ref="G3:G9"/>
  <tableColumns count="1">
    <tableColumn id="1" name="Reason for Visit" dataDxfId="30"/>
  </tableColumns>
  <tableStyleInfo name="TableStyleLight21" showFirstColumn="0" showLastColumn="0" showRowStripes="1" showColumnStripes="0"/>
</table>
</file>

<file path=xl/tables/table19.xml><?xml version="1.0" encoding="utf-8"?>
<table xmlns="http://schemas.openxmlformats.org/spreadsheetml/2006/main" id="29" name="ABX_YN" displayName="ABX_YN" ref="I3:I6" totalsRowShown="0" headerRowDxfId="29" dataDxfId="28">
  <autoFilter ref="I3:I6"/>
  <tableColumns count="1">
    <tableColumn id="1" name="Patient Prescribed Antibiotic" dataDxfId="27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19" name="Table19" displayName="Table19" ref="B2:C15" totalsRowShown="0" dataDxfId="2276">
  <autoFilter ref="B2:C15"/>
  <tableColumns count="2">
    <tableColumn id="1" name=" " dataDxfId="2275"/>
    <tableColumn id="2" name="Percentage of Patients Prescribed Antibiotics" dataDxfId="2274">
      <calculatedColumnFormula>IFERROR(Calculations!E2/Calculations!B2*100, " ")</calculatedColumnFormula>
    </tableColumn>
  </tableColumns>
  <tableStyleInfo name="TableStyleMedium4" showFirstColumn="0" showLastColumn="0" showRowStripes="1" showColumnStripes="0"/>
</table>
</file>

<file path=xl/tables/table20.xml><?xml version="1.0" encoding="utf-8"?>
<table xmlns="http://schemas.openxmlformats.org/spreadsheetml/2006/main" id="30" name="ABX_Number" displayName="ABX_Number" ref="J3:J12" totalsRowShown="0" headerRowDxfId="26" dataDxfId="25">
  <autoFilter ref="J3:J12"/>
  <tableColumns count="1">
    <tableColumn id="1" name="Total Number of Antibiotics Prescribed" dataDxfId="24"/>
  </tableColumns>
  <tableStyleInfo name="TableStyleLight21" showFirstColumn="0" showLastColumn="0" showRowStripes="1" showColumnStripes="0"/>
</table>
</file>

<file path=xl/tables/table21.xml><?xml version="1.0" encoding="utf-8"?>
<table xmlns="http://schemas.openxmlformats.org/spreadsheetml/2006/main" id="31" name="Disease_Type" displayName="Disease_Type" ref="L3:L21" totalsRowShown="0" headerRowDxfId="23" dataDxfId="22">
  <autoFilter ref="L3:L21"/>
  <sortState ref="L4:L18">
    <sortCondition ref="L4"/>
  </sortState>
  <tableColumns count="1">
    <tableColumn id="1" name="Disease/Infection Type" dataDxfId="21"/>
  </tableColumns>
  <tableStyleInfo name="TableStyleLight19" showFirstColumn="0" showLastColumn="0" showRowStripes="1" showColumnStripes="0"/>
</table>
</file>

<file path=xl/tables/table22.xml><?xml version="1.0" encoding="utf-8"?>
<table xmlns="http://schemas.openxmlformats.org/spreadsheetml/2006/main" id="32" name="Disease_Descrip" displayName="Disease_Descrip" ref="N3:N8" totalsRowShown="0" headerRowDxfId="20" dataDxfId="19">
  <autoFilter ref="N3:N8"/>
  <sortState ref="N4:N6">
    <sortCondition ref="N4"/>
  </sortState>
  <tableColumns count="1">
    <tableColumn id="1" name="Disease Description" dataDxfId="18"/>
  </tableColumns>
  <tableStyleInfo name="TableStyleLight19" showFirstColumn="0" showLastColumn="0" showRowStripes="1" showColumnStripes="0"/>
</table>
</file>

<file path=xl/tables/table23.xml><?xml version="1.0" encoding="utf-8"?>
<table xmlns="http://schemas.openxmlformats.org/spreadsheetml/2006/main" id="33" name="Dz_Abx_Num" displayName="Dz_Abx_Num" ref="O3:O6" totalsRowShown="0" headerRowDxfId="17" dataDxfId="16">
  <autoFilter ref="O3:O6"/>
  <tableColumns count="1">
    <tableColumn id="1" name="Number of Antibiotics Prescribed for this Condition" dataDxfId="15"/>
  </tableColumns>
  <tableStyleInfo name="TableStyleLight19" showFirstColumn="0" showLastColumn="0" showRowStripes="1" showColumnStripes="0"/>
</table>
</file>

<file path=xl/tables/table24.xml><?xml version="1.0" encoding="utf-8"?>
<table xmlns="http://schemas.openxmlformats.org/spreadsheetml/2006/main" id="34" name="Diagnostics_Offer_YN" displayName="Diagnostics_Offer_YN" ref="P3:P5" totalsRowShown="0" headerRowDxfId="14">
  <autoFilter ref="P3:P5"/>
  <tableColumns count="1">
    <tableColumn id="1" name="Diagnostics Offered for Infectious Condition"/>
  </tableColumns>
  <tableStyleInfo name="TableStyleLight19" showFirstColumn="0" showLastColumn="0" showRowStripes="1" showColumnStripes="0"/>
</table>
</file>

<file path=xl/tables/table25.xml><?xml version="1.0" encoding="utf-8"?>
<table xmlns="http://schemas.openxmlformats.org/spreadsheetml/2006/main" id="35" name="Diagnostics_Performed_YN" displayName="Diagnostics_Performed_YN" ref="Q3:Q5" totalsRowShown="0" headerRowDxfId="13">
  <autoFilter ref="Q3:Q5"/>
  <tableColumns count="1">
    <tableColumn id="1" name="Diagnostic Performed for Infectious Condition"/>
  </tableColumns>
  <tableStyleInfo name="TableStyleLight19" showFirstColumn="0" showLastColumn="0" showRowStripes="1" showColumnStripes="0"/>
</table>
</file>

<file path=xl/tables/table26.xml><?xml version="1.0" encoding="utf-8"?>
<table xmlns="http://schemas.openxmlformats.org/spreadsheetml/2006/main" id="38" name="Drug_Name" displayName="Drug_Name" ref="R3:R73" totalsRowShown="0" headerRowDxfId="12" dataDxfId="11">
  <autoFilter ref="R3:R73"/>
  <sortState ref="R4:R73">
    <sortCondition ref="R4"/>
  </sortState>
  <tableColumns count="1">
    <tableColumn id="1" name="Drug Name" dataDxfId="10"/>
  </tableColumns>
  <tableStyleInfo name="TableStyleLight18" showFirstColumn="0" showLastColumn="0" showRowStripes="1" showColumnStripes="0"/>
</table>
</file>

<file path=xl/tables/table27.xml><?xml version="1.0" encoding="utf-8"?>
<table xmlns="http://schemas.openxmlformats.org/spreadsheetml/2006/main" id="39" name="Drug_Class" displayName="Drug_Class" ref="S3:S73" totalsRowShown="0" headerRowDxfId="9">
  <autoFilter ref="S3:S73"/>
  <tableColumns count="1">
    <tableColumn id="1" name="Drug Class"/>
  </tableColumns>
  <tableStyleInfo name="TableStyleLight18" showFirstColumn="0" showLastColumn="0" showRowStripes="1" showColumnStripes="0"/>
</table>
</file>

<file path=xl/tables/table28.xml><?xml version="1.0" encoding="utf-8"?>
<table xmlns="http://schemas.openxmlformats.org/spreadsheetml/2006/main" id="40" name="Abx_Freq" displayName="Abx_Freq" ref="U3:U11" totalsRowShown="0" headerRowDxfId="8" dataDxfId="7">
  <autoFilter ref="U3:U11"/>
  <tableColumns count="1">
    <tableColumn id="1" name="Frequency" dataDxfId="6"/>
  </tableColumns>
  <tableStyleInfo name="TableStyleLight18" showFirstColumn="0" showLastColumn="0" showRowStripes="1" showColumnStripes="0"/>
</table>
</file>

<file path=xl/tables/table29.xml><?xml version="1.0" encoding="utf-8"?>
<table xmlns="http://schemas.openxmlformats.org/spreadsheetml/2006/main" id="41" name="Abx_Route" displayName="Abx_Route" ref="V3:V9" totalsRowShown="0" headerRowDxfId="5" dataDxfId="4">
  <autoFilter ref="V3:V9"/>
  <sortState ref="V4:V8">
    <sortCondition ref="V4"/>
  </sortState>
  <tableColumns count="1">
    <tableColumn id="1" name="Route" dataDxfId="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6" name="January" displayName="January" ref="A3:CM202" totalsRowCount="1" headerRowDxfId="2273" dataDxfId="2271" totalsRowDxfId="2270" headerRowBorderDxfId="2272">
  <autoFilter ref="A3:CM201"/>
  <tableColumns count="91">
    <tableColumn id="1" name="Date of Service" totalsRowLabel="Total" dataDxfId="2269" totalsRowDxfId="2268"/>
    <tableColumn id="3" name="Attending Clinician" dataDxfId="2267" totalsRowDxfId="2266"/>
    <tableColumn id="4" name="Patient Medical Record Number" dataDxfId="2265" totalsRowDxfId="2264"/>
    <tableColumn id="5" name="Patient Species" dataDxfId="2263" totalsRowDxfId="2262"/>
    <tableColumn id="6" name="Patient Sex" dataDxfId="2261" totalsRowDxfId="2260"/>
    <tableColumn id="7" name="Patient Age" dataDxfId="2259" totalsRowDxfId="2258"/>
    <tableColumn id="8" name="Reason for Visit" dataDxfId="2257" totalsRowDxfId="2256"/>
    <tableColumn id="9" name="If Other Reason for Visit Explain" dataDxfId="2255" totalsRowDxfId="2254"/>
    <tableColumn id="10" name="Patient Prescribed Antibiotic (Y/N/WW)" dataDxfId="2253" totalsRowDxfId="2252"/>
    <tableColumn id="11" name="Total Number of Antibiotics Prescribed for Patient" dataDxfId="2251" totalsRowDxfId="2250"/>
    <tableColumn id="13" name="Disease/Infection Type" dataDxfId="2249" totalsRowDxfId="2248"/>
    <tableColumn id="14" name="If Other Disease/Infection Type Explain" dataDxfId="2247" totalsRowDxfId="2246"/>
    <tableColumn id="15" name="Disease Description" dataDxfId="2245" totalsRowDxfId="2244"/>
    <tableColumn id="16" name="Number of Antibiotics Prescribed for this Condition " dataDxfId="2243" totalsRowDxfId="2242"/>
    <tableColumn id="17" name="Diagnostics Offered for Infectious Condition (Y/N)" dataDxfId="2241" totalsRowDxfId="2240"/>
    <tableColumn id="18" name="Diagnostic Performed for Infectious Condition (Y/N)" dataDxfId="2239" totalsRowDxfId="2238"/>
    <tableColumn id="23" name="Drug Name" dataDxfId="2237" totalsRowDxfId="2236"/>
    <tableColumn id="24" name="Drug Class" dataDxfId="2235" totalsRowDxfId="2234">
      <calculatedColumnFormula>IFERROR(VLOOKUP(January[[#This Row],[Drug Name]],'Data Options'!$R$1:$S$100,2,FALSE), " ")</calculatedColumnFormula>
    </tableColumn>
    <tableColumn id="25" name="Dose (in mg)" dataDxfId="2233" totalsRowDxfId="2232"/>
    <tableColumn id="26" name="Frequency" dataDxfId="2231" totalsRowDxfId="2230"/>
    <tableColumn id="27" name="Route" dataDxfId="2229" totalsRowDxfId="2228"/>
    <tableColumn id="28" name="Duration _x000a_(in days)" dataDxfId="2227" totalsRowDxfId="2226"/>
    <tableColumn id="30" name="Location Filled " dataDxfId="2225" totalsRowDxfId="2224"/>
    <tableColumn id="31" name="Drug Name2" dataDxfId="2223" totalsRowDxfId="2222"/>
    <tableColumn id="32" name="Drug Class2" dataDxfId="2221" totalsRowDxfId="2220">
      <calculatedColumnFormula>IFERROR(VLOOKUP(January[[#This Row],[Drug Name2]],'Data Options'!$R$1:$S$100,2,FALSE), " ")</calculatedColumnFormula>
    </tableColumn>
    <tableColumn id="33" name="Dose (in mg)2" dataDxfId="2219" totalsRowDxfId="2218"/>
    <tableColumn id="34" name="Frequency2" dataDxfId="2217" totalsRowDxfId="2216"/>
    <tableColumn id="35" name="Route2" dataDxfId="2215" totalsRowDxfId="2214"/>
    <tableColumn id="36" name="Duration _x000a_(in days)2" dataDxfId="2213" totalsRowDxfId="2212"/>
    <tableColumn id="38" name="Location Filled2" dataDxfId="2211" totalsRowDxfId="2210"/>
    <tableColumn id="39" name="Drug Name3" dataDxfId="2209" totalsRowDxfId="2208"/>
    <tableColumn id="40" name="Drug Class3" dataDxfId="2207" totalsRowDxfId="2206">
      <calculatedColumnFormula>IFERROR(VLOOKUP(January[[#This Row],[Drug Name3]],'Data Options'!$R$1:$S$100,2,FALSE), " ")</calculatedColumnFormula>
    </tableColumn>
    <tableColumn id="41" name="Dose (in mg)3" dataDxfId="2205" totalsRowDxfId="2204"/>
    <tableColumn id="42" name="Frequency3" dataDxfId="2203" totalsRowDxfId="2202"/>
    <tableColumn id="43" name="Route3" dataDxfId="2201" totalsRowDxfId="2200"/>
    <tableColumn id="44" name="Duration _x000a_(in days)3" dataDxfId="2199" totalsRowDxfId="2198"/>
    <tableColumn id="46" name="Location Filled3" dataDxfId="2197" totalsRowDxfId="2196"/>
    <tableColumn id="47" name="Disease/Infection Type2" dataDxfId="2195" totalsRowDxfId="2194"/>
    <tableColumn id="48" name="If Other Disease/Infection Type Explain2" dataDxfId="2193" totalsRowDxfId="2192"/>
    <tableColumn id="49" name="Disease Description2" dataDxfId="2191" totalsRowDxfId="2190"/>
    <tableColumn id="50" name="Number of Antibiotics Prescribed for this Condition2" dataDxfId="2189" totalsRowDxfId="2188"/>
    <tableColumn id="51" name="Diagnostics Offered for Infectious Condition (Y/N)2" dataDxfId="2187" totalsRowDxfId="2186"/>
    <tableColumn id="52" name="Diagnostic Performed for Infectious Condition (Y/N)2" dataDxfId="2185" totalsRowDxfId="2184"/>
    <tableColumn id="57" name="Drug Name4" dataDxfId="2183" totalsRowDxfId="2182"/>
    <tableColumn id="58" name="Drug Class4" dataDxfId="2181" totalsRowDxfId="2180">
      <calculatedColumnFormula>IFERROR(VLOOKUP(January[[#This Row],[Drug Name4]],'Data Options'!$R$1:$S$100,2,FALSE), " ")</calculatedColumnFormula>
    </tableColumn>
    <tableColumn id="59" name="Dose (in mg)4" dataDxfId="2179" totalsRowDxfId="2178"/>
    <tableColumn id="60" name="Frequency4" dataDxfId="2177" totalsRowDxfId="2176"/>
    <tableColumn id="61" name="Route4" dataDxfId="2175" totalsRowDxfId="2174"/>
    <tableColumn id="62" name="Duration _x000a_(in days)4" dataDxfId="2173" totalsRowDxfId="2172"/>
    <tableColumn id="64" name="Location Filled4" dataDxfId="2171" totalsRowDxfId="2170"/>
    <tableColumn id="65" name="Drug Name5" dataDxfId="2169" totalsRowDxfId="2168"/>
    <tableColumn id="66" name="Drug Class5" dataDxfId="2167" totalsRowDxfId="2166">
      <calculatedColumnFormula>IFERROR(VLOOKUP(January[[#This Row],[Drug Name5]],'Data Options'!$R$1:$S$100,2,FALSE), " ")</calculatedColumnFormula>
    </tableColumn>
    <tableColumn id="67" name="Dose (in mg)5" dataDxfId="2165" totalsRowDxfId="2164"/>
    <tableColumn id="68" name="Frequency5" dataDxfId="2163" totalsRowDxfId="2162"/>
    <tableColumn id="69" name="Route5" dataDxfId="2161" totalsRowDxfId="2160"/>
    <tableColumn id="70" name="Duration _x000a_(in days)5" dataDxfId="2159" totalsRowDxfId="2158"/>
    <tableColumn id="72" name="Location Filled5" dataDxfId="2157" totalsRowDxfId="2156"/>
    <tableColumn id="73" name="Drug Name6" dataDxfId="2155" totalsRowDxfId="2154"/>
    <tableColumn id="74" name="Drug Class6" dataDxfId="2153" totalsRowDxfId="2152">
      <calculatedColumnFormula>IFERROR(VLOOKUP(January[[#This Row],[Drug Name6]],'Data Options'!$R$1:$S$100,2,FALSE), " ")</calculatedColumnFormula>
    </tableColumn>
    <tableColumn id="75" name="Dose (in mg)6" dataDxfId="2151" totalsRowDxfId="2150"/>
    <tableColumn id="76" name="Frequency6" dataDxfId="2149" totalsRowDxfId="2148"/>
    <tableColumn id="77" name="Route6" dataDxfId="2147" totalsRowDxfId="2146"/>
    <tableColumn id="78" name="Duration _x000a_(in days)6" dataDxfId="2145" totalsRowDxfId="2144"/>
    <tableColumn id="80" name="Location Filled6" dataDxfId="2143" totalsRowDxfId="2142"/>
    <tableColumn id="81" name="Disease/Infection Type3" dataDxfId="2141" totalsRowDxfId="2140"/>
    <tableColumn id="82" name="If Other Disease/Infection Type Explain3" dataDxfId="2139" totalsRowDxfId="2138"/>
    <tableColumn id="83" name="Disease Description3" dataDxfId="2137" totalsRowDxfId="2136"/>
    <tableColumn id="84" name="Number of Antibiotics Prescribed for this Condition3" dataDxfId="2135" totalsRowDxfId="2134"/>
    <tableColumn id="85" name="Diagnostics Offered for Infectious Condition (Y/N)3" dataDxfId="2133" totalsRowDxfId="2132"/>
    <tableColumn id="86" name="Diagnostic Performed for Infectious Condition (Y/N)3" dataDxfId="2131" totalsRowDxfId="2130"/>
    <tableColumn id="91" name="Drug Name7" dataDxfId="2129" totalsRowDxfId="2128"/>
    <tableColumn id="92" name="Drug Class7" dataDxfId="2127" totalsRowDxfId="2126">
      <calculatedColumnFormula>IFERROR(VLOOKUP(January[[#This Row],[Drug Name7]],'Data Options'!$R$1:$S$100,2,FALSE), " ")</calculatedColumnFormula>
    </tableColumn>
    <tableColumn id="93" name="Dose (in mg)7" dataDxfId="2125" totalsRowDxfId="2124"/>
    <tableColumn id="94" name="Frequency7" dataDxfId="2123" totalsRowDxfId="2122"/>
    <tableColumn id="95" name="Route7" dataDxfId="2121" totalsRowDxfId="2120"/>
    <tableColumn id="96" name="Duration _x000a_(in days)7" dataDxfId="2119" totalsRowDxfId="2118"/>
    <tableColumn id="98" name="Locatio  Filled7" dataDxfId="2117" totalsRowDxfId="2116"/>
    <tableColumn id="99" name="Drug Name8" dataDxfId="2115" totalsRowDxfId="2114"/>
    <tableColumn id="100" name="Drug Class8" dataDxfId="2113" totalsRowDxfId="2112">
      <calculatedColumnFormula>IFERROR(VLOOKUP(January[[#This Row],[Drug Name8]],'Data Options'!$R$1:$S$100,2,FALSE), " ")</calculatedColumnFormula>
    </tableColumn>
    <tableColumn id="101" name="Dose (in mg)8" dataDxfId="2111" totalsRowDxfId="2110"/>
    <tableColumn id="102" name="Frequency8" dataDxfId="2109" totalsRowDxfId="2108"/>
    <tableColumn id="103" name="Route8" dataDxfId="2107" totalsRowDxfId="2106"/>
    <tableColumn id="104" name="Duration _x000a_(in days)8" dataDxfId="2105" totalsRowDxfId="2104"/>
    <tableColumn id="106" name="Location Filled8" dataDxfId="2103" totalsRowDxfId="2102"/>
    <tableColumn id="107" name="Drug Name9" dataDxfId="2101" totalsRowDxfId="2100"/>
    <tableColumn id="108" name="Drug Class9" dataDxfId="2099" totalsRowDxfId="2098">
      <calculatedColumnFormula>IFERROR(VLOOKUP(January[[#This Row],[Drug Name9]],'Data Options'!$R$1:$S$100,2,FALSE), " ")</calculatedColumnFormula>
    </tableColumn>
    <tableColumn id="109" name="Dose (in mg)9" dataDxfId="2097" totalsRowDxfId="2096"/>
    <tableColumn id="110" name="Frequency9" dataDxfId="2095" totalsRowDxfId="2094"/>
    <tableColumn id="111" name="Route9" dataDxfId="2093" totalsRowDxfId="2092"/>
    <tableColumn id="112" name="Duration _x000a_(in days)9" dataDxfId="2091" totalsRowDxfId="2090"/>
    <tableColumn id="114" name="Location Filled9" totalsRowFunction="count" dataDxfId="2089" totalsRowDxfId="2088"/>
  </tableColumns>
  <tableStyleInfo name="TableStyleLight18" showFirstColumn="0" showLastColumn="0" showRowStripes="1" showColumnStripes="0"/>
</table>
</file>

<file path=xl/tables/table30.xml><?xml version="1.0" encoding="utf-8"?>
<table xmlns="http://schemas.openxmlformats.org/spreadsheetml/2006/main" id="42" name="Prescription_Type" displayName="Prescription_Type" ref="X3:X5" totalsRowShown="0" headerRowDxfId="2" dataDxfId="1">
  <autoFilter ref="X3:X5"/>
  <sortState ref="X4:X5">
    <sortCondition descending="1" ref="X5"/>
  </sortState>
  <tableColumns count="1">
    <tableColumn id="1" name="Location Filled" dataDxfId="0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13" name="February" displayName="February" ref="A3:CM202" totalsRowCount="1" headerRowDxfId="2087" dataDxfId="2085" totalsRowDxfId="2084" headerRowBorderDxfId="2086">
  <autoFilter ref="A3:CM201"/>
  <tableColumns count="91">
    <tableColumn id="1" name="Date of Service" totalsRowLabel="Total" dataDxfId="2083" totalsRowDxfId="2082"/>
    <tableColumn id="3" name="Attending Clinician" dataDxfId="2081" totalsRowDxfId="2080"/>
    <tableColumn id="4" name="Patient Medical Record Number" dataDxfId="2079" totalsRowDxfId="2078"/>
    <tableColumn id="5" name="Patient Species" dataDxfId="2077" totalsRowDxfId="2076"/>
    <tableColumn id="6" name="Patient Sex" dataDxfId="2075" totalsRowDxfId="2074"/>
    <tableColumn id="7" name="Patient Age" dataDxfId="2073" totalsRowDxfId="2072"/>
    <tableColumn id="8" name="Reason for Visit" dataDxfId="2071" totalsRowDxfId="2070"/>
    <tableColumn id="9" name="If Other Reason for Visit Explain" dataDxfId="2069" totalsRowDxfId="2068"/>
    <tableColumn id="10" name="Patient Prescribed Antibiotic (Y/N/WW)" dataDxfId="2067" totalsRowDxfId="2066"/>
    <tableColumn id="11" name="Total Number of Antibiotics Prescribed for Patient" dataDxfId="2065" totalsRowDxfId="2064"/>
    <tableColumn id="13" name="Disease/Infection Type" dataDxfId="2063" totalsRowDxfId="2062"/>
    <tableColumn id="14" name="If Other Disease/Infection Type Explain" dataDxfId="2061" totalsRowDxfId="2060"/>
    <tableColumn id="15" name="Disease Description" dataDxfId="2059" totalsRowDxfId="2058"/>
    <tableColumn id="16" name="Number of Antibiotics Prescribed for this Condition " dataDxfId="2057" totalsRowDxfId="2056"/>
    <tableColumn id="17" name="Diagnostics Offered for Infectious Condition (Y/N)" dataDxfId="2055" totalsRowDxfId="2054"/>
    <tableColumn id="18" name="Diagnostic Performed for Infectious Condition (Y/N)" dataDxfId="2053" totalsRowDxfId="2052"/>
    <tableColumn id="23" name="Drug Name" dataDxfId="2051" totalsRowDxfId="2050"/>
    <tableColumn id="24" name="Drug Class" dataDxfId="2049" totalsRowDxfId="2048">
      <calculatedColumnFormula>IFERROR(VLOOKUP(February[[#This Row],[Drug Name]],'Data Options'!$R$1:$S$100,2,FALSE), " ")</calculatedColumnFormula>
    </tableColumn>
    <tableColumn id="25" name="Dose (in mg)" dataDxfId="2047" totalsRowDxfId="2046"/>
    <tableColumn id="26" name="Frequency" dataDxfId="2045" totalsRowDxfId="2044"/>
    <tableColumn id="27" name="Route" dataDxfId="2043" totalsRowDxfId="2042"/>
    <tableColumn id="28" name="Duration _x000a_(in days)" dataDxfId="2041" totalsRowDxfId="2040"/>
    <tableColumn id="30" name="Location Filled " dataDxfId="2039" totalsRowDxfId="2038"/>
    <tableColumn id="31" name="Drug Name2" dataDxfId="2037" totalsRowDxfId="2036"/>
    <tableColumn id="32" name="Drug Class2" dataDxfId="2035" totalsRowDxfId="2034">
      <calculatedColumnFormula>IFERROR(VLOOKUP(February[[#This Row],[Drug Name2]],'Data Options'!$R$1:$S$100,2,FALSE), " ")</calculatedColumnFormula>
    </tableColumn>
    <tableColumn id="33" name="Dose (in mg)2" dataDxfId="2033" totalsRowDxfId="2032"/>
    <tableColumn id="34" name="Frequency2" dataDxfId="2031" totalsRowDxfId="2030"/>
    <tableColumn id="35" name="Route2" dataDxfId="2029" totalsRowDxfId="2028"/>
    <tableColumn id="36" name="Duration _x000a_(in days)2" dataDxfId="2027" totalsRowDxfId="2026"/>
    <tableColumn id="38" name="Location Filled2" dataDxfId="2025" totalsRowDxfId="2024"/>
    <tableColumn id="39" name="Drug Name3" dataDxfId="2023" totalsRowDxfId="2022"/>
    <tableColumn id="40" name="Drug Class3" dataDxfId="2021" totalsRowDxfId="2020">
      <calculatedColumnFormula>IFERROR(VLOOKUP(February[[#This Row],[Drug Name3]],'Data Options'!$R$1:$S$100,2,FALSE), " ")</calculatedColumnFormula>
    </tableColumn>
    <tableColumn id="41" name="Dose (in mg)3" dataDxfId="2019" totalsRowDxfId="2018"/>
    <tableColumn id="42" name="Frequency3" dataDxfId="2017" totalsRowDxfId="2016"/>
    <tableColumn id="43" name="Route3" dataDxfId="2015" totalsRowDxfId="2014"/>
    <tableColumn id="44" name="Duration _x000a_(in days)3" dataDxfId="2013" totalsRowDxfId="2012"/>
    <tableColumn id="46" name="Location Filled3" dataDxfId="2011" totalsRowDxfId="2010"/>
    <tableColumn id="47" name="Disease/Infection Type2" dataDxfId="2009" totalsRowDxfId="2008"/>
    <tableColumn id="48" name="If Other Disease/Infection Type Explain2" dataDxfId="2007" totalsRowDxfId="2006"/>
    <tableColumn id="49" name="Disease Description2" dataDxfId="2005" totalsRowDxfId="2004"/>
    <tableColumn id="50" name="Number of Antibiotics Prescribed for this Condition2" dataDxfId="2003" totalsRowDxfId="2002"/>
    <tableColumn id="51" name="Diagnostics Offered for Infectious Condition (Y/N)2" dataDxfId="2001" totalsRowDxfId="2000"/>
    <tableColumn id="52" name="Diagnostic Performed for Infectious Condition (Y/N)2" dataDxfId="1999" totalsRowDxfId="1998"/>
    <tableColumn id="57" name="Drug Name4" dataDxfId="1997" totalsRowDxfId="1996"/>
    <tableColumn id="58" name="Drug Class4" dataDxfId="1995" totalsRowDxfId="1994">
      <calculatedColumnFormula>IFERROR(VLOOKUP(February[[#This Row],[Drug Name4]],'Data Options'!$R$1:$S$100,2,FALSE), " ")</calculatedColumnFormula>
    </tableColumn>
    <tableColumn id="59" name="Dose (in mg)4" dataDxfId="1993" totalsRowDxfId="1992"/>
    <tableColumn id="60" name="Frequency4" dataDxfId="1991" totalsRowDxfId="1990"/>
    <tableColumn id="61" name="Route4" dataDxfId="1989" totalsRowDxfId="1988"/>
    <tableColumn id="62" name="Duration _x000a_(in days)4" dataDxfId="1987" totalsRowDxfId="1986"/>
    <tableColumn id="64" name="Location Filled4" dataDxfId="1985" totalsRowDxfId="1984"/>
    <tableColumn id="65" name="Drug Name5" dataDxfId="1983" totalsRowDxfId="1982"/>
    <tableColumn id="66" name="Drug Class5" dataDxfId="1981" totalsRowDxfId="1980">
      <calculatedColumnFormula>IFERROR(VLOOKUP(February[[#This Row],[Drug Name5]],'Data Options'!$R$1:$S$100,2,FALSE), " ")</calculatedColumnFormula>
    </tableColumn>
    <tableColumn id="67" name="Dose (in mg)5" dataDxfId="1979" totalsRowDxfId="1978"/>
    <tableColumn id="68" name="Frequency5" dataDxfId="1977" totalsRowDxfId="1976"/>
    <tableColumn id="69" name="Route5" dataDxfId="1975" totalsRowDxfId="1974"/>
    <tableColumn id="70" name="Duration _x000a_(in days)5" dataDxfId="1973" totalsRowDxfId="1972"/>
    <tableColumn id="72" name="Location Filled5" dataDxfId="1971" totalsRowDxfId="1970"/>
    <tableColumn id="73" name="Drug Name6" dataDxfId="1969" totalsRowDxfId="1968"/>
    <tableColumn id="74" name="Drug Class6" dataDxfId="1967" totalsRowDxfId="1966">
      <calculatedColumnFormula>IFERROR(VLOOKUP(February[[#This Row],[Drug Name6]],'Data Options'!$R$1:$S$100,2,FALSE), " ")</calculatedColumnFormula>
    </tableColumn>
    <tableColumn id="75" name="Dose (in mg)6" dataDxfId="1965" totalsRowDxfId="1964"/>
    <tableColumn id="76" name="Frequency6" dataDxfId="1963" totalsRowDxfId="1962"/>
    <tableColumn id="77" name="Route6" dataDxfId="1961" totalsRowDxfId="1960"/>
    <tableColumn id="78" name="Duration _x000a_(in days)6" dataDxfId="1959" totalsRowDxfId="1958"/>
    <tableColumn id="80" name="Location Filled6" dataDxfId="1957" totalsRowDxfId="1956"/>
    <tableColumn id="81" name="Disease/Infection Type3" dataDxfId="1955" totalsRowDxfId="1954"/>
    <tableColumn id="82" name="If Other Disease/Infection Type Explain3" dataDxfId="1953" totalsRowDxfId="1952"/>
    <tableColumn id="83" name="Disease Description3" dataDxfId="1951" totalsRowDxfId="1950"/>
    <tableColumn id="84" name="Number of Antibiotics Prescribed for this Condition3" dataDxfId="1949" totalsRowDxfId="1948"/>
    <tableColumn id="85" name="Diagnostics Offered for Infectious Condition (Y/N)3" dataDxfId="1947" totalsRowDxfId="1946"/>
    <tableColumn id="86" name="Diagnostic Performed for Infectious Condition (Y/N)3" dataDxfId="1945" totalsRowDxfId="1944"/>
    <tableColumn id="91" name="Drug Name7" dataDxfId="1943" totalsRowDxfId="1942"/>
    <tableColumn id="92" name="Drug Class7" dataDxfId="1941" totalsRowDxfId="1940">
      <calculatedColumnFormula>IFERROR(VLOOKUP(February[[#This Row],[Drug Name7]],'Data Options'!$R$1:$S$100,2,FALSE), " ")</calculatedColumnFormula>
    </tableColumn>
    <tableColumn id="93" name="Dose (in mg)7" dataDxfId="1939" totalsRowDxfId="1938"/>
    <tableColumn id="94" name="Frequency7" dataDxfId="1937" totalsRowDxfId="1936"/>
    <tableColumn id="95" name="Route7" dataDxfId="1935" totalsRowDxfId="1934"/>
    <tableColumn id="96" name="Duration _x000a_(in days)7" dataDxfId="1933" totalsRowDxfId="1932"/>
    <tableColumn id="98" name="Locatio  Filled7" dataDxfId="1931" totalsRowDxfId="1930"/>
    <tableColumn id="99" name="Drug Name8" dataDxfId="1929" totalsRowDxfId="1928"/>
    <tableColumn id="100" name="Drug Class8" dataDxfId="1927" totalsRowDxfId="1926">
      <calculatedColumnFormula>IFERROR(VLOOKUP(February[[#This Row],[Drug Name8]],'Data Options'!$R$1:$S$100,2,FALSE), " ")</calculatedColumnFormula>
    </tableColumn>
    <tableColumn id="101" name="Dose (in mg)8" dataDxfId="1925" totalsRowDxfId="1924"/>
    <tableColumn id="102" name="Frequency8" dataDxfId="1923" totalsRowDxfId="1922"/>
    <tableColumn id="103" name="Route8" dataDxfId="1921" totalsRowDxfId="1920"/>
    <tableColumn id="104" name="Duration _x000a_(in days)8" dataDxfId="1919" totalsRowDxfId="1918"/>
    <tableColumn id="106" name="Location Filled8" dataDxfId="1917" totalsRowDxfId="1916"/>
    <tableColumn id="107" name="Drug Name9" dataDxfId="1915" totalsRowDxfId="1914"/>
    <tableColumn id="108" name="Drug Class9" dataDxfId="1913" totalsRowDxfId="1912">
      <calculatedColumnFormula>IFERROR(VLOOKUP(February[[#This Row],[Drug Name9]],'Data Options'!$R$1:$S$100,2,FALSE), " ")</calculatedColumnFormula>
    </tableColumn>
    <tableColumn id="109" name="Dose (in mg)9" dataDxfId="1911" totalsRowDxfId="1910"/>
    <tableColumn id="110" name="Frequency9" dataDxfId="1909" totalsRowDxfId="1908"/>
    <tableColumn id="111" name="Route9" dataDxfId="1907" totalsRowDxfId="1906"/>
    <tableColumn id="112" name="Duration _x000a_(in days)9" dataDxfId="1905" totalsRowDxfId="1904"/>
    <tableColumn id="114" name="Location Filled9" totalsRowFunction="count" dataDxfId="1903" totalsRowDxfId="1902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15" name="March" displayName="March" ref="A3:CM202" totalsRowCount="1" headerRowDxfId="1901" dataDxfId="1899" totalsRowDxfId="1898" headerRowBorderDxfId="1900">
  <autoFilter ref="A3:CM201"/>
  <tableColumns count="91">
    <tableColumn id="1" name="Date of Service" totalsRowLabel="Total" dataDxfId="1897" totalsRowDxfId="1896"/>
    <tableColumn id="3" name="Attending Clinician" dataDxfId="1895" totalsRowDxfId="1894"/>
    <tableColumn id="4" name="Patient Medical Record Number" dataDxfId="1893" totalsRowDxfId="1892"/>
    <tableColumn id="5" name="Patient Species" dataDxfId="1891" totalsRowDxfId="1890"/>
    <tableColumn id="6" name="Patient Sex" dataDxfId="1889" totalsRowDxfId="1888"/>
    <tableColumn id="7" name="Patient Age" dataDxfId="1887" totalsRowDxfId="1886"/>
    <tableColumn id="8" name="Reason for Visit" dataDxfId="1885" totalsRowDxfId="1884"/>
    <tableColumn id="9" name="If Other Reason for Visit Explain" dataDxfId="1883" totalsRowDxfId="1882"/>
    <tableColumn id="10" name="Patient Prescribed Antibiotic (Y/N/WW)" dataDxfId="1881" totalsRowDxfId="1880"/>
    <tableColumn id="11" name="Total Number of Antibiotics Prescribed for Patient" dataDxfId="1879" totalsRowDxfId="1878"/>
    <tableColumn id="13" name="Disease/Infection Type" dataDxfId="1877" totalsRowDxfId="1876"/>
    <tableColumn id="14" name="If Other Disease/Infection Type Explain" dataDxfId="1875" totalsRowDxfId="1874"/>
    <tableColumn id="15" name="Disease Description" dataDxfId="1873" totalsRowDxfId="1872"/>
    <tableColumn id="16" name="Number of Antibiotics Prescribed for this Condition " dataDxfId="1871" totalsRowDxfId="1870"/>
    <tableColumn id="17" name="Diagnostics Offered for Infectious Condition (Y/N)" dataDxfId="1869" totalsRowDxfId="1868"/>
    <tableColumn id="18" name="Diagnostic Performed for Infectious Condition (Y/N)" dataDxfId="1867" totalsRowDxfId="1866"/>
    <tableColumn id="23" name="Drug Name" dataDxfId="1865" totalsRowDxfId="1864"/>
    <tableColumn id="24" name="Drug Class" dataDxfId="1863" totalsRowDxfId="1862">
      <calculatedColumnFormula>IFERROR(VLOOKUP(March[[#This Row],[Drug Name]],'Data Options'!$R$1:$S$100,2,FALSE), " ")</calculatedColumnFormula>
    </tableColumn>
    <tableColumn id="25" name="Dose (in mg)" dataDxfId="1861" totalsRowDxfId="1860"/>
    <tableColumn id="26" name="Frequency" dataDxfId="1859" totalsRowDxfId="1858"/>
    <tableColumn id="27" name="Route" dataDxfId="1857" totalsRowDxfId="1856"/>
    <tableColumn id="28" name="Duration _x000a_(in days)" dataDxfId="1855" totalsRowDxfId="1854"/>
    <tableColumn id="30" name="Location Filled " dataDxfId="1853" totalsRowDxfId="1852"/>
    <tableColumn id="31" name="Drug Name2" dataDxfId="1851" totalsRowDxfId="1850"/>
    <tableColumn id="32" name="Drug Class2" dataDxfId="1849" totalsRowDxfId="1848">
      <calculatedColumnFormula>IFERROR(VLOOKUP(March[[#This Row],[Drug Name2]],'Data Options'!$R$1:$S$100,2,FALSE), " ")</calculatedColumnFormula>
    </tableColumn>
    <tableColumn id="33" name="Dose (in mg)2" dataDxfId="1847" totalsRowDxfId="1846"/>
    <tableColumn id="34" name="Frequency2" dataDxfId="1845" totalsRowDxfId="1844"/>
    <tableColumn id="35" name="Route2" dataDxfId="1843" totalsRowDxfId="1842"/>
    <tableColumn id="36" name="Duration _x000a_(in days)2" dataDxfId="1841" totalsRowDxfId="1840"/>
    <tableColumn id="38" name="Location Filled2" dataDxfId="1839" totalsRowDxfId="1838"/>
    <tableColumn id="39" name="Drug Name3" dataDxfId="1837" totalsRowDxfId="1836"/>
    <tableColumn id="40" name="Drug Class3" dataDxfId="1835" totalsRowDxfId="1834">
      <calculatedColumnFormula>IFERROR(VLOOKUP(March[[#This Row],[Drug Name3]],'Data Options'!$R$1:$S$100,2,FALSE), " ")</calculatedColumnFormula>
    </tableColumn>
    <tableColumn id="41" name="Dose (in mg)3" dataDxfId="1833" totalsRowDxfId="1832"/>
    <tableColumn id="42" name="Frequency3" dataDxfId="1831" totalsRowDxfId="1830"/>
    <tableColumn id="43" name="Route3" dataDxfId="1829" totalsRowDxfId="1828"/>
    <tableColumn id="44" name="Duration _x000a_(in days)3" dataDxfId="1827" totalsRowDxfId="1826"/>
    <tableColumn id="46" name="Location Filled3" dataDxfId="1825" totalsRowDxfId="1824"/>
    <tableColumn id="47" name="Disease/Infection Type2" dataDxfId="1823" totalsRowDxfId="1822"/>
    <tableColumn id="48" name="If Other Disease/Infection Type Explain2" dataDxfId="1821" totalsRowDxfId="1820"/>
    <tableColumn id="49" name="Disease Description2" dataDxfId="1819" totalsRowDxfId="1818"/>
    <tableColumn id="50" name="Number of Antibiotics Prescribed for this Condition2" dataDxfId="1817" totalsRowDxfId="1816"/>
    <tableColumn id="51" name="Diagnostics Offered for Infectious Condition (Y/N)2" dataDxfId="1815" totalsRowDxfId="1814"/>
    <tableColumn id="52" name="Diagnostic Performed for Infectious Condition (Y/N)2" dataDxfId="1813" totalsRowDxfId="1812"/>
    <tableColumn id="57" name="Drug Name4" dataDxfId="1811" totalsRowDxfId="1810"/>
    <tableColumn id="58" name="Drug Class4" dataDxfId="1809" totalsRowDxfId="1808">
      <calculatedColumnFormula>IFERROR(VLOOKUP(March[[#This Row],[Drug Name4]],'Data Options'!$R$1:$S$100,2,FALSE), " ")</calculatedColumnFormula>
    </tableColumn>
    <tableColumn id="59" name="Dose (in mg)4" dataDxfId="1807" totalsRowDxfId="1806"/>
    <tableColumn id="60" name="Frequency4" dataDxfId="1805" totalsRowDxfId="1804"/>
    <tableColumn id="61" name="Route4" dataDxfId="1803" totalsRowDxfId="1802"/>
    <tableColumn id="62" name="Duration _x000a_(in days)4" dataDxfId="1801" totalsRowDxfId="1800"/>
    <tableColumn id="64" name="Location Filled4" dataDxfId="1799" totalsRowDxfId="1798"/>
    <tableColumn id="65" name="Drug Name5" dataDxfId="1797" totalsRowDxfId="1796"/>
    <tableColumn id="66" name="Drug Class5" dataDxfId="1795" totalsRowDxfId="1794">
      <calculatedColumnFormula>IFERROR(VLOOKUP(March[[#This Row],[Drug Name5]],'Data Options'!$R$1:$S$100,2,FALSE), " ")</calculatedColumnFormula>
    </tableColumn>
    <tableColumn id="67" name="Dose (in mg)5" dataDxfId="1793" totalsRowDxfId="1792"/>
    <tableColumn id="68" name="Frequency5" dataDxfId="1791" totalsRowDxfId="1790"/>
    <tableColumn id="69" name="Route5" dataDxfId="1789" totalsRowDxfId="1788"/>
    <tableColumn id="70" name="Duration _x000a_(in days)5" dataDxfId="1787" totalsRowDxfId="1786"/>
    <tableColumn id="72" name="Location Filled5" dataDxfId="1785" totalsRowDxfId="1784"/>
    <tableColumn id="73" name="Drug Name6" dataDxfId="1783" totalsRowDxfId="1782"/>
    <tableColumn id="74" name="Drug Class6" dataDxfId="1781" totalsRowDxfId="1780">
      <calculatedColumnFormula>IFERROR(VLOOKUP(March[[#This Row],[Drug Name6]],'Data Options'!$R$1:$S$100,2,FALSE), " ")</calculatedColumnFormula>
    </tableColumn>
    <tableColumn id="75" name="Dose (in mg)6" dataDxfId="1779" totalsRowDxfId="1778"/>
    <tableColumn id="76" name="Frequency6" dataDxfId="1777" totalsRowDxfId="1776"/>
    <tableColumn id="77" name="Route6" dataDxfId="1775" totalsRowDxfId="1774"/>
    <tableColumn id="78" name="Duration _x000a_(in days)6" dataDxfId="1773" totalsRowDxfId="1772"/>
    <tableColumn id="80" name="Location Filled6" dataDxfId="1771" totalsRowDxfId="1770"/>
    <tableColumn id="81" name="Disease/Infection Type3" dataDxfId="1769" totalsRowDxfId="1768"/>
    <tableColumn id="82" name="If Other Disease/Infection Type Explain3" dataDxfId="1767" totalsRowDxfId="1766"/>
    <tableColumn id="83" name="Disease Description3" dataDxfId="1765" totalsRowDxfId="1764"/>
    <tableColumn id="84" name="Number of Antibiotics Prescribed for this Condition3" dataDxfId="1763" totalsRowDxfId="1762"/>
    <tableColumn id="85" name="Diagnostics Offered for Infectious Condition (Y/N)3" dataDxfId="1761" totalsRowDxfId="1760"/>
    <tableColumn id="86" name="Diagnostic Performed for Infectious Condition (Y/N)3" dataDxfId="1759" totalsRowDxfId="1758"/>
    <tableColumn id="91" name="Drug Name7" dataDxfId="1757" totalsRowDxfId="1756"/>
    <tableColumn id="92" name="Drug Class7" dataDxfId="1755" totalsRowDxfId="1754">
      <calculatedColumnFormula>IFERROR(VLOOKUP(March[[#This Row],[Drug Name7]],'Data Options'!$R$1:$S$100,2,FALSE), " ")</calculatedColumnFormula>
    </tableColumn>
    <tableColumn id="93" name="Dose (in mg)7" dataDxfId="1753" totalsRowDxfId="1752"/>
    <tableColumn id="94" name="Frequency7" dataDxfId="1751" totalsRowDxfId="1750"/>
    <tableColumn id="95" name="Route7" dataDxfId="1749" totalsRowDxfId="1748"/>
    <tableColumn id="96" name="Duration _x000a_(in days)7" dataDxfId="1747" totalsRowDxfId="1746"/>
    <tableColumn id="98" name="Locatio  Filled7" dataDxfId="1745" totalsRowDxfId="1744"/>
    <tableColumn id="99" name="Drug Name8" dataDxfId="1743" totalsRowDxfId="1742"/>
    <tableColumn id="100" name="Drug Class8" dataDxfId="1741" totalsRowDxfId="1740">
      <calculatedColumnFormula>IFERROR(VLOOKUP(March[[#This Row],[Drug Name8]],'Data Options'!$R$1:$S$100,2,FALSE), " ")</calculatedColumnFormula>
    </tableColumn>
    <tableColumn id="101" name="Dose (in mg)8" dataDxfId="1739" totalsRowDxfId="1738"/>
    <tableColumn id="102" name="Frequency8" dataDxfId="1737" totalsRowDxfId="1736"/>
    <tableColumn id="103" name="Route8" dataDxfId="1735" totalsRowDxfId="1734"/>
    <tableColumn id="104" name="Duration _x000a_(in days)8" dataDxfId="1733" totalsRowDxfId="1732"/>
    <tableColumn id="106" name="Location Filled8" dataDxfId="1731" totalsRowDxfId="1730"/>
    <tableColumn id="107" name="Drug Name9" dataDxfId="1729" totalsRowDxfId="1728"/>
    <tableColumn id="108" name="Drug Class9" dataDxfId="1727" totalsRowDxfId="1726">
      <calculatedColumnFormula>IFERROR(VLOOKUP(March[[#This Row],[Drug Name9]],'Data Options'!$R$1:$S$100,2,FALSE), " ")</calculatedColumnFormula>
    </tableColumn>
    <tableColumn id="109" name="Dose (in mg)9" dataDxfId="1725" totalsRowDxfId="1724"/>
    <tableColumn id="110" name="Frequency9" dataDxfId="1723" totalsRowDxfId="1722"/>
    <tableColumn id="111" name="Route9" dataDxfId="1721" totalsRowDxfId="1720"/>
    <tableColumn id="112" name="Duration _x000a_(in days)9" dataDxfId="1719" totalsRowDxfId="1718"/>
    <tableColumn id="114" name="Location Filled9" totalsRowFunction="count" dataDxfId="1717" totalsRowDxfId="1716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17" name="April" displayName="April" ref="A3:CM202" totalsRowCount="1" headerRowDxfId="1715" dataDxfId="1713" totalsRowDxfId="1712" headerRowBorderDxfId="1714">
  <autoFilter ref="A3:CM201"/>
  <tableColumns count="91">
    <tableColumn id="1" name="Date of Service" totalsRowLabel="Total" dataDxfId="1711" totalsRowDxfId="1710"/>
    <tableColumn id="3" name="Attending Clinician" dataDxfId="1709" totalsRowDxfId="1708"/>
    <tableColumn id="4" name="Patient Medical Record Number" dataDxfId="1707" totalsRowDxfId="1706"/>
    <tableColumn id="5" name="Patient Species" dataDxfId="1705" totalsRowDxfId="1704"/>
    <tableColumn id="6" name="Patient Sex" dataDxfId="1703" totalsRowDxfId="1702"/>
    <tableColumn id="7" name="Patient Age" dataDxfId="1701" totalsRowDxfId="1700"/>
    <tableColumn id="8" name="Reason for Visit" dataDxfId="1699" totalsRowDxfId="1698"/>
    <tableColumn id="9" name="If Other Reason for Visit Explain" dataDxfId="1697" totalsRowDxfId="1696"/>
    <tableColumn id="10" name="Patient Prescribed Antibiotic (Y/N/WW)" dataDxfId="1695" totalsRowDxfId="1694"/>
    <tableColumn id="11" name="Total Number of Antibiotics Prescribed for Patient" dataDxfId="1693" totalsRowDxfId="1692"/>
    <tableColumn id="13" name="Disease/Infection Type" dataDxfId="1691" totalsRowDxfId="1690"/>
    <tableColumn id="14" name="If Other Disease/Infection Type Explain" dataDxfId="1689" totalsRowDxfId="1688"/>
    <tableColumn id="15" name="Disease Description" dataDxfId="1687" totalsRowDxfId="1686"/>
    <tableColumn id="16" name="Number of Antibiotics Prescribed for this Condition " dataDxfId="1685" totalsRowDxfId="1684"/>
    <tableColumn id="17" name="Diagnostics Offered for Infectious Condition (Y/N)" dataDxfId="1683" totalsRowDxfId="1682"/>
    <tableColumn id="18" name="Diagnostic Performed for Infectious Condition (Y/N)" dataDxfId="1681" totalsRowDxfId="1680"/>
    <tableColumn id="23" name="Drug Name" dataDxfId="1679" totalsRowDxfId="1678"/>
    <tableColumn id="24" name="Drug Class" dataDxfId="1677" totalsRowDxfId="1676">
      <calculatedColumnFormula>IFERROR(VLOOKUP(April[[#This Row],[Drug Name]],'Data Options'!$R$1:$S$100,2,FALSE), " ")</calculatedColumnFormula>
    </tableColumn>
    <tableColumn id="25" name="Dose (in mg)" dataDxfId="1675" totalsRowDxfId="1674"/>
    <tableColumn id="26" name="Frequency" dataDxfId="1673" totalsRowDxfId="1672"/>
    <tableColumn id="27" name="Route" dataDxfId="1671" totalsRowDxfId="1670"/>
    <tableColumn id="28" name="Duration _x000a_(in days)" dataDxfId="1669" totalsRowDxfId="1668"/>
    <tableColumn id="30" name="Location Filled " dataDxfId="1667" totalsRowDxfId="1666"/>
    <tableColumn id="31" name="Drug Name2" dataDxfId="1665" totalsRowDxfId="1664"/>
    <tableColumn id="32" name="Drug Class2" dataDxfId="1663" totalsRowDxfId="1662">
      <calculatedColumnFormula>IFERROR(VLOOKUP(April[[#This Row],[Drug Name2]],'Data Options'!$R$1:$S$100,2,FALSE), " ")</calculatedColumnFormula>
    </tableColumn>
    <tableColumn id="33" name="Dose (in mg)2" dataDxfId="1661" totalsRowDxfId="1660"/>
    <tableColumn id="34" name="Frequency2" dataDxfId="1659" totalsRowDxfId="1658"/>
    <tableColumn id="35" name="Route2" dataDxfId="1657" totalsRowDxfId="1656"/>
    <tableColumn id="36" name="Duration _x000a_(in days)2" dataDxfId="1655" totalsRowDxfId="1654"/>
    <tableColumn id="38" name="Location Filled2" dataDxfId="1653" totalsRowDxfId="1652"/>
    <tableColumn id="39" name="Drug Name3" dataDxfId="1651" totalsRowDxfId="1650"/>
    <tableColumn id="40" name="Drug Class3" dataDxfId="1649" totalsRowDxfId="1648">
      <calculatedColumnFormula>IFERROR(VLOOKUP(April[[#This Row],[Drug Name3]],'Data Options'!$R$1:$S$100,2,FALSE), " ")</calculatedColumnFormula>
    </tableColumn>
    <tableColumn id="41" name="Dose (in mg)3" dataDxfId="1647" totalsRowDxfId="1646"/>
    <tableColumn id="42" name="Frequency3" dataDxfId="1645" totalsRowDxfId="1644"/>
    <tableColumn id="43" name="Route3" dataDxfId="1643" totalsRowDxfId="1642"/>
    <tableColumn id="44" name="Duration _x000a_(in days)3" dataDxfId="1641" totalsRowDxfId="1640"/>
    <tableColumn id="46" name="Location Filled3" dataDxfId="1639" totalsRowDxfId="1638"/>
    <tableColumn id="47" name="Disease/Infection Type2" dataDxfId="1637" totalsRowDxfId="1636"/>
    <tableColumn id="48" name="If Other Disease/Infection Type Explain2" dataDxfId="1635" totalsRowDxfId="1634"/>
    <tableColumn id="49" name="Disease Description2" dataDxfId="1633" totalsRowDxfId="1632"/>
    <tableColumn id="50" name="Number of Antibiotics Prescribed for this Condition2" dataDxfId="1631" totalsRowDxfId="1630"/>
    <tableColumn id="51" name="Diagnostics Offered for Infectious Condition (Y/N)2" dataDxfId="1629" totalsRowDxfId="1628"/>
    <tableColumn id="52" name="Diagnostic Performed for Infectious Condition (Y/N)2" dataDxfId="1627" totalsRowDxfId="1626"/>
    <tableColumn id="57" name="Drug Name4" dataDxfId="1625" totalsRowDxfId="1624"/>
    <tableColumn id="58" name="Drug Class4" dataDxfId="1623" totalsRowDxfId="1622">
      <calculatedColumnFormula>IFERROR(VLOOKUP(April[[#This Row],[Drug Name4]],'Data Options'!$R$1:$S$100,2,FALSE), " ")</calculatedColumnFormula>
    </tableColumn>
    <tableColumn id="59" name="Dose (in mg)4" dataDxfId="1621" totalsRowDxfId="1620"/>
    <tableColumn id="60" name="Frequency4" dataDxfId="1619" totalsRowDxfId="1618"/>
    <tableColumn id="61" name="Route4" dataDxfId="1617" totalsRowDxfId="1616"/>
    <tableColumn id="62" name="Duration _x000a_(in days)4" dataDxfId="1615" totalsRowDxfId="1614"/>
    <tableColumn id="64" name="Location Filled4" dataDxfId="1613" totalsRowDxfId="1612"/>
    <tableColumn id="65" name="Drug Name5" dataDxfId="1611" totalsRowDxfId="1610"/>
    <tableColumn id="66" name="Drug Class5" dataDxfId="1609" totalsRowDxfId="1608">
      <calculatedColumnFormula>IFERROR(VLOOKUP(April[[#This Row],[Drug Name5]],'Data Options'!$R$1:$S$100,2,FALSE), " ")</calculatedColumnFormula>
    </tableColumn>
    <tableColumn id="67" name="Dose (in mg)5" dataDxfId="1607" totalsRowDxfId="1606"/>
    <tableColumn id="68" name="Frequency5" dataDxfId="1605" totalsRowDxfId="1604"/>
    <tableColumn id="69" name="Route5" dataDxfId="1603" totalsRowDxfId="1602"/>
    <tableColumn id="70" name="Duration _x000a_(in days)5" dataDxfId="1601" totalsRowDxfId="1600"/>
    <tableColumn id="72" name="Location Filled5" dataDxfId="1599" totalsRowDxfId="1598"/>
    <tableColumn id="73" name="Drug Name6" dataDxfId="1597" totalsRowDxfId="1596"/>
    <tableColumn id="74" name="Drug Class6" dataDxfId="1595" totalsRowDxfId="1594">
      <calculatedColumnFormula>IFERROR(VLOOKUP(April[[#This Row],[Drug Name6]],'Data Options'!$R$1:$S$100,2,FALSE), " ")</calculatedColumnFormula>
    </tableColumn>
    <tableColumn id="75" name="Dose (in mg)6" dataDxfId="1593" totalsRowDxfId="1592"/>
    <tableColumn id="76" name="Frequency6" dataDxfId="1591" totalsRowDxfId="1590"/>
    <tableColumn id="77" name="Route6" dataDxfId="1589" totalsRowDxfId="1588"/>
    <tableColumn id="78" name="Duration _x000a_(in days)6" dataDxfId="1587" totalsRowDxfId="1586"/>
    <tableColumn id="80" name="Location Filled6" dataDxfId="1585" totalsRowDxfId="1584"/>
    <tableColumn id="81" name="Disease/Infection Type3" dataDxfId="1583" totalsRowDxfId="1582"/>
    <tableColumn id="82" name="If Other Disease/Infection Type Explain3" dataDxfId="1581" totalsRowDxfId="1580"/>
    <tableColumn id="83" name="Disease Description3" dataDxfId="1579" totalsRowDxfId="1578"/>
    <tableColumn id="84" name="Number of Antibiotics Prescribed for this Condition3" dataDxfId="1577" totalsRowDxfId="1576"/>
    <tableColumn id="85" name="Diagnostics Offered for Infectious Condition (Y/N)3" dataDxfId="1575" totalsRowDxfId="1574"/>
    <tableColumn id="86" name="Diagnostic Performed for Infectious Condition (Y/N)3" dataDxfId="1573" totalsRowDxfId="1572"/>
    <tableColumn id="91" name="Drug Name7" dataDxfId="1571" totalsRowDxfId="1570"/>
    <tableColumn id="92" name="Drug Class7" dataDxfId="1569" totalsRowDxfId="1568">
      <calculatedColumnFormula>IFERROR(VLOOKUP(April[[#This Row],[Drug Name7]],'Data Options'!$R$1:$S$100,2,FALSE), " ")</calculatedColumnFormula>
    </tableColumn>
    <tableColumn id="93" name="Dose (in mg)7" dataDxfId="1567" totalsRowDxfId="1566"/>
    <tableColumn id="94" name="Frequency7" dataDxfId="1565" totalsRowDxfId="1564"/>
    <tableColumn id="95" name="Route7" dataDxfId="1563" totalsRowDxfId="1562"/>
    <tableColumn id="96" name="Duration _x000a_(in days)7" dataDxfId="1561" totalsRowDxfId="1560"/>
    <tableColumn id="98" name="Locatio  Filled7" dataDxfId="1559" totalsRowDxfId="1558"/>
    <tableColumn id="99" name="Drug Name8" dataDxfId="1557" totalsRowDxfId="1556"/>
    <tableColumn id="100" name="Drug Class8" dataDxfId="1555" totalsRowDxfId="1554">
      <calculatedColumnFormula>IFERROR(VLOOKUP(April[[#This Row],[Drug Name8]],'Data Options'!$R$1:$S$100,2,FALSE), " ")</calculatedColumnFormula>
    </tableColumn>
    <tableColumn id="101" name="Dose (in mg)8" dataDxfId="1553" totalsRowDxfId="1552"/>
    <tableColumn id="102" name="Frequency8" dataDxfId="1551" totalsRowDxfId="1550"/>
    <tableColumn id="103" name="Route8" dataDxfId="1549" totalsRowDxfId="1548"/>
    <tableColumn id="104" name="Duration _x000a_(in days)8" dataDxfId="1547" totalsRowDxfId="1546"/>
    <tableColumn id="106" name="Location Filled8" dataDxfId="1545" totalsRowDxfId="1544"/>
    <tableColumn id="107" name="Drug Name9" dataDxfId="1543" totalsRowDxfId="1542"/>
    <tableColumn id="108" name="Drug Class9" dataDxfId="1541" totalsRowDxfId="1540">
      <calculatedColumnFormula>IFERROR(VLOOKUP(April[[#This Row],[Drug Name9]],'Data Options'!$R$1:$S$100,2,FALSE), " ")</calculatedColumnFormula>
    </tableColumn>
    <tableColumn id="109" name="Dose (in mg)9" dataDxfId="1539" totalsRowDxfId="1538"/>
    <tableColumn id="110" name="Frequency9" dataDxfId="1537" totalsRowDxfId="1536"/>
    <tableColumn id="111" name="Route9" dataDxfId="1535" totalsRowDxfId="1534"/>
    <tableColumn id="112" name="Duration _x000a_(in days)9" dataDxfId="1533" totalsRowDxfId="1532"/>
    <tableColumn id="114" name="Location Filled9" totalsRowFunction="count" dataDxfId="1531" totalsRowDxfId="1530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id="18" name="May" displayName="May" ref="A3:CM202" totalsRowCount="1" headerRowDxfId="1529" dataDxfId="1527" totalsRowDxfId="1526" headerRowBorderDxfId="1528">
  <autoFilter ref="A3:CM201"/>
  <tableColumns count="91">
    <tableColumn id="1" name="Date of Service" totalsRowLabel="Total" dataDxfId="1525" totalsRowDxfId="1524"/>
    <tableColumn id="3" name="Attending Clinician" dataDxfId="1523" totalsRowDxfId="1522"/>
    <tableColumn id="4" name="Patient Medical Record Number" dataDxfId="1521" totalsRowDxfId="1520"/>
    <tableColumn id="5" name="Patient Species" dataDxfId="1519" totalsRowDxfId="1518"/>
    <tableColumn id="6" name="Patient Sex" dataDxfId="1517" totalsRowDxfId="1516"/>
    <tableColumn id="7" name="Patient Age" dataDxfId="1515" totalsRowDxfId="1514"/>
    <tableColumn id="8" name="Reason for Visit" dataDxfId="1513" totalsRowDxfId="1512"/>
    <tableColumn id="9" name="If Other Reason for Visit Explain" dataDxfId="1511" totalsRowDxfId="1510"/>
    <tableColumn id="10" name="Patient Prescribed Antibiotic (Y/N/WW)" dataDxfId="1509" totalsRowDxfId="1508"/>
    <tableColumn id="11" name="Total Number of Antibiotics Prescribed for Patient" dataDxfId="1507" totalsRowDxfId="1506"/>
    <tableColumn id="13" name="Disease/Infection Type" dataDxfId="1505" totalsRowDxfId="1504"/>
    <tableColumn id="14" name="If Other Disease/Infection Type Explain" dataDxfId="1503" totalsRowDxfId="1502"/>
    <tableColumn id="15" name="Disease Description" dataDxfId="1501" totalsRowDxfId="1500"/>
    <tableColumn id="16" name="Number of Antibiotics Prescribed for this Condition " dataDxfId="1499" totalsRowDxfId="1498"/>
    <tableColumn id="17" name="Diagnostics Offered for Infectious Condition (Y/N)" dataDxfId="1497" totalsRowDxfId="1496"/>
    <tableColumn id="18" name="Diagnostic Performed for Infectious Condition (Y/N)" dataDxfId="1495" totalsRowDxfId="1494"/>
    <tableColumn id="23" name="Drug Name" dataDxfId="1493" totalsRowDxfId="1492"/>
    <tableColumn id="24" name="Drug Class" dataDxfId="1491" totalsRowDxfId="1490">
      <calculatedColumnFormula>IFERROR(VLOOKUP(May[[#This Row],[Drug Name]],'Data Options'!$R$1:$S$100,2,FALSE), " ")</calculatedColumnFormula>
    </tableColumn>
    <tableColumn id="25" name="Dose (in mg)" dataDxfId="1489" totalsRowDxfId="1488"/>
    <tableColumn id="26" name="Frequency" dataDxfId="1487" totalsRowDxfId="1486"/>
    <tableColumn id="27" name="Route" dataDxfId="1485" totalsRowDxfId="1484"/>
    <tableColumn id="28" name="Duration _x000a_(in days)" dataDxfId="1483" totalsRowDxfId="1482"/>
    <tableColumn id="30" name="Location Filled " dataDxfId="1481" totalsRowDxfId="1480"/>
    <tableColumn id="31" name="Drug Name2" dataDxfId="1479" totalsRowDxfId="1478"/>
    <tableColumn id="32" name="Drug Class2" dataDxfId="1477" totalsRowDxfId="1476">
      <calculatedColumnFormula>IFERROR(VLOOKUP(May[[#This Row],[Drug Name2]],'Data Options'!$R$1:$S$100,2,FALSE), " ")</calculatedColumnFormula>
    </tableColumn>
    <tableColumn id="33" name="Dose (in mg)2" dataDxfId="1475" totalsRowDxfId="1474"/>
    <tableColumn id="34" name="Frequency2" dataDxfId="1473" totalsRowDxfId="1472"/>
    <tableColumn id="35" name="Route2" dataDxfId="1471" totalsRowDxfId="1470"/>
    <tableColumn id="36" name="Duration _x000a_(in days)2" dataDxfId="1469" totalsRowDxfId="1468"/>
    <tableColumn id="38" name="Location Filled2" dataDxfId="1467" totalsRowDxfId="1466"/>
    <tableColumn id="39" name="Drug Name3" dataDxfId="1465" totalsRowDxfId="1464"/>
    <tableColumn id="40" name="Drug Class3" dataDxfId="1463" totalsRowDxfId="1462">
      <calculatedColumnFormula>IFERROR(VLOOKUP(May[[#This Row],[Drug Name3]],'Data Options'!$R$1:$S$100,2,FALSE), " ")</calculatedColumnFormula>
    </tableColumn>
    <tableColumn id="41" name="Dose (in mg)3" dataDxfId="1461" totalsRowDxfId="1460"/>
    <tableColumn id="42" name="Frequency3" dataDxfId="1459" totalsRowDxfId="1458"/>
    <tableColumn id="43" name="Route3" dataDxfId="1457" totalsRowDxfId="1456"/>
    <tableColumn id="44" name="Duration _x000a_(in days)3" dataDxfId="1455" totalsRowDxfId="1454"/>
    <tableColumn id="46" name="Location Filled3" dataDxfId="1453" totalsRowDxfId="1452"/>
    <tableColumn id="47" name="Disease/Infection Type2" dataDxfId="1451" totalsRowDxfId="1450"/>
    <tableColumn id="48" name="If Other Disease/Infection Type Explain2" dataDxfId="1449" totalsRowDxfId="1448"/>
    <tableColumn id="49" name="Disease Description2" dataDxfId="1447" totalsRowDxfId="1446"/>
    <tableColumn id="50" name="Number of Antibiotics Prescribed for this Condition2" dataDxfId="1445" totalsRowDxfId="1444"/>
    <tableColumn id="51" name="Diagnostics Offered for Infectious Condition (Y/N)2" dataDxfId="1443" totalsRowDxfId="1442"/>
    <tableColumn id="52" name="Diagnostic Performed for Infectious Condition (Y/N)2" dataDxfId="1441" totalsRowDxfId="1440"/>
    <tableColumn id="57" name="Drug Name4" dataDxfId="1439" totalsRowDxfId="1438"/>
    <tableColumn id="58" name="Drug Class4" dataDxfId="1437" totalsRowDxfId="1436">
      <calculatedColumnFormula>IFERROR(VLOOKUP(May[[#This Row],[Drug Name4]],'Data Options'!$R$1:$S$100,2,FALSE), " ")</calculatedColumnFormula>
    </tableColumn>
    <tableColumn id="59" name="Dose (in mg)4" dataDxfId="1435" totalsRowDxfId="1434"/>
    <tableColumn id="60" name="Frequency4" dataDxfId="1433" totalsRowDxfId="1432"/>
    <tableColumn id="61" name="Route4" dataDxfId="1431" totalsRowDxfId="1430"/>
    <tableColumn id="62" name="Duration _x000a_(in days)4" dataDxfId="1429" totalsRowDxfId="1428"/>
    <tableColumn id="64" name="Location Filled4" dataDxfId="1427" totalsRowDxfId="1426"/>
    <tableColumn id="65" name="Drug Name5" dataDxfId="1425" totalsRowDxfId="1424"/>
    <tableColumn id="66" name="Drug Class5" dataDxfId="1423" totalsRowDxfId="1422">
      <calculatedColumnFormula>IFERROR(VLOOKUP(May[[#This Row],[Drug Name5]],'Data Options'!$R$1:$S$100,2,FALSE), " ")</calculatedColumnFormula>
    </tableColumn>
    <tableColumn id="67" name="Dose (in mg)5" dataDxfId="1421" totalsRowDxfId="1420"/>
    <tableColumn id="68" name="Frequency5" dataDxfId="1419" totalsRowDxfId="1418"/>
    <tableColumn id="69" name="Route5" dataDxfId="1417" totalsRowDxfId="1416"/>
    <tableColumn id="70" name="Duration _x000a_(in days)5" dataDxfId="1415" totalsRowDxfId="1414"/>
    <tableColumn id="72" name="Location Filled5" dataDxfId="1413" totalsRowDxfId="1412"/>
    <tableColumn id="73" name="Drug Name6" dataDxfId="1411" totalsRowDxfId="1410"/>
    <tableColumn id="74" name="Drug Class6" dataDxfId="1409" totalsRowDxfId="1408">
      <calculatedColumnFormula>IFERROR(VLOOKUP(May[[#This Row],[Drug Name6]],'Data Options'!$R$1:$S$100,2,FALSE), " ")</calculatedColumnFormula>
    </tableColumn>
    <tableColumn id="75" name="Dose (in mg)6" dataDxfId="1407" totalsRowDxfId="1406"/>
    <tableColumn id="76" name="Frequency6" dataDxfId="1405" totalsRowDxfId="1404"/>
    <tableColumn id="77" name="Route6" dataDxfId="1403" totalsRowDxfId="1402"/>
    <tableColumn id="78" name="Duration _x000a_(in days)6" dataDxfId="1401" totalsRowDxfId="1400"/>
    <tableColumn id="80" name="Location Filled6" dataDxfId="1399" totalsRowDxfId="1398"/>
    <tableColumn id="81" name="Disease/Infection Type3" dataDxfId="1397" totalsRowDxfId="1396"/>
    <tableColumn id="82" name="If Other Disease/Infection Type Explain3" dataDxfId="1395" totalsRowDxfId="1394"/>
    <tableColumn id="83" name="Disease Description3" dataDxfId="1393" totalsRowDxfId="1392"/>
    <tableColumn id="84" name="Number of Antibiotics Prescribed for this Condition3" dataDxfId="1391" totalsRowDxfId="1390"/>
    <tableColumn id="85" name="Diagnostics Offered for Infectious Condition (Y/N)3" dataDxfId="1389" totalsRowDxfId="1388"/>
    <tableColumn id="86" name="Diagnostic Performed for Infectious Condition (Y/N)3" dataDxfId="1387" totalsRowDxfId="1386"/>
    <tableColumn id="91" name="Drug Name7" dataDxfId="1385" totalsRowDxfId="1384"/>
    <tableColumn id="92" name="Drug Class7" dataDxfId="1383" totalsRowDxfId="1382">
      <calculatedColumnFormula>IFERROR(VLOOKUP(May[[#This Row],[Drug Name7]],'Data Options'!$R$1:$S$100,2,FALSE), " ")</calculatedColumnFormula>
    </tableColumn>
    <tableColumn id="93" name="Dose (in mg)7" dataDxfId="1381" totalsRowDxfId="1380"/>
    <tableColumn id="94" name="Frequency7" dataDxfId="1379" totalsRowDxfId="1378"/>
    <tableColumn id="95" name="Route7" dataDxfId="1377" totalsRowDxfId="1376"/>
    <tableColumn id="96" name="Duration _x000a_(in days)7" dataDxfId="1375" totalsRowDxfId="1374"/>
    <tableColumn id="98" name="Locatio  Filled7" dataDxfId="1373" totalsRowDxfId="1372"/>
    <tableColumn id="99" name="Drug Name8" dataDxfId="1371" totalsRowDxfId="1370"/>
    <tableColumn id="100" name="Drug Class8" dataDxfId="1369" totalsRowDxfId="1368">
      <calculatedColumnFormula>IFERROR(VLOOKUP(May[[#This Row],[Drug Name8]],'Data Options'!$R$1:$S$100,2,FALSE), " ")</calculatedColumnFormula>
    </tableColumn>
    <tableColumn id="101" name="Dose (in mg)8" dataDxfId="1367" totalsRowDxfId="1366"/>
    <tableColumn id="102" name="Frequency8" dataDxfId="1365" totalsRowDxfId="1364"/>
    <tableColumn id="103" name="Route8" dataDxfId="1363" totalsRowDxfId="1362"/>
    <tableColumn id="104" name="Duration _x000a_(in days)8" dataDxfId="1361" totalsRowDxfId="1360"/>
    <tableColumn id="106" name="Location Filled8" dataDxfId="1359" totalsRowDxfId="1358"/>
    <tableColumn id="107" name="Drug Name9" dataDxfId="1357" totalsRowDxfId="1356"/>
    <tableColumn id="108" name="Drug Class9" dataDxfId="1355" totalsRowDxfId="1354">
      <calculatedColumnFormula>IFERROR(VLOOKUP(May[[#This Row],[Drug Name9]],'Data Options'!$R$1:$S$100,2,FALSE), " ")</calculatedColumnFormula>
    </tableColumn>
    <tableColumn id="109" name="Dose (in mg)9" dataDxfId="1353" totalsRowDxfId="1352"/>
    <tableColumn id="110" name="Frequency9" dataDxfId="1351" totalsRowDxfId="1350"/>
    <tableColumn id="111" name="Route9" dataDxfId="1349" totalsRowDxfId="1348"/>
    <tableColumn id="112" name="Duration _x000a_(in days)9" dataDxfId="1347" totalsRowDxfId="1346"/>
    <tableColumn id="114" name="Location Filled9" totalsRowFunction="count" dataDxfId="1345" totalsRowDxfId="1344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id="20" name="June" displayName="June" ref="A3:CM202" totalsRowCount="1" headerRowDxfId="1343" dataDxfId="1341" totalsRowDxfId="1340" headerRowBorderDxfId="1342">
  <autoFilter ref="A3:CM201"/>
  <tableColumns count="91">
    <tableColumn id="1" name="Date of Service" totalsRowLabel="Total" dataDxfId="1339" totalsRowDxfId="1338"/>
    <tableColumn id="3" name="Attending Clinician" dataDxfId="1337" totalsRowDxfId="1336"/>
    <tableColumn id="4" name="Patient Medical Record Number" dataDxfId="1335" totalsRowDxfId="1334"/>
    <tableColumn id="5" name="Patient Species" dataDxfId="1333" totalsRowDxfId="1332"/>
    <tableColumn id="6" name="Patient Sex" dataDxfId="1331" totalsRowDxfId="1330"/>
    <tableColumn id="7" name="Patient Age" dataDxfId="1329" totalsRowDxfId="1328"/>
    <tableColumn id="8" name="Reason for Visit" dataDxfId="1327" totalsRowDxfId="1326"/>
    <tableColumn id="9" name="If Other Reason for Visit Explain" dataDxfId="1325" totalsRowDxfId="1324"/>
    <tableColumn id="10" name="Patient Prescribed Antibiotic (Y/N/WW)" dataDxfId="1323" totalsRowDxfId="1322"/>
    <tableColumn id="11" name="Total Number of Antibiotics Prescribed for Patient" dataDxfId="1321" totalsRowDxfId="1320"/>
    <tableColumn id="13" name="Disease/Infection Type" dataDxfId="1319" totalsRowDxfId="1318"/>
    <tableColumn id="14" name="If Other Disease/Infection Type Explain" dataDxfId="1317" totalsRowDxfId="1316"/>
    <tableColumn id="15" name="Disease Description" dataDxfId="1315" totalsRowDxfId="1314"/>
    <tableColumn id="16" name="Number of Antibiotics Prescribed for this Condition " dataDxfId="1313" totalsRowDxfId="1312"/>
    <tableColumn id="17" name="Diagnostics Offered for Infectious Condition (Y/N)" dataDxfId="1311" totalsRowDxfId="1310"/>
    <tableColumn id="18" name="Diagnostic Performed for Infectious Condition (Y/N)" dataDxfId="1309" totalsRowDxfId="1308"/>
    <tableColumn id="23" name="Drug Name" dataDxfId="1307" totalsRowDxfId="1306"/>
    <tableColumn id="24" name="Drug Class" dataDxfId="1305" totalsRowDxfId="1304">
      <calculatedColumnFormula>IFERROR(VLOOKUP(June[[#This Row],[Drug Name]],'Data Options'!$R$1:$S$100,2,FALSE), " ")</calculatedColumnFormula>
    </tableColumn>
    <tableColumn id="25" name="Dose (in mg)" dataDxfId="1303" totalsRowDxfId="1302"/>
    <tableColumn id="26" name="Frequency" dataDxfId="1301" totalsRowDxfId="1300"/>
    <tableColumn id="27" name="Route" dataDxfId="1299" totalsRowDxfId="1298"/>
    <tableColumn id="28" name="Duration _x000a_(in days)" dataDxfId="1297" totalsRowDxfId="1296"/>
    <tableColumn id="30" name="Location Filled " dataDxfId="1295" totalsRowDxfId="1294"/>
    <tableColumn id="31" name="Drug Name2" dataDxfId="1293" totalsRowDxfId="1292"/>
    <tableColumn id="32" name="Drug Class2" dataDxfId="1291" totalsRowDxfId="1290">
      <calculatedColumnFormula>IFERROR(VLOOKUP(June[[#This Row],[Drug Name2]],'Data Options'!$R$1:$S$100,2,FALSE), " ")</calculatedColumnFormula>
    </tableColumn>
    <tableColumn id="33" name="Dose (in mg)2" dataDxfId="1289" totalsRowDxfId="1288"/>
    <tableColumn id="34" name="Frequency2" dataDxfId="1287" totalsRowDxfId="1286"/>
    <tableColumn id="35" name="Route2" dataDxfId="1285" totalsRowDxfId="1284"/>
    <tableColumn id="36" name="Duration _x000a_(in days)2" dataDxfId="1283" totalsRowDxfId="1282"/>
    <tableColumn id="38" name="Location Filled2" dataDxfId="1281" totalsRowDxfId="1280"/>
    <tableColumn id="39" name="Drug Name3" dataDxfId="1279" totalsRowDxfId="1278"/>
    <tableColumn id="40" name="Drug Class3" dataDxfId="1277" totalsRowDxfId="1276">
      <calculatedColumnFormula>IFERROR(VLOOKUP(June[[#This Row],[Drug Name3]],'Data Options'!$R$1:$S$100,2,FALSE), " ")</calculatedColumnFormula>
    </tableColumn>
    <tableColumn id="41" name="Dose (in mg)3" dataDxfId="1275" totalsRowDxfId="1274"/>
    <tableColumn id="42" name="Frequency3" dataDxfId="1273" totalsRowDxfId="1272"/>
    <tableColumn id="43" name="Route3" dataDxfId="1271" totalsRowDxfId="1270"/>
    <tableColumn id="44" name="Duration _x000a_(in days)3" dataDxfId="1269" totalsRowDxfId="1268"/>
    <tableColumn id="46" name="Location Filled3" dataDxfId="1267" totalsRowDxfId="1266"/>
    <tableColumn id="47" name="Disease/Infection Type2" dataDxfId="1265" totalsRowDxfId="1264"/>
    <tableColumn id="48" name="If Other Disease/Infection Type Explain2" dataDxfId="1263" totalsRowDxfId="1262"/>
    <tableColumn id="49" name="Disease Description2" dataDxfId="1261" totalsRowDxfId="1260"/>
    <tableColumn id="50" name="Number of Antibiotics Prescribed for this Condition2" dataDxfId="1259" totalsRowDxfId="1258"/>
    <tableColumn id="51" name="Diagnostics Offered for Infectious Condition (Y/N)2" dataDxfId="1257" totalsRowDxfId="1256"/>
    <tableColumn id="52" name="Diagnostic Performed for Infectious Condition (Y/N)2" dataDxfId="1255" totalsRowDxfId="1254"/>
    <tableColumn id="57" name="Drug Name4" dataDxfId="1253" totalsRowDxfId="1252"/>
    <tableColumn id="58" name="Drug Class4" dataDxfId="1251" totalsRowDxfId="1250">
      <calculatedColumnFormula>IFERROR(VLOOKUP(June[[#This Row],[Drug Name4]],'Data Options'!$R$1:$S$100,2,FALSE), " ")</calculatedColumnFormula>
    </tableColumn>
    <tableColumn id="59" name="Dose (in mg)4" dataDxfId="1249" totalsRowDxfId="1248"/>
    <tableColumn id="60" name="Frequency4" dataDxfId="1247" totalsRowDxfId="1246"/>
    <tableColumn id="61" name="Route4" dataDxfId="1245" totalsRowDxfId="1244"/>
    <tableColumn id="62" name="Duration _x000a_(in days)4" dataDxfId="1243" totalsRowDxfId="1242"/>
    <tableColumn id="64" name="Location Filled4" dataDxfId="1241" totalsRowDxfId="1240"/>
    <tableColumn id="65" name="Drug Name5" dataDxfId="1239" totalsRowDxfId="1238"/>
    <tableColumn id="66" name="Drug Class5" dataDxfId="1237" totalsRowDxfId="1236">
      <calculatedColumnFormula>IFERROR(VLOOKUP(June[[#This Row],[Drug Name5]],'Data Options'!$R$1:$S$100,2,FALSE), " ")</calculatedColumnFormula>
    </tableColumn>
    <tableColumn id="67" name="Dose (in mg)5" dataDxfId="1235" totalsRowDxfId="1234"/>
    <tableColumn id="68" name="Frequency5" dataDxfId="1233" totalsRowDxfId="1232"/>
    <tableColumn id="69" name="Route5" dataDxfId="1231" totalsRowDxfId="1230"/>
    <tableColumn id="70" name="Duration _x000a_(in days)5" dataDxfId="1229" totalsRowDxfId="1228"/>
    <tableColumn id="72" name="Location Filled5" dataDxfId="1227" totalsRowDxfId="1226"/>
    <tableColumn id="73" name="Drug Name6" dataDxfId="1225" totalsRowDxfId="1224"/>
    <tableColumn id="74" name="Drug Class6" dataDxfId="1223" totalsRowDxfId="1222">
      <calculatedColumnFormula>IFERROR(VLOOKUP(June[[#This Row],[Drug Name6]],'Data Options'!$R$1:$S$100,2,FALSE), " ")</calculatedColumnFormula>
    </tableColumn>
    <tableColumn id="75" name="Dose (in mg)6" dataDxfId="1221" totalsRowDxfId="1220"/>
    <tableColumn id="76" name="Frequency6" dataDxfId="1219" totalsRowDxfId="1218"/>
    <tableColumn id="77" name="Route6" dataDxfId="1217" totalsRowDxfId="1216"/>
    <tableColumn id="78" name="Duration _x000a_(in days)6" dataDxfId="1215" totalsRowDxfId="1214"/>
    <tableColumn id="80" name="Location Filled6" dataDxfId="1213" totalsRowDxfId="1212"/>
    <tableColumn id="81" name="Disease/Infection Type3" dataDxfId="1211" totalsRowDxfId="1210"/>
    <tableColumn id="82" name="If Other Disease/Infection Type Explain3" dataDxfId="1209" totalsRowDxfId="1208"/>
    <tableColumn id="83" name="Disease Description3" dataDxfId="1207" totalsRowDxfId="1206"/>
    <tableColumn id="84" name="Number of Antibiotics Prescribed for this Condition3" dataDxfId="1205" totalsRowDxfId="1204"/>
    <tableColumn id="85" name="Diagnostics Offered for Infectious Condition (Y/N)3" dataDxfId="1203" totalsRowDxfId="1202"/>
    <tableColumn id="86" name="Diagnostic Performed for Infectious Condition (Y/N)3" dataDxfId="1201" totalsRowDxfId="1200"/>
    <tableColumn id="91" name="Drug Name7" dataDxfId="1199" totalsRowDxfId="1198"/>
    <tableColumn id="92" name="Drug Class7" dataDxfId="1197" totalsRowDxfId="1196">
      <calculatedColumnFormula>IFERROR(VLOOKUP(June[[#This Row],[Drug Name7]],'Data Options'!$R$1:$S$100,2,FALSE), " ")</calculatedColumnFormula>
    </tableColumn>
    <tableColumn id="93" name="Dose (in mg)7" dataDxfId="1195" totalsRowDxfId="1194"/>
    <tableColumn id="94" name="Frequency7" dataDxfId="1193" totalsRowDxfId="1192"/>
    <tableColumn id="95" name="Route7" dataDxfId="1191" totalsRowDxfId="1190"/>
    <tableColumn id="96" name="Duration _x000a_(in days)7" dataDxfId="1189" totalsRowDxfId="1188"/>
    <tableColumn id="98" name="Locatio  Filled7" dataDxfId="1187" totalsRowDxfId="1186"/>
    <tableColumn id="99" name="Drug Name8" dataDxfId="1185" totalsRowDxfId="1184"/>
    <tableColumn id="100" name="Drug Class8" dataDxfId="1183" totalsRowDxfId="1182">
      <calculatedColumnFormula>IFERROR(VLOOKUP(June[[#This Row],[Drug Name8]],'Data Options'!$R$1:$S$100,2,FALSE), " ")</calculatedColumnFormula>
    </tableColumn>
    <tableColumn id="101" name="Dose (in mg)8" dataDxfId="1181" totalsRowDxfId="1180"/>
    <tableColumn id="102" name="Frequency8" dataDxfId="1179" totalsRowDxfId="1178"/>
    <tableColumn id="103" name="Route8" dataDxfId="1177" totalsRowDxfId="1176"/>
    <tableColumn id="104" name="Duration _x000a_(in days)8" dataDxfId="1175" totalsRowDxfId="1174"/>
    <tableColumn id="106" name="Location Filled8" dataDxfId="1173" totalsRowDxfId="1172"/>
    <tableColumn id="107" name="Drug Name9" dataDxfId="1171" totalsRowDxfId="1170"/>
    <tableColumn id="108" name="Drug Class9" dataDxfId="1169" totalsRowDxfId="1168">
      <calculatedColumnFormula>IFERROR(VLOOKUP(June[[#This Row],[Drug Name9]],'Data Options'!$R$1:$S$100,2,FALSE), " ")</calculatedColumnFormula>
    </tableColumn>
    <tableColumn id="109" name="Dose (in mg)9" dataDxfId="1167" totalsRowDxfId="1166"/>
    <tableColumn id="110" name="Frequency9" dataDxfId="1165" totalsRowDxfId="1164"/>
    <tableColumn id="111" name="Route9" dataDxfId="1163" totalsRowDxfId="1162"/>
    <tableColumn id="112" name="Duration _x000a_(in days)9" dataDxfId="1161" totalsRowDxfId="1160"/>
    <tableColumn id="114" name="Location Filled9" totalsRowFunction="count" dataDxfId="1159" totalsRowDxfId="1158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id="21" name="July" displayName="July" ref="A3:CM202" totalsRowCount="1" headerRowDxfId="1157" dataDxfId="1155" totalsRowDxfId="1154" headerRowBorderDxfId="1156">
  <autoFilter ref="A3:CM201"/>
  <tableColumns count="91">
    <tableColumn id="1" name="Date of Service" totalsRowLabel="Total" dataDxfId="1153" totalsRowDxfId="1152"/>
    <tableColumn id="3" name="Attending Clinician" dataDxfId="1151" totalsRowDxfId="1150"/>
    <tableColumn id="4" name="Patient Medical Record Number" dataDxfId="1149" totalsRowDxfId="1148"/>
    <tableColumn id="5" name="Patient Species" dataDxfId="1147" totalsRowDxfId="1146"/>
    <tableColumn id="6" name="Patient Sex" dataDxfId="1145" totalsRowDxfId="1144"/>
    <tableColumn id="7" name="Patient Age" dataDxfId="1143" totalsRowDxfId="1142"/>
    <tableColumn id="8" name="Reason for Visit" dataDxfId="1141" totalsRowDxfId="1140"/>
    <tableColumn id="9" name="If Other Reason for Visit Explain" dataDxfId="1139" totalsRowDxfId="1138"/>
    <tableColumn id="10" name="Patient Prescribed Antibiotic (Y/N/WW)" dataDxfId="1137" totalsRowDxfId="1136"/>
    <tableColumn id="11" name="Total Number of Antibiotics Prescribed for Patient" dataDxfId="1135" totalsRowDxfId="1134"/>
    <tableColumn id="13" name="Disease/Infection Type" dataDxfId="1133" totalsRowDxfId="1132"/>
    <tableColumn id="14" name="If Other Disease/Infection Type Explain" dataDxfId="1131" totalsRowDxfId="1130"/>
    <tableColumn id="15" name="Disease Description" dataDxfId="1129" totalsRowDxfId="1128"/>
    <tableColumn id="16" name="Number of Antibiotics Prescribed for this Condition " dataDxfId="1127" totalsRowDxfId="1126"/>
    <tableColumn id="17" name="Diagnostics Offered for Infectious Condition (Y/N)" dataDxfId="1125" totalsRowDxfId="1124"/>
    <tableColumn id="18" name="Diagnostic Performed for Infectious Condition (Y/N)" dataDxfId="1123" totalsRowDxfId="1122"/>
    <tableColumn id="23" name="Drug Name" dataDxfId="1121" totalsRowDxfId="1120"/>
    <tableColumn id="24" name="Drug Class" dataDxfId="1119" totalsRowDxfId="1118">
      <calculatedColumnFormula>IFERROR(VLOOKUP(July[[#This Row],[Drug Name]],'Data Options'!$R$1:$S$100,2,FALSE), " ")</calculatedColumnFormula>
    </tableColumn>
    <tableColumn id="25" name="Dose (in mg)" dataDxfId="1117" totalsRowDxfId="1116"/>
    <tableColumn id="26" name="Frequency" dataDxfId="1115" totalsRowDxfId="1114"/>
    <tableColumn id="27" name="Route" dataDxfId="1113" totalsRowDxfId="1112"/>
    <tableColumn id="28" name="Duration _x000a_(in days)" dataDxfId="1111" totalsRowDxfId="1110"/>
    <tableColumn id="30" name="Location Filled " dataDxfId="1109" totalsRowDxfId="1108"/>
    <tableColumn id="31" name="Drug Name2" dataDxfId="1107" totalsRowDxfId="1106"/>
    <tableColumn id="32" name="Drug Class2" dataDxfId="1105" totalsRowDxfId="1104">
      <calculatedColumnFormula>IFERROR(VLOOKUP(July[[#This Row],[Drug Name2]],'Data Options'!$R$1:$S$100,2,FALSE), " ")</calculatedColumnFormula>
    </tableColumn>
    <tableColumn id="33" name="Dose (in mg)2" dataDxfId="1103" totalsRowDxfId="1102"/>
    <tableColumn id="34" name="Frequency2" dataDxfId="1101" totalsRowDxfId="1100"/>
    <tableColumn id="35" name="Route2" dataDxfId="1099" totalsRowDxfId="1098"/>
    <tableColumn id="36" name="Duration _x000a_(in days)2" dataDxfId="1097" totalsRowDxfId="1096"/>
    <tableColumn id="38" name="Location Filled2" dataDxfId="1095" totalsRowDxfId="1094"/>
    <tableColumn id="39" name="Drug Name3" dataDxfId="1093" totalsRowDxfId="1092"/>
    <tableColumn id="40" name="Drug Class3" dataDxfId="1091" totalsRowDxfId="1090">
      <calculatedColumnFormula>IFERROR(VLOOKUP(July[[#This Row],[Drug Name3]],'Data Options'!$R$1:$S$100,2,FALSE), " ")</calculatedColumnFormula>
    </tableColumn>
    <tableColumn id="41" name="Dose (in mg)3" dataDxfId="1089" totalsRowDxfId="1088"/>
    <tableColumn id="42" name="Frequency3" dataDxfId="1087" totalsRowDxfId="1086"/>
    <tableColumn id="43" name="Route3" dataDxfId="1085" totalsRowDxfId="1084"/>
    <tableColumn id="44" name="Duration _x000a_(in days)3" dataDxfId="1083" totalsRowDxfId="1082"/>
    <tableColumn id="46" name="Location Filled3" dataDxfId="1081" totalsRowDxfId="1080"/>
    <tableColumn id="47" name="Disease/Infection Type2" dataDxfId="1079" totalsRowDxfId="1078"/>
    <tableColumn id="48" name="If Other Disease/Infection Type Explain2" dataDxfId="1077" totalsRowDxfId="1076"/>
    <tableColumn id="49" name="Disease Description2" dataDxfId="1075" totalsRowDxfId="1074"/>
    <tableColumn id="50" name="Number of Antibiotics Prescribed for this Condition2" dataDxfId="1073" totalsRowDxfId="1072"/>
    <tableColumn id="51" name="Diagnostics Offered for Infectious Condition (Y/N)2" dataDxfId="1071" totalsRowDxfId="1070"/>
    <tableColumn id="52" name="Diagnostic Performed for Infectious Condition (Y/N)2" dataDxfId="1069" totalsRowDxfId="1068"/>
    <tableColumn id="57" name="Drug Name4" dataDxfId="1067" totalsRowDxfId="1066"/>
    <tableColumn id="58" name="Drug Class4" dataDxfId="1065" totalsRowDxfId="1064">
      <calculatedColumnFormula>IFERROR(VLOOKUP(July[[#This Row],[Drug Name4]],'Data Options'!$R$1:$S$100,2,FALSE), " ")</calculatedColumnFormula>
    </tableColumn>
    <tableColumn id="59" name="Dose (in mg)4" dataDxfId="1063" totalsRowDxfId="1062"/>
    <tableColumn id="60" name="Frequency4" dataDxfId="1061" totalsRowDxfId="1060"/>
    <tableColumn id="61" name="Route4" dataDxfId="1059" totalsRowDxfId="1058"/>
    <tableColumn id="62" name="Duration _x000a_(in days)4" dataDxfId="1057" totalsRowDxfId="1056"/>
    <tableColumn id="64" name="Location Filled4" dataDxfId="1055" totalsRowDxfId="1054"/>
    <tableColumn id="65" name="Drug Name5" dataDxfId="1053" totalsRowDxfId="1052"/>
    <tableColumn id="66" name="Drug Class5" dataDxfId="1051" totalsRowDxfId="1050">
      <calculatedColumnFormula>IFERROR(VLOOKUP(July[[#This Row],[Drug Name5]],'Data Options'!$R$1:$S$100,2,FALSE), " ")</calculatedColumnFormula>
    </tableColumn>
    <tableColumn id="67" name="Dose (in mg)5" dataDxfId="1049" totalsRowDxfId="1048"/>
    <tableColumn id="68" name="Frequency5" dataDxfId="1047" totalsRowDxfId="1046"/>
    <tableColumn id="69" name="Route5" dataDxfId="1045" totalsRowDxfId="1044"/>
    <tableColumn id="70" name="Duration _x000a_(in days)5" dataDxfId="1043" totalsRowDxfId="1042"/>
    <tableColumn id="72" name="Location Filled5" dataDxfId="1041" totalsRowDxfId="1040"/>
    <tableColumn id="73" name="Drug Name6" dataDxfId="1039" totalsRowDxfId="1038"/>
    <tableColumn id="74" name="Drug Class6" dataDxfId="1037" totalsRowDxfId="1036">
      <calculatedColumnFormula>IFERROR(VLOOKUP(July[[#This Row],[Drug Name6]],'Data Options'!$R$1:$S$100,2,FALSE), " ")</calculatedColumnFormula>
    </tableColumn>
    <tableColumn id="75" name="Dose (in mg)6" dataDxfId="1035" totalsRowDxfId="1034"/>
    <tableColumn id="76" name="Frequency6" dataDxfId="1033" totalsRowDxfId="1032"/>
    <tableColumn id="77" name="Route6" dataDxfId="1031" totalsRowDxfId="1030"/>
    <tableColumn id="78" name="Duration _x000a_(in days)6" dataDxfId="1029" totalsRowDxfId="1028"/>
    <tableColumn id="80" name="Location Filled6" dataDxfId="1027" totalsRowDxfId="1026"/>
    <tableColumn id="81" name="Disease/Infection Type3" dataDxfId="1025" totalsRowDxfId="1024"/>
    <tableColumn id="82" name="If Other Disease/Infection Type Explain3" dataDxfId="1023" totalsRowDxfId="1022"/>
    <tableColumn id="83" name="Disease Description3" dataDxfId="1021" totalsRowDxfId="1020"/>
    <tableColumn id="84" name="Number of Antibiotics Prescribed for this Condition3" dataDxfId="1019" totalsRowDxfId="1018"/>
    <tableColumn id="85" name="Diagnostics Offered for Infectious Condition (Y/N)3" dataDxfId="1017" totalsRowDxfId="1016"/>
    <tableColumn id="86" name="Diagnostic Performed for Infectious Condition (Y/N)3" dataDxfId="1015" totalsRowDxfId="1014"/>
    <tableColumn id="91" name="Drug Name7" dataDxfId="1013" totalsRowDxfId="1012"/>
    <tableColumn id="92" name="Drug Class7" dataDxfId="1011" totalsRowDxfId="1010">
      <calculatedColumnFormula>IFERROR(VLOOKUP(July[[#This Row],[Drug Name7]],'Data Options'!$R$1:$S$100,2,FALSE), " ")</calculatedColumnFormula>
    </tableColumn>
    <tableColumn id="93" name="Dose (in mg)7" dataDxfId="1009" totalsRowDxfId="1008"/>
    <tableColumn id="94" name="Frequency7" dataDxfId="1007" totalsRowDxfId="1006"/>
    <tableColumn id="95" name="Route7" dataDxfId="1005" totalsRowDxfId="1004"/>
    <tableColumn id="96" name="Duration _x000a_(in days)7" dataDxfId="1003" totalsRowDxfId="1002"/>
    <tableColumn id="98" name="Locatio  Filled7" dataDxfId="1001" totalsRowDxfId="1000"/>
    <tableColumn id="99" name="Drug Name8" dataDxfId="999" totalsRowDxfId="998"/>
    <tableColumn id="100" name="Drug Class8" dataDxfId="997" totalsRowDxfId="996">
      <calculatedColumnFormula>IFERROR(VLOOKUP(July[[#This Row],[Drug Name8]],'Data Options'!$R$1:$S$100,2,FALSE), " ")</calculatedColumnFormula>
    </tableColumn>
    <tableColumn id="101" name="Dose (in mg)8" dataDxfId="995" totalsRowDxfId="994"/>
    <tableColumn id="102" name="Frequency8" dataDxfId="993" totalsRowDxfId="992"/>
    <tableColumn id="103" name="Route8" dataDxfId="991" totalsRowDxfId="990"/>
    <tableColumn id="104" name="Duration _x000a_(in days)8" dataDxfId="989" totalsRowDxfId="988"/>
    <tableColumn id="106" name="Location Filled8" dataDxfId="987" totalsRowDxfId="986"/>
    <tableColumn id="107" name="Drug Name9" dataDxfId="985" totalsRowDxfId="984"/>
    <tableColumn id="108" name="Drug Class9" dataDxfId="983" totalsRowDxfId="982">
      <calculatedColumnFormula>IFERROR(VLOOKUP(July[[#This Row],[Drug Name9]],'Data Options'!$R$1:$S$100,2,FALSE), " ")</calculatedColumnFormula>
    </tableColumn>
    <tableColumn id="109" name="Dose (in mg)9" dataDxfId="981" totalsRowDxfId="980"/>
    <tableColumn id="110" name="Frequency9" dataDxfId="979" totalsRowDxfId="978"/>
    <tableColumn id="111" name="Route9" dataDxfId="977" totalsRowDxfId="976"/>
    <tableColumn id="112" name="Duration _x000a_(in days)9" dataDxfId="975" totalsRowDxfId="974"/>
    <tableColumn id="114" name="Location Filled9" totalsRowFunction="count" dataDxfId="973" totalsRowDxfId="97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Berl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13" Type="http://schemas.openxmlformats.org/officeDocument/2006/relationships/table" Target="../tables/table27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6" Type="http://schemas.openxmlformats.org/officeDocument/2006/relationships/table" Target="../tables/table30.xml"/><Relationship Id="rId1" Type="http://schemas.openxmlformats.org/officeDocument/2006/relationships/table" Target="../tables/table15.xml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5" Type="http://schemas.openxmlformats.org/officeDocument/2006/relationships/table" Target="../tables/table2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Relationship Id="rId14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zoomScale="81" workbookViewId="0">
      <selection activeCell="D19" sqref="D19"/>
    </sheetView>
  </sheetViews>
  <sheetFormatPr defaultColWidth="10.6640625" defaultRowHeight="15.5"/>
  <cols>
    <col min="1" max="1" width="50.5" customWidth="1"/>
  </cols>
  <sheetData>
    <row r="1" spans="1:1" ht="67" customHeight="1"/>
    <row r="2" spans="1:1" ht="62" customHeight="1"/>
    <row r="3" spans="1:1" ht="27" customHeight="1">
      <c r="A3" s="8"/>
    </row>
    <row r="4" spans="1:1" ht="76" customHeight="1">
      <c r="A4" s="9"/>
    </row>
    <row r="5" spans="1:1" ht="124" customHeight="1">
      <c r="A5" s="10"/>
    </row>
    <row r="6" spans="1:1" ht="79" customHeight="1">
      <c r="A6" s="9"/>
    </row>
    <row r="7" spans="1:1" ht="40" customHeight="1">
      <c r="A7" s="7"/>
    </row>
    <row r="8" spans="1:1" ht="60" customHeight="1">
      <c r="A8" s="7"/>
    </row>
    <row r="9" spans="1:1" ht="61" customHeight="1"/>
  </sheetData>
  <sheetProtection algorithmName="SHA-512" hashValue="b4h32RGVUoSChU8CS5V80O4kfGupicZRlAgStkDgpjigdwhWPsvGjmgjfEBZf0HMFPXI8/TGOWXyu6GbAsDnug==" saltValue="GSZkgeEpW8IoDLCTHuTloQ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activeCell="E1" sqref="E1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IFERROR(VLOOKUP(May[[#This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IFERROR(VLOOKUP(May[[#This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IFERROR(VLOOKUP(May[[#This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IFERROR(VLOOKUP(May[[#This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IFERROR(VLOOKUP(May[[#This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IFERROR(VLOOKUP(May[[#This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IFERROR(VLOOKUP(May[[#This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IFERROR(VLOOKUP(May[[#This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IFERROR(VLOOKUP(May[[#This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IFERROR(VLOOKUP(May[[#This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IFERROR(VLOOKUP(May[[#This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IFERROR(VLOOKUP(May[[#This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IFERROR(VLOOKUP(May[[#This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IFERROR(VLOOKUP(May[[#This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IFERROR(VLOOKUP(May[[#This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IFERROR(VLOOKUP(May[[#This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IFERROR(VLOOKUP(May[[#This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IFERROR(VLOOKUP(May[[#This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IFERROR(VLOOKUP(May[[#This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IFERROR(VLOOKUP(May[[#This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IFERROR(VLOOKUP(May[[#This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IFERROR(VLOOKUP(May[[#This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IFERROR(VLOOKUP(May[[#This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IFERROR(VLOOKUP(May[[#This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IFERROR(VLOOKUP(May[[#This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IFERROR(VLOOKUP(May[[#This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IFERROR(VLOOKUP(May[[#This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IFERROR(VLOOKUP(May[[#This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IFERROR(VLOOKUP(May[[#This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IFERROR(VLOOKUP(May[[#This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IFERROR(VLOOKUP(May[[#This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IFERROR(VLOOKUP(May[[#This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IFERROR(VLOOKUP(May[[#This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IFERROR(VLOOKUP(May[[#This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IFERROR(VLOOKUP(May[[#This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IFERROR(VLOOKUP(May[[#This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IFERROR(VLOOKUP(May[[#This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IFERROR(VLOOKUP(May[[#This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IFERROR(VLOOKUP(May[[#This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IFERROR(VLOOKUP(May[[#This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IFERROR(VLOOKUP(May[[#This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IFERROR(VLOOKUP(May[[#This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IFERROR(VLOOKUP(May[[#This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IFERROR(VLOOKUP(May[[#This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IFERROR(VLOOKUP(May[[#This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IFERROR(VLOOKUP(May[[#This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IFERROR(VLOOKUP(May[[#This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IFERROR(VLOOKUP(May[[#This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IFERROR(VLOOKUP(May[[#This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IFERROR(VLOOKUP(May[[#This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IFERROR(VLOOKUP(May[[#This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IFERROR(VLOOKUP(May[[#This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IFERROR(VLOOKUP(May[[#This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IFERROR(VLOOKUP(May[[#This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IFERROR(VLOOKUP(May[[#This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IFERROR(VLOOKUP(May[[#This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IFERROR(VLOOKUP(May[[#This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IFERROR(VLOOKUP(May[[#This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IFERROR(VLOOKUP(May[[#This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IFERROR(VLOOKUP(May[[#This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IFERROR(VLOOKUP(May[[#This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IFERROR(VLOOKUP(May[[#This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IFERROR(VLOOKUP(May[[#This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IFERROR(VLOOKUP(May[[#This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IFERROR(VLOOKUP(May[[#This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IFERROR(VLOOKUP(May[[#This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IFERROR(VLOOKUP(May[[#This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IFERROR(VLOOKUP(May[[#This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IFERROR(VLOOKUP(May[[#This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IFERROR(VLOOKUP(May[[#This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IFERROR(VLOOKUP(May[[#This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IFERROR(VLOOKUP(May[[#This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IFERROR(VLOOKUP(May[[#This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IFERROR(VLOOKUP(May[[#This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IFERROR(VLOOKUP(May[[#This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IFERROR(VLOOKUP(May[[#This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IFERROR(VLOOKUP(May[[#This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IFERROR(VLOOKUP(May[[#This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IFERROR(VLOOKUP(May[[#This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IFERROR(VLOOKUP(May[[#This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IFERROR(VLOOKUP(May[[#This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IFERROR(VLOOKUP(May[[#This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IFERROR(VLOOKUP(May[[#This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IFERROR(VLOOKUP(May[[#This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IFERROR(VLOOKUP(May[[#This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IFERROR(VLOOKUP(May[[#This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IFERROR(VLOOKUP(May[[#This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IFERROR(VLOOKUP(May[[#This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IFERROR(VLOOKUP(May[[#This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IFERROR(VLOOKUP(May[[#This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IFERROR(VLOOKUP(May[[#This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IFERROR(VLOOKUP(May[[#This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IFERROR(VLOOKUP(May[[#This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IFERROR(VLOOKUP(May[[#This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IFERROR(VLOOKUP(May[[#This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IFERROR(VLOOKUP(May[[#This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IFERROR(VLOOKUP(May[[#This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IFERROR(VLOOKUP(May[[#This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IFERROR(VLOOKUP(May[[#This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IFERROR(VLOOKUP(May[[#This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IFERROR(VLOOKUP(May[[#This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IFERROR(VLOOKUP(May[[#This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IFERROR(VLOOKUP(May[[#This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IFERROR(VLOOKUP(May[[#This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IFERROR(VLOOKUP(May[[#This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IFERROR(VLOOKUP(May[[#This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IFERROR(VLOOKUP(May[[#This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IFERROR(VLOOKUP(May[[#This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IFERROR(VLOOKUP(May[[#This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IFERROR(VLOOKUP(May[[#This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IFERROR(VLOOKUP(May[[#This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IFERROR(VLOOKUP(May[[#This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IFERROR(VLOOKUP(May[[#This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IFERROR(VLOOKUP(May[[#This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IFERROR(VLOOKUP(May[[#This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IFERROR(VLOOKUP(May[[#This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IFERROR(VLOOKUP(May[[#This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IFERROR(VLOOKUP(May[[#This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IFERROR(VLOOKUP(May[[#This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IFERROR(VLOOKUP(May[[#This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IFERROR(VLOOKUP(May[[#This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IFERROR(VLOOKUP(May[[#This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IFERROR(VLOOKUP(May[[#This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IFERROR(VLOOKUP(May[[#This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IFERROR(VLOOKUP(May[[#This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IFERROR(VLOOKUP(May[[#This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IFERROR(VLOOKUP(May[[#This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IFERROR(VLOOKUP(May[[#This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IFERROR(VLOOKUP(May[[#This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IFERROR(VLOOKUP(May[[#This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IFERROR(VLOOKUP(May[[#This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IFERROR(VLOOKUP(May[[#This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IFERROR(VLOOKUP(May[[#This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IFERROR(VLOOKUP(May[[#This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IFERROR(VLOOKUP(May[[#This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IFERROR(VLOOKUP(May[[#This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IFERROR(VLOOKUP(May[[#This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IFERROR(VLOOKUP(May[[#This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IFERROR(VLOOKUP(May[[#This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IFERROR(VLOOKUP(May[[#This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IFERROR(VLOOKUP(May[[#This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IFERROR(VLOOKUP(May[[#This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IFERROR(VLOOKUP(May[[#This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IFERROR(VLOOKUP(May[[#This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IFERROR(VLOOKUP(May[[#This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IFERROR(VLOOKUP(May[[#This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IFERROR(VLOOKUP(May[[#This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IFERROR(VLOOKUP(May[[#This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IFERROR(VLOOKUP(May[[#This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IFERROR(VLOOKUP(May[[#This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IFERROR(VLOOKUP(May[[#This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IFERROR(VLOOKUP(May[[#This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IFERROR(VLOOKUP(May[[#This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IFERROR(VLOOKUP(May[[#This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IFERROR(VLOOKUP(May[[#This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IFERROR(VLOOKUP(May[[#This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IFERROR(VLOOKUP(May[[#This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IFERROR(VLOOKUP(May[[#This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IFERROR(VLOOKUP(May[[#This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IFERROR(VLOOKUP(May[[#This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IFERROR(VLOOKUP(May[[#This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IFERROR(VLOOKUP(May[[#This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IFERROR(VLOOKUP(May[[#This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IFERROR(VLOOKUP(May[[#This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IFERROR(VLOOKUP(May[[#This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IFERROR(VLOOKUP(May[[#This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IFERROR(VLOOKUP(May[[#This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IFERROR(VLOOKUP(May[[#This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IFERROR(VLOOKUP(May[[#This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IFERROR(VLOOKUP(May[[#This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IFERROR(VLOOKUP(May[[#This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IFERROR(VLOOKUP(May[[#This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IFERROR(VLOOKUP(May[[#This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IFERROR(VLOOKUP(May[[#This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IFERROR(VLOOKUP(May[[#This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IFERROR(VLOOKUP(May[[#This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IFERROR(VLOOKUP(May[[#This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IFERROR(VLOOKUP(May[[#This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IFERROR(VLOOKUP(May[[#This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IFERROR(VLOOKUP(May[[#This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IFERROR(VLOOKUP(May[[#This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IFERROR(VLOOKUP(May[[#This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IFERROR(VLOOKUP(May[[#This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IFERROR(VLOOKUP(May[[#This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IFERROR(VLOOKUP(May[[#This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IFERROR(VLOOKUP(May[[#This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IFERROR(VLOOKUP(May[[#This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IFERROR(VLOOKUP(May[[#This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IFERROR(VLOOKUP(May[[#This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IFERROR(VLOOKUP(May[[#This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IFERROR(VLOOKUP(May[[#This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IFERROR(VLOOKUP(May[[#This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IFERROR(VLOOKUP(May[[#This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IFERROR(VLOOKUP(May[[#This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IFERROR(VLOOKUP(May[[#This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IFERROR(VLOOKUP(May[[#This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IFERROR(VLOOKUP(May[[#This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IFERROR(VLOOKUP(May[[#This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IFERROR(VLOOKUP(May[[#This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IFERROR(VLOOKUP(May[[#This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IFERROR(VLOOKUP(May[[#This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IFERROR(VLOOKUP(May[[#This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IFERROR(VLOOKUP(May[[#This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IFERROR(VLOOKUP(May[[#This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IFERROR(VLOOKUP(May[[#This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IFERROR(VLOOKUP(May[[#This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IFERROR(VLOOKUP(May[[#This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IFERROR(VLOOKUP(May[[#This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IFERROR(VLOOKUP(May[[#This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IFERROR(VLOOKUP(May[[#This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IFERROR(VLOOKUP(May[[#This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IFERROR(VLOOKUP(May[[#This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IFERROR(VLOOKUP(May[[#This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IFERROR(VLOOKUP(May[[#This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IFERROR(VLOOKUP(May[[#This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IFERROR(VLOOKUP(May[[#This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IFERROR(VLOOKUP(May[[#This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IFERROR(VLOOKUP(May[[#This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IFERROR(VLOOKUP(May[[#This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IFERROR(VLOOKUP(May[[#This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IFERROR(VLOOKUP(May[[#This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IFERROR(VLOOKUP(May[[#This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IFERROR(VLOOKUP(May[[#This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IFERROR(VLOOKUP(May[[#This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IFERROR(VLOOKUP(May[[#This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IFERROR(VLOOKUP(May[[#This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IFERROR(VLOOKUP(May[[#This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IFERROR(VLOOKUP(May[[#This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IFERROR(VLOOKUP(May[[#This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IFERROR(VLOOKUP(May[[#This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IFERROR(VLOOKUP(May[[#This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IFERROR(VLOOKUP(May[[#This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IFERROR(VLOOKUP(May[[#This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IFERROR(VLOOKUP(May[[#This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IFERROR(VLOOKUP(May[[#This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IFERROR(VLOOKUP(May[[#This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IFERROR(VLOOKUP(May[[#This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IFERROR(VLOOKUP(May[[#This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IFERROR(VLOOKUP(May[[#This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IFERROR(VLOOKUP(May[[#This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IFERROR(VLOOKUP(May[[#This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IFERROR(VLOOKUP(May[[#This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IFERROR(VLOOKUP(May[[#This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IFERROR(VLOOKUP(May[[#This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IFERROR(VLOOKUP(May[[#This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IFERROR(VLOOKUP(May[[#This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IFERROR(VLOOKUP(May[[#This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IFERROR(VLOOKUP(May[[#This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IFERROR(VLOOKUP(May[[#This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IFERROR(VLOOKUP(May[[#This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IFERROR(VLOOKUP(May[[#This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IFERROR(VLOOKUP(May[[#This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IFERROR(VLOOKUP(May[[#This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IFERROR(VLOOKUP(May[[#This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IFERROR(VLOOKUP(May[[#This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IFERROR(VLOOKUP(May[[#This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IFERROR(VLOOKUP(May[[#This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IFERROR(VLOOKUP(May[[#This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IFERROR(VLOOKUP(May[[#This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IFERROR(VLOOKUP(May[[#This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IFERROR(VLOOKUP(May[[#This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IFERROR(VLOOKUP(May[[#This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IFERROR(VLOOKUP(May[[#This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IFERROR(VLOOKUP(May[[#This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IFERROR(VLOOKUP(May[[#This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IFERROR(VLOOKUP(May[[#This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IFERROR(VLOOKUP(May[[#This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IFERROR(VLOOKUP(May[[#This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IFERROR(VLOOKUP(May[[#This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IFERROR(VLOOKUP(May[[#This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IFERROR(VLOOKUP(May[[#This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IFERROR(VLOOKUP(May[[#This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IFERROR(VLOOKUP(May[[#This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IFERROR(VLOOKUP(May[[#This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IFERROR(VLOOKUP(May[[#This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IFERROR(VLOOKUP(May[[#This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IFERROR(VLOOKUP(May[[#This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IFERROR(VLOOKUP(May[[#This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IFERROR(VLOOKUP(May[[#This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IFERROR(VLOOKUP(May[[#This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IFERROR(VLOOKUP(May[[#This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IFERROR(VLOOKUP(May[[#This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IFERROR(VLOOKUP(May[[#This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IFERROR(VLOOKUP(May[[#This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IFERROR(VLOOKUP(May[[#This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IFERROR(VLOOKUP(May[[#This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IFERROR(VLOOKUP(May[[#This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IFERROR(VLOOKUP(May[[#This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IFERROR(VLOOKUP(May[[#This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IFERROR(VLOOKUP(May[[#This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IFERROR(VLOOKUP(May[[#This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IFERROR(VLOOKUP(May[[#This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IFERROR(VLOOKUP(May[[#This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IFERROR(VLOOKUP(May[[#This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IFERROR(VLOOKUP(May[[#This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IFERROR(VLOOKUP(May[[#This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IFERROR(VLOOKUP(May[[#This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IFERROR(VLOOKUP(May[[#This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IFERROR(VLOOKUP(May[[#This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IFERROR(VLOOKUP(May[[#This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IFERROR(VLOOKUP(May[[#This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IFERROR(VLOOKUP(May[[#This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IFERROR(VLOOKUP(May[[#This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IFERROR(VLOOKUP(May[[#This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IFERROR(VLOOKUP(May[[#This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IFERROR(VLOOKUP(May[[#This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IFERROR(VLOOKUP(May[[#This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IFERROR(VLOOKUP(May[[#This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IFERROR(VLOOKUP(May[[#This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IFERROR(VLOOKUP(May[[#This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IFERROR(VLOOKUP(May[[#This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IFERROR(VLOOKUP(May[[#This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IFERROR(VLOOKUP(May[[#This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IFERROR(VLOOKUP(May[[#This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IFERROR(VLOOKUP(May[[#This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IFERROR(VLOOKUP(May[[#This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IFERROR(VLOOKUP(May[[#This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IFERROR(VLOOKUP(May[[#This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IFERROR(VLOOKUP(May[[#This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IFERROR(VLOOKUP(May[[#This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IFERROR(VLOOKUP(May[[#This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IFERROR(VLOOKUP(May[[#This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IFERROR(VLOOKUP(May[[#This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IFERROR(VLOOKUP(May[[#This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IFERROR(VLOOKUP(May[[#This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IFERROR(VLOOKUP(May[[#This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IFERROR(VLOOKUP(May[[#This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IFERROR(VLOOKUP(May[[#This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IFERROR(VLOOKUP(May[[#This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IFERROR(VLOOKUP(May[[#This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IFERROR(VLOOKUP(May[[#This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IFERROR(VLOOKUP(May[[#This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IFERROR(VLOOKUP(May[[#This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IFERROR(VLOOKUP(May[[#This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IFERROR(VLOOKUP(May[[#This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IFERROR(VLOOKUP(May[[#This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IFERROR(VLOOKUP(May[[#This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IFERROR(VLOOKUP(May[[#This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IFERROR(VLOOKUP(May[[#This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IFERROR(VLOOKUP(May[[#This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IFERROR(VLOOKUP(May[[#This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IFERROR(VLOOKUP(May[[#This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IFERROR(VLOOKUP(May[[#This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IFERROR(VLOOKUP(May[[#This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IFERROR(VLOOKUP(May[[#This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IFERROR(VLOOKUP(May[[#This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IFERROR(VLOOKUP(May[[#This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IFERROR(VLOOKUP(May[[#This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IFERROR(VLOOKUP(May[[#This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IFERROR(VLOOKUP(May[[#This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IFERROR(VLOOKUP(May[[#This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IFERROR(VLOOKUP(May[[#This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IFERROR(VLOOKUP(May[[#This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IFERROR(VLOOKUP(May[[#This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IFERROR(VLOOKUP(May[[#This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IFERROR(VLOOKUP(May[[#This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IFERROR(VLOOKUP(May[[#This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IFERROR(VLOOKUP(May[[#This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IFERROR(VLOOKUP(May[[#This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IFERROR(VLOOKUP(May[[#This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IFERROR(VLOOKUP(May[[#This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IFERROR(VLOOKUP(May[[#This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IFERROR(VLOOKUP(May[[#This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IFERROR(VLOOKUP(May[[#This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IFERROR(VLOOKUP(May[[#This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IFERROR(VLOOKUP(May[[#This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IFERROR(VLOOKUP(May[[#This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IFERROR(VLOOKUP(May[[#This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IFERROR(VLOOKUP(May[[#This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IFERROR(VLOOKUP(May[[#This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IFERROR(VLOOKUP(May[[#This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IFERROR(VLOOKUP(May[[#This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IFERROR(VLOOKUP(May[[#This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IFERROR(VLOOKUP(May[[#This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IFERROR(VLOOKUP(May[[#This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IFERROR(VLOOKUP(May[[#This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IFERROR(VLOOKUP(May[[#This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IFERROR(VLOOKUP(May[[#This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IFERROR(VLOOKUP(May[[#This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IFERROR(VLOOKUP(May[[#This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IFERROR(VLOOKUP(May[[#This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IFERROR(VLOOKUP(May[[#This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IFERROR(VLOOKUP(May[[#This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IFERROR(VLOOKUP(May[[#This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IFERROR(VLOOKUP(May[[#This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IFERROR(VLOOKUP(May[[#This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IFERROR(VLOOKUP(May[[#This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IFERROR(VLOOKUP(May[[#This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IFERROR(VLOOKUP(May[[#This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IFERROR(VLOOKUP(May[[#This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IFERROR(VLOOKUP(May[[#This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IFERROR(VLOOKUP(May[[#This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IFERROR(VLOOKUP(May[[#This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IFERROR(VLOOKUP(May[[#This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IFERROR(VLOOKUP(May[[#This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IFERROR(VLOOKUP(May[[#This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IFERROR(VLOOKUP(May[[#This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IFERROR(VLOOKUP(May[[#This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IFERROR(VLOOKUP(May[[#This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IFERROR(VLOOKUP(May[[#This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IFERROR(VLOOKUP(May[[#This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IFERROR(VLOOKUP(May[[#This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IFERROR(VLOOKUP(May[[#This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IFERROR(VLOOKUP(May[[#This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IFERROR(VLOOKUP(May[[#This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IFERROR(VLOOKUP(May[[#This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IFERROR(VLOOKUP(May[[#This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IFERROR(VLOOKUP(May[[#This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IFERROR(VLOOKUP(May[[#This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IFERROR(VLOOKUP(May[[#This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IFERROR(VLOOKUP(May[[#This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IFERROR(VLOOKUP(May[[#This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IFERROR(VLOOKUP(May[[#This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IFERROR(VLOOKUP(May[[#This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IFERROR(VLOOKUP(May[[#This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IFERROR(VLOOKUP(May[[#This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IFERROR(VLOOKUP(May[[#This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IFERROR(VLOOKUP(May[[#This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IFERROR(VLOOKUP(May[[#This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IFERROR(VLOOKUP(May[[#This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IFERROR(VLOOKUP(May[[#This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IFERROR(VLOOKUP(May[[#This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IFERROR(VLOOKUP(May[[#This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IFERROR(VLOOKUP(May[[#This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IFERROR(VLOOKUP(May[[#This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IFERROR(VLOOKUP(May[[#This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IFERROR(VLOOKUP(May[[#This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IFERROR(VLOOKUP(May[[#This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IFERROR(VLOOKUP(May[[#This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IFERROR(VLOOKUP(May[[#This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IFERROR(VLOOKUP(May[[#This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IFERROR(VLOOKUP(May[[#This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IFERROR(VLOOKUP(May[[#This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IFERROR(VLOOKUP(May[[#This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IFERROR(VLOOKUP(May[[#This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IFERROR(VLOOKUP(May[[#This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IFERROR(VLOOKUP(May[[#This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IFERROR(VLOOKUP(May[[#This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IFERROR(VLOOKUP(May[[#This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IFERROR(VLOOKUP(May[[#This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IFERROR(VLOOKUP(May[[#This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IFERROR(VLOOKUP(May[[#This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IFERROR(VLOOKUP(May[[#This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IFERROR(VLOOKUP(May[[#This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IFERROR(VLOOKUP(May[[#This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IFERROR(VLOOKUP(May[[#This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IFERROR(VLOOKUP(May[[#This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IFERROR(VLOOKUP(May[[#This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IFERROR(VLOOKUP(May[[#This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IFERROR(VLOOKUP(May[[#This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IFERROR(VLOOKUP(May[[#This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IFERROR(VLOOKUP(May[[#This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IFERROR(VLOOKUP(May[[#This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IFERROR(VLOOKUP(May[[#This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IFERROR(VLOOKUP(May[[#This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IFERROR(VLOOKUP(May[[#This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IFERROR(VLOOKUP(May[[#This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IFERROR(VLOOKUP(May[[#This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IFERROR(VLOOKUP(May[[#This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IFERROR(VLOOKUP(May[[#This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IFERROR(VLOOKUP(May[[#This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IFERROR(VLOOKUP(May[[#This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IFERROR(VLOOKUP(May[[#This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IFERROR(VLOOKUP(May[[#This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IFERROR(VLOOKUP(May[[#This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IFERROR(VLOOKUP(May[[#This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IFERROR(VLOOKUP(May[[#This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IFERROR(VLOOKUP(May[[#This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IFERROR(VLOOKUP(May[[#This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IFERROR(VLOOKUP(May[[#This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IFERROR(VLOOKUP(May[[#This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IFERROR(VLOOKUP(May[[#This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IFERROR(VLOOKUP(May[[#This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IFERROR(VLOOKUP(May[[#This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IFERROR(VLOOKUP(May[[#This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IFERROR(VLOOKUP(May[[#This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IFERROR(VLOOKUP(May[[#This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IFERROR(VLOOKUP(May[[#This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IFERROR(VLOOKUP(May[[#This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IFERROR(VLOOKUP(May[[#This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IFERROR(VLOOKUP(May[[#This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IFERROR(VLOOKUP(May[[#This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IFERROR(VLOOKUP(May[[#This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IFERROR(VLOOKUP(May[[#This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IFERROR(VLOOKUP(May[[#This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IFERROR(VLOOKUP(May[[#This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IFERROR(VLOOKUP(May[[#This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IFERROR(VLOOKUP(May[[#This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IFERROR(VLOOKUP(May[[#This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IFERROR(VLOOKUP(May[[#This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IFERROR(VLOOKUP(May[[#This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IFERROR(VLOOKUP(May[[#This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IFERROR(VLOOKUP(May[[#This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IFERROR(VLOOKUP(May[[#This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IFERROR(VLOOKUP(May[[#This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IFERROR(VLOOKUP(May[[#This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IFERROR(VLOOKUP(May[[#This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IFERROR(VLOOKUP(May[[#This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IFERROR(VLOOKUP(May[[#This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IFERROR(VLOOKUP(May[[#This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IFERROR(VLOOKUP(May[[#This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IFERROR(VLOOKUP(May[[#This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IFERROR(VLOOKUP(May[[#This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IFERROR(VLOOKUP(May[[#This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IFERROR(VLOOKUP(May[[#This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IFERROR(VLOOKUP(May[[#This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IFERROR(VLOOKUP(May[[#This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IFERROR(VLOOKUP(May[[#This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IFERROR(VLOOKUP(May[[#This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IFERROR(VLOOKUP(May[[#This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IFERROR(VLOOKUP(May[[#This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IFERROR(VLOOKUP(May[[#This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IFERROR(VLOOKUP(May[[#This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IFERROR(VLOOKUP(May[[#This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IFERROR(VLOOKUP(May[[#This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IFERROR(VLOOKUP(May[[#This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IFERROR(VLOOKUP(May[[#This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IFERROR(VLOOKUP(May[[#This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IFERROR(VLOOKUP(May[[#This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IFERROR(VLOOKUP(May[[#This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IFERROR(VLOOKUP(May[[#This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IFERROR(VLOOKUP(May[[#This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IFERROR(VLOOKUP(May[[#This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IFERROR(VLOOKUP(May[[#This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IFERROR(VLOOKUP(May[[#This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IFERROR(VLOOKUP(May[[#This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IFERROR(VLOOKUP(May[[#This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IFERROR(VLOOKUP(May[[#This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IFERROR(VLOOKUP(May[[#This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IFERROR(VLOOKUP(May[[#This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IFERROR(VLOOKUP(May[[#This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IFERROR(VLOOKUP(May[[#This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IFERROR(VLOOKUP(May[[#This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IFERROR(VLOOKUP(May[[#This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IFERROR(VLOOKUP(May[[#This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IFERROR(VLOOKUP(May[[#This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IFERROR(VLOOKUP(May[[#This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IFERROR(VLOOKUP(May[[#This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IFERROR(VLOOKUP(May[[#This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IFERROR(VLOOKUP(May[[#This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IFERROR(VLOOKUP(May[[#This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IFERROR(VLOOKUP(May[[#This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IFERROR(VLOOKUP(May[[#This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IFERROR(VLOOKUP(May[[#This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IFERROR(VLOOKUP(May[[#This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IFERROR(VLOOKUP(May[[#This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IFERROR(VLOOKUP(May[[#This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IFERROR(VLOOKUP(May[[#This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IFERROR(VLOOKUP(May[[#This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IFERROR(VLOOKUP(May[[#This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IFERROR(VLOOKUP(May[[#This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IFERROR(VLOOKUP(May[[#This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IFERROR(VLOOKUP(May[[#This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IFERROR(VLOOKUP(May[[#This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IFERROR(VLOOKUP(May[[#This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IFERROR(VLOOKUP(May[[#This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IFERROR(VLOOKUP(May[[#This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IFERROR(VLOOKUP(May[[#This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IFERROR(VLOOKUP(May[[#This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IFERROR(VLOOKUP(May[[#This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IFERROR(VLOOKUP(May[[#This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IFERROR(VLOOKUP(May[[#This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IFERROR(VLOOKUP(May[[#This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IFERROR(VLOOKUP(May[[#This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IFERROR(VLOOKUP(May[[#This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IFERROR(VLOOKUP(May[[#This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IFERROR(VLOOKUP(May[[#This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IFERROR(VLOOKUP(May[[#This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IFERROR(VLOOKUP(May[[#This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IFERROR(VLOOKUP(May[[#This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IFERROR(VLOOKUP(May[[#This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IFERROR(VLOOKUP(May[[#This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IFERROR(VLOOKUP(May[[#This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IFERROR(VLOOKUP(May[[#This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IFERROR(VLOOKUP(May[[#This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IFERROR(VLOOKUP(May[[#This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IFERROR(VLOOKUP(May[[#This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IFERROR(VLOOKUP(May[[#This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IFERROR(VLOOKUP(May[[#This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IFERROR(VLOOKUP(May[[#This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IFERROR(VLOOKUP(May[[#This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IFERROR(VLOOKUP(May[[#This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IFERROR(VLOOKUP(May[[#This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IFERROR(VLOOKUP(May[[#This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IFERROR(VLOOKUP(May[[#This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IFERROR(VLOOKUP(May[[#This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IFERROR(VLOOKUP(May[[#This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IFERROR(VLOOKUP(May[[#This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IFERROR(VLOOKUP(May[[#This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IFERROR(VLOOKUP(May[[#This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IFERROR(VLOOKUP(May[[#This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IFERROR(VLOOKUP(May[[#This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IFERROR(VLOOKUP(May[[#This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IFERROR(VLOOKUP(May[[#This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IFERROR(VLOOKUP(May[[#This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IFERROR(VLOOKUP(May[[#This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IFERROR(VLOOKUP(May[[#This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IFERROR(VLOOKUP(May[[#This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IFERROR(VLOOKUP(May[[#This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IFERROR(VLOOKUP(May[[#This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IFERROR(VLOOKUP(May[[#This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IFERROR(VLOOKUP(May[[#This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IFERROR(VLOOKUP(May[[#This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IFERROR(VLOOKUP(May[[#This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IFERROR(VLOOKUP(May[[#This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IFERROR(VLOOKUP(May[[#This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IFERROR(VLOOKUP(May[[#This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IFERROR(VLOOKUP(May[[#This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IFERROR(VLOOKUP(May[[#This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IFERROR(VLOOKUP(May[[#This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IFERROR(VLOOKUP(May[[#This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IFERROR(VLOOKUP(May[[#This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IFERROR(VLOOKUP(May[[#This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IFERROR(VLOOKUP(May[[#This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IFERROR(VLOOKUP(May[[#This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IFERROR(VLOOKUP(May[[#This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IFERROR(VLOOKUP(May[[#This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IFERROR(VLOOKUP(May[[#This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IFERROR(VLOOKUP(May[[#This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IFERROR(VLOOKUP(May[[#This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IFERROR(VLOOKUP(May[[#This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IFERROR(VLOOKUP(May[[#This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IFERROR(VLOOKUP(May[[#This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IFERROR(VLOOKUP(May[[#This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IFERROR(VLOOKUP(May[[#This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IFERROR(VLOOKUP(May[[#This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IFERROR(VLOOKUP(May[[#This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IFERROR(VLOOKUP(May[[#This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IFERROR(VLOOKUP(May[[#This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IFERROR(VLOOKUP(May[[#This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IFERROR(VLOOKUP(May[[#This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IFERROR(VLOOKUP(May[[#This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IFERROR(VLOOKUP(May[[#This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IFERROR(VLOOKUP(May[[#This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IFERROR(VLOOKUP(May[[#This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IFERROR(VLOOKUP(May[[#This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IFERROR(VLOOKUP(May[[#This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IFERROR(VLOOKUP(May[[#This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IFERROR(VLOOKUP(May[[#This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IFERROR(VLOOKUP(May[[#This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IFERROR(VLOOKUP(May[[#This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IFERROR(VLOOKUP(May[[#This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IFERROR(VLOOKUP(May[[#This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IFERROR(VLOOKUP(May[[#This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IFERROR(VLOOKUP(May[[#This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IFERROR(VLOOKUP(May[[#This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IFERROR(VLOOKUP(May[[#This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IFERROR(VLOOKUP(May[[#This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IFERROR(VLOOKUP(May[[#This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IFERROR(VLOOKUP(May[[#This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IFERROR(VLOOKUP(May[[#This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IFERROR(VLOOKUP(May[[#This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IFERROR(VLOOKUP(May[[#This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IFERROR(VLOOKUP(May[[#This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IFERROR(VLOOKUP(May[[#This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IFERROR(VLOOKUP(May[[#This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IFERROR(VLOOKUP(May[[#This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IFERROR(VLOOKUP(May[[#This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IFERROR(VLOOKUP(May[[#This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IFERROR(VLOOKUP(May[[#This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IFERROR(VLOOKUP(May[[#This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IFERROR(VLOOKUP(May[[#This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IFERROR(VLOOKUP(May[[#This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IFERROR(VLOOKUP(May[[#This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IFERROR(VLOOKUP(May[[#This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IFERROR(VLOOKUP(May[[#This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IFERROR(VLOOKUP(May[[#This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IFERROR(VLOOKUP(May[[#This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IFERROR(VLOOKUP(May[[#This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IFERROR(VLOOKUP(May[[#This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IFERROR(VLOOKUP(May[[#This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IFERROR(VLOOKUP(May[[#This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IFERROR(VLOOKUP(May[[#This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IFERROR(VLOOKUP(May[[#This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IFERROR(VLOOKUP(May[[#This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IFERROR(VLOOKUP(May[[#This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IFERROR(VLOOKUP(May[[#This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IFERROR(VLOOKUP(May[[#This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IFERROR(VLOOKUP(May[[#This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IFERROR(VLOOKUP(May[[#This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IFERROR(VLOOKUP(May[[#This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IFERROR(VLOOKUP(May[[#This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IFERROR(VLOOKUP(May[[#This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IFERROR(VLOOKUP(May[[#This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IFERROR(VLOOKUP(May[[#This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IFERROR(VLOOKUP(May[[#This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IFERROR(VLOOKUP(May[[#This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IFERROR(VLOOKUP(May[[#This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IFERROR(VLOOKUP(May[[#This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IFERROR(VLOOKUP(May[[#This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IFERROR(VLOOKUP(May[[#This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IFERROR(VLOOKUP(May[[#This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IFERROR(VLOOKUP(May[[#This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IFERROR(VLOOKUP(May[[#This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IFERROR(VLOOKUP(May[[#This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IFERROR(VLOOKUP(May[[#This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IFERROR(VLOOKUP(May[[#This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IFERROR(VLOOKUP(May[[#This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IFERROR(VLOOKUP(May[[#This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IFERROR(VLOOKUP(May[[#This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IFERROR(VLOOKUP(May[[#This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IFERROR(VLOOKUP(May[[#This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IFERROR(VLOOKUP(May[[#This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IFERROR(VLOOKUP(May[[#This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IFERROR(VLOOKUP(May[[#This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IFERROR(VLOOKUP(May[[#This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IFERROR(VLOOKUP(May[[#This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IFERROR(VLOOKUP(May[[#This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IFERROR(VLOOKUP(May[[#This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IFERROR(VLOOKUP(May[[#This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IFERROR(VLOOKUP(May[[#This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IFERROR(VLOOKUP(May[[#This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IFERROR(VLOOKUP(May[[#This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IFERROR(VLOOKUP(May[[#This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IFERROR(VLOOKUP(May[[#This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IFERROR(VLOOKUP(May[[#This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IFERROR(VLOOKUP(May[[#This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IFERROR(VLOOKUP(May[[#This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IFERROR(VLOOKUP(May[[#This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IFERROR(VLOOKUP(May[[#This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IFERROR(VLOOKUP(May[[#This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IFERROR(VLOOKUP(May[[#This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IFERROR(VLOOKUP(May[[#This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IFERROR(VLOOKUP(May[[#This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IFERROR(VLOOKUP(May[[#This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IFERROR(VLOOKUP(May[[#This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IFERROR(VLOOKUP(May[[#This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IFERROR(VLOOKUP(May[[#This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IFERROR(VLOOKUP(May[[#This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IFERROR(VLOOKUP(May[[#This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IFERROR(VLOOKUP(May[[#This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IFERROR(VLOOKUP(May[[#This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IFERROR(VLOOKUP(May[[#This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IFERROR(VLOOKUP(May[[#This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IFERROR(VLOOKUP(May[[#This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IFERROR(VLOOKUP(May[[#This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IFERROR(VLOOKUP(May[[#This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IFERROR(VLOOKUP(May[[#This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IFERROR(VLOOKUP(May[[#This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IFERROR(VLOOKUP(May[[#This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IFERROR(VLOOKUP(May[[#This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IFERROR(VLOOKUP(May[[#This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IFERROR(VLOOKUP(May[[#This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IFERROR(VLOOKUP(May[[#This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IFERROR(VLOOKUP(May[[#This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IFERROR(VLOOKUP(May[[#This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IFERROR(VLOOKUP(May[[#This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IFERROR(VLOOKUP(May[[#This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IFERROR(VLOOKUP(May[[#This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IFERROR(VLOOKUP(May[[#This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IFERROR(VLOOKUP(May[[#This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IFERROR(VLOOKUP(May[[#This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IFERROR(VLOOKUP(May[[#This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IFERROR(VLOOKUP(May[[#This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IFERROR(VLOOKUP(May[[#This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IFERROR(VLOOKUP(May[[#This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IFERROR(VLOOKUP(May[[#This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IFERROR(VLOOKUP(May[[#This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IFERROR(VLOOKUP(May[[#This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IFERROR(VLOOKUP(May[[#This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IFERROR(VLOOKUP(May[[#This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IFERROR(VLOOKUP(May[[#This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IFERROR(VLOOKUP(May[[#This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IFERROR(VLOOKUP(May[[#This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IFERROR(VLOOKUP(May[[#This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IFERROR(VLOOKUP(May[[#This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IFERROR(VLOOKUP(May[[#This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IFERROR(VLOOKUP(May[[#This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IFERROR(VLOOKUP(May[[#This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IFERROR(VLOOKUP(May[[#This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IFERROR(VLOOKUP(May[[#This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IFERROR(VLOOKUP(May[[#This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IFERROR(VLOOKUP(May[[#This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IFERROR(VLOOKUP(May[[#This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IFERROR(VLOOKUP(May[[#This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IFERROR(VLOOKUP(May[[#This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IFERROR(VLOOKUP(May[[#This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IFERROR(VLOOKUP(May[[#This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IFERROR(VLOOKUP(May[[#This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IFERROR(VLOOKUP(May[[#This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IFERROR(VLOOKUP(May[[#This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IFERROR(VLOOKUP(May[[#This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IFERROR(VLOOKUP(May[[#This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IFERROR(VLOOKUP(May[[#This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IFERROR(VLOOKUP(May[[#This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IFERROR(VLOOKUP(May[[#This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IFERROR(VLOOKUP(May[[#This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IFERROR(VLOOKUP(May[[#This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IFERROR(VLOOKUP(May[[#This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IFERROR(VLOOKUP(May[[#This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IFERROR(VLOOKUP(May[[#This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IFERROR(VLOOKUP(May[[#This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IFERROR(VLOOKUP(May[[#This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IFERROR(VLOOKUP(May[[#This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IFERROR(VLOOKUP(May[[#This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IFERROR(VLOOKUP(May[[#This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IFERROR(VLOOKUP(May[[#This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IFERROR(VLOOKUP(May[[#This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IFERROR(VLOOKUP(May[[#This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IFERROR(VLOOKUP(May[[#This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IFERROR(VLOOKUP(May[[#This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IFERROR(VLOOKUP(May[[#This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IFERROR(VLOOKUP(May[[#This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IFERROR(VLOOKUP(May[[#This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IFERROR(VLOOKUP(May[[#This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IFERROR(VLOOKUP(May[[#This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IFERROR(VLOOKUP(May[[#This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IFERROR(VLOOKUP(May[[#This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IFERROR(VLOOKUP(May[[#This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IFERROR(VLOOKUP(May[[#This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IFERROR(VLOOKUP(May[[#This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IFERROR(VLOOKUP(May[[#This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IFERROR(VLOOKUP(May[[#This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IFERROR(VLOOKUP(May[[#This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IFERROR(VLOOKUP(May[[#This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IFERROR(VLOOKUP(May[[#This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IFERROR(VLOOKUP(May[[#This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IFERROR(VLOOKUP(May[[#This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IFERROR(VLOOKUP(May[[#This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IFERROR(VLOOKUP(May[[#This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IFERROR(VLOOKUP(May[[#This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IFERROR(VLOOKUP(May[[#This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IFERROR(VLOOKUP(May[[#This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IFERROR(VLOOKUP(May[[#This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IFERROR(VLOOKUP(May[[#This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IFERROR(VLOOKUP(May[[#This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IFERROR(VLOOKUP(May[[#This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IFERROR(VLOOKUP(May[[#This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IFERROR(VLOOKUP(May[[#This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IFERROR(VLOOKUP(May[[#This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IFERROR(VLOOKUP(May[[#This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IFERROR(VLOOKUP(May[[#This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IFERROR(VLOOKUP(May[[#This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IFERROR(VLOOKUP(May[[#This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IFERROR(VLOOKUP(May[[#This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IFERROR(VLOOKUP(May[[#This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IFERROR(VLOOKUP(May[[#This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IFERROR(VLOOKUP(May[[#This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IFERROR(VLOOKUP(May[[#This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IFERROR(VLOOKUP(May[[#This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IFERROR(VLOOKUP(May[[#This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IFERROR(VLOOKUP(May[[#This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IFERROR(VLOOKUP(May[[#This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IFERROR(VLOOKUP(May[[#This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IFERROR(VLOOKUP(May[[#This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IFERROR(VLOOKUP(May[[#This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IFERROR(VLOOKUP(May[[#This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IFERROR(VLOOKUP(May[[#This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IFERROR(VLOOKUP(May[[#This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IFERROR(VLOOKUP(May[[#This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IFERROR(VLOOKUP(May[[#This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IFERROR(VLOOKUP(May[[#This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IFERROR(VLOOKUP(May[[#This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IFERROR(VLOOKUP(May[[#This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IFERROR(VLOOKUP(May[[#This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IFERROR(VLOOKUP(May[[#This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IFERROR(VLOOKUP(May[[#This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IFERROR(VLOOKUP(May[[#This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IFERROR(VLOOKUP(May[[#This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IFERROR(VLOOKUP(May[[#This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IFERROR(VLOOKUP(May[[#This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IFERROR(VLOOKUP(May[[#This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IFERROR(VLOOKUP(May[[#This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IFERROR(VLOOKUP(May[[#This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IFERROR(VLOOKUP(May[[#This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IFERROR(VLOOKUP(May[[#This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IFERROR(VLOOKUP(May[[#This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IFERROR(VLOOKUP(May[[#This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IFERROR(VLOOKUP(May[[#This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IFERROR(VLOOKUP(May[[#This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IFERROR(VLOOKUP(May[[#This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IFERROR(VLOOKUP(May[[#This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IFERROR(VLOOKUP(May[[#This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IFERROR(VLOOKUP(May[[#This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IFERROR(VLOOKUP(May[[#This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IFERROR(VLOOKUP(May[[#This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IFERROR(VLOOKUP(May[[#This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IFERROR(VLOOKUP(May[[#This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IFERROR(VLOOKUP(May[[#This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IFERROR(VLOOKUP(May[[#This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IFERROR(VLOOKUP(May[[#This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IFERROR(VLOOKUP(May[[#This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IFERROR(VLOOKUP(May[[#This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IFERROR(VLOOKUP(May[[#This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IFERROR(VLOOKUP(May[[#This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IFERROR(VLOOKUP(May[[#This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IFERROR(VLOOKUP(May[[#This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IFERROR(VLOOKUP(May[[#This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IFERROR(VLOOKUP(May[[#This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IFERROR(VLOOKUP(May[[#This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IFERROR(VLOOKUP(May[[#This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IFERROR(VLOOKUP(May[[#This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IFERROR(VLOOKUP(May[[#This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IFERROR(VLOOKUP(May[[#This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IFERROR(VLOOKUP(May[[#This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IFERROR(VLOOKUP(May[[#This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IFERROR(VLOOKUP(May[[#This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IFERROR(VLOOKUP(May[[#This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IFERROR(VLOOKUP(May[[#This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IFERROR(VLOOKUP(May[[#This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IFERROR(VLOOKUP(May[[#This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IFERROR(VLOOKUP(May[[#This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IFERROR(VLOOKUP(May[[#This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IFERROR(VLOOKUP(May[[#This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IFERROR(VLOOKUP(May[[#This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IFERROR(VLOOKUP(May[[#This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IFERROR(VLOOKUP(May[[#This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IFERROR(VLOOKUP(May[[#This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IFERROR(VLOOKUP(May[[#This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IFERROR(VLOOKUP(May[[#This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IFERROR(VLOOKUP(May[[#This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IFERROR(VLOOKUP(May[[#This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IFERROR(VLOOKUP(May[[#This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IFERROR(VLOOKUP(May[[#This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IFERROR(VLOOKUP(May[[#This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IFERROR(VLOOKUP(May[[#This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IFERROR(VLOOKUP(May[[#This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IFERROR(VLOOKUP(May[[#This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IFERROR(VLOOKUP(May[[#This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IFERROR(VLOOKUP(May[[#This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IFERROR(VLOOKUP(May[[#This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IFERROR(VLOOKUP(May[[#This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IFERROR(VLOOKUP(May[[#This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IFERROR(VLOOKUP(May[[#This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IFERROR(VLOOKUP(May[[#This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IFERROR(VLOOKUP(May[[#This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IFERROR(VLOOKUP(May[[#This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IFERROR(VLOOKUP(May[[#This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IFERROR(VLOOKUP(May[[#This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IFERROR(VLOOKUP(May[[#This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IFERROR(VLOOKUP(May[[#This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IFERROR(VLOOKUP(May[[#This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IFERROR(VLOOKUP(May[[#This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IFERROR(VLOOKUP(May[[#This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IFERROR(VLOOKUP(May[[#This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IFERROR(VLOOKUP(May[[#This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IFERROR(VLOOKUP(May[[#This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IFERROR(VLOOKUP(May[[#This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IFERROR(VLOOKUP(May[[#This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IFERROR(VLOOKUP(May[[#This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IFERROR(VLOOKUP(May[[#This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IFERROR(VLOOKUP(May[[#This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IFERROR(VLOOKUP(May[[#This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IFERROR(VLOOKUP(May[[#This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IFERROR(VLOOKUP(May[[#This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IFERROR(VLOOKUP(May[[#This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IFERROR(VLOOKUP(May[[#This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IFERROR(VLOOKUP(May[[#This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IFERROR(VLOOKUP(May[[#This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IFERROR(VLOOKUP(May[[#This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IFERROR(VLOOKUP(May[[#This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IFERROR(VLOOKUP(May[[#This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IFERROR(VLOOKUP(May[[#This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IFERROR(VLOOKUP(May[[#This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IFERROR(VLOOKUP(May[[#This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IFERROR(VLOOKUP(May[[#This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IFERROR(VLOOKUP(May[[#This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IFERROR(VLOOKUP(May[[#This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IFERROR(VLOOKUP(May[[#This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IFERROR(VLOOKUP(May[[#This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IFERROR(VLOOKUP(May[[#This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IFERROR(VLOOKUP(May[[#This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IFERROR(VLOOKUP(May[[#This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IFERROR(VLOOKUP(May[[#This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IFERROR(VLOOKUP(May[[#This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IFERROR(VLOOKUP(May[[#This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IFERROR(VLOOKUP(May[[#This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IFERROR(VLOOKUP(May[[#This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IFERROR(VLOOKUP(May[[#This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IFERROR(VLOOKUP(May[[#This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IFERROR(VLOOKUP(May[[#This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IFERROR(VLOOKUP(May[[#This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IFERROR(VLOOKUP(May[[#This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IFERROR(VLOOKUP(May[[#This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IFERROR(VLOOKUP(May[[#This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IFERROR(VLOOKUP(May[[#This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IFERROR(VLOOKUP(May[[#This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IFERROR(VLOOKUP(May[[#This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IFERROR(VLOOKUP(May[[#This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IFERROR(VLOOKUP(May[[#This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IFERROR(VLOOKUP(May[[#This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IFERROR(VLOOKUP(May[[#This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IFERROR(VLOOKUP(May[[#This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IFERROR(VLOOKUP(May[[#This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IFERROR(VLOOKUP(May[[#This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IFERROR(VLOOKUP(May[[#This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IFERROR(VLOOKUP(May[[#This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IFERROR(VLOOKUP(May[[#This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IFERROR(VLOOKUP(May[[#This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IFERROR(VLOOKUP(May[[#This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IFERROR(VLOOKUP(May[[#This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IFERROR(VLOOKUP(May[[#This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IFERROR(VLOOKUP(May[[#This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IFERROR(VLOOKUP(May[[#This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IFERROR(VLOOKUP(May[[#This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IFERROR(VLOOKUP(May[[#This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IFERROR(VLOOKUP(May[[#This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IFERROR(VLOOKUP(May[[#This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IFERROR(VLOOKUP(May[[#This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IFERROR(VLOOKUP(May[[#This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IFERROR(VLOOKUP(May[[#This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IFERROR(VLOOKUP(May[[#This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IFERROR(VLOOKUP(May[[#This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IFERROR(VLOOKUP(May[[#This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IFERROR(VLOOKUP(May[[#This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IFERROR(VLOOKUP(May[[#This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IFERROR(VLOOKUP(May[[#This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IFERROR(VLOOKUP(May[[#This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IFERROR(VLOOKUP(May[[#This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IFERROR(VLOOKUP(May[[#This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IFERROR(VLOOKUP(May[[#This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IFERROR(VLOOKUP(May[[#This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IFERROR(VLOOKUP(May[[#This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IFERROR(VLOOKUP(May[[#This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IFERROR(VLOOKUP(May[[#This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IFERROR(VLOOKUP(May[[#This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IFERROR(VLOOKUP(May[[#This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IFERROR(VLOOKUP(May[[#This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IFERROR(VLOOKUP(May[[#This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IFERROR(VLOOKUP(May[[#This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IFERROR(VLOOKUP(May[[#This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IFERROR(VLOOKUP(May[[#This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IFERROR(VLOOKUP(May[[#This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IFERROR(VLOOKUP(May[[#This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IFERROR(VLOOKUP(May[[#This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IFERROR(VLOOKUP(May[[#This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IFERROR(VLOOKUP(May[[#This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IFERROR(VLOOKUP(May[[#This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IFERROR(VLOOKUP(May[[#This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IFERROR(VLOOKUP(May[[#This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IFERROR(VLOOKUP(May[[#This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IFERROR(VLOOKUP(May[[#This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IFERROR(VLOOKUP(May[[#This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IFERROR(VLOOKUP(May[[#This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IFERROR(VLOOKUP(May[[#This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IFERROR(VLOOKUP(May[[#This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IFERROR(VLOOKUP(May[[#This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IFERROR(VLOOKUP(May[[#This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IFERROR(VLOOKUP(May[[#This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IFERROR(VLOOKUP(May[[#This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IFERROR(VLOOKUP(May[[#This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IFERROR(VLOOKUP(May[[#This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IFERROR(VLOOKUP(May[[#This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IFERROR(VLOOKUP(May[[#This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IFERROR(VLOOKUP(May[[#This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IFERROR(VLOOKUP(May[[#This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IFERROR(VLOOKUP(May[[#This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IFERROR(VLOOKUP(May[[#This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IFERROR(VLOOKUP(May[[#This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IFERROR(VLOOKUP(May[[#This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IFERROR(VLOOKUP(May[[#This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IFERROR(VLOOKUP(May[[#This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IFERROR(VLOOKUP(May[[#This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IFERROR(VLOOKUP(May[[#This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IFERROR(VLOOKUP(May[[#This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IFERROR(VLOOKUP(May[[#This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IFERROR(VLOOKUP(May[[#This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IFERROR(VLOOKUP(May[[#This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IFERROR(VLOOKUP(May[[#This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IFERROR(VLOOKUP(May[[#This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IFERROR(VLOOKUP(May[[#This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IFERROR(VLOOKUP(May[[#This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IFERROR(VLOOKUP(May[[#This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IFERROR(VLOOKUP(May[[#This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IFERROR(VLOOKUP(May[[#This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IFERROR(VLOOKUP(May[[#This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IFERROR(VLOOKUP(May[[#This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IFERROR(VLOOKUP(May[[#This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IFERROR(VLOOKUP(May[[#This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IFERROR(VLOOKUP(May[[#This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IFERROR(VLOOKUP(May[[#This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IFERROR(VLOOKUP(May[[#This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IFERROR(VLOOKUP(May[[#This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IFERROR(VLOOKUP(May[[#This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IFERROR(VLOOKUP(May[[#This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IFERROR(VLOOKUP(May[[#This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IFERROR(VLOOKUP(May[[#This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IFERROR(VLOOKUP(May[[#This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IFERROR(VLOOKUP(May[[#This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IFERROR(VLOOKUP(May[[#This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IFERROR(VLOOKUP(May[[#This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IFERROR(VLOOKUP(May[[#This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IFERROR(VLOOKUP(May[[#This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IFERROR(VLOOKUP(May[[#This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IFERROR(VLOOKUP(May[[#This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IFERROR(VLOOKUP(May[[#This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IFERROR(VLOOKUP(May[[#This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IFERROR(VLOOKUP(May[[#This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IFERROR(VLOOKUP(May[[#This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IFERROR(VLOOKUP(May[[#This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IFERROR(VLOOKUP(May[[#This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IFERROR(VLOOKUP(May[[#This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IFERROR(VLOOKUP(May[[#This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IFERROR(VLOOKUP(May[[#This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IFERROR(VLOOKUP(May[[#This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IFERROR(VLOOKUP(May[[#This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IFERROR(VLOOKUP(May[[#This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IFERROR(VLOOKUP(May[[#This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IFERROR(VLOOKUP(May[[#This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IFERROR(VLOOKUP(May[[#This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IFERROR(VLOOKUP(May[[#This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IFERROR(VLOOKUP(May[[#This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IFERROR(VLOOKUP(May[[#This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IFERROR(VLOOKUP(May[[#This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IFERROR(VLOOKUP(May[[#This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IFERROR(VLOOKUP(May[[#This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IFERROR(VLOOKUP(May[[#This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IFERROR(VLOOKUP(May[[#This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IFERROR(VLOOKUP(May[[#This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IFERROR(VLOOKUP(May[[#This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IFERROR(VLOOKUP(May[[#This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IFERROR(VLOOKUP(May[[#This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IFERROR(VLOOKUP(May[[#This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IFERROR(VLOOKUP(May[[#This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IFERROR(VLOOKUP(May[[#This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IFERROR(VLOOKUP(May[[#This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IFERROR(VLOOKUP(May[[#This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IFERROR(VLOOKUP(May[[#This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IFERROR(VLOOKUP(May[[#This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IFERROR(VLOOKUP(May[[#This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IFERROR(VLOOKUP(May[[#This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IFERROR(VLOOKUP(May[[#This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IFERROR(VLOOKUP(May[[#This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IFERROR(VLOOKUP(May[[#This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IFERROR(VLOOKUP(May[[#This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IFERROR(VLOOKUP(May[[#This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IFERROR(VLOOKUP(May[[#This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IFERROR(VLOOKUP(May[[#This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IFERROR(VLOOKUP(May[[#This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IFERROR(VLOOKUP(May[[#This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IFERROR(VLOOKUP(May[[#This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IFERROR(VLOOKUP(May[[#This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IFERROR(VLOOKUP(May[[#This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IFERROR(VLOOKUP(May[[#This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IFERROR(VLOOKUP(May[[#This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IFERROR(VLOOKUP(May[[#This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IFERROR(VLOOKUP(May[[#This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IFERROR(VLOOKUP(May[[#This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IFERROR(VLOOKUP(May[[#This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IFERROR(VLOOKUP(May[[#This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IFERROR(VLOOKUP(May[[#This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IFERROR(VLOOKUP(May[[#This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IFERROR(VLOOKUP(May[[#This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IFERROR(VLOOKUP(May[[#This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IFERROR(VLOOKUP(May[[#This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IFERROR(VLOOKUP(May[[#This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IFERROR(VLOOKUP(May[[#This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IFERROR(VLOOKUP(May[[#This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IFERROR(VLOOKUP(May[[#This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IFERROR(VLOOKUP(May[[#This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IFERROR(VLOOKUP(May[[#This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IFERROR(VLOOKUP(May[[#This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IFERROR(VLOOKUP(May[[#This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IFERROR(VLOOKUP(May[[#This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IFERROR(VLOOKUP(May[[#This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IFERROR(VLOOKUP(May[[#This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IFERROR(VLOOKUP(May[[#This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IFERROR(VLOOKUP(May[[#This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IFERROR(VLOOKUP(May[[#This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IFERROR(VLOOKUP(May[[#This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IFERROR(VLOOKUP(May[[#This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IFERROR(VLOOKUP(May[[#This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IFERROR(VLOOKUP(May[[#This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IFERROR(VLOOKUP(May[[#This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IFERROR(VLOOKUP(May[[#This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IFERROR(VLOOKUP(May[[#This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IFERROR(VLOOKUP(May[[#This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IFERROR(VLOOKUP(May[[#This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IFERROR(VLOOKUP(May[[#This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IFERROR(VLOOKUP(May[[#This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IFERROR(VLOOKUP(May[[#This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IFERROR(VLOOKUP(May[[#This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IFERROR(VLOOKUP(May[[#This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IFERROR(VLOOKUP(May[[#This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IFERROR(VLOOKUP(May[[#This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IFERROR(VLOOKUP(May[[#This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IFERROR(VLOOKUP(May[[#This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IFERROR(VLOOKUP(May[[#This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IFERROR(VLOOKUP(May[[#This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IFERROR(VLOOKUP(May[[#This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IFERROR(VLOOKUP(May[[#This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IFERROR(VLOOKUP(May[[#This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IFERROR(VLOOKUP(May[[#This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IFERROR(VLOOKUP(May[[#This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IFERROR(VLOOKUP(May[[#This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IFERROR(VLOOKUP(May[[#This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IFERROR(VLOOKUP(May[[#This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IFERROR(VLOOKUP(May[[#This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IFERROR(VLOOKUP(May[[#This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IFERROR(VLOOKUP(May[[#This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IFERROR(VLOOKUP(May[[#This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IFERROR(VLOOKUP(May[[#This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IFERROR(VLOOKUP(May[[#This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IFERROR(VLOOKUP(May[[#This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IFERROR(VLOOKUP(May[[#This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IFERROR(VLOOKUP(May[[#This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IFERROR(VLOOKUP(May[[#This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IFERROR(VLOOKUP(May[[#This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IFERROR(VLOOKUP(May[[#This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IFERROR(VLOOKUP(May[[#This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IFERROR(VLOOKUP(May[[#This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IFERROR(VLOOKUP(May[[#This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IFERROR(VLOOKUP(May[[#This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IFERROR(VLOOKUP(May[[#This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IFERROR(VLOOKUP(May[[#This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IFERROR(VLOOKUP(May[[#This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IFERROR(VLOOKUP(May[[#This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IFERROR(VLOOKUP(May[[#This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IFERROR(VLOOKUP(May[[#This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IFERROR(VLOOKUP(May[[#This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IFERROR(VLOOKUP(May[[#This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IFERROR(VLOOKUP(May[[#This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IFERROR(VLOOKUP(May[[#This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IFERROR(VLOOKUP(May[[#This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IFERROR(VLOOKUP(May[[#This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IFERROR(VLOOKUP(May[[#This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IFERROR(VLOOKUP(May[[#This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IFERROR(VLOOKUP(May[[#This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IFERROR(VLOOKUP(May[[#This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IFERROR(VLOOKUP(May[[#This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IFERROR(VLOOKUP(May[[#This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IFERROR(VLOOKUP(May[[#This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IFERROR(VLOOKUP(May[[#This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IFERROR(VLOOKUP(May[[#This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IFERROR(VLOOKUP(May[[#This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IFERROR(VLOOKUP(May[[#This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IFERROR(VLOOKUP(May[[#This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IFERROR(VLOOKUP(May[[#This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IFERROR(VLOOKUP(May[[#This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IFERROR(VLOOKUP(May[[#This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IFERROR(VLOOKUP(May[[#This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IFERROR(VLOOKUP(May[[#This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IFERROR(VLOOKUP(May[[#This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IFERROR(VLOOKUP(May[[#This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IFERROR(VLOOKUP(May[[#This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IFERROR(VLOOKUP(May[[#This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IFERROR(VLOOKUP(May[[#This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IFERROR(VLOOKUP(May[[#This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IFERROR(VLOOKUP(May[[#This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IFERROR(VLOOKUP(May[[#This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IFERROR(VLOOKUP(May[[#This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IFERROR(VLOOKUP(May[[#This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IFERROR(VLOOKUP(May[[#This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IFERROR(VLOOKUP(May[[#This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IFERROR(VLOOKUP(May[[#This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IFERROR(VLOOKUP(May[[#This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IFERROR(VLOOKUP(May[[#This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IFERROR(VLOOKUP(May[[#This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IFERROR(VLOOKUP(May[[#This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IFERROR(VLOOKUP(May[[#This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IFERROR(VLOOKUP(May[[#This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IFERROR(VLOOKUP(May[[#This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IFERROR(VLOOKUP(May[[#This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IFERROR(VLOOKUP(May[[#This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IFERROR(VLOOKUP(May[[#This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IFERROR(VLOOKUP(May[[#This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IFERROR(VLOOKUP(May[[#This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IFERROR(VLOOKUP(May[[#This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IFERROR(VLOOKUP(May[[#This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IFERROR(VLOOKUP(May[[#This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IFERROR(VLOOKUP(May[[#This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IFERROR(VLOOKUP(May[[#This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IFERROR(VLOOKUP(May[[#This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IFERROR(VLOOKUP(May[[#This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IFERROR(VLOOKUP(May[[#This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IFERROR(VLOOKUP(May[[#This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IFERROR(VLOOKUP(May[[#This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IFERROR(VLOOKUP(May[[#This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IFERROR(VLOOKUP(May[[#This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IFERROR(VLOOKUP(May[[#This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IFERROR(VLOOKUP(May[[#This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IFERROR(VLOOKUP(May[[#This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IFERROR(VLOOKUP(May[[#This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IFERROR(VLOOKUP(May[[#This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IFERROR(VLOOKUP(May[[#This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IFERROR(VLOOKUP(May[[#This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IFERROR(VLOOKUP(May[[#This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IFERROR(VLOOKUP(May[[#This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IFERROR(VLOOKUP(May[[#This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IFERROR(VLOOKUP(May[[#This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IFERROR(VLOOKUP(May[[#This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IFERROR(VLOOKUP(May[[#This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IFERROR(VLOOKUP(May[[#This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IFERROR(VLOOKUP(May[[#This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IFERROR(VLOOKUP(May[[#This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IFERROR(VLOOKUP(May[[#This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IFERROR(VLOOKUP(May[[#This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IFERROR(VLOOKUP(May[[#This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IFERROR(VLOOKUP(May[[#This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IFERROR(VLOOKUP(May[[#This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IFERROR(VLOOKUP(May[[#This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IFERROR(VLOOKUP(May[[#This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IFERROR(VLOOKUP(May[[#This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IFERROR(VLOOKUP(May[[#This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IFERROR(VLOOKUP(May[[#This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IFERROR(VLOOKUP(May[[#This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IFERROR(VLOOKUP(May[[#This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IFERROR(VLOOKUP(May[[#This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IFERROR(VLOOKUP(May[[#This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IFERROR(VLOOKUP(May[[#This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IFERROR(VLOOKUP(May[[#This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IFERROR(VLOOKUP(May[[#This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IFERROR(VLOOKUP(May[[#This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IFERROR(VLOOKUP(May[[#This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IFERROR(VLOOKUP(May[[#This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IFERROR(VLOOKUP(May[[#This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IFERROR(VLOOKUP(May[[#This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IFERROR(VLOOKUP(May[[#This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IFERROR(VLOOKUP(May[[#This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IFERROR(VLOOKUP(May[[#This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IFERROR(VLOOKUP(May[[#This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IFERROR(VLOOKUP(May[[#This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IFERROR(VLOOKUP(May[[#This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IFERROR(VLOOKUP(May[[#This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IFERROR(VLOOKUP(May[[#This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IFERROR(VLOOKUP(May[[#This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IFERROR(VLOOKUP(May[[#This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IFERROR(VLOOKUP(May[[#This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IFERROR(VLOOKUP(May[[#This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IFERROR(VLOOKUP(May[[#This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IFERROR(VLOOKUP(May[[#This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IFERROR(VLOOKUP(May[[#This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IFERROR(VLOOKUP(May[[#This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IFERROR(VLOOKUP(May[[#This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IFERROR(VLOOKUP(May[[#This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IFERROR(VLOOKUP(May[[#This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IFERROR(VLOOKUP(May[[#This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IFERROR(VLOOKUP(May[[#This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IFERROR(VLOOKUP(May[[#This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IFERROR(VLOOKUP(May[[#This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IFERROR(VLOOKUP(May[[#This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IFERROR(VLOOKUP(May[[#This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IFERROR(VLOOKUP(May[[#This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IFERROR(VLOOKUP(May[[#This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IFERROR(VLOOKUP(May[[#This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IFERROR(VLOOKUP(May[[#This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IFERROR(VLOOKUP(May[[#This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IFERROR(VLOOKUP(May[[#This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IFERROR(VLOOKUP(May[[#This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IFERROR(VLOOKUP(May[[#This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IFERROR(VLOOKUP(May[[#This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IFERROR(VLOOKUP(May[[#This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IFERROR(VLOOKUP(May[[#This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IFERROR(VLOOKUP(May[[#This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IFERROR(VLOOKUP(May[[#This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IFERROR(VLOOKUP(May[[#This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IFERROR(VLOOKUP(May[[#This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IFERROR(VLOOKUP(May[[#This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IFERROR(VLOOKUP(May[[#This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IFERROR(VLOOKUP(May[[#This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IFERROR(VLOOKUP(May[[#This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IFERROR(VLOOKUP(May[[#This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IFERROR(VLOOKUP(May[[#This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IFERROR(VLOOKUP(May[[#This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IFERROR(VLOOKUP(May[[#This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IFERROR(VLOOKUP(May[[#This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IFERROR(VLOOKUP(May[[#This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IFERROR(VLOOKUP(May[[#This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IFERROR(VLOOKUP(May[[#This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IFERROR(VLOOKUP(May[[#This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IFERROR(VLOOKUP(May[[#This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IFERROR(VLOOKUP(May[[#This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IFERROR(VLOOKUP(May[[#This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IFERROR(VLOOKUP(May[[#This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IFERROR(VLOOKUP(May[[#This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IFERROR(VLOOKUP(May[[#This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IFERROR(VLOOKUP(May[[#This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IFERROR(VLOOKUP(May[[#This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IFERROR(VLOOKUP(May[[#This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IFERROR(VLOOKUP(May[[#This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IFERROR(VLOOKUP(May[[#This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IFERROR(VLOOKUP(May[[#This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IFERROR(VLOOKUP(May[[#This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IFERROR(VLOOKUP(May[[#This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IFERROR(VLOOKUP(May[[#This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IFERROR(VLOOKUP(May[[#This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IFERROR(VLOOKUP(May[[#This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IFERROR(VLOOKUP(May[[#This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IFERROR(VLOOKUP(May[[#This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IFERROR(VLOOKUP(May[[#This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IFERROR(VLOOKUP(May[[#This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IFERROR(VLOOKUP(May[[#This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IFERROR(VLOOKUP(May[[#This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IFERROR(VLOOKUP(May[[#This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IFERROR(VLOOKUP(May[[#This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IFERROR(VLOOKUP(May[[#This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IFERROR(VLOOKUP(May[[#This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IFERROR(VLOOKUP(May[[#This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IFERROR(VLOOKUP(May[[#This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IFERROR(VLOOKUP(May[[#This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IFERROR(VLOOKUP(May[[#This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IFERROR(VLOOKUP(May[[#This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IFERROR(VLOOKUP(May[[#This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IFERROR(VLOOKUP(May[[#This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IFERROR(VLOOKUP(May[[#This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IFERROR(VLOOKUP(May[[#This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IFERROR(VLOOKUP(May[[#This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IFERROR(VLOOKUP(May[[#This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IFERROR(VLOOKUP(May[[#This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IFERROR(VLOOKUP(May[[#This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IFERROR(VLOOKUP(May[[#This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IFERROR(VLOOKUP(May[[#This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IFERROR(VLOOKUP(May[[#This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IFERROR(VLOOKUP(May[[#This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IFERROR(VLOOKUP(May[[#This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IFERROR(VLOOKUP(May[[#This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IFERROR(VLOOKUP(May[[#This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IFERROR(VLOOKUP(May[[#This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IFERROR(VLOOKUP(May[[#This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IFERROR(VLOOKUP(May[[#This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IFERROR(VLOOKUP(May[[#This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IFERROR(VLOOKUP(May[[#This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IFERROR(VLOOKUP(May[[#This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IFERROR(VLOOKUP(May[[#This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IFERROR(VLOOKUP(May[[#This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IFERROR(VLOOKUP(May[[#This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IFERROR(VLOOKUP(May[[#This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IFERROR(VLOOKUP(May[[#This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IFERROR(VLOOKUP(May[[#This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IFERROR(VLOOKUP(May[[#This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IFERROR(VLOOKUP(May[[#This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IFERROR(VLOOKUP(May[[#This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IFERROR(VLOOKUP(May[[#This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IFERROR(VLOOKUP(May[[#This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IFERROR(VLOOKUP(May[[#This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IFERROR(VLOOKUP(May[[#This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IFERROR(VLOOKUP(May[[#This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IFERROR(VLOOKUP(May[[#This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IFERROR(VLOOKUP(May[[#This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IFERROR(VLOOKUP(May[[#This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IFERROR(VLOOKUP(May[[#This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IFERROR(VLOOKUP(May[[#This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IFERROR(VLOOKUP(May[[#This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IFERROR(VLOOKUP(May[[#This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IFERROR(VLOOKUP(May[[#This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IFERROR(VLOOKUP(May[[#This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IFERROR(VLOOKUP(May[[#This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IFERROR(VLOOKUP(May[[#This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IFERROR(VLOOKUP(May[[#This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IFERROR(VLOOKUP(May[[#This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IFERROR(VLOOKUP(May[[#This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IFERROR(VLOOKUP(May[[#This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IFERROR(VLOOKUP(May[[#This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IFERROR(VLOOKUP(May[[#This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IFERROR(VLOOKUP(May[[#This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IFERROR(VLOOKUP(May[[#This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IFERROR(VLOOKUP(May[[#This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IFERROR(VLOOKUP(May[[#This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IFERROR(VLOOKUP(May[[#This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IFERROR(VLOOKUP(May[[#This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IFERROR(VLOOKUP(May[[#This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IFERROR(VLOOKUP(May[[#This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IFERROR(VLOOKUP(May[[#This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IFERROR(VLOOKUP(May[[#This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IFERROR(VLOOKUP(May[[#This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IFERROR(VLOOKUP(May[[#This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IFERROR(VLOOKUP(May[[#This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IFERROR(VLOOKUP(May[[#This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IFERROR(VLOOKUP(May[[#This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IFERROR(VLOOKUP(May[[#This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IFERROR(VLOOKUP(May[[#This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IFERROR(VLOOKUP(May[[#This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IFERROR(VLOOKUP(May[[#This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IFERROR(VLOOKUP(May[[#This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IFERROR(VLOOKUP(May[[#This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IFERROR(VLOOKUP(May[[#This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IFERROR(VLOOKUP(May[[#This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IFERROR(VLOOKUP(May[[#This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IFERROR(VLOOKUP(May[[#This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IFERROR(VLOOKUP(May[[#This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IFERROR(VLOOKUP(May[[#This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IFERROR(VLOOKUP(May[[#This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IFERROR(VLOOKUP(May[[#This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IFERROR(VLOOKUP(May[[#This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IFERROR(VLOOKUP(May[[#This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IFERROR(VLOOKUP(May[[#This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IFERROR(VLOOKUP(May[[#This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IFERROR(VLOOKUP(May[[#This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IFERROR(VLOOKUP(May[[#This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IFERROR(VLOOKUP(May[[#This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IFERROR(VLOOKUP(May[[#This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IFERROR(VLOOKUP(May[[#This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IFERROR(VLOOKUP(May[[#This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IFERROR(VLOOKUP(May[[#This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IFERROR(VLOOKUP(May[[#This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IFERROR(VLOOKUP(May[[#This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IFERROR(VLOOKUP(May[[#This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IFERROR(VLOOKUP(May[[#This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IFERROR(VLOOKUP(May[[#This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IFERROR(VLOOKUP(May[[#This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IFERROR(VLOOKUP(May[[#This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IFERROR(VLOOKUP(May[[#This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IFERROR(VLOOKUP(May[[#This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IFERROR(VLOOKUP(May[[#This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IFERROR(VLOOKUP(May[[#This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IFERROR(VLOOKUP(May[[#This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IFERROR(VLOOKUP(May[[#This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IFERROR(VLOOKUP(May[[#This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IFERROR(VLOOKUP(May[[#This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IFERROR(VLOOKUP(May[[#This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IFERROR(VLOOKUP(May[[#This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IFERROR(VLOOKUP(May[[#This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IFERROR(VLOOKUP(May[[#This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IFERROR(VLOOKUP(May[[#This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IFERROR(VLOOKUP(May[[#This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IFERROR(VLOOKUP(May[[#This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IFERROR(VLOOKUP(May[[#This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IFERROR(VLOOKUP(May[[#This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IFERROR(VLOOKUP(May[[#This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IFERROR(VLOOKUP(May[[#This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IFERROR(VLOOKUP(May[[#This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IFERROR(VLOOKUP(May[[#This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IFERROR(VLOOKUP(May[[#This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IFERROR(VLOOKUP(May[[#This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IFERROR(VLOOKUP(May[[#This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IFERROR(VLOOKUP(May[[#This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IFERROR(VLOOKUP(May[[#This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IFERROR(VLOOKUP(May[[#This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IFERROR(VLOOKUP(May[[#This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IFERROR(VLOOKUP(May[[#This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IFERROR(VLOOKUP(May[[#This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IFERROR(VLOOKUP(May[[#This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IFERROR(VLOOKUP(May[[#This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IFERROR(VLOOKUP(May[[#This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IFERROR(VLOOKUP(May[[#This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IFERROR(VLOOKUP(May[[#This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IFERROR(VLOOKUP(May[[#This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IFERROR(VLOOKUP(May[[#This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IFERROR(VLOOKUP(May[[#This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IFERROR(VLOOKUP(May[[#This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IFERROR(VLOOKUP(May[[#This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IFERROR(VLOOKUP(May[[#This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IFERROR(VLOOKUP(May[[#This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IFERROR(VLOOKUP(May[[#This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IFERROR(VLOOKUP(May[[#This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IFERROR(VLOOKUP(May[[#This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IFERROR(VLOOKUP(May[[#This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IFERROR(VLOOKUP(May[[#This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IFERROR(VLOOKUP(May[[#This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IFERROR(VLOOKUP(May[[#This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IFERROR(VLOOKUP(May[[#This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IFERROR(VLOOKUP(May[[#This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IFERROR(VLOOKUP(May[[#This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IFERROR(VLOOKUP(May[[#This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IFERROR(VLOOKUP(May[[#This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IFERROR(VLOOKUP(May[[#This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IFERROR(VLOOKUP(May[[#This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IFERROR(VLOOKUP(May[[#This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IFERROR(VLOOKUP(May[[#This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IFERROR(VLOOKUP(May[[#This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IFERROR(VLOOKUP(May[[#This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IFERROR(VLOOKUP(May[[#This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IFERROR(VLOOKUP(May[[#This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IFERROR(VLOOKUP(May[[#This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IFERROR(VLOOKUP(May[[#This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IFERROR(VLOOKUP(May[[#This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IFERROR(VLOOKUP(May[[#This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IFERROR(VLOOKUP(May[[#This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IFERROR(VLOOKUP(May[[#This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IFERROR(VLOOKUP(May[[#This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IFERROR(VLOOKUP(May[[#This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IFERROR(VLOOKUP(May[[#This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IFERROR(VLOOKUP(May[[#This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IFERROR(VLOOKUP(May[[#This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IFERROR(VLOOKUP(May[[#This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IFERROR(VLOOKUP(May[[#This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IFERROR(VLOOKUP(May[[#This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IFERROR(VLOOKUP(May[[#This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IFERROR(VLOOKUP(May[[#This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IFERROR(VLOOKUP(May[[#This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IFERROR(VLOOKUP(May[[#This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IFERROR(VLOOKUP(May[[#This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IFERROR(VLOOKUP(May[[#This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IFERROR(VLOOKUP(May[[#This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IFERROR(VLOOKUP(May[[#This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IFERROR(VLOOKUP(May[[#This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IFERROR(VLOOKUP(May[[#This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IFERROR(VLOOKUP(May[[#This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IFERROR(VLOOKUP(May[[#This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IFERROR(VLOOKUP(May[[#This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IFERROR(VLOOKUP(May[[#This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IFERROR(VLOOKUP(May[[#This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IFERROR(VLOOKUP(May[[#This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IFERROR(VLOOKUP(May[[#This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IFERROR(VLOOKUP(May[[#This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IFERROR(VLOOKUP(May[[#This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IFERROR(VLOOKUP(May[[#This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IFERROR(VLOOKUP(May[[#This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IFERROR(VLOOKUP(May[[#This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IFERROR(VLOOKUP(May[[#This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IFERROR(VLOOKUP(May[[#This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IFERROR(VLOOKUP(May[[#This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IFERROR(VLOOKUP(May[[#This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IFERROR(VLOOKUP(May[[#This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IFERROR(VLOOKUP(May[[#This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IFERROR(VLOOKUP(May[[#This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IFERROR(VLOOKUP(May[[#This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IFERROR(VLOOKUP(May[[#This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IFERROR(VLOOKUP(May[[#This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IFERROR(VLOOKUP(May[[#This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IFERROR(VLOOKUP(May[[#This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IFERROR(VLOOKUP(May[[#This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IFERROR(VLOOKUP(May[[#This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IFERROR(VLOOKUP(May[[#This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IFERROR(VLOOKUP(May[[#This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IFERROR(VLOOKUP(May[[#This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IFERROR(VLOOKUP(May[[#This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IFERROR(VLOOKUP(May[[#This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IFERROR(VLOOKUP(May[[#This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IFERROR(VLOOKUP(May[[#This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IFERROR(VLOOKUP(May[[#This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IFERROR(VLOOKUP(May[[#This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IFERROR(VLOOKUP(May[[#This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IFERROR(VLOOKUP(May[[#This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IFERROR(VLOOKUP(May[[#This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IFERROR(VLOOKUP(May[[#This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IFERROR(VLOOKUP(May[[#This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IFERROR(VLOOKUP(May[[#This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IFERROR(VLOOKUP(May[[#This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IFERROR(VLOOKUP(May[[#This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IFERROR(VLOOKUP(May[[#This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IFERROR(VLOOKUP(May[[#This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IFERROR(VLOOKUP(May[[#This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IFERROR(VLOOKUP(May[[#This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IFERROR(VLOOKUP(May[[#This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IFERROR(VLOOKUP(May[[#This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IFERROR(VLOOKUP(May[[#This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IFERROR(VLOOKUP(May[[#This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IFERROR(VLOOKUP(May[[#This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IFERROR(VLOOKUP(May[[#This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IFERROR(VLOOKUP(May[[#This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IFERROR(VLOOKUP(May[[#This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IFERROR(VLOOKUP(May[[#This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IFERROR(VLOOKUP(May[[#This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IFERROR(VLOOKUP(May[[#This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IFERROR(VLOOKUP(May[[#This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IFERROR(VLOOKUP(May[[#This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IFERROR(VLOOKUP(May[[#This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IFERROR(VLOOKUP(May[[#This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IFERROR(VLOOKUP(May[[#This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IFERROR(VLOOKUP(May[[#This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IFERROR(VLOOKUP(May[[#This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IFERROR(VLOOKUP(May[[#This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IFERROR(VLOOKUP(May[[#This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IFERROR(VLOOKUP(May[[#This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IFERROR(VLOOKUP(May[[#This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IFERROR(VLOOKUP(May[[#This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IFERROR(VLOOKUP(May[[#This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IFERROR(VLOOKUP(May[[#This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IFERROR(VLOOKUP(May[[#This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IFERROR(VLOOKUP(May[[#This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IFERROR(VLOOKUP(May[[#This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IFERROR(VLOOKUP(May[[#This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IFERROR(VLOOKUP(May[[#This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IFERROR(VLOOKUP(May[[#This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IFERROR(VLOOKUP(May[[#This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IFERROR(VLOOKUP(May[[#This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IFERROR(VLOOKUP(May[[#This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IFERROR(VLOOKUP(May[[#This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IFERROR(VLOOKUP(May[[#This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IFERROR(VLOOKUP(May[[#This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IFERROR(VLOOKUP(May[[#This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IFERROR(VLOOKUP(May[[#This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IFERROR(VLOOKUP(May[[#This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IFERROR(VLOOKUP(May[[#This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IFERROR(VLOOKUP(May[[#This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IFERROR(VLOOKUP(May[[#This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IFERROR(VLOOKUP(May[[#This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IFERROR(VLOOKUP(May[[#This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IFERROR(VLOOKUP(May[[#This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IFERROR(VLOOKUP(May[[#This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IFERROR(VLOOKUP(May[[#This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IFERROR(VLOOKUP(May[[#This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IFERROR(VLOOKUP(May[[#This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IFERROR(VLOOKUP(May[[#This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IFERROR(VLOOKUP(May[[#This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IFERROR(VLOOKUP(May[[#This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IFERROR(VLOOKUP(May[[#This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IFERROR(VLOOKUP(May[[#This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IFERROR(VLOOKUP(May[[#This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IFERROR(VLOOKUP(May[[#This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IFERROR(VLOOKUP(May[[#This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IFERROR(VLOOKUP(May[[#This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IFERROR(VLOOKUP(May[[#This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IFERROR(VLOOKUP(May[[#This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IFERROR(VLOOKUP(May[[#This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IFERROR(VLOOKUP(May[[#This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IFERROR(VLOOKUP(May[[#This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IFERROR(VLOOKUP(May[[#This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IFERROR(VLOOKUP(May[[#This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IFERROR(VLOOKUP(May[[#This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IFERROR(VLOOKUP(May[[#This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IFERROR(VLOOKUP(May[[#This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IFERROR(VLOOKUP(May[[#This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IFERROR(VLOOKUP(May[[#This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IFERROR(VLOOKUP(May[[#This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IFERROR(VLOOKUP(May[[#This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IFERROR(VLOOKUP(May[[#This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IFERROR(VLOOKUP(May[[#This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IFERROR(VLOOKUP(May[[#This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IFERROR(VLOOKUP(May[[#This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IFERROR(VLOOKUP(May[[#This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IFERROR(VLOOKUP(May[[#This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IFERROR(VLOOKUP(May[[#This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IFERROR(VLOOKUP(May[[#This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IFERROR(VLOOKUP(May[[#This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IFERROR(VLOOKUP(May[[#This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IFERROR(VLOOKUP(May[[#This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IFERROR(VLOOKUP(May[[#This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IFERROR(VLOOKUP(May[[#This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IFERROR(VLOOKUP(May[[#This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IFERROR(VLOOKUP(May[[#This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IFERROR(VLOOKUP(May[[#This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IFERROR(VLOOKUP(May[[#This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IFERROR(VLOOKUP(May[[#This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IFERROR(VLOOKUP(May[[#This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IFERROR(VLOOKUP(May[[#This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IFERROR(VLOOKUP(May[[#This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IFERROR(VLOOKUP(May[[#This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IFERROR(VLOOKUP(May[[#This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IFERROR(VLOOKUP(May[[#This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IFERROR(VLOOKUP(May[[#This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IFERROR(VLOOKUP(May[[#This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IFERROR(VLOOKUP(May[[#This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IFERROR(VLOOKUP(May[[#This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IFERROR(VLOOKUP(May[[#This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IFERROR(VLOOKUP(May[[#This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IFERROR(VLOOKUP(May[[#This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IFERROR(VLOOKUP(May[[#This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IFERROR(VLOOKUP(May[[#This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IFERROR(VLOOKUP(May[[#This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IFERROR(VLOOKUP(May[[#This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IFERROR(VLOOKUP(May[[#This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IFERROR(VLOOKUP(May[[#This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IFERROR(VLOOKUP(May[[#This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IFERROR(VLOOKUP(May[[#This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IFERROR(VLOOKUP(May[[#This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IFERROR(VLOOKUP(May[[#This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IFERROR(VLOOKUP(May[[#This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IFERROR(VLOOKUP(May[[#This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IFERROR(VLOOKUP(May[[#This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IFERROR(VLOOKUP(May[[#This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IFERROR(VLOOKUP(May[[#This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IFERROR(VLOOKUP(May[[#This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IFERROR(VLOOKUP(May[[#This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IFERROR(VLOOKUP(May[[#This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IFERROR(VLOOKUP(May[[#This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IFERROR(VLOOKUP(May[[#This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IFERROR(VLOOKUP(May[[#This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IFERROR(VLOOKUP(May[[#This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IFERROR(VLOOKUP(May[[#This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IFERROR(VLOOKUP(May[[#This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IFERROR(VLOOKUP(May[[#This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IFERROR(VLOOKUP(May[[#This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IFERROR(VLOOKUP(May[[#This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IFERROR(VLOOKUP(May[[#This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IFERROR(VLOOKUP(May[[#This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IFERROR(VLOOKUP(May[[#This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IFERROR(VLOOKUP(May[[#This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IFERROR(VLOOKUP(May[[#This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IFERROR(VLOOKUP(May[[#This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IFERROR(VLOOKUP(May[[#This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IFERROR(VLOOKUP(May[[#This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IFERROR(VLOOKUP(May[[#This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IFERROR(VLOOKUP(May[[#This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IFERROR(VLOOKUP(May[[#This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IFERROR(VLOOKUP(May[[#This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IFERROR(VLOOKUP(May[[#This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IFERROR(VLOOKUP(May[[#This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IFERROR(VLOOKUP(May[[#This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IFERROR(VLOOKUP(May[[#This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IFERROR(VLOOKUP(May[[#This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IFERROR(VLOOKUP(May[[#This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IFERROR(VLOOKUP(May[[#This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IFERROR(VLOOKUP(May[[#This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IFERROR(VLOOKUP(May[[#This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IFERROR(VLOOKUP(May[[#This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IFERROR(VLOOKUP(May[[#This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IFERROR(VLOOKUP(May[[#This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IFERROR(VLOOKUP(May[[#This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IFERROR(VLOOKUP(May[[#This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IFERROR(VLOOKUP(May[[#This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SUBTOTAL(103,May[Location Filled9])</f>
        <v>0</v>
      </c>
    </row>
  </sheetData>
  <sheetProtection algorithmName="SHA-512" hashValue="JbxrQkM2e8N/vl034wEJpuPR/lKCunrD0s1iVBnn6c0RJN5BBB4FmMvXkudwIYaMU3ymmlb2Gqz3c2uUfZnBSA==" saltValue="SBvUUCRwjqGHrExg6Y5BOQ==" spinCount="100000" sheet="1" objects="1" scenarios="1"/>
  <mergeCells count="13">
    <mergeCell ref="AR2:AX2"/>
    <mergeCell ref="BS2:BY2"/>
    <mergeCell ref="BZ2:CF2"/>
    <mergeCell ref="CG2:CM2"/>
    <mergeCell ref="AL1:AQ2"/>
    <mergeCell ref="BM1:BR2"/>
    <mergeCell ref="BF2:BL2"/>
    <mergeCell ref="A1:J2"/>
    <mergeCell ref="K1:AF1"/>
    <mergeCell ref="K2:P2"/>
    <mergeCell ref="Q2:V2"/>
    <mergeCell ref="X2:AD2"/>
    <mergeCell ref="AE2:AK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56" t="str">
        <f>IFERROR(VLOOKUP(June[[#This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56" t="str">
        <f>IFERROR(VLOOKUP(June[[#This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56" t="str">
        <f>IFERROR(VLOOKUP(June[[#This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56" t="str">
        <f>IFERROR(VLOOKUP(June[[#This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56" t="str">
        <f>IFERROR(VLOOKUP(June[[#This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56" t="str">
        <f>IFERROR(VLOOKUP(June[[#This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56" t="str">
        <f>IFERROR(VLOOKUP(June[[#This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56" t="str">
        <f>IFERROR(VLOOKUP(June[[#This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56" t="str">
        <f>IFERROR(VLOOKUP(June[[#This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56" t="str">
        <f>IFERROR(VLOOKUP(June[[#This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56" t="str">
        <f>IFERROR(VLOOKUP(June[[#This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56" t="str">
        <f>IFERROR(VLOOKUP(June[[#This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56" t="str">
        <f>IFERROR(VLOOKUP(June[[#This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56" t="str">
        <f>IFERROR(VLOOKUP(June[[#This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56" t="str">
        <f>IFERROR(VLOOKUP(June[[#This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56" t="str">
        <f>IFERROR(VLOOKUP(June[[#This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56" t="str">
        <f>IFERROR(VLOOKUP(June[[#This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56" t="str">
        <f>IFERROR(VLOOKUP(June[[#This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56" t="str">
        <f>IFERROR(VLOOKUP(June[[#This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56" t="str">
        <f>IFERROR(VLOOKUP(June[[#This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56" t="str">
        <f>IFERROR(VLOOKUP(June[[#This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56" t="str">
        <f>IFERROR(VLOOKUP(June[[#This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56" t="str">
        <f>IFERROR(VLOOKUP(June[[#This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56" t="str">
        <f>IFERROR(VLOOKUP(June[[#This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56" t="str">
        <f>IFERROR(VLOOKUP(June[[#This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56" t="str">
        <f>IFERROR(VLOOKUP(June[[#This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56" t="str">
        <f>IFERROR(VLOOKUP(June[[#This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56" t="str">
        <f>IFERROR(VLOOKUP(June[[#This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56" t="str">
        <f>IFERROR(VLOOKUP(June[[#This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56" t="str">
        <f>IFERROR(VLOOKUP(June[[#This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56" t="str">
        <f>IFERROR(VLOOKUP(June[[#This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56" t="str">
        <f>IFERROR(VLOOKUP(June[[#This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56" t="str">
        <f>IFERROR(VLOOKUP(June[[#This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56" t="str">
        <f>IFERROR(VLOOKUP(June[[#This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56" t="str">
        <f>IFERROR(VLOOKUP(June[[#This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56" t="str">
        <f>IFERROR(VLOOKUP(June[[#This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56" t="str">
        <f>IFERROR(VLOOKUP(June[[#This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56" t="str">
        <f>IFERROR(VLOOKUP(June[[#This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56" t="str">
        <f>IFERROR(VLOOKUP(June[[#This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56" t="str">
        <f>IFERROR(VLOOKUP(June[[#This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56" t="str">
        <f>IFERROR(VLOOKUP(June[[#This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56" t="str">
        <f>IFERROR(VLOOKUP(June[[#This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56" t="str">
        <f>IFERROR(VLOOKUP(June[[#This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56" t="str">
        <f>IFERROR(VLOOKUP(June[[#This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56" t="str">
        <f>IFERROR(VLOOKUP(June[[#This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56" t="str">
        <f>IFERROR(VLOOKUP(June[[#This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56" t="str">
        <f>IFERROR(VLOOKUP(June[[#This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56" t="str">
        <f>IFERROR(VLOOKUP(June[[#This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56" t="str">
        <f>IFERROR(VLOOKUP(June[[#This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56" t="str">
        <f>IFERROR(VLOOKUP(June[[#This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56" t="str">
        <f>IFERROR(VLOOKUP(June[[#This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56" t="str">
        <f>IFERROR(VLOOKUP(June[[#This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56" t="str">
        <f>IFERROR(VLOOKUP(June[[#This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56" t="str">
        <f>IFERROR(VLOOKUP(June[[#This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56" t="str">
        <f>IFERROR(VLOOKUP(June[[#This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56" t="str">
        <f>IFERROR(VLOOKUP(June[[#This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56" t="str">
        <f>IFERROR(VLOOKUP(June[[#This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56" t="str">
        <f>IFERROR(VLOOKUP(June[[#This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56" t="str">
        <f>IFERROR(VLOOKUP(June[[#This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56" t="str">
        <f>IFERROR(VLOOKUP(June[[#This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56" t="str">
        <f>IFERROR(VLOOKUP(June[[#This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56" t="str">
        <f>IFERROR(VLOOKUP(June[[#This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56" t="str">
        <f>IFERROR(VLOOKUP(June[[#This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56" t="str">
        <f>IFERROR(VLOOKUP(June[[#This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56" t="str">
        <f>IFERROR(VLOOKUP(June[[#This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56" t="str">
        <f>IFERROR(VLOOKUP(June[[#This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56" t="str">
        <f>IFERROR(VLOOKUP(June[[#This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56" t="str">
        <f>IFERROR(VLOOKUP(June[[#This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56" t="str">
        <f>IFERROR(VLOOKUP(June[[#This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56" t="str">
        <f>IFERROR(VLOOKUP(June[[#This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56" t="str">
        <f>IFERROR(VLOOKUP(June[[#This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56" t="str">
        <f>IFERROR(VLOOKUP(June[[#This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56" t="str">
        <f>IFERROR(VLOOKUP(June[[#This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56" t="str">
        <f>IFERROR(VLOOKUP(June[[#This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56" t="str">
        <f>IFERROR(VLOOKUP(June[[#This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56" t="str">
        <f>IFERROR(VLOOKUP(June[[#This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56" t="str">
        <f>IFERROR(VLOOKUP(June[[#This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56" t="str">
        <f>IFERROR(VLOOKUP(June[[#This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56" t="str">
        <f>IFERROR(VLOOKUP(June[[#This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56" t="str">
        <f>IFERROR(VLOOKUP(June[[#This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56" t="str">
        <f>IFERROR(VLOOKUP(June[[#This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56" t="str">
        <f>IFERROR(VLOOKUP(June[[#This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56" t="str">
        <f>IFERROR(VLOOKUP(June[[#This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56" t="str">
        <f>IFERROR(VLOOKUP(June[[#This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56" t="str">
        <f>IFERROR(VLOOKUP(June[[#This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56" t="str">
        <f>IFERROR(VLOOKUP(June[[#This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56" t="str">
        <f>IFERROR(VLOOKUP(June[[#This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56" t="str">
        <f>IFERROR(VLOOKUP(June[[#This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56" t="str">
        <f>IFERROR(VLOOKUP(June[[#This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56" t="str">
        <f>IFERROR(VLOOKUP(June[[#This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56" t="str">
        <f>IFERROR(VLOOKUP(June[[#This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56" t="str">
        <f>IFERROR(VLOOKUP(June[[#This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56" t="str">
        <f>IFERROR(VLOOKUP(June[[#This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56" t="str">
        <f>IFERROR(VLOOKUP(June[[#This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56" t="str">
        <f>IFERROR(VLOOKUP(June[[#This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56" t="str">
        <f>IFERROR(VLOOKUP(June[[#This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56" t="str">
        <f>IFERROR(VLOOKUP(June[[#This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56" t="str">
        <f>IFERROR(VLOOKUP(June[[#This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56" t="str">
        <f>IFERROR(VLOOKUP(June[[#This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56" t="str">
        <f>IFERROR(VLOOKUP(June[[#This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56" t="str">
        <f>IFERROR(VLOOKUP(June[[#This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56" t="str">
        <f>IFERROR(VLOOKUP(June[[#This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56" t="str">
        <f>IFERROR(VLOOKUP(June[[#This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56" t="str">
        <f>IFERROR(VLOOKUP(June[[#This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56" t="str">
        <f>IFERROR(VLOOKUP(June[[#This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56" t="str">
        <f>IFERROR(VLOOKUP(June[[#This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56" t="str">
        <f>IFERROR(VLOOKUP(June[[#This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56" t="str">
        <f>IFERROR(VLOOKUP(June[[#This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56" t="str">
        <f>IFERROR(VLOOKUP(June[[#This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56" t="str">
        <f>IFERROR(VLOOKUP(June[[#This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56" t="str">
        <f>IFERROR(VLOOKUP(June[[#This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56" t="str">
        <f>IFERROR(VLOOKUP(June[[#This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56" t="str">
        <f>IFERROR(VLOOKUP(June[[#This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56" t="str">
        <f>IFERROR(VLOOKUP(June[[#This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56" t="str">
        <f>IFERROR(VLOOKUP(June[[#This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56" t="str">
        <f>IFERROR(VLOOKUP(June[[#This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56" t="str">
        <f>IFERROR(VLOOKUP(June[[#This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56" t="str">
        <f>IFERROR(VLOOKUP(June[[#This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56" t="str">
        <f>IFERROR(VLOOKUP(June[[#This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56" t="str">
        <f>IFERROR(VLOOKUP(June[[#This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56" t="str">
        <f>IFERROR(VLOOKUP(June[[#This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56" t="str">
        <f>IFERROR(VLOOKUP(June[[#This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56" t="str">
        <f>IFERROR(VLOOKUP(June[[#This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56" t="str">
        <f>IFERROR(VLOOKUP(June[[#This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56" t="str">
        <f>IFERROR(VLOOKUP(June[[#This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56" t="str">
        <f>IFERROR(VLOOKUP(June[[#This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56" t="str">
        <f>IFERROR(VLOOKUP(June[[#This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56" t="str">
        <f>IFERROR(VLOOKUP(June[[#This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56" t="str">
        <f>IFERROR(VLOOKUP(June[[#This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56" t="str">
        <f>IFERROR(VLOOKUP(June[[#This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56" t="str">
        <f>IFERROR(VLOOKUP(June[[#This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56" t="str">
        <f>IFERROR(VLOOKUP(June[[#This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56" t="str">
        <f>IFERROR(VLOOKUP(June[[#This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56" t="str">
        <f>IFERROR(VLOOKUP(June[[#This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56" t="str">
        <f>IFERROR(VLOOKUP(June[[#This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56" t="str">
        <f>IFERROR(VLOOKUP(June[[#This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56" t="str">
        <f>IFERROR(VLOOKUP(June[[#This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56" t="str">
        <f>IFERROR(VLOOKUP(June[[#This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56" t="str">
        <f>IFERROR(VLOOKUP(June[[#This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56" t="str">
        <f>IFERROR(VLOOKUP(June[[#This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56" t="str">
        <f>IFERROR(VLOOKUP(June[[#This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56" t="str">
        <f>IFERROR(VLOOKUP(June[[#This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56" t="str">
        <f>IFERROR(VLOOKUP(June[[#This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56" t="str">
        <f>IFERROR(VLOOKUP(June[[#This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56" t="str">
        <f>IFERROR(VLOOKUP(June[[#This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56" t="str">
        <f>IFERROR(VLOOKUP(June[[#This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56" t="str">
        <f>IFERROR(VLOOKUP(June[[#This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56" t="str">
        <f>IFERROR(VLOOKUP(June[[#This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56" t="str">
        <f>IFERROR(VLOOKUP(June[[#This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56" t="str">
        <f>IFERROR(VLOOKUP(June[[#This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56" t="str">
        <f>IFERROR(VLOOKUP(June[[#This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56" t="str">
        <f>IFERROR(VLOOKUP(June[[#This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56" t="str">
        <f>IFERROR(VLOOKUP(June[[#This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56" t="str">
        <f>IFERROR(VLOOKUP(June[[#This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56" t="str">
        <f>IFERROR(VLOOKUP(June[[#This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56" t="str">
        <f>IFERROR(VLOOKUP(June[[#This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56" t="str">
        <f>IFERROR(VLOOKUP(June[[#This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56" t="str">
        <f>IFERROR(VLOOKUP(June[[#This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56" t="str">
        <f>IFERROR(VLOOKUP(June[[#This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56" t="str">
        <f>IFERROR(VLOOKUP(June[[#This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56" t="str">
        <f>IFERROR(VLOOKUP(June[[#This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56" t="str">
        <f>IFERROR(VLOOKUP(June[[#This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56" t="str">
        <f>IFERROR(VLOOKUP(June[[#This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56" t="str">
        <f>IFERROR(VLOOKUP(June[[#This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56" t="str">
        <f>IFERROR(VLOOKUP(June[[#This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56" t="str">
        <f>IFERROR(VLOOKUP(June[[#This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56" t="str">
        <f>IFERROR(VLOOKUP(June[[#This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56" t="str">
        <f>IFERROR(VLOOKUP(June[[#This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56" t="str">
        <f>IFERROR(VLOOKUP(June[[#This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56" t="str">
        <f>IFERROR(VLOOKUP(June[[#This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56" t="str">
        <f>IFERROR(VLOOKUP(June[[#This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56" t="str">
        <f>IFERROR(VLOOKUP(June[[#This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56" t="str">
        <f>IFERROR(VLOOKUP(June[[#This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56" t="str">
        <f>IFERROR(VLOOKUP(June[[#This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56" t="str">
        <f>IFERROR(VLOOKUP(June[[#This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56" t="str">
        <f>IFERROR(VLOOKUP(June[[#This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56" t="str">
        <f>IFERROR(VLOOKUP(June[[#This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56" t="str">
        <f>IFERROR(VLOOKUP(June[[#This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56" t="str">
        <f>IFERROR(VLOOKUP(June[[#This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56" t="str">
        <f>IFERROR(VLOOKUP(June[[#This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56" t="str">
        <f>IFERROR(VLOOKUP(June[[#This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56" t="str">
        <f>IFERROR(VLOOKUP(June[[#This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56" t="str">
        <f>IFERROR(VLOOKUP(June[[#This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56" t="str">
        <f>IFERROR(VLOOKUP(June[[#This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56" t="str">
        <f>IFERROR(VLOOKUP(June[[#This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56" t="str">
        <f>IFERROR(VLOOKUP(June[[#This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56" t="str">
        <f>IFERROR(VLOOKUP(June[[#This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56" t="str">
        <f>IFERROR(VLOOKUP(June[[#This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56" t="str">
        <f>IFERROR(VLOOKUP(June[[#This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56" t="str">
        <f>IFERROR(VLOOKUP(June[[#This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56" t="str">
        <f>IFERROR(VLOOKUP(June[[#This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56" t="str">
        <f>IFERROR(VLOOKUP(June[[#This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56" t="str">
        <f>IFERROR(VLOOKUP(June[[#This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56" t="str">
        <f>IFERROR(VLOOKUP(June[[#This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56" t="str">
        <f>IFERROR(VLOOKUP(June[[#This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56" t="str">
        <f>IFERROR(VLOOKUP(June[[#This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56" t="str">
        <f>IFERROR(VLOOKUP(June[[#This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56" t="str">
        <f>IFERROR(VLOOKUP(June[[#This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56" t="str">
        <f>IFERROR(VLOOKUP(June[[#This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56" t="str">
        <f>IFERROR(VLOOKUP(June[[#This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56" t="str">
        <f>IFERROR(VLOOKUP(June[[#This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56" t="str">
        <f>IFERROR(VLOOKUP(June[[#This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56" t="str">
        <f>IFERROR(VLOOKUP(June[[#This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56" t="str">
        <f>IFERROR(VLOOKUP(June[[#This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56" t="str">
        <f>IFERROR(VLOOKUP(June[[#This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56" t="str">
        <f>IFERROR(VLOOKUP(June[[#This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56" t="str">
        <f>IFERROR(VLOOKUP(June[[#This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56" t="str">
        <f>IFERROR(VLOOKUP(June[[#This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56" t="str">
        <f>IFERROR(VLOOKUP(June[[#This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56" t="str">
        <f>IFERROR(VLOOKUP(June[[#This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56" t="str">
        <f>IFERROR(VLOOKUP(June[[#This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56" t="str">
        <f>IFERROR(VLOOKUP(June[[#This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56" t="str">
        <f>IFERROR(VLOOKUP(June[[#This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56" t="str">
        <f>IFERROR(VLOOKUP(June[[#This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56" t="str">
        <f>IFERROR(VLOOKUP(June[[#This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56" t="str">
        <f>IFERROR(VLOOKUP(June[[#This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56" t="str">
        <f>IFERROR(VLOOKUP(June[[#This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56" t="str">
        <f>IFERROR(VLOOKUP(June[[#This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56" t="str">
        <f>IFERROR(VLOOKUP(June[[#This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56" t="str">
        <f>IFERROR(VLOOKUP(June[[#This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56" t="str">
        <f>IFERROR(VLOOKUP(June[[#This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56" t="str">
        <f>IFERROR(VLOOKUP(June[[#This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56" t="str">
        <f>IFERROR(VLOOKUP(June[[#This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56" t="str">
        <f>IFERROR(VLOOKUP(June[[#This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56" t="str">
        <f>IFERROR(VLOOKUP(June[[#This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56" t="str">
        <f>IFERROR(VLOOKUP(June[[#This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56" t="str">
        <f>IFERROR(VLOOKUP(June[[#This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56" t="str">
        <f>IFERROR(VLOOKUP(June[[#This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56" t="str">
        <f>IFERROR(VLOOKUP(June[[#This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56" t="str">
        <f>IFERROR(VLOOKUP(June[[#This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56" t="str">
        <f>IFERROR(VLOOKUP(June[[#This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56" t="str">
        <f>IFERROR(VLOOKUP(June[[#This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56" t="str">
        <f>IFERROR(VLOOKUP(June[[#This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56" t="str">
        <f>IFERROR(VLOOKUP(June[[#This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56" t="str">
        <f>IFERROR(VLOOKUP(June[[#This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56" t="str">
        <f>IFERROR(VLOOKUP(June[[#This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56" t="str">
        <f>IFERROR(VLOOKUP(June[[#This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56" t="str">
        <f>IFERROR(VLOOKUP(June[[#This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56" t="str">
        <f>IFERROR(VLOOKUP(June[[#This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56" t="str">
        <f>IFERROR(VLOOKUP(June[[#This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56" t="str">
        <f>IFERROR(VLOOKUP(June[[#This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56" t="str">
        <f>IFERROR(VLOOKUP(June[[#This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56" t="str">
        <f>IFERROR(VLOOKUP(June[[#This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56" t="str">
        <f>IFERROR(VLOOKUP(June[[#This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56" t="str">
        <f>IFERROR(VLOOKUP(June[[#This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56" t="str">
        <f>IFERROR(VLOOKUP(June[[#This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56" t="str">
        <f>IFERROR(VLOOKUP(June[[#This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56" t="str">
        <f>IFERROR(VLOOKUP(June[[#This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56" t="str">
        <f>IFERROR(VLOOKUP(June[[#This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56" t="str">
        <f>IFERROR(VLOOKUP(June[[#This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56" t="str">
        <f>IFERROR(VLOOKUP(June[[#This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56" t="str">
        <f>IFERROR(VLOOKUP(June[[#This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56" t="str">
        <f>IFERROR(VLOOKUP(June[[#This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56" t="str">
        <f>IFERROR(VLOOKUP(June[[#This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56" t="str">
        <f>IFERROR(VLOOKUP(June[[#This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56" t="str">
        <f>IFERROR(VLOOKUP(June[[#This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56" t="str">
        <f>IFERROR(VLOOKUP(June[[#This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56" t="str">
        <f>IFERROR(VLOOKUP(June[[#This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56" t="str">
        <f>IFERROR(VLOOKUP(June[[#This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56" t="str">
        <f>IFERROR(VLOOKUP(June[[#This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56" t="str">
        <f>IFERROR(VLOOKUP(June[[#This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56" t="str">
        <f>IFERROR(VLOOKUP(June[[#This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56" t="str">
        <f>IFERROR(VLOOKUP(June[[#This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56" t="str">
        <f>IFERROR(VLOOKUP(June[[#This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56" t="str">
        <f>IFERROR(VLOOKUP(June[[#This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56" t="str">
        <f>IFERROR(VLOOKUP(June[[#This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56" t="str">
        <f>IFERROR(VLOOKUP(June[[#This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56" t="str">
        <f>IFERROR(VLOOKUP(June[[#This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56" t="str">
        <f>IFERROR(VLOOKUP(June[[#This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56" t="str">
        <f>IFERROR(VLOOKUP(June[[#This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56" t="str">
        <f>IFERROR(VLOOKUP(June[[#This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56" t="str">
        <f>IFERROR(VLOOKUP(June[[#This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56" t="str">
        <f>IFERROR(VLOOKUP(June[[#This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56" t="str">
        <f>IFERROR(VLOOKUP(June[[#This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56" t="str">
        <f>IFERROR(VLOOKUP(June[[#This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56" t="str">
        <f>IFERROR(VLOOKUP(June[[#This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56" t="str">
        <f>IFERROR(VLOOKUP(June[[#This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56" t="str">
        <f>IFERROR(VLOOKUP(June[[#This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56" t="str">
        <f>IFERROR(VLOOKUP(June[[#This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56" t="str">
        <f>IFERROR(VLOOKUP(June[[#This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56" t="str">
        <f>IFERROR(VLOOKUP(June[[#This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56" t="str">
        <f>IFERROR(VLOOKUP(June[[#This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56" t="str">
        <f>IFERROR(VLOOKUP(June[[#This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56" t="str">
        <f>IFERROR(VLOOKUP(June[[#This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56" t="str">
        <f>IFERROR(VLOOKUP(June[[#This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56" t="str">
        <f>IFERROR(VLOOKUP(June[[#This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56" t="str">
        <f>IFERROR(VLOOKUP(June[[#This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56" t="str">
        <f>IFERROR(VLOOKUP(June[[#This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56" t="str">
        <f>IFERROR(VLOOKUP(June[[#This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56" t="str">
        <f>IFERROR(VLOOKUP(June[[#This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56" t="str">
        <f>IFERROR(VLOOKUP(June[[#This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56" t="str">
        <f>IFERROR(VLOOKUP(June[[#This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56" t="str">
        <f>IFERROR(VLOOKUP(June[[#This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56" t="str">
        <f>IFERROR(VLOOKUP(June[[#This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56" t="str">
        <f>IFERROR(VLOOKUP(June[[#This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56" t="str">
        <f>IFERROR(VLOOKUP(June[[#This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56" t="str">
        <f>IFERROR(VLOOKUP(June[[#This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56" t="str">
        <f>IFERROR(VLOOKUP(June[[#This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56" t="str">
        <f>IFERROR(VLOOKUP(June[[#This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56" t="str">
        <f>IFERROR(VLOOKUP(June[[#This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56" t="str">
        <f>IFERROR(VLOOKUP(June[[#This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56" t="str">
        <f>IFERROR(VLOOKUP(June[[#This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56" t="str">
        <f>IFERROR(VLOOKUP(June[[#This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56" t="str">
        <f>IFERROR(VLOOKUP(June[[#This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56" t="str">
        <f>IFERROR(VLOOKUP(June[[#This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56" t="str">
        <f>IFERROR(VLOOKUP(June[[#This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56" t="str">
        <f>IFERROR(VLOOKUP(June[[#This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56" t="str">
        <f>IFERROR(VLOOKUP(June[[#This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56" t="str">
        <f>IFERROR(VLOOKUP(June[[#This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56" t="str">
        <f>IFERROR(VLOOKUP(June[[#This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56" t="str">
        <f>IFERROR(VLOOKUP(June[[#This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56" t="str">
        <f>IFERROR(VLOOKUP(June[[#This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56" t="str">
        <f>IFERROR(VLOOKUP(June[[#This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56" t="str">
        <f>IFERROR(VLOOKUP(June[[#This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56" t="str">
        <f>IFERROR(VLOOKUP(June[[#This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56" t="str">
        <f>IFERROR(VLOOKUP(June[[#This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56" t="str">
        <f>IFERROR(VLOOKUP(June[[#This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56" t="str">
        <f>IFERROR(VLOOKUP(June[[#This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56" t="str">
        <f>IFERROR(VLOOKUP(June[[#This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56" t="str">
        <f>IFERROR(VLOOKUP(June[[#This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56" t="str">
        <f>IFERROR(VLOOKUP(June[[#This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56" t="str">
        <f>IFERROR(VLOOKUP(June[[#This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56" t="str">
        <f>IFERROR(VLOOKUP(June[[#This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56" t="str">
        <f>IFERROR(VLOOKUP(June[[#This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56" t="str">
        <f>IFERROR(VLOOKUP(June[[#This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56" t="str">
        <f>IFERROR(VLOOKUP(June[[#This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56" t="str">
        <f>IFERROR(VLOOKUP(June[[#This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56" t="str">
        <f>IFERROR(VLOOKUP(June[[#This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56" t="str">
        <f>IFERROR(VLOOKUP(June[[#This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56" t="str">
        <f>IFERROR(VLOOKUP(June[[#This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56" t="str">
        <f>IFERROR(VLOOKUP(June[[#This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56" t="str">
        <f>IFERROR(VLOOKUP(June[[#This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56" t="str">
        <f>IFERROR(VLOOKUP(June[[#This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56" t="str">
        <f>IFERROR(VLOOKUP(June[[#This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56" t="str">
        <f>IFERROR(VLOOKUP(June[[#This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56" t="str">
        <f>IFERROR(VLOOKUP(June[[#This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56" t="str">
        <f>IFERROR(VLOOKUP(June[[#This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56" t="str">
        <f>IFERROR(VLOOKUP(June[[#This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56" t="str">
        <f>IFERROR(VLOOKUP(June[[#This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56" t="str">
        <f>IFERROR(VLOOKUP(June[[#This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56" t="str">
        <f>IFERROR(VLOOKUP(June[[#This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56" t="str">
        <f>IFERROR(VLOOKUP(June[[#This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56" t="str">
        <f>IFERROR(VLOOKUP(June[[#This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56" t="str">
        <f>IFERROR(VLOOKUP(June[[#This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56" t="str">
        <f>IFERROR(VLOOKUP(June[[#This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56" t="str">
        <f>IFERROR(VLOOKUP(June[[#This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56" t="str">
        <f>IFERROR(VLOOKUP(June[[#This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56" t="str">
        <f>IFERROR(VLOOKUP(June[[#This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56" t="str">
        <f>IFERROR(VLOOKUP(June[[#This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56" t="str">
        <f>IFERROR(VLOOKUP(June[[#This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56" t="str">
        <f>IFERROR(VLOOKUP(June[[#This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56" t="str">
        <f>IFERROR(VLOOKUP(June[[#This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56" t="str">
        <f>IFERROR(VLOOKUP(June[[#This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56" t="str">
        <f>IFERROR(VLOOKUP(June[[#This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56" t="str">
        <f>IFERROR(VLOOKUP(June[[#This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56" t="str">
        <f>IFERROR(VLOOKUP(June[[#This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56" t="str">
        <f>IFERROR(VLOOKUP(June[[#This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56" t="str">
        <f>IFERROR(VLOOKUP(June[[#This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56" t="str">
        <f>IFERROR(VLOOKUP(June[[#This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56" t="str">
        <f>IFERROR(VLOOKUP(June[[#This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56" t="str">
        <f>IFERROR(VLOOKUP(June[[#This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56" t="str">
        <f>IFERROR(VLOOKUP(June[[#This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56" t="str">
        <f>IFERROR(VLOOKUP(June[[#This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56" t="str">
        <f>IFERROR(VLOOKUP(June[[#This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56" t="str">
        <f>IFERROR(VLOOKUP(June[[#This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56" t="str">
        <f>IFERROR(VLOOKUP(June[[#This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56" t="str">
        <f>IFERROR(VLOOKUP(June[[#This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56" t="str">
        <f>IFERROR(VLOOKUP(June[[#This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56" t="str">
        <f>IFERROR(VLOOKUP(June[[#This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56" t="str">
        <f>IFERROR(VLOOKUP(June[[#This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56" t="str">
        <f>IFERROR(VLOOKUP(June[[#This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56" t="str">
        <f>IFERROR(VLOOKUP(June[[#This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56" t="str">
        <f>IFERROR(VLOOKUP(June[[#This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56" t="str">
        <f>IFERROR(VLOOKUP(June[[#This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56" t="str">
        <f>IFERROR(VLOOKUP(June[[#This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56" t="str">
        <f>IFERROR(VLOOKUP(June[[#This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56" t="str">
        <f>IFERROR(VLOOKUP(June[[#This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56" t="str">
        <f>IFERROR(VLOOKUP(June[[#This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56" t="str">
        <f>IFERROR(VLOOKUP(June[[#This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56" t="str">
        <f>IFERROR(VLOOKUP(June[[#This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56" t="str">
        <f>IFERROR(VLOOKUP(June[[#This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56" t="str">
        <f>IFERROR(VLOOKUP(June[[#This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56" t="str">
        <f>IFERROR(VLOOKUP(June[[#This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56" t="str">
        <f>IFERROR(VLOOKUP(June[[#This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56" t="str">
        <f>IFERROR(VLOOKUP(June[[#This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56" t="str">
        <f>IFERROR(VLOOKUP(June[[#This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56" t="str">
        <f>IFERROR(VLOOKUP(June[[#This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56" t="str">
        <f>IFERROR(VLOOKUP(June[[#This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56" t="str">
        <f>IFERROR(VLOOKUP(June[[#This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56" t="str">
        <f>IFERROR(VLOOKUP(June[[#This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56" t="str">
        <f>IFERROR(VLOOKUP(June[[#This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56" t="str">
        <f>IFERROR(VLOOKUP(June[[#This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56" t="str">
        <f>IFERROR(VLOOKUP(June[[#This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56" t="str">
        <f>IFERROR(VLOOKUP(June[[#This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56" t="str">
        <f>IFERROR(VLOOKUP(June[[#This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56" t="str">
        <f>IFERROR(VLOOKUP(June[[#This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56" t="str">
        <f>IFERROR(VLOOKUP(June[[#This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56" t="str">
        <f>IFERROR(VLOOKUP(June[[#This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56" t="str">
        <f>IFERROR(VLOOKUP(June[[#This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56" t="str">
        <f>IFERROR(VLOOKUP(June[[#This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56" t="str">
        <f>IFERROR(VLOOKUP(June[[#This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56" t="str">
        <f>IFERROR(VLOOKUP(June[[#This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56" t="str">
        <f>IFERROR(VLOOKUP(June[[#This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56" t="str">
        <f>IFERROR(VLOOKUP(June[[#This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56" t="str">
        <f>IFERROR(VLOOKUP(June[[#This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56" t="str">
        <f>IFERROR(VLOOKUP(June[[#This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56" t="str">
        <f>IFERROR(VLOOKUP(June[[#This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56" t="str">
        <f>IFERROR(VLOOKUP(June[[#This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56" t="str">
        <f>IFERROR(VLOOKUP(June[[#This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56" t="str">
        <f>IFERROR(VLOOKUP(June[[#This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56" t="str">
        <f>IFERROR(VLOOKUP(June[[#This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56" t="str">
        <f>IFERROR(VLOOKUP(June[[#This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56" t="str">
        <f>IFERROR(VLOOKUP(June[[#This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56" t="str">
        <f>IFERROR(VLOOKUP(June[[#This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56" t="str">
        <f>IFERROR(VLOOKUP(June[[#This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56" t="str">
        <f>IFERROR(VLOOKUP(June[[#This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56" t="str">
        <f>IFERROR(VLOOKUP(June[[#This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56" t="str">
        <f>IFERROR(VLOOKUP(June[[#This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56" t="str">
        <f>IFERROR(VLOOKUP(June[[#This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56" t="str">
        <f>IFERROR(VLOOKUP(June[[#This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56" t="str">
        <f>IFERROR(VLOOKUP(June[[#This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56" t="str">
        <f>IFERROR(VLOOKUP(June[[#This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56" t="str">
        <f>IFERROR(VLOOKUP(June[[#This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56" t="str">
        <f>IFERROR(VLOOKUP(June[[#This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56" t="str">
        <f>IFERROR(VLOOKUP(June[[#This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56" t="str">
        <f>IFERROR(VLOOKUP(June[[#This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56" t="str">
        <f>IFERROR(VLOOKUP(June[[#This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56" t="str">
        <f>IFERROR(VLOOKUP(June[[#This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56" t="str">
        <f>IFERROR(VLOOKUP(June[[#This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56" t="str">
        <f>IFERROR(VLOOKUP(June[[#This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56" t="str">
        <f>IFERROR(VLOOKUP(June[[#This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56" t="str">
        <f>IFERROR(VLOOKUP(June[[#This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56" t="str">
        <f>IFERROR(VLOOKUP(June[[#This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56" t="str">
        <f>IFERROR(VLOOKUP(June[[#This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56" t="str">
        <f>IFERROR(VLOOKUP(June[[#This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56" t="str">
        <f>IFERROR(VLOOKUP(June[[#This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56" t="str">
        <f>IFERROR(VLOOKUP(June[[#This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56" t="str">
        <f>IFERROR(VLOOKUP(June[[#This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56" t="str">
        <f>IFERROR(VLOOKUP(June[[#This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56" t="str">
        <f>IFERROR(VLOOKUP(June[[#This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56" t="str">
        <f>IFERROR(VLOOKUP(June[[#This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56" t="str">
        <f>IFERROR(VLOOKUP(June[[#This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56" t="str">
        <f>IFERROR(VLOOKUP(June[[#This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56" t="str">
        <f>IFERROR(VLOOKUP(June[[#This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56" t="str">
        <f>IFERROR(VLOOKUP(June[[#This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56" t="str">
        <f>IFERROR(VLOOKUP(June[[#This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56" t="str">
        <f>IFERROR(VLOOKUP(June[[#This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56" t="str">
        <f>IFERROR(VLOOKUP(June[[#This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56" t="str">
        <f>IFERROR(VLOOKUP(June[[#This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56" t="str">
        <f>IFERROR(VLOOKUP(June[[#This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56" t="str">
        <f>IFERROR(VLOOKUP(June[[#This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56" t="str">
        <f>IFERROR(VLOOKUP(June[[#This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56" t="str">
        <f>IFERROR(VLOOKUP(June[[#This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56" t="str">
        <f>IFERROR(VLOOKUP(June[[#This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56" t="str">
        <f>IFERROR(VLOOKUP(June[[#This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56" t="str">
        <f>IFERROR(VLOOKUP(June[[#This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56" t="str">
        <f>IFERROR(VLOOKUP(June[[#This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56" t="str">
        <f>IFERROR(VLOOKUP(June[[#This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56" t="str">
        <f>IFERROR(VLOOKUP(June[[#This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56" t="str">
        <f>IFERROR(VLOOKUP(June[[#This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56" t="str">
        <f>IFERROR(VLOOKUP(June[[#This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56" t="str">
        <f>IFERROR(VLOOKUP(June[[#This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56" t="str">
        <f>IFERROR(VLOOKUP(June[[#This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56" t="str">
        <f>IFERROR(VLOOKUP(June[[#This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56" t="str">
        <f>IFERROR(VLOOKUP(June[[#This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56" t="str">
        <f>IFERROR(VLOOKUP(June[[#This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56" t="str">
        <f>IFERROR(VLOOKUP(June[[#This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56" t="str">
        <f>IFERROR(VLOOKUP(June[[#This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56" t="str">
        <f>IFERROR(VLOOKUP(June[[#This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56" t="str">
        <f>IFERROR(VLOOKUP(June[[#This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56" t="str">
        <f>IFERROR(VLOOKUP(June[[#This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56" t="str">
        <f>IFERROR(VLOOKUP(June[[#This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56" t="str">
        <f>IFERROR(VLOOKUP(June[[#This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56" t="str">
        <f>IFERROR(VLOOKUP(June[[#This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56" t="str">
        <f>IFERROR(VLOOKUP(June[[#This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56" t="str">
        <f>IFERROR(VLOOKUP(June[[#This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56" t="str">
        <f>IFERROR(VLOOKUP(June[[#This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56" t="str">
        <f>IFERROR(VLOOKUP(June[[#This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56" t="str">
        <f>IFERROR(VLOOKUP(June[[#This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56" t="str">
        <f>IFERROR(VLOOKUP(June[[#This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56" t="str">
        <f>IFERROR(VLOOKUP(June[[#This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56" t="str">
        <f>IFERROR(VLOOKUP(June[[#This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56" t="str">
        <f>IFERROR(VLOOKUP(June[[#This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56" t="str">
        <f>IFERROR(VLOOKUP(June[[#This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56" t="str">
        <f>IFERROR(VLOOKUP(June[[#This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56" t="str">
        <f>IFERROR(VLOOKUP(June[[#This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56" t="str">
        <f>IFERROR(VLOOKUP(June[[#This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56" t="str">
        <f>IFERROR(VLOOKUP(June[[#This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56" t="str">
        <f>IFERROR(VLOOKUP(June[[#This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56" t="str">
        <f>IFERROR(VLOOKUP(June[[#This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56" t="str">
        <f>IFERROR(VLOOKUP(June[[#This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56" t="str">
        <f>IFERROR(VLOOKUP(June[[#This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56" t="str">
        <f>IFERROR(VLOOKUP(June[[#This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56" t="str">
        <f>IFERROR(VLOOKUP(June[[#This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56" t="str">
        <f>IFERROR(VLOOKUP(June[[#This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56" t="str">
        <f>IFERROR(VLOOKUP(June[[#This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56" t="str">
        <f>IFERROR(VLOOKUP(June[[#This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56" t="str">
        <f>IFERROR(VLOOKUP(June[[#This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56" t="str">
        <f>IFERROR(VLOOKUP(June[[#This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56" t="str">
        <f>IFERROR(VLOOKUP(June[[#This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56" t="str">
        <f>IFERROR(VLOOKUP(June[[#This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56" t="str">
        <f>IFERROR(VLOOKUP(June[[#This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56" t="str">
        <f>IFERROR(VLOOKUP(June[[#This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56" t="str">
        <f>IFERROR(VLOOKUP(June[[#This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56" t="str">
        <f>IFERROR(VLOOKUP(June[[#This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56" t="str">
        <f>IFERROR(VLOOKUP(June[[#This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56" t="str">
        <f>IFERROR(VLOOKUP(June[[#This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56" t="str">
        <f>IFERROR(VLOOKUP(June[[#This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56" t="str">
        <f>IFERROR(VLOOKUP(June[[#This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56" t="str">
        <f>IFERROR(VLOOKUP(June[[#This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56" t="str">
        <f>IFERROR(VLOOKUP(June[[#This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56" t="str">
        <f>IFERROR(VLOOKUP(June[[#This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56" t="str">
        <f>IFERROR(VLOOKUP(June[[#This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56" t="str">
        <f>IFERROR(VLOOKUP(June[[#This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56" t="str">
        <f>IFERROR(VLOOKUP(June[[#This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56" t="str">
        <f>IFERROR(VLOOKUP(June[[#This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56" t="str">
        <f>IFERROR(VLOOKUP(June[[#This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56" t="str">
        <f>IFERROR(VLOOKUP(June[[#This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56" t="str">
        <f>IFERROR(VLOOKUP(June[[#This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56" t="str">
        <f>IFERROR(VLOOKUP(June[[#This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56" t="str">
        <f>IFERROR(VLOOKUP(June[[#This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56" t="str">
        <f>IFERROR(VLOOKUP(June[[#This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56" t="str">
        <f>IFERROR(VLOOKUP(June[[#This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56" t="str">
        <f>IFERROR(VLOOKUP(June[[#This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56" t="str">
        <f>IFERROR(VLOOKUP(June[[#This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56" t="str">
        <f>IFERROR(VLOOKUP(June[[#This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56" t="str">
        <f>IFERROR(VLOOKUP(June[[#This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56" t="str">
        <f>IFERROR(VLOOKUP(June[[#This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56" t="str">
        <f>IFERROR(VLOOKUP(June[[#This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56" t="str">
        <f>IFERROR(VLOOKUP(June[[#This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56" t="str">
        <f>IFERROR(VLOOKUP(June[[#This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56" t="str">
        <f>IFERROR(VLOOKUP(June[[#This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56" t="str">
        <f>IFERROR(VLOOKUP(June[[#This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56" t="str">
        <f>IFERROR(VLOOKUP(June[[#This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56" t="str">
        <f>IFERROR(VLOOKUP(June[[#This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56" t="str">
        <f>IFERROR(VLOOKUP(June[[#This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56" t="str">
        <f>IFERROR(VLOOKUP(June[[#This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56" t="str">
        <f>IFERROR(VLOOKUP(June[[#This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56" t="str">
        <f>IFERROR(VLOOKUP(June[[#This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56" t="str">
        <f>IFERROR(VLOOKUP(June[[#This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56" t="str">
        <f>IFERROR(VLOOKUP(June[[#This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56" t="str">
        <f>IFERROR(VLOOKUP(June[[#This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56" t="str">
        <f>IFERROR(VLOOKUP(June[[#This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56" t="str">
        <f>IFERROR(VLOOKUP(June[[#This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56" t="str">
        <f>IFERROR(VLOOKUP(June[[#This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56" t="str">
        <f>IFERROR(VLOOKUP(June[[#This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56" t="str">
        <f>IFERROR(VLOOKUP(June[[#This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56" t="str">
        <f>IFERROR(VLOOKUP(June[[#This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56" t="str">
        <f>IFERROR(VLOOKUP(June[[#This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56" t="str">
        <f>IFERROR(VLOOKUP(June[[#This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56" t="str">
        <f>IFERROR(VLOOKUP(June[[#This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56" t="str">
        <f>IFERROR(VLOOKUP(June[[#This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56" t="str">
        <f>IFERROR(VLOOKUP(June[[#This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56" t="str">
        <f>IFERROR(VLOOKUP(June[[#This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56" t="str">
        <f>IFERROR(VLOOKUP(June[[#This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56" t="str">
        <f>IFERROR(VLOOKUP(June[[#This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56" t="str">
        <f>IFERROR(VLOOKUP(June[[#This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56" t="str">
        <f>IFERROR(VLOOKUP(June[[#This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56" t="str">
        <f>IFERROR(VLOOKUP(June[[#This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56" t="str">
        <f>IFERROR(VLOOKUP(June[[#This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56" t="str">
        <f>IFERROR(VLOOKUP(June[[#This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56" t="str">
        <f>IFERROR(VLOOKUP(June[[#This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56" t="str">
        <f>IFERROR(VLOOKUP(June[[#This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56" t="str">
        <f>IFERROR(VLOOKUP(June[[#This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56" t="str">
        <f>IFERROR(VLOOKUP(June[[#This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56" t="str">
        <f>IFERROR(VLOOKUP(June[[#This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56" t="str">
        <f>IFERROR(VLOOKUP(June[[#This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56" t="str">
        <f>IFERROR(VLOOKUP(June[[#This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56" t="str">
        <f>IFERROR(VLOOKUP(June[[#This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56" t="str">
        <f>IFERROR(VLOOKUP(June[[#This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56" t="str">
        <f>IFERROR(VLOOKUP(June[[#This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56" t="str">
        <f>IFERROR(VLOOKUP(June[[#This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56" t="str">
        <f>IFERROR(VLOOKUP(June[[#This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56" t="str">
        <f>IFERROR(VLOOKUP(June[[#This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56" t="str">
        <f>IFERROR(VLOOKUP(June[[#This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56" t="str">
        <f>IFERROR(VLOOKUP(June[[#This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56" t="str">
        <f>IFERROR(VLOOKUP(June[[#This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56" t="str">
        <f>IFERROR(VLOOKUP(June[[#This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56" t="str">
        <f>IFERROR(VLOOKUP(June[[#This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56" t="str">
        <f>IFERROR(VLOOKUP(June[[#This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56" t="str">
        <f>IFERROR(VLOOKUP(June[[#This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56" t="str">
        <f>IFERROR(VLOOKUP(June[[#This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56" t="str">
        <f>IFERROR(VLOOKUP(June[[#This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56" t="str">
        <f>IFERROR(VLOOKUP(June[[#This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56" t="str">
        <f>IFERROR(VLOOKUP(June[[#This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56" t="str">
        <f>IFERROR(VLOOKUP(June[[#This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56" t="str">
        <f>IFERROR(VLOOKUP(June[[#This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56" t="str">
        <f>IFERROR(VLOOKUP(June[[#This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56" t="str">
        <f>IFERROR(VLOOKUP(June[[#This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56" t="str">
        <f>IFERROR(VLOOKUP(June[[#This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56" t="str">
        <f>IFERROR(VLOOKUP(June[[#This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56" t="str">
        <f>IFERROR(VLOOKUP(June[[#This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56" t="str">
        <f>IFERROR(VLOOKUP(June[[#This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56" t="str">
        <f>IFERROR(VLOOKUP(June[[#This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56" t="str">
        <f>IFERROR(VLOOKUP(June[[#This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56" t="str">
        <f>IFERROR(VLOOKUP(June[[#This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56" t="str">
        <f>IFERROR(VLOOKUP(June[[#This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56" t="str">
        <f>IFERROR(VLOOKUP(June[[#This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56" t="str">
        <f>IFERROR(VLOOKUP(June[[#This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56" t="str">
        <f>IFERROR(VLOOKUP(June[[#This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56" t="str">
        <f>IFERROR(VLOOKUP(June[[#This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56" t="str">
        <f>IFERROR(VLOOKUP(June[[#This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56" t="str">
        <f>IFERROR(VLOOKUP(June[[#This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56" t="str">
        <f>IFERROR(VLOOKUP(June[[#This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56" t="str">
        <f>IFERROR(VLOOKUP(June[[#This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56" t="str">
        <f>IFERROR(VLOOKUP(June[[#This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56" t="str">
        <f>IFERROR(VLOOKUP(June[[#This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56" t="str">
        <f>IFERROR(VLOOKUP(June[[#This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56" t="str">
        <f>IFERROR(VLOOKUP(June[[#This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56" t="str">
        <f>IFERROR(VLOOKUP(June[[#This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56" t="str">
        <f>IFERROR(VLOOKUP(June[[#This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56" t="str">
        <f>IFERROR(VLOOKUP(June[[#This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56" t="str">
        <f>IFERROR(VLOOKUP(June[[#This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56" t="str">
        <f>IFERROR(VLOOKUP(June[[#This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56" t="str">
        <f>IFERROR(VLOOKUP(June[[#This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56" t="str">
        <f>IFERROR(VLOOKUP(June[[#This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56" t="str">
        <f>IFERROR(VLOOKUP(June[[#This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56" t="str">
        <f>IFERROR(VLOOKUP(June[[#This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56" t="str">
        <f>IFERROR(VLOOKUP(June[[#This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56" t="str">
        <f>IFERROR(VLOOKUP(June[[#This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56" t="str">
        <f>IFERROR(VLOOKUP(June[[#This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56" t="str">
        <f>IFERROR(VLOOKUP(June[[#This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56" t="str">
        <f>IFERROR(VLOOKUP(June[[#This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56" t="str">
        <f>IFERROR(VLOOKUP(June[[#This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56" t="str">
        <f>IFERROR(VLOOKUP(June[[#This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56" t="str">
        <f>IFERROR(VLOOKUP(June[[#This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56" t="str">
        <f>IFERROR(VLOOKUP(June[[#This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56" t="str">
        <f>IFERROR(VLOOKUP(June[[#This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56" t="str">
        <f>IFERROR(VLOOKUP(June[[#This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56" t="str">
        <f>IFERROR(VLOOKUP(June[[#This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56" t="str">
        <f>IFERROR(VLOOKUP(June[[#This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56" t="str">
        <f>IFERROR(VLOOKUP(June[[#This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56" t="str">
        <f>IFERROR(VLOOKUP(June[[#This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56" t="str">
        <f>IFERROR(VLOOKUP(June[[#This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56" t="str">
        <f>IFERROR(VLOOKUP(June[[#This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56" t="str">
        <f>IFERROR(VLOOKUP(June[[#This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56" t="str">
        <f>IFERROR(VLOOKUP(June[[#This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56" t="str">
        <f>IFERROR(VLOOKUP(June[[#This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56" t="str">
        <f>IFERROR(VLOOKUP(June[[#This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56" t="str">
        <f>IFERROR(VLOOKUP(June[[#This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56" t="str">
        <f>IFERROR(VLOOKUP(June[[#This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56" t="str">
        <f>IFERROR(VLOOKUP(June[[#This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56" t="str">
        <f>IFERROR(VLOOKUP(June[[#This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56" t="str">
        <f>IFERROR(VLOOKUP(June[[#This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56" t="str">
        <f>IFERROR(VLOOKUP(June[[#This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56" t="str">
        <f>IFERROR(VLOOKUP(June[[#This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56" t="str">
        <f>IFERROR(VLOOKUP(June[[#This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56" t="str">
        <f>IFERROR(VLOOKUP(June[[#This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56" t="str">
        <f>IFERROR(VLOOKUP(June[[#This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56" t="str">
        <f>IFERROR(VLOOKUP(June[[#This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56" t="str">
        <f>IFERROR(VLOOKUP(June[[#This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56" t="str">
        <f>IFERROR(VLOOKUP(June[[#This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56" t="str">
        <f>IFERROR(VLOOKUP(June[[#This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56" t="str">
        <f>IFERROR(VLOOKUP(June[[#This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56" t="str">
        <f>IFERROR(VLOOKUP(June[[#This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56" t="str">
        <f>IFERROR(VLOOKUP(June[[#This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56" t="str">
        <f>IFERROR(VLOOKUP(June[[#This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56" t="str">
        <f>IFERROR(VLOOKUP(June[[#This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56" t="str">
        <f>IFERROR(VLOOKUP(June[[#This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56" t="str">
        <f>IFERROR(VLOOKUP(June[[#This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56" t="str">
        <f>IFERROR(VLOOKUP(June[[#This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56" t="str">
        <f>IFERROR(VLOOKUP(June[[#This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56" t="str">
        <f>IFERROR(VLOOKUP(June[[#This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56" t="str">
        <f>IFERROR(VLOOKUP(June[[#This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56" t="str">
        <f>IFERROR(VLOOKUP(June[[#This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56" t="str">
        <f>IFERROR(VLOOKUP(June[[#This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56" t="str">
        <f>IFERROR(VLOOKUP(June[[#This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56" t="str">
        <f>IFERROR(VLOOKUP(June[[#This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56" t="str">
        <f>IFERROR(VLOOKUP(June[[#This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56" t="str">
        <f>IFERROR(VLOOKUP(June[[#This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56" t="str">
        <f>IFERROR(VLOOKUP(June[[#This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56" t="str">
        <f>IFERROR(VLOOKUP(June[[#This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56" t="str">
        <f>IFERROR(VLOOKUP(June[[#This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56" t="str">
        <f>IFERROR(VLOOKUP(June[[#This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56" t="str">
        <f>IFERROR(VLOOKUP(June[[#This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56" t="str">
        <f>IFERROR(VLOOKUP(June[[#This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56" t="str">
        <f>IFERROR(VLOOKUP(June[[#This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56" t="str">
        <f>IFERROR(VLOOKUP(June[[#This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56" t="str">
        <f>IFERROR(VLOOKUP(June[[#This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56" t="str">
        <f>IFERROR(VLOOKUP(June[[#This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56" t="str">
        <f>IFERROR(VLOOKUP(June[[#This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56" t="str">
        <f>IFERROR(VLOOKUP(June[[#This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56" t="str">
        <f>IFERROR(VLOOKUP(June[[#This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56" t="str">
        <f>IFERROR(VLOOKUP(June[[#This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56" t="str">
        <f>IFERROR(VLOOKUP(June[[#This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56" t="str">
        <f>IFERROR(VLOOKUP(June[[#This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56" t="str">
        <f>IFERROR(VLOOKUP(June[[#This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56" t="str">
        <f>IFERROR(VLOOKUP(June[[#This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56" t="str">
        <f>IFERROR(VLOOKUP(June[[#This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56" t="str">
        <f>IFERROR(VLOOKUP(June[[#This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56" t="str">
        <f>IFERROR(VLOOKUP(June[[#This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56" t="str">
        <f>IFERROR(VLOOKUP(June[[#This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56" t="str">
        <f>IFERROR(VLOOKUP(June[[#This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56" t="str">
        <f>IFERROR(VLOOKUP(June[[#This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56" t="str">
        <f>IFERROR(VLOOKUP(June[[#This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56" t="str">
        <f>IFERROR(VLOOKUP(June[[#This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56" t="str">
        <f>IFERROR(VLOOKUP(June[[#This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56" t="str">
        <f>IFERROR(VLOOKUP(June[[#This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56" t="str">
        <f>IFERROR(VLOOKUP(June[[#This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56" t="str">
        <f>IFERROR(VLOOKUP(June[[#This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56" t="str">
        <f>IFERROR(VLOOKUP(June[[#This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56" t="str">
        <f>IFERROR(VLOOKUP(June[[#This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56" t="str">
        <f>IFERROR(VLOOKUP(June[[#This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56" t="str">
        <f>IFERROR(VLOOKUP(June[[#This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56" t="str">
        <f>IFERROR(VLOOKUP(June[[#This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56" t="str">
        <f>IFERROR(VLOOKUP(June[[#This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56" t="str">
        <f>IFERROR(VLOOKUP(June[[#This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56" t="str">
        <f>IFERROR(VLOOKUP(June[[#This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56" t="str">
        <f>IFERROR(VLOOKUP(June[[#This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56" t="str">
        <f>IFERROR(VLOOKUP(June[[#This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56" t="str">
        <f>IFERROR(VLOOKUP(June[[#This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56" t="str">
        <f>IFERROR(VLOOKUP(June[[#This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56" t="str">
        <f>IFERROR(VLOOKUP(June[[#This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56" t="str">
        <f>IFERROR(VLOOKUP(June[[#This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56" t="str">
        <f>IFERROR(VLOOKUP(June[[#This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56" t="str">
        <f>IFERROR(VLOOKUP(June[[#This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56" t="str">
        <f>IFERROR(VLOOKUP(June[[#This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56" t="str">
        <f>IFERROR(VLOOKUP(June[[#This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56" t="str">
        <f>IFERROR(VLOOKUP(June[[#This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56" t="str">
        <f>IFERROR(VLOOKUP(June[[#This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56" t="str">
        <f>IFERROR(VLOOKUP(June[[#This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56" t="str">
        <f>IFERROR(VLOOKUP(June[[#This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56" t="str">
        <f>IFERROR(VLOOKUP(June[[#This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56" t="str">
        <f>IFERROR(VLOOKUP(June[[#This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56" t="str">
        <f>IFERROR(VLOOKUP(June[[#This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56" t="str">
        <f>IFERROR(VLOOKUP(June[[#This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56" t="str">
        <f>IFERROR(VLOOKUP(June[[#This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56" t="str">
        <f>IFERROR(VLOOKUP(June[[#This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56" t="str">
        <f>IFERROR(VLOOKUP(June[[#This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56" t="str">
        <f>IFERROR(VLOOKUP(June[[#This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56" t="str">
        <f>IFERROR(VLOOKUP(June[[#This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56" t="str">
        <f>IFERROR(VLOOKUP(June[[#This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56" t="str">
        <f>IFERROR(VLOOKUP(June[[#This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56" t="str">
        <f>IFERROR(VLOOKUP(June[[#This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56" t="str">
        <f>IFERROR(VLOOKUP(June[[#This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56" t="str">
        <f>IFERROR(VLOOKUP(June[[#This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56" t="str">
        <f>IFERROR(VLOOKUP(June[[#This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56" t="str">
        <f>IFERROR(VLOOKUP(June[[#This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56" t="str">
        <f>IFERROR(VLOOKUP(June[[#This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56" t="str">
        <f>IFERROR(VLOOKUP(June[[#This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56" t="str">
        <f>IFERROR(VLOOKUP(June[[#This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56" t="str">
        <f>IFERROR(VLOOKUP(June[[#This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56" t="str">
        <f>IFERROR(VLOOKUP(June[[#This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56" t="str">
        <f>IFERROR(VLOOKUP(June[[#This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56" t="str">
        <f>IFERROR(VLOOKUP(June[[#This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56" t="str">
        <f>IFERROR(VLOOKUP(June[[#This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56" t="str">
        <f>IFERROR(VLOOKUP(June[[#This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56" t="str">
        <f>IFERROR(VLOOKUP(June[[#This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56" t="str">
        <f>IFERROR(VLOOKUP(June[[#This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56" t="str">
        <f>IFERROR(VLOOKUP(June[[#This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56" t="str">
        <f>IFERROR(VLOOKUP(June[[#This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56" t="str">
        <f>IFERROR(VLOOKUP(June[[#This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56" t="str">
        <f>IFERROR(VLOOKUP(June[[#This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56" t="str">
        <f>IFERROR(VLOOKUP(June[[#This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56" t="str">
        <f>IFERROR(VLOOKUP(June[[#This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56" t="str">
        <f>IFERROR(VLOOKUP(June[[#This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56" t="str">
        <f>IFERROR(VLOOKUP(June[[#This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56" t="str">
        <f>IFERROR(VLOOKUP(June[[#This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56" t="str">
        <f>IFERROR(VLOOKUP(June[[#This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56" t="str">
        <f>IFERROR(VLOOKUP(June[[#This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56" t="str">
        <f>IFERROR(VLOOKUP(June[[#This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56" t="str">
        <f>IFERROR(VLOOKUP(June[[#This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56" t="str">
        <f>IFERROR(VLOOKUP(June[[#This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56" t="str">
        <f>IFERROR(VLOOKUP(June[[#This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56" t="str">
        <f>IFERROR(VLOOKUP(June[[#This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56" t="str">
        <f>IFERROR(VLOOKUP(June[[#This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56" t="str">
        <f>IFERROR(VLOOKUP(June[[#This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56" t="str">
        <f>IFERROR(VLOOKUP(June[[#This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56" t="str">
        <f>IFERROR(VLOOKUP(June[[#This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56" t="str">
        <f>IFERROR(VLOOKUP(June[[#This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56" t="str">
        <f>IFERROR(VLOOKUP(June[[#This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56" t="str">
        <f>IFERROR(VLOOKUP(June[[#This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56" t="str">
        <f>IFERROR(VLOOKUP(June[[#This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56" t="str">
        <f>IFERROR(VLOOKUP(June[[#This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56" t="str">
        <f>IFERROR(VLOOKUP(June[[#This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56" t="str">
        <f>IFERROR(VLOOKUP(June[[#This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56" t="str">
        <f>IFERROR(VLOOKUP(June[[#This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56" t="str">
        <f>IFERROR(VLOOKUP(June[[#This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56" t="str">
        <f>IFERROR(VLOOKUP(June[[#This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56" t="str">
        <f>IFERROR(VLOOKUP(June[[#This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56" t="str">
        <f>IFERROR(VLOOKUP(June[[#This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56" t="str">
        <f>IFERROR(VLOOKUP(June[[#This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56" t="str">
        <f>IFERROR(VLOOKUP(June[[#This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56" t="str">
        <f>IFERROR(VLOOKUP(June[[#This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56" t="str">
        <f>IFERROR(VLOOKUP(June[[#This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56" t="str">
        <f>IFERROR(VLOOKUP(June[[#This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56" t="str">
        <f>IFERROR(VLOOKUP(June[[#This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56" t="str">
        <f>IFERROR(VLOOKUP(June[[#This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56" t="str">
        <f>IFERROR(VLOOKUP(June[[#This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56" t="str">
        <f>IFERROR(VLOOKUP(June[[#This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56" t="str">
        <f>IFERROR(VLOOKUP(June[[#This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56" t="str">
        <f>IFERROR(VLOOKUP(June[[#This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56" t="str">
        <f>IFERROR(VLOOKUP(June[[#This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56" t="str">
        <f>IFERROR(VLOOKUP(June[[#This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56" t="str">
        <f>IFERROR(VLOOKUP(June[[#This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56" t="str">
        <f>IFERROR(VLOOKUP(June[[#This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56" t="str">
        <f>IFERROR(VLOOKUP(June[[#This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56" t="str">
        <f>IFERROR(VLOOKUP(June[[#This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56" t="str">
        <f>IFERROR(VLOOKUP(June[[#This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56" t="str">
        <f>IFERROR(VLOOKUP(June[[#This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56" t="str">
        <f>IFERROR(VLOOKUP(June[[#This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56" t="str">
        <f>IFERROR(VLOOKUP(June[[#This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56" t="str">
        <f>IFERROR(VLOOKUP(June[[#This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56" t="str">
        <f>IFERROR(VLOOKUP(June[[#This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56" t="str">
        <f>IFERROR(VLOOKUP(June[[#This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56" t="str">
        <f>IFERROR(VLOOKUP(June[[#This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56" t="str">
        <f>IFERROR(VLOOKUP(June[[#This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56" t="str">
        <f>IFERROR(VLOOKUP(June[[#This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56" t="str">
        <f>IFERROR(VLOOKUP(June[[#This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56" t="str">
        <f>IFERROR(VLOOKUP(June[[#This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56" t="str">
        <f>IFERROR(VLOOKUP(June[[#This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56" t="str">
        <f>IFERROR(VLOOKUP(June[[#This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56" t="str">
        <f>IFERROR(VLOOKUP(June[[#This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56" t="str">
        <f>IFERROR(VLOOKUP(June[[#This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56" t="str">
        <f>IFERROR(VLOOKUP(June[[#This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56" t="str">
        <f>IFERROR(VLOOKUP(June[[#This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56" t="str">
        <f>IFERROR(VLOOKUP(June[[#This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56" t="str">
        <f>IFERROR(VLOOKUP(June[[#This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56" t="str">
        <f>IFERROR(VLOOKUP(June[[#This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56" t="str">
        <f>IFERROR(VLOOKUP(June[[#This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56" t="str">
        <f>IFERROR(VLOOKUP(June[[#This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56" t="str">
        <f>IFERROR(VLOOKUP(June[[#This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56" t="str">
        <f>IFERROR(VLOOKUP(June[[#This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56" t="str">
        <f>IFERROR(VLOOKUP(June[[#This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56" t="str">
        <f>IFERROR(VLOOKUP(June[[#This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56" t="str">
        <f>IFERROR(VLOOKUP(June[[#This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56" t="str">
        <f>IFERROR(VLOOKUP(June[[#This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56" t="str">
        <f>IFERROR(VLOOKUP(June[[#This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56" t="str">
        <f>IFERROR(VLOOKUP(June[[#This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56" t="str">
        <f>IFERROR(VLOOKUP(June[[#This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56" t="str">
        <f>IFERROR(VLOOKUP(June[[#This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56" t="str">
        <f>IFERROR(VLOOKUP(June[[#This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56" t="str">
        <f>IFERROR(VLOOKUP(June[[#This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56" t="str">
        <f>IFERROR(VLOOKUP(June[[#This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56" t="str">
        <f>IFERROR(VLOOKUP(June[[#This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56" t="str">
        <f>IFERROR(VLOOKUP(June[[#This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56" t="str">
        <f>IFERROR(VLOOKUP(June[[#This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56" t="str">
        <f>IFERROR(VLOOKUP(June[[#This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56" t="str">
        <f>IFERROR(VLOOKUP(June[[#This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56" t="str">
        <f>IFERROR(VLOOKUP(June[[#This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56" t="str">
        <f>IFERROR(VLOOKUP(June[[#This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56" t="str">
        <f>IFERROR(VLOOKUP(June[[#This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56" t="str">
        <f>IFERROR(VLOOKUP(June[[#This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56" t="str">
        <f>IFERROR(VLOOKUP(June[[#This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56" t="str">
        <f>IFERROR(VLOOKUP(June[[#This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56" t="str">
        <f>IFERROR(VLOOKUP(June[[#This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56" t="str">
        <f>IFERROR(VLOOKUP(June[[#This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56" t="str">
        <f>IFERROR(VLOOKUP(June[[#This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56" t="str">
        <f>IFERROR(VLOOKUP(June[[#This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56" t="str">
        <f>IFERROR(VLOOKUP(June[[#This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56" t="str">
        <f>IFERROR(VLOOKUP(June[[#This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56" t="str">
        <f>IFERROR(VLOOKUP(June[[#This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56" t="str">
        <f>IFERROR(VLOOKUP(June[[#This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56" t="str">
        <f>IFERROR(VLOOKUP(June[[#This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56" t="str">
        <f>IFERROR(VLOOKUP(June[[#This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56" t="str">
        <f>IFERROR(VLOOKUP(June[[#This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56" t="str">
        <f>IFERROR(VLOOKUP(June[[#This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56" t="str">
        <f>IFERROR(VLOOKUP(June[[#This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56" t="str">
        <f>IFERROR(VLOOKUP(June[[#This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56" t="str">
        <f>IFERROR(VLOOKUP(June[[#This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56" t="str">
        <f>IFERROR(VLOOKUP(June[[#This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56" t="str">
        <f>IFERROR(VLOOKUP(June[[#This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56" t="str">
        <f>IFERROR(VLOOKUP(June[[#This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56" t="str">
        <f>IFERROR(VLOOKUP(June[[#This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56" t="str">
        <f>IFERROR(VLOOKUP(June[[#This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56" t="str">
        <f>IFERROR(VLOOKUP(June[[#This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56" t="str">
        <f>IFERROR(VLOOKUP(June[[#This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56" t="str">
        <f>IFERROR(VLOOKUP(June[[#This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56" t="str">
        <f>IFERROR(VLOOKUP(June[[#This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56" t="str">
        <f>IFERROR(VLOOKUP(June[[#This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56" t="str">
        <f>IFERROR(VLOOKUP(June[[#This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56" t="str">
        <f>IFERROR(VLOOKUP(June[[#This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56" t="str">
        <f>IFERROR(VLOOKUP(June[[#This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56" t="str">
        <f>IFERROR(VLOOKUP(June[[#This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56" t="str">
        <f>IFERROR(VLOOKUP(June[[#This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56" t="str">
        <f>IFERROR(VLOOKUP(June[[#This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56" t="str">
        <f>IFERROR(VLOOKUP(June[[#This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56" t="str">
        <f>IFERROR(VLOOKUP(June[[#This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56" t="str">
        <f>IFERROR(VLOOKUP(June[[#This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56" t="str">
        <f>IFERROR(VLOOKUP(June[[#This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56" t="str">
        <f>IFERROR(VLOOKUP(June[[#This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56" t="str">
        <f>IFERROR(VLOOKUP(June[[#This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56" t="str">
        <f>IFERROR(VLOOKUP(June[[#This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56" t="str">
        <f>IFERROR(VLOOKUP(June[[#This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56" t="str">
        <f>IFERROR(VLOOKUP(June[[#This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56" t="str">
        <f>IFERROR(VLOOKUP(June[[#This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56" t="str">
        <f>IFERROR(VLOOKUP(June[[#This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56" t="str">
        <f>IFERROR(VLOOKUP(June[[#This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56" t="str">
        <f>IFERROR(VLOOKUP(June[[#This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56" t="str">
        <f>IFERROR(VLOOKUP(June[[#This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56" t="str">
        <f>IFERROR(VLOOKUP(June[[#This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56" t="str">
        <f>IFERROR(VLOOKUP(June[[#This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56" t="str">
        <f>IFERROR(VLOOKUP(June[[#This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56" t="str">
        <f>IFERROR(VLOOKUP(June[[#This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56" t="str">
        <f>IFERROR(VLOOKUP(June[[#This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56" t="str">
        <f>IFERROR(VLOOKUP(June[[#This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56" t="str">
        <f>IFERROR(VLOOKUP(June[[#This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56" t="str">
        <f>IFERROR(VLOOKUP(June[[#This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56" t="str">
        <f>IFERROR(VLOOKUP(June[[#This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56" t="str">
        <f>IFERROR(VLOOKUP(June[[#This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56" t="str">
        <f>IFERROR(VLOOKUP(June[[#This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56" t="str">
        <f>IFERROR(VLOOKUP(June[[#This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56" t="str">
        <f>IFERROR(VLOOKUP(June[[#This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56" t="str">
        <f>IFERROR(VLOOKUP(June[[#This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56" t="str">
        <f>IFERROR(VLOOKUP(June[[#This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56" t="str">
        <f>IFERROR(VLOOKUP(June[[#This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56" t="str">
        <f>IFERROR(VLOOKUP(June[[#This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56" t="str">
        <f>IFERROR(VLOOKUP(June[[#This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56" t="str">
        <f>IFERROR(VLOOKUP(June[[#This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56" t="str">
        <f>IFERROR(VLOOKUP(June[[#This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56" t="str">
        <f>IFERROR(VLOOKUP(June[[#This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56" t="str">
        <f>IFERROR(VLOOKUP(June[[#This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56" t="str">
        <f>IFERROR(VLOOKUP(June[[#This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56" t="str">
        <f>IFERROR(VLOOKUP(June[[#This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56" t="str">
        <f>IFERROR(VLOOKUP(June[[#This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56" t="str">
        <f>IFERROR(VLOOKUP(June[[#This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56" t="str">
        <f>IFERROR(VLOOKUP(June[[#This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56" t="str">
        <f>IFERROR(VLOOKUP(June[[#This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56" t="str">
        <f>IFERROR(VLOOKUP(June[[#This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56" t="str">
        <f>IFERROR(VLOOKUP(June[[#This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56" t="str">
        <f>IFERROR(VLOOKUP(June[[#This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56" t="str">
        <f>IFERROR(VLOOKUP(June[[#This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56" t="str">
        <f>IFERROR(VLOOKUP(June[[#This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56" t="str">
        <f>IFERROR(VLOOKUP(June[[#This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56" t="str">
        <f>IFERROR(VLOOKUP(June[[#This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56" t="str">
        <f>IFERROR(VLOOKUP(June[[#This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56" t="str">
        <f>IFERROR(VLOOKUP(June[[#This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56" t="str">
        <f>IFERROR(VLOOKUP(June[[#This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56" t="str">
        <f>IFERROR(VLOOKUP(June[[#This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56" t="str">
        <f>IFERROR(VLOOKUP(June[[#This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56" t="str">
        <f>IFERROR(VLOOKUP(June[[#This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56" t="str">
        <f>IFERROR(VLOOKUP(June[[#This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56" t="str">
        <f>IFERROR(VLOOKUP(June[[#This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56" t="str">
        <f>IFERROR(VLOOKUP(June[[#This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56" t="str">
        <f>IFERROR(VLOOKUP(June[[#This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56" t="str">
        <f>IFERROR(VLOOKUP(June[[#This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56" t="str">
        <f>IFERROR(VLOOKUP(June[[#This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56" t="str">
        <f>IFERROR(VLOOKUP(June[[#This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56" t="str">
        <f>IFERROR(VLOOKUP(June[[#This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56" t="str">
        <f>IFERROR(VLOOKUP(June[[#This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56" t="str">
        <f>IFERROR(VLOOKUP(June[[#This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56" t="str">
        <f>IFERROR(VLOOKUP(June[[#This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56" t="str">
        <f>IFERROR(VLOOKUP(June[[#This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56" t="str">
        <f>IFERROR(VLOOKUP(June[[#This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56" t="str">
        <f>IFERROR(VLOOKUP(June[[#This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56" t="str">
        <f>IFERROR(VLOOKUP(June[[#This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56" t="str">
        <f>IFERROR(VLOOKUP(June[[#This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56" t="str">
        <f>IFERROR(VLOOKUP(June[[#This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56" t="str">
        <f>IFERROR(VLOOKUP(June[[#This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56" t="str">
        <f>IFERROR(VLOOKUP(June[[#This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56" t="str">
        <f>IFERROR(VLOOKUP(June[[#This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56" t="str">
        <f>IFERROR(VLOOKUP(June[[#This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56" t="str">
        <f>IFERROR(VLOOKUP(June[[#This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56" t="str">
        <f>IFERROR(VLOOKUP(June[[#This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56" t="str">
        <f>IFERROR(VLOOKUP(June[[#This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56" t="str">
        <f>IFERROR(VLOOKUP(June[[#This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56" t="str">
        <f>IFERROR(VLOOKUP(June[[#This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56" t="str">
        <f>IFERROR(VLOOKUP(June[[#This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56" t="str">
        <f>IFERROR(VLOOKUP(June[[#This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56" t="str">
        <f>IFERROR(VLOOKUP(June[[#This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56" t="str">
        <f>IFERROR(VLOOKUP(June[[#This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56" t="str">
        <f>IFERROR(VLOOKUP(June[[#This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56" t="str">
        <f>IFERROR(VLOOKUP(June[[#This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56" t="str">
        <f>IFERROR(VLOOKUP(June[[#This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56" t="str">
        <f>IFERROR(VLOOKUP(June[[#This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56" t="str">
        <f>IFERROR(VLOOKUP(June[[#This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56" t="str">
        <f>IFERROR(VLOOKUP(June[[#This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56" t="str">
        <f>IFERROR(VLOOKUP(June[[#This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56" t="str">
        <f>IFERROR(VLOOKUP(June[[#This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56" t="str">
        <f>IFERROR(VLOOKUP(June[[#This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56" t="str">
        <f>IFERROR(VLOOKUP(June[[#This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56" t="str">
        <f>IFERROR(VLOOKUP(June[[#This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56" t="str">
        <f>IFERROR(VLOOKUP(June[[#This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56" t="str">
        <f>IFERROR(VLOOKUP(June[[#This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56" t="str">
        <f>IFERROR(VLOOKUP(June[[#This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56" t="str">
        <f>IFERROR(VLOOKUP(June[[#This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56" t="str">
        <f>IFERROR(VLOOKUP(June[[#This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56" t="str">
        <f>IFERROR(VLOOKUP(June[[#This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56" t="str">
        <f>IFERROR(VLOOKUP(June[[#This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56" t="str">
        <f>IFERROR(VLOOKUP(June[[#This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56" t="str">
        <f>IFERROR(VLOOKUP(June[[#This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56" t="str">
        <f>IFERROR(VLOOKUP(June[[#This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56" t="str">
        <f>IFERROR(VLOOKUP(June[[#This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56" t="str">
        <f>IFERROR(VLOOKUP(June[[#This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56" t="str">
        <f>IFERROR(VLOOKUP(June[[#This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56" t="str">
        <f>IFERROR(VLOOKUP(June[[#This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56" t="str">
        <f>IFERROR(VLOOKUP(June[[#This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56" t="str">
        <f>IFERROR(VLOOKUP(June[[#This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56" t="str">
        <f>IFERROR(VLOOKUP(June[[#This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56" t="str">
        <f>IFERROR(VLOOKUP(June[[#This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56" t="str">
        <f>IFERROR(VLOOKUP(June[[#This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56" t="str">
        <f>IFERROR(VLOOKUP(June[[#This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56" t="str">
        <f>IFERROR(VLOOKUP(June[[#This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56" t="str">
        <f>IFERROR(VLOOKUP(June[[#This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56" t="str">
        <f>IFERROR(VLOOKUP(June[[#This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56" t="str">
        <f>IFERROR(VLOOKUP(June[[#This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56" t="str">
        <f>IFERROR(VLOOKUP(June[[#This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56" t="str">
        <f>IFERROR(VLOOKUP(June[[#This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56" t="str">
        <f>IFERROR(VLOOKUP(June[[#This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56" t="str">
        <f>IFERROR(VLOOKUP(June[[#This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56" t="str">
        <f>IFERROR(VLOOKUP(June[[#This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56" t="str">
        <f>IFERROR(VLOOKUP(June[[#This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56" t="str">
        <f>IFERROR(VLOOKUP(June[[#This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56" t="str">
        <f>IFERROR(VLOOKUP(June[[#This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56" t="str">
        <f>IFERROR(VLOOKUP(June[[#This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56" t="str">
        <f>IFERROR(VLOOKUP(June[[#This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56" t="str">
        <f>IFERROR(VLOOKUP(June[[#This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56" t="str">
        <f>IFERROR(VLOOKUP(June[[#This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56" t="str">
        <f>IFERROR(VLOOKUP(June[[#This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56" t="str">
        <f>IFERROR(VLOOKUP(June[[#This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56" t="str">
        <f>IFERROR(VLOOKUP(June[[#This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56" t="str">
        <f>IFERROR(VLOOKUP(June[[#This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56" t="str">
        <f>IFERROR(VLOOKUP(June[[#This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56" t="str">
        <f>IFERROR(VLOOKUP(June[[#This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56" t="str">
        <f>IFERROR(VLOOKUP(June[[#This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56" t="str">
        <f>IFERROR(VLOOKUP(June[[#This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56" t="str">
        <f>IFERROR(VLOOKUP(June[[#This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56" t="str">
        <f>IFERROR(VLOOKUP(June[[#This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56" t="str">
        <f>IFERROR(VLOOKUP(June[[#This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56" t="str">
        <f>IFERROR(VLOOKUP(June[[#This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56" t="str">
        <f>IFERROR(VLOOKUP(June[[#This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56" t="str">
        <f>IFERROR(VLOOKUP(June[[#This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56" t="str">
        <f>IFERROR(VLOOKUP(June[[#This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56" t="str">
        <f>IFERROR(VLOOKUP(June[[#This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56" t="str">
        <f>IFERROR(VLOOKUP(June[[#This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56" t="str">
        <f>IFERROR(VLOOKUP(June[[#This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56" t="str">
        <f>IFERROR(VLOOKUP(June[[#This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56" t="str">
        <f>IFERROR(VLOOKUP(June[[#This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56" t="str">
        <f>IFERROR(VLOOKUP(June[[#This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56" t="str">
        <f>IFERROR(VLOOKUP(June[[#This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56" t="str">
        <f>IFERROR(VLOOKUP(June[[#This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56" t="str">
        <f>IFERROR(VLOOKUP(June[[#This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56" t="str">
        <f>IFERROR(VLOOKUP(June[[#This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56" t="str">
        <f>IFERROR(VLOOKUP(June[[#This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56" t="str">
        <f>IFERROR(VLOOKUP(June[[#This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56" t="str">
        <f>IFERROR(VLOOKUP(June[[#This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56" t="str">
        <f>IFERROR(VLOOKUP(June[[#This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56" t="str">
        <f>IFERROR(VLOOKUP(June[[#This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56" t="str">
        <f>IFERROR(VLOOKUP(June[[#This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56" t="str">
        <f>IFERROR(VLOOKUP(June[[#This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56" t="str">
        <f>IFERROR(VLOOKUP(June[[#This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56" t="str">
        <f>IFERROR(VLOOKUP(June[[#This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56" t="str">
        <f>IFERROR(VLOOKUP(June[[#This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56" t="str">
        <f>IFERROR(VLOOKUP(June[[#This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56" t="str">
        <f>IFERROR(VLOOKUP(June[[#This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56" t="str">
        <f>IFERROR(VLOOKUP(June[[#This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56" t="str">
        <f>IFERROR(VLOOKUP(June[[#This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56" t="str">
        <f>IFERROR(VLOOKUP(June[[#This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56" t="str">
        <f>IFERROR(VLOOKUP(June[[#This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56" t="str">
        <f>IFERROR(VLOOKUP(June[[#This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56" t="str">
        <f>IFERROR(VLOOKUP(June[[#This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56" t="str">
        <f>IFERROR(VLOOKUP(June[[#This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56" t="str">
        <f>IFERROR(VLOOKUP(June[[#This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56" t="str">
        <f>IFERROR(VLOOKUP(June[[#This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56" t="str">
        <f>IFERROR(VLOOKUP(June[[#This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56" t="str">
        <f>IFERROR(VLOOKUP(June[[#This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56" t="str">
        <f>IFERROR(VLOOKUP(June[[#This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56" t="str">
        <f>IFERROR(VLOOKUP(June[[#This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56" t="str">
        <f>IFERROR(VLOOKUP(June[[#This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56" t="str">
        <f>IFERROR(VLOOKUP(June[[#This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56" t="str">
        <f>IFERROR(VLOOKUP(June[[#This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56" t="str">
        <f>IFERROR(VLOOKUP(June[[#This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56" t="str">
        <f>IFERROR(VLOOKUP(June[[#This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56" t="str">
        <f>IFERROR(VLOOKUP(June[[#This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56" t="str">
        <f>IFERROR(VLOOKUP(June[[#This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56" t="str">
        <f>IFERROR(VLOOKUP(June[[#This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56" t="str">
        <f>IFERROR(VLOOKUP(June[[#This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56" t="str">
        <f>IFERROR(VLOOKUP(June[[#This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56" t="str">
        <f>IFERROR(VLOOKUP(June[[#This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56" t="str">
        <f>IFERROR(VLOOKUP(June[[#This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56" t="str">
        <f>IFERROR(VLOOKUP(June[[#This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56" t="str">
        <f>IFERROR(VLOOKUP(June[[#This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56" t="str">
        <f>IFERROR(VLOOKUP(June[[#This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56" t="str">
        <f>IFERROR(VLOOKUP(June[[#This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56" t="str">
        <f>IFERROR(VLOOKUP(June[[#This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56" t="str">
        <f>IFERROR(VLOOKUP(June[[#This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56" t="str">
        <f>IFERROR(VLOOKUP(June[[#This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56" t="str">
        <f>IFERROR(VLOOKUP(June[[#This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56" t="str">
        <f>IFERROR(VLOOKUP(June[[#This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56" t="str">
        <f>IFERROR(VLOOKUP(June[[#This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56" t="str">
        <f>IFERROR(VLOOKUP(June[[#This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56" t="str">
        <f>IFERROR(VLOOKUP(June[[#This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56" t="str">
        <f>IFERROR(VLOOKUP(June[[#This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56" t="str">
        <f>IFERROR(VLOOKUP(June[[#This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56" t="str">
        <f>IFERROR(VLOOKUP(June[[#This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56" t="str">
        <f>IFERROR(VLOOKUP(June[[#This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56" t="str">
        <f>IFERROR(VLOOKUP(June[[#This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56" t="str">
        <f>IFERROR(VLOOKUP(June[[#This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56" t="str">
        <f>IFERROR(VLOOKUP(June[[#This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56" t="str">
        <f>IFERROR(VLOOKUP(June[[#This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56" t="str">
        <f>IFERROR(VLOOKUP(June[[#This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56" t="str">
        <f>IFERROR(VLOOKUP(June[[#This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56" t="str">
        <f>IFERROR(VLOOKUP(June[[#This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56" t="str">
        <f>IFERROR(VLOOKUP(June[[#This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56" t="str">
        <f>IFERROR(VLOOKUP(June[[#This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56" t="str">
        <f>IFERROR(VLOOKUP(June[[#This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56" t="str">
        <f>IFERROR(VLOOKUP(June[[#This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56" t="str">
        <f>IFERROR(VLOOKUP(June[[#This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56" t="str">
        <f>IFERROR(VLOOKUP(June[[#This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56" t="str">
        <f>IFERROR(VLOOKUP(June[[#This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56" t="str">
        <f>IFERROR(VLOOKUP(June[[#This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56" t="str">
        <f>IFERROR(VLOOKUP(June[[#This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56" t="str">
        <f>IFERROR(VLOOKUP(June[[#This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56" t="str">
        <f>IFERROR(VLOOKUP(June[[#This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56" t="str">
        <f>IFERROR(VLOOKUP(June[[#This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56" t="str">
        <f>IFERROR(VLOOKUP(June[[#This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56" t="str">
        <f>IFERROR(VLOOKUP(June[[#This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56" t="str">
        <f>IFERROR(VLOOKUP(June[[#This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56" t="str">
        <f>IFERROR(VLOOKUP(June[[#This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56" t="str">
        <f>IFERROR(VLOOKUP(June[[#This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56" t="str">
        <f>IFERROR(VLOOKUP(June[[#This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56" t="str">
        <f>IFERROR(VLOOKUP(June[[#This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56" t="str">
        <f>IFERROR(VLOOKUP(June[[#This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56" t="str">
        <f>IFERROR(VLOOKUP(June[[#This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56" t="str">
        <f>IFERROR(VLOOKUP(June[[#This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56" t="str">
        <f>IFERROR(VLOOKUP(June[[#This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56" t="str">
        <f>IFERROR(VLOOKUP(June[[#This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56" t="str">
        <f>IFERROR(VLOOKUP(June[[#This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56" t="str">
        <f>IFERROR(VLOOKUP(June[[#This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56" t="str">
        <f>IFERROR(VLOOKUP(June[[#This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56" t="str">
        <f>IFERROR(VLOOKUP(June[[#This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56" t="str">
        <f>IFERROR(VLOOKUP(June[[#This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56" t="str">
        <f>IFERROR(VLOOKUP(June[[#This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56" t="str">
        <f>IFERROR(VLOOKUP(June[[#This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56" t="str">
        <f>IFERROR(VLOOKUP(June[[#This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56" t="str">
        <f>IFERROR(VLOOKUP(June[[#This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56" t="str">
        <f>IFERROR(VLOOKUP(June[[#This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56" t="str">
        <f>IFERROR(VLOOKUP(June[[#This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56" t="str">
        <f>IFERROR(VLOOKUP(June[[#This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56" t="str">
        <f>IFERROR(VLOOKUP(June[[#This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56" t="str">
        <f>IFERROR(VLOOKUP(June[[#This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56" t="str">
        <f>IFERROR(VLOOKUP(June[[#This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56" t="str">
        <f>IFERROR(VLOOKUP(June[[#This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56" t="str">
        <f>IFERROR(VLOOKUP(June[[#This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56" t="str">
        <f>IFERROR(VLOOKUP(June[[#This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56" t="str">
        <f>IFERROR(VLOOKUP(June[[#This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56" t="str">
        <f>IFERROR(VLOOKUP(June[[#This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56" t="str">
        <f>IFERROR(VLOOKUP(June[[#This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56" t="str">
        <f>IFERROR(VLOOKUP(June[[#This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56" t="str">
        <f>IFERROR(VLOOKUP(June[[#This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56" t="str">
        <f>IFERROR(VLOOKUP(June[[#This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56" t="str">
        <f>IFERROR(VLOOKUP(June[[#This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56" t="str">
        <f>IFERROR(VLOOKUP(June[[#This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56" t="str">
        <f>IFERROR(VLOOKUP(June[[#This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56" t="str">
        <f>IFERROR(VLOOKUP(June[[#This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56" t="str">
        <f>IFERROR(VLOOKUP(June[[#This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56" t="str">
        <f>IFERROR(VLOOKUP(June[[#This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56" t="str">
        <f>IFERROR(VLOOKUP(June[[#This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56" t="str">
        <f>IFERROR(VLOOKUP(June[[#This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56" t="str">
        <f>IFERROR(VLOOKUP(June[[#This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56" t="str">
        <f>IFERROR(VLOOKUP(June[[#This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56" t="str">
        <f>IFERROR(VLOOKUP(June[[#This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56" t="str">
        <f>IFERROR(VLOOKUP(June[[#This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56" t="str">
        <f>IFERROR(VLOOKUP(June[[#This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56" t="str">
        <f>IFERROR(VLOOKUP(June[[#This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56" t="str">
        <f>IFERROR(VLOOKUP(June[[#This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56" t="str">
        <f>IFERROR(VLOOKUP(June[[#This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56" t="str">
        <f>IFERROR(VLOOKUP(June[[#This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56" t="str">
        <f>IFERROR(VLOOKUP(June[[#This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56" t="str">
        <f>IFERROR(VLOOKUP(June[[#This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56" t="str">
        <f>IFERROR(VLOOKUP(June[[#This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56" t="str">
        <f>IFERROR(VLOOKUP(June[[#This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56" t="str">
        <f>IFERROR(VLOOKUP(June[[#This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56" t="str">
        <f>IFERROR(VLOOKUP(June[[#This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56" t="str">
        <f>IFERROR(VLOOKUP(June[[#This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56" t="str">
        <f>IFERROR(VLOOKUP(June[[#This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56" t="str">
        <f>IFERROR(VLOOKUP(June[[#This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56" t="str">
        <f>IFERROR(VLOOKUP(June[[#This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56" t="str">
        <f>IFERROR(VLOOKUP(June[[#This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56" t="str">
        <f>IFERROR(VLOOKUP(June[[#This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56" t="str">
        <f>IFERROR(VLOOKUP(June[[#This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56" t="str">
        <f>IFERROR(VLOOKUP(June[[#This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56" t="str">
        <f>IFERROR(VLOOKUP(June[[#This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56" t="str">
        <f>IFERROR(VLOOKUP(June[[#This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56" t="str">
        <f>IFERROR(VLOOKUP(June[[#This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56" t="str">
        <f>IFERROR(VLOOKUP(June[[#This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56" t="str">
        <f>IFERROR(VLOOKUP(June[[#This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56" t="str">
        <f>IFERROR(VLOOKUP(June[[#This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56" t="str">
        <f>IFERROR(VLOOKUP(June[[#This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56" t="str">
        <f>IFERROR(VLOOKUP(June[[#This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56" t="str">
        <f>IFERROR(VLOOKUP(June[[#This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56" t="str">
        <f>IFERROR(VLOOKUP(June[[#This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56" t="str">
        <f>IFERROR(VLOOKUP(June[[#This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56" t="str">
        <f>IFERROR(VLOOKUP(June[[#This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56" t="str">
        <f>IFERROR(VLOOKUP(June[[#This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56" t="str">
        <f>IFERROR(VLOOKUP(June[[#This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56" t="str">
        <f>IFERROR(VLOOKUP(June[[#This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56" t="str">
        <f>IFERROR(VLOOKUP(June[[#This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56" t="str">
        <f>IFERROR(VLOOKUP(June[[#This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56" t="str">
        <f>IFERROR(VLOOKUP(June[[#This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56" t="str">
        <f>IFERROR(VLOOKUP(June[[#This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56" t="str">
        <f>IFERROR(VLOOKUP(June[[#This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56" t="str">
        <f>IFERROR(VLOOKUP(June[[#This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56" t="str">
        <f>IFERROR(VLOOKUP(June[[#This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56" t="str">
        <f>IFERROR(VLOOKUP(June[[#This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56" t="str">
        <f>IFERROR(VLOOKUP(June[[#This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56" t="str">
        <f>IFERROR(VLOOKUP(June[[#This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56" t="str">
        <f>IFERROR(VLOOKUP(June[[#This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56" t="str">
        <f>IFERROR(VLOOKUP(June[[#This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56" t="str">
        <f>IFERROR(VLOOKUP(June[[#This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56" t="str">
        <f>IFERROR(VLOOKUP(June[[#This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56" t="str">
        <f>IFERROR(VLOOKUP(June[[#This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56" t="str">
        <f>IFERROR(VLOOKUP(June[[#This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56" t="str">
        <f>IFERROR(VLOOKUP(June[[#This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56" t="str">
        <f>IFERROR(VLOOKUP(June[[#This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56" t="str">
        <f>IFERROR(VLOOKUP(June[[#This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56" t="str">
        <f>IFERROR(VLOOKUP(June[[#This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56" t="str">
        <f>IFERROR(VLOOKUP(June[[#This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56" t="str">
        <f>IFERROR(VLOOKUP(June[[#This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56" t="str">
        <f>IFERROR(VLOOKUP(June[[#This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56" t="str">
        <f>IFERROR(VLOOKUP(June[[#This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56" t="str">
        <f>IFERROR(VLOOKUP(June[[#This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56" t="str">
        <f>IFERROR(VLOOKUP(June[[#This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56" t="str">
        <f>IFERROR(VLOOKUP(June[[#This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56" t="str">
        <f>IFERROR(VLOOKUP(June[[#This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56" t="str">
        <f>IFERROR(VLOOKUP(June[[#This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56" t="str">
        <f>IFERROR(VLOOKUP(June[[#This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56" t="str">
        <f>IFERROR(VLOOKUP(June[[#This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56" t="str">
        <f>IFERROR(VLOOKUP(June[[#This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56" t="str">
        <f>IFERROR(VLOOKUP(June[[#This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56" t="str">
        <f>IFERROR(VLOOKUP(June[[#This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56" t="str">
        <f>IFERROR(VLOOKUP(June[[#This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56" t="str">
        <f>IFERROR(VLOOKUP(June[[#This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56" t="str">
        <f>IFERROR(VLOOKUP(June[[#This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56" t="str">
        <f>IFERROR(VLOOKUP(June[[#This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56" t="str">
        <f>IFERROR(VLOOKUP(June[[#This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56" t="str">
        <f>IFERROR(VLOOKUP(June[[#This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56" t="str">
        <f>IFERROR(VLOOKUP(June[[#This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56" t="str">
        <f>IFERROR(VLOOKUP(June[[#This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56" t="str">
        <f>IFERROR(VLOOKUP(June[[#This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56" t="str">
        <f>IFERROR(VLOOKUP(June[[#This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56" t="str">
        <f>IFERROR(VLOOKUP(June[[#This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56" t="str">
        <f>IFERROR(VLOOKUP(June[[#This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56" t="str">
        <f>IFERROR(VLOOKUP(June[[#This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56" t="str">
        <f>IFERROR(VLOOKUP(June[[#This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56" t="str">
        <f>IFERROR(VLOOKUP(June[[#This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56" t="str">
        <f>IFERROR(VLOOKUP(June[[#This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56" t="str">
        <f>IFERROR(VLOOKUP(June[[#This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56" t="str">
        <f>IFERROR(VLOOKUP(June[[#This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56" t="str">
        <f>IFERROR(VLOOKUP(June[[#This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56" t="str">
        <f>IFERROR(VLOOKUP(June[[#This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56" t="str">
        <f>IFERROR(VLOOKUP(June[[#This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56" t="str">
        <f>IFERROR(VLOOKUP(June[[#This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56" t="str">
        <f>IFERROR(VLOOKUP(June[[#This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56" t="str">
        <f>IFERROR(VLOOKUP(June[[#This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56" t="str">
        <f>IFERROR(VLOOKUP(June[[#This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56" t="str">
        <f>IFERROR(VLOOKUP(June[[#This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56" t="str">
        <f>IFERROR(VLOOKUP(June[[#This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56" t="str">
        <f>IFERROR(VLOOKUP(June[[#This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56" t="str">
        <f>IFERROR(VLOOKUP(June[[#This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56" t="str">
        <f>IFERROR(VLOOKUP(June[[#This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56" t="str">
        <f>IFERROR(VLOOKUP(June[[#This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56" t="str">
        <f>IFERROR(VLOOKUP(June[[#This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56" t="str">
        <f>IFERROR(VLOOKUP(June[[#This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56" t="str">
        <f>IFERROR(VLOOKUP(June[[#This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56" t="str">
        <f>IFERROR(VLOOKUP(June[[#This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56" t="str">
        <f>IFERROR(VLOOKUP(June[[#This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56" t="str">
        <f>IFERROR(VLOOKUP(June[[#This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56" t="str">
        <f>IFERROR(VLOOKUP(June[[#This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56" t="str">
        <f>IFERROR(VLOOKUP(June[[#This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56" t="str">
        <f>IFERROR(VLOOKUP(June[[#This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56" t="str">
        <f>IFERROR(VLOOKUP(June[[#This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56" t="str">
        <f>IFERROR(VLOOKUP(June[[#This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56" t="str">
        <f>IFERROR(VLOOKUP(June[[#This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56" t="str">
        <f>IFERROR(VLOOKUP(June[[#This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56" t="str">
        <f>IFERROR(VLOOKUP(June[[#This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56" t="str">
        <f>IFERROR(VLOOKUP(June[[#This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56" t="str">
        <f>IFERROR(VLOOKUP(June[[#This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56" t="str">
        <f>IFERROR(VLOOKUP(June[[#This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56" t="str">
        <f>IFERROR(VLOOKUP(June[[#This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56" t="str">
        <f>IFERROR(VLOOKUP(June[[#This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56" t="str">
        <f>IFERROR(VLOOKUP(June[[#This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56" t="str">
        <f>IFERROR(VLOOKUP(June[[#This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56" t="str">
        <f>IFERROR(VLOOKUP(June[[#This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56" t="str">
        <f>IFERROR(VLOOKUP(June[[#This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56" t="str">
        <f>IFERROR(VLOOKUP(June[[#This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56" t="str">
        <f>IFERROR(VLOOKUP(June[[#This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56" t="str">
        <f>IFERROR(VLOOKUP(June[[#This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56" t="str">
        <f>IFERROR(VLOOKUP(June[[#This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56" t="str">
        <f>IFERROR(VLOOKUP(June[[#This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56" t="str">
        <f>IFERROR(VLOOKUP(June[[#This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56" t="str">
        <f>IFERROR(VLOOKUP(June[[#This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56" t="str">
        <f>IFERROR(VLOOKUP(June[[#This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56" t="str">
        <f>IFERROR(VLOOKUP(June[[#This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56" t="str">
        <f>IFERROR(VLOOKUP(June[[#This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56" t="str">
        <f>IFERROR(VLOOKUP(June[[#This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56" t="str">
        <f>IFERROR(VLOOKUP(June[[#This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56" t="str">
        <f>IFERROR(VLOOKUP(June[[#This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56" t="str">
        <f>IFERROR(VLOOKUP(June[[#This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56" t="str">
        <f>IFERROR(VLOOKUP(June[[#This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56" t="str">
        <f>IFERROR(VLOOKUP(June[[#This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56" t="str">
        <f>IFERROR(VLOOKUP(June[[#This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56" t="str">
        <f>IFERROR(VLOOKUP(June[[#This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56" t="str">
        <f>IFERROR(VLOOKUP(June[[#This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56" t="str">
        <f>IFERROR(VLOOKUP(June[[#This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56" t="str">
        <f>IFERROR(VLOOKUP(June[[#This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56" t="str">
        <f>IFERROR(VLOOKUP(June[[#This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56" t="str">
        <f>IFERROR(VLOOKUP(June[[#This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56" t="str">
        <f>IFERROR(VLOOKUP(June[[#This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56" t="str">
        <f>IFERROR(VLOOKUP(June[[#This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56" t="str">
        <f>IFERROR(VLOOKUP(June[[#This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56" t="str">
        <f>IFERROR(VLOOKUP(June[[#This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56" t="str">
        <f>IFERROR(VLOOKUP(June[[#This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56" t="str">
        <f>IFERROR(VLOOKUP(June[[#This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56" t="str">
        <f>IFERROR(VLOOKUP(June[[#This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56" t="str">
        <f>IFERROR(VLOOKUP(June[[#This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56" t="str">
        <f>IFERROR(VLOOKUP(June[[#This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56" t="str">
        <f>IFERROR(VLOOKUP(June[[#This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56" t="str">
        <f>IFERROR(VLOOKUP(June[[#This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56" t="str">
        <f>IFERROR(VLOOKUP(June[[#This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56" t="str">
        <f>IFERROR(VLOOKUP(June[[#This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56" t="str">
        <f>IFERROR(VLOOKUP(June[[#This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56" t="str">
        <f>IFERROR(VLOOKUP(June[[#This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56" t="str">
        <f>IFERROR(VLOOKUP(June[[#This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56" t="str">
        <f>IFERROR(VLOOKUP(June[[#This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56" t="str">
        <f>IFERROR(VLOOKUP(June[[#This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56" t="str">
        <f>IFERROR(VLOOKUP(June[[#This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56" t="str">
        <f>IFERROR(VLOOKUP(June[[#This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56" t="str">
        <f>IFERROR(VLOOKUP(June[[#This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56" t="str">
        <f>IFERROR(VLOOKUP(June[[#This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56" t="str">
        <f>IFERROR(VLOOKUP(June[[#This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56" t="str">
        <f>IFERROR(VLOOKUP(June[[#This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56" t="str">
        <f>IFERROR(VLOOKUP(June[[#This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56" t="str">
        <f>IFERROR(VLOOKUP(June[[#This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56" t="str">
        <f>IFERROR(VLOOKUP(June[[#This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56" t="str">
        <f>IFERROR(VLOOKUP(June[[#This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56" t="str">
        <f>IFERROR(VLOOKUP(June[[#This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56" t="str">
        <f>IFERROR(VLOOKUP(June[[#This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56" t="str">
        <f>IFERROR(VLOOKUP(June[[#This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56" t="str">
        <f>IFERROR(VLOOKUP(June[[#This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56" t="str">
        <f>IFERROR(VLOOKUP(June[[#This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56" t="str">
        <f>IFERROR(VLOOKUP(June[[#This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56" t="str">
        <f>IFERROR(VLOOKUP(June[[#This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56" t="str">
        <f>IFERROR(VLOOKUP(June[[#This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56" t="str">
        <f>IFERROR(VLOOKUP(June[[#This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56" t="str">
        <f>IFERROR(VLOOKUP(June[[#This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56" t="str">
        <f>IFERROR(VLOOKUP(June[[#This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56" t="str">
        <f>IFERROR(VLOOKUP(June[[#This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56" t="str">
        <f>IFERROR(VLOOKUP(June[[#This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56" t="str">
        <f>IFERROR(VLOOKUP(June[[#This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56" t="str">
        <f>IFERROR(VLOOKUP(June[[#This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56" t="str">
        <f>IFERROR(VLOOKUP(June[[#This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56" t="str">
        <f>IFERROR(VLOOKUP(June[[#This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56" t="str">
        <f>IFERROR(VLOOKUP(June[[#This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56" t="str">
        <f>IFERROR(VLOOKUP(June[[#This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56" t="str">
        <f>IFERROR(VLOOKUP(June[[#This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56" t="str">
        <f>IFERROR(VLOOKUP(June[[#This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56" t="str">
        <f>IFERROR(VLOOKUP(June[[#This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56" t="str">
        <f>IFERROR(VLOOKUP(June[[#This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56" t="str">
        <f>IFERROR(VLOOKUP(June[[#This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56" t="str">
        <f>IFERROR(VLOOKUP(June[[#This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56" t="str">
        <f>IFERROR(VLOOKUP(June[[#This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56" t="str">
        <f>IFERROR(VLOOKUP(June[[#This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56" t="str">
        <f>IFERROR(VLOOKUP(June[[#This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56" t="str">
        <f>IFERROR(VLOOKUP(June[[#This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56" t="str">
        <f>IFERROR(VLOOKUP(June[[#This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56" t="str">
        <f>IFERROR(VLOOKUP(June[[#This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56" t="str">
        <f>IFERROR(VLOOKUP(June[[#This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56" t="str">
        <f>IFERROR(VLOOKUP(June[[#This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56" t="str">
        <f>IFERROR(VLOOKUP(June[[#This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56" t="str">
        <f>IFERROR(VLOOKUP(June[[#This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56" t="str">
        <f>IFERROR(VLOOKUP(June[[#This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56" t="str">
        <f>IFERROR(VLOOKUP(June[[#This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56" t="str">
        <f>IFERROR(VLOOKUP(June[[#This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56" t="str">
        <f>IFERROR(VLOOKUP(June[[#This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56" t="str">
        <f>IFERROR(VLOOKUP(June[[#This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56" t="str">
        <f>IFERROR(VLOOKUP(June[[#This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56" t="str">
        <f>IFERROR(VLOOKUP(June[[#This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56" t="str">
        <f>IFERROR(VLOOKUP(June[[#This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56" t="str">
        <f>IFERROR(VLOOKUP(June[[#This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56" t="str">
        <f>IFERROR(VLOOKUP(June[[#This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56" t="str">
        <f>IFERROR(VLOOKUP(June[[#This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56" t="str">
        <f>IFERROR(VLOOKUP(June[[#This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56" t="str">
        <f>IFERROR(VLOOKUP(June[[#This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56" t="str">
        <f>IFERROR(VLOOKUP(June[[#This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56" t="str">
        <f>IFERROR(VLOOKUP(June[[#This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56" t="str">
        <f>IFERROR(VLOOKUP(June[[#This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56" t="str">
        <f>IFERROR(VLOOKUP(June[[#This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56" t="str">
        <f>IFERROR(VLOOKUP(June[[#This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56" t="str">
        <f>IFERROR(VLOOKUP(June[[#This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56" t="str">
        <f>IFERROR(VLOOKUP(June[[#This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56" t="str">
        <f>IFERROR(VLOOKUP(June[[#This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56" t="str">
        <f>IFERROR(VLOOKUP(June[[#This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56" t="str">
        <f>IFERROR(VLOOKUP(June[[#This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56" t="str">
        <f>IFERROR(VLOOKUP(June[[#This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56" t="str">
        <f>IFERROR(VLOOKUP(June[[#This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56" t="str">
        <f>IFERROR(VLOOKUP(June[[#This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56" t="str">
        <f>IFERROR(VLOOKUP(June[[#This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56" t="str">
        <f>IFERROR(VLOOKUP(June[[#This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56" t="str">
        <f>IFERROR(VLOOKUP(June[[#This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56" t="str">
        <f>IFERROR(VLOOKUP(June[[#This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56" t="str">
        <f>IFERROR(VLOOKUP(June[[#This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56" t="str">
        <f>IFERROR(VLOOKUP(June[[#This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56" t="str">
        <f>IFERROR(VLOOKUP(June[[#This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56" t="str">
        <f>IFERROR(VLOOKUP(June[[#This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56" t="str">
        <f>IFERROR(VLOOKUP(June[[#This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56" t="str">
        <f>IFERROR(VLOOKUP(June[[#This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56" t="str">
        <f>IFERROR(VLOOKUP(June[[#This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56" t="str">
        <f>IFERROR(VLOOKUP(June[[#This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56" t="str">
        <f>IFERROR(VLOOKUP(June[[#This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56" t="str">
        <f>IFERROR(VLOOKUP(June[[#This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56" t="str">
        <f>IFERROR(VLOOKUP(June[[#This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56" t="str">
        <f>IFERROR(VLOOKUP(June[[#This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56" t="str">
        <f>IFERROR(VLOOKUP(June[[#This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56" t="str">
        <f>IFERROR(VLOOKUP(June[[#This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56" t="str">
        <f>IFERROR(VLOOKUP(June[[#This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56" t="str">
        <f>IFERROR(VLOOKUP(June[[#This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56" t="str">
        <f>IFERROR(VLOOKUP(June[[#This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56" t="str">
        <f>IFERROR(VLOOKUP(June[[#This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56" t="str">
        <f>IFERROR(VLOOKUP(June[[#This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56" t="str">
        <f>IFERROR(VLOOKUP(June[[#This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56" t="str">
        <f>IFERROR(VLOOKUP(June[[#This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56" t="str">
        <f>IFERROR(VLOOKUP(June[[#This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56" t="str">
        <f>IFERROR(VLOOKUP(June[[#This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56" t="str">
        <f>IFERROR(VLOOKUP(June[[#This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56" t="str">
        <f>IFERROR(VLOOKUP(June[[#This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56" t="str">
        <f>IFERROR(VLOOKUP(June[[#This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56" t="str">
        <f>IFERROR(VLOOKUP(June[[#This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56" t="str">
        <f>IFERROR(VLOOKUP(June[[#This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56" t="str">
        <f>IFERROR(VLOOKUP(June[[#This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56" t="str">
        <f>IFERROR(VLOOKUP(June[[#This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56" t="str">
        <f>IFERROR(VLOOKUP(June[[#This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56" t="str">
        <f>IFERROR(VLOOKUP(June[[#This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56" t="str">
        <f>IFERROR(VLOOKUP(June[[#This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56" t="str">
        <f>IFERROR(VLOOKUP(June[[#This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56" t="str">
        <f>IFERROR(VLOOKUP(June[[#This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56" t="str">
        <f>IFERROR(VLOOKUP(June[[#This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56" t="str">
        <f>IFERROR(VLOOKUP(June[[#This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56" t="str">
        <f>IFERROR(VLOOKUP(June[[#This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56" t="str">
        <f>IFERROR(VLOOKUP(June[[#This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56" t="str">
        <f>IFERROR(VLOOKUP(June[[#This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56" t="str">
        <f>IFERROR(VLOOKUP(June[[#This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56" t="str">
        <f>IFERROR(VLOOKUP(June[[#This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56" t="str">
        <f>IFERROR(VLOOKUP(June[[#This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56" t="str">
        <f>IFERROR(VLOOKUP(June[[#This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56" t="str">
        <f>IFERROR(VLOOKUP(June[[#This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56" t="str">
        <f>IFERROR(VLOOKUP(June[[#This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56" t="str">
        <f>IFERROR(VLOOKUP(June[[#This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56" t="str">
        <f>IFERROR(VLOOKUP(June[[#This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56" t="str">
        <f>IFERROR(VLOOKUP(June[[#This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56" t="str">
        <f>IFERROR(VLOOKUP(June[[#This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56" t="str">
        <f>IFERROR(VLOOKUP(June[[#This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56" t="str">
        <f>IFERROR(VLOOKUP(June[[#This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56" t="str">
        <f>IFERROR(VLOOKUP(June[[#This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56" t="str">
        <f>IFERROR(VLOOKUP(June[[#This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56" t="str">
        <f>IFERROR(VLOOKUP(June[[#This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56" t="str">
        <f>IFERROR(VLOOKUP(June[[#This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56" t="str">
        <f>IFERROR(VLOOKUP(June[[#This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56" t="str">
        <f>IFERROR(VLOOKUP(June[[#This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56" t="str">
        <f>IFERROR(VLOOKUP(June[[#This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56" t="str">
        <f>IFERROR(VLOOKUP(June[[#This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56" t="str">
        <f>IFERROR(VLOOKUP(June[[#This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56" t="str">
        <f>IFERROR(VLOOKUP(June[[#This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56" t="str">
        <f>IFERROR(VLOOKUP(June[[#This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56" t="str">
        <f>IFERROR(VLOOKUP(June[[#This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56" t="str">
        <f>IFERROR(VLOOKUP(June[[#This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56" t="str">
        <f>IFERROR(VLOOKUP(June[[#This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56" t="str">
        <f>IFERROR(VLOOKUP(June[[#This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56" t="str">
        <f>IFERROR(VLOOKUP(June[[#This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56" t="str">
        <f>IFERROR(VLOOKUP(June[[#This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56" t="str">
        <f>IFERROR(VLOOKUP(June[[#This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56" t="str">
        <f>IFERROR(VLOOKUP(June[[#This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56" t="str">
        <f>IFERROR(VLOOKUP(June[[#This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56" t="str">
        <f>IFERROR(VLOOKUP(June[[#This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56" t="str">
        <f>IFERROR(VLOOKUP(June[[#This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56" t="str">
        <f>IFERROR(VLOOKUP(June[[#This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56" t="str">
        <f>IFERROR(VLOOKUP(June[[#This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56" t="str">
        <f>IFERROR(VLOOKUP(June[[#This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56" t="str">
        <f>IFERROR(VLOOKUP(June[[#This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56" t="str">
        <f>IFERROR(VLOOKUP(June[[#This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56" t="str">
        <f>IFERROR(VLOOKUP(June[[#This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56" t="str">
        <f>IFERROR(VLOOKUP(June[[#This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56" t="str">
        <f>IFERROR(VLOOKUP(June[[#This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56" t="str">
        <f>IFERROR(VLOOKUP(June[[#This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56" t="str">
        <f>IFERROR(VLOOKUP(June[[#This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56" t="str">
        <f>IFERROR(VLOOKUP(June[[#This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56" t="str">
        <f>IFERROR(VLOOKUP(June[[#This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56" t="str">
        <f>IFERROR(VLOOKUP(June[[#This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56" t="str">
        <f>IFERROR(VLOOKUP(June[[#This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56" t="str">
        <f>IFERROR(VLOOKUP(June[[#This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56" t="str">
        <f>IFERROR(VLOOKUP(June[[#This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56" t="str">
        <f>IFERROR(VLOOKUP(June[[#This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56" t="str">
        <f>IFERROR(VLOOKUP(June[[#This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56" t="str">
        <f>IFERROR(VLOOKUP(June[[#This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56" t="str">
        <f>IFERROR(VLOOKUP(June[[#This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56" t="str">
        <f>IFERROR(VLOOKUP(June[[#This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56" t="str">
        <f>IFERROR(VLOOKUP(June[[#This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56" t="str">
        <f>IFERROR(VLOOKUP(June[[#This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56" t="str">
        <f>IFERROR(VLOOKUP(June[[#This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56" t="str">
        <f>IFERROR(VLOOKUP(June[[#This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56" t="str">
        <f>IFERROR(VLOOKUP(June[[#This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56" t="str">
        <f>IFERROR(VLOOKUP(June[[#This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56" t="str">
        <f>IFERROR(VLOOKUP(June[[#This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56" t="str">
        <f>IFERROR(VLOOKUP(June[[#This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56" t="str">
        <f>IFERROR(VLOOKUP(June[[#This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56" t="str">
        <f>IFERROR(VLOOKUP(June[[#This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56" t="str">
        <f>IFERROR(VLOOKUP(June[[#This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56" t="str">
        <f>IFERROR(VLOOKUP(June[[#This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56" t="str">
        <f>IFERROR(VLOOKUP(June[[#This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56" t="str">
        <f>IFERROR(VLOOKUP(June[[#This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56" t="str">
        <f>IFERROR(VLOOKUP(June[[#This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56" t="str">
        <f>IFERROR(VLOOKUP(June[[#This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56" t="str">
        <f>IFERROR(VLOOKUP(June[[#This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56" t="str">
        <f>IFERROR(VLOOKUP(June[[#This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56" t="str">
        <f>IFERROR(VLOOKUP(June[[#This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56" t="str">
        <f>IFERROR(VLOOKUP(June[[#This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56" t="str">
        <f>IFERROR(VLOOKUP(June[[#This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56" t="str">
        <f>IFERROR(VLOOKUP(June[[#This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56" t="str">
        <f>IFERROR(VLOOKUP(June[[#This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56" t="str">
        <f>IFERROR(VLOOKUP(June[[#This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56" t="str">
        <f>IFERROR(VLOOKUP(June[[#This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56" t="str">
        <f>IFERROR(VLOOKUP(June[[#This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56" t="str">
        <f>IFERROR(VLOOKUP(June[[#This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56" t="str">
        <f>IFERROR(VLOOKUP(June[[#This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56" t="str">
        <f>IFERROR(VLOOKUP(June[[#This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56" t="str">
        <f>IFERROR(VLOOKUP(June[[#This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56" t="str">
        <f>IFERROR(VLOOKUP(June[[#This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56" t="str">
        <f>IFERROR(VLOOKUP(June[[#This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56" t="str">
        <f>IFERROR(VLOOKUP(June[[#This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56" t="str">
        <f>IFERROR(VLOOKUP(June[[#This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56" t="str">
        <f>IFERROR(VLOOKUP(June[[#This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56" t="str">
        <f>IFERROR(VLOOKUP(June[[#This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56" t="str">
        <f>IFERROR(VLOOKUP(June[[#This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56" t="str">
        <f>IFERROR(VLOOKUP(June[[#This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56" t="str">
        <f>IFERROR(VLOOKUP(June[[#This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56" t="str">
        <f>IFERROR(VLOOKUP(June[[#This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56" t="str">
        <f>IFERROR(VLOOKUP(June[[#This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56" t="str">
        <f>IFERROR(VLOOKUP(June[[#This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56" t="str">
        <f>IFERROR(VLOOKUP(June[[#This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56" t="str">
        <f>IFERROR(VLOOKUP(June[[#This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56" t="str">
        <f>IFERROR(VLOOKUP(June[[#This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56" t="str">
        <f>IFERROR(VLOOKUP(June[[#This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56" t="str">
        <f>IFERROR(VLOOKUP(June[[#This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56" t="str">
        <f>IFERROR(VLOOKUP(June[[#This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56" t="str">
        <f>IFERROR(VLOOKUP(June[[#This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56" t="str">
        <f>IFERROR(VLOOKUP(June[[#This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56" t="str">
        <f>IFERROR(VLOOKUP(June[[#This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56" t="str">
        <f>IFERROR(VLOOKUP(June[[#This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56" t="str">
        <f>IFERROR(VLOOKUP(June[[#This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56" t="str">
        <f>IFERROR(VLOOKUP(June[[#This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56" t="str">
        <f>IFERROR(VLOOKUP(June[[#This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56" t="str">
        <f>IFERROR(VLOOKUP(June[[#This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56" t="str">
        <f>IFERROR(VLOOKUP(June[[#This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56" t="str">
        <f>IFERROR(VLOOKUP(June[[#This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56" t="str">
        <f>IFERROR(VLOOKUP(June[[#This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56" t="str">
        <f>IFERROR(VLOOKUP(June[[#This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56" t="str">
        <f>IFERROR(VLOOKUP(June[[#This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56" t="str">
        <f>IFERROR(VLOOKUP(June[[#This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56" t="str">
        <f>IFERROR(VLOOKUP(June[[#This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56" t="str">
        <f>IFERROR(VLOOKUP(June[[#This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56" t="str">
        <f>IFERROR(VLOOKUP(June[[#This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56" t="str">
        <f>IFERROR(VLOOKUP(June[[#This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56" t="str">
        <f>IFERROR(VLOOKUP(June[[#This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56" t="str">
        <f>IFERROR(VLOOKUP(June[[#This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56" t="str">
        <f>IFERROR(VLOOKUP(June[[#This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56" t="str">
        <f>IFERROR(VLOOKUP(June[[#This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56" t="str">
        <f>IFERROR(VLOOKUP(June[[#This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56" t="str">
        <f>IFERROR(VLOOKUP(June[[#This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56" t="str">
        <f>IFERROR(VLOOKUP(June[[#This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56" t="str">
        <f>IFERROR(VLOOKUP(June[[#This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56" t="str">
        <f>IFERROR(VLOOKUP(June[[#This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56" t="str">
        <f>IFERROR(VLOOKUP(June[[#This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56" t="str">
        <f>IFERROR(VLOOKUP(June[[#This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56" t="str">
        <f>IFERROR(VLOOKUP(June[[#This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56" t="str">
        <f>IFERROR(VLOOKUP(June[[#This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56" t="str">
        <f>IFERROR(VLOOKUP(June[[#This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56" t="str">
        <f>IFERROR(VLOOKUP(June[[#This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56" t="str">
        <f>IFERROR(VLOOKUP(June[[#This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56" t="str">
        <f>IFERROR(VLOOKUP(June[[#This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56" t="str">
        <f>IFERROR(VLOOKUP(June[[#This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56" t="str">
        <f>IFERROR(VLOOKUP(June[[#This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56" t="str">
        <f>IFERROR(VLOOKUP(June[[#This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56" t="str">
        <f>IFERROR(VLOOKUP(June[[#This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56" t="str">
        <f>IFERROR(VLOOKUP(June[[#This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56" t="str">
        <f>IFERROR(VLOOKUP(June[[#This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56" t="str">
        <f>IFERROR(VLOOKUP(June[[#This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56" t="str">
        <f>IFERROR(VLOOKUP(June[[#This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56" t="str">
        <f>IFERROR(VLOOKUP(June[[#This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56" t="str">
        <f>IFERROR(VLOOKUP(June[[#This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56" t="str">
        <f>IFERROR(VLOOKUP(June[[#This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56" t="str">
        <f>IFERROR(VLOOKUP(June[[#This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56" t="str">
        <f>IFERROR(VLOOKUP(June[[#This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56" t="str">
        <f>IFERROR(VLOOKUP(June[[#This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56" t="str">
        <f>IFERROR(VLOOKUP(June[[#This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56" t="str">
        <f>IFERROR(VLOOKUP(June[[#This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56" t="str">
        <f>IFERROR(VLOOKUP(June[[#This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56" t="str">
        <f>IFERROR(VLOOKUP(June[[#This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56" t="str">
        <f>IFERROR(VLOOKUP(June[[#This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56" t="str">
        <f>IFERROR(VLOOKUP(June[[#This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56" t="str">
        <f>IFERROR(VLOOKUP(June[[#This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56" t="str">
        <f>IFERROR(VLOOKUP(June[[#This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56" t="str">
        <f>IFERROR(VLOOKUP(June[[#This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56" t="str">
        <f>IFERROR(VLOOKUP(June[[#This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56" t="str">
        <f>IFERROR(VLOOKUP(June[[#This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56" t="str">
        <f>IFERROR(VLOOKUP(June[[#This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56" t="str">
        <f>IFERROR(VLOOKUP(June[[#This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56" t="str">
        <f>IFERROR(VLOOKUP(June[[#This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56" t="str">
        <f>IFERROR(VLOOKUP(June[[#This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56" t="str">
        <f>IFERROR(VLOOKUP(June[[#This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56" t="str">
        <f>IFERROR(VLOOKUP(June[[#This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56" t="str">
        <f>IFERROR(VLOOKUP(June[[#This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56" t="str">
        <f>IFERROR(VLOOKUP(June[[#This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56" t="str">
        <f>IFERROR(VLOOKUP(June[[#This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56" t="str">
        <f>IFERROR(VLOOKUP(June[[#This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56" t="str">
        <f>IFERROR(VLOOKUP(June[[#This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56" t="str">
        <f>IFERROR(VLOOKUP(June[[#This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56" t="str">
        <f>IFERROR(VLOOKUP(June[[#This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56" t="str">
        <f>IFERROR(VLOOKUP(June[[#This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56" t="str">
        <f>IFERROR(VLOOKUP(June[[#This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56" t="str">
        <f>IFERROR(VLOOKUP(June[[#This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56" t="str">
        <f>IFERROR(VLOOKUP(June[[#This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56" t="str">
        <f>IFERROR(VLOOKUP(June[[#This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56" t="str">
        <f>IFERROR(VLOOKUP(June[[#This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56" t="str">
        <f>IFERROR(VLOOKUP(June[[#This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56" t="str">
        <f>IFERROR(VLOOKUP(June[[#This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56" t="str">
        <f>IFERROR(VLOOKUP(June[[#This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56" t="str">
        <f>IFERROR(VLOOKUP(June[[#This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56" t="str">
        <f>IFERROR(VLOOKUP(June[[#This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56" t="str">
        <f>IFERROR(VLOOKUP(June[[#This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56" t="str">
        <f>IFERROR(VLOOKUP(June[[#This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56" t="str">
        <f>IFERROR(VLOOKUP(June[[#This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56" t="str">
        <f>IFERROR(VLOOKUP(June[[#This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56" t="str">
        <f>IFERROR(VLOOKUP(June[[#This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56" t="str">
        <f>IFERROR(VLOOKUP(June[[#This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56" t="str">
        <f>IFERROR(VLOOKUP(June[[#This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56" t="str">
        <f>IFERROR(VLOOKUP(June[[#This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56" t="str">
        <f>IFERROR(VLOOKUP(June[[#This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56" t="str">
        <f>IFERROR(VLOOKUP(June[[#This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56" t="str">
        <f>IFERROR(VLOOKUP(June[[#This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56" t="str">
        <f>IFERROR(VLOOKUP(June[[#This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56" t="str">
        <f>IFERROR(VLOOKUP(June[[#This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56" t="str">
        <f>IFERROR(VLOOKUP(June[[#This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56" t="str">
        <f>IFERROR(VLOOKUP(June[[#This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56" t="str">
        <f>IFERROR(VLOOKUP(June[[#This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56" t="str">
        <f>IFERROR(VLOOKUP(June[[#This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56" t="str">
        <f>IFERROR(VLOOKUP(June[[#This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56" t="str">
        <f>IFERROR(VLOOKUP(June[[#This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56" t="str">
        <f>IFERROR(VLOOKUP(June[[#This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56" t="str">
        <f>IFERROR(VLOOKUP(June[[#This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56" t="str">
        <f>IFERROR(VLOOKUP(June[[#This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56" t="str">
        <f>IFERROR(VLOOKUP(June[[#This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56" t="str">
        <f>IFERROR(VLOOKUP(June[[#This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56" t="str">
        <f>IFERROR(VLOOKUP(June[[#This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56" t="str">
        <f>IFERROR(VLOOKUP(June[[#This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56" t="str">
        <f>IFERROR(VLOOKUP(June[[#This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56" t="str">
        <f>IFERROR(VLOOKUP(June[[#This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56" t="str">
        <f>IFERROR(VLOOKUP(June[[#This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56" t="str">
        <f>IFERROR(VLOOKUP(June[[#This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56" t="str">
        <f>IFERROR(VLOOKUP(June[[#This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56" t="str">
        <f>IFERROR(VLOOKUP(June[[#This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56" t="str">
        <f>IFERROR(VLOOKUP(June[[#This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56" t="str">
        <f>IFERROR(VLOOKUP(June[[#This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56" t="str">
        <f>IFERROR(VLOOKUP(June[[#This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56" t="str">
        <f>IFERROR(VLOOKUP(June[[#This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56" t="str">
        <f>IFERROR(VLOOKUP(June[[#This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56" t="str">
        <f>IFERROR(VLOOKUP(June[[#This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56" t="str">
        <f>IFERROR(VLOOKUP(June[[#This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56" t="str">
        <f>IFERROR(VLOOKUP(June[[#This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56" t="str">
        <f>IFERROR(VLOOKUP(June[[#This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56" t="str">
        <f>IFERROR(VLOOKUP(June[[#This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56" t="str">
        <f>IFERROR(VLOOKUP(June[[#This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56" t="str">
        <f>IFERROR(VLOOKUP(June[[#This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56" t="str">
        <f>IFERROR(VLOOKUP(June[[#This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56" t="str">
        <f>IFERROR(VLOOKUP(June[[#This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56" t="str">
        <f>IFERROR(VLOOKUP(June[[#This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56" t="str">
        <f>IFERROR(VLOOKUP(June[[#This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56" t="str">
        <f>IFERROR(VLOOKUP(June[[#This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56" t="str">
        <f>IFERROR(VLOOKUP(June[[#This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56" t="str">
        <f>IFERROR(VLOOKUP(June[[#This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56" t="str">
        <f>IFERROR(VLOOKUP(June[[#This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56" t="str">
        <f>IFERROR(VLOOKUP(June[[#This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56" t="str">
        <f>IFERROR(VLOOKUP(June[[#This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56" t="str">
        <f>IFERROR(VLOOKUP(June[[#This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56" t="str">
        <f>IFERROR(VLOOKUP(June[[#This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56" t="str">
        <f>IFERROR(VLOOKUP(June[[#This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56" t="str">
        <f>IFERROR(VLOOKUP(June[[#This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56" t="str">
        <f>IFERROR(VLOOKUP(June[[#This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56" t="str">
        <f>IFERROR(VLOOKUP(June[[#This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56" t="str">
        <f>IFERROR(VLOOKUP(June[[#This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56" t="str">
        <f>IFERROR(VLOOKUP(June[[#This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56" t="str">
        <f>IFERROR(VLOOKUP(June[[#This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56" t="str">
        <f>IFERROR(VLOOKUP(June[[#This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56" t="str">
        <f>IFERROR(VLOOKUP(June[[#This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56" t="str">
        <f>IFERROR(VLOOKUP(June[[#This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56" t="str">
        <f>IFERROR(VLOOKUP(June[[#This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56" t="str">
        <f>IFERROR(VLOOKUP(June[[#This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56" t="str">
        <f>IFERROR(VLOOKUP(June[[#This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56" t="str">
        <f>IFERROR(VLOOKUP(June[[#This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56" t="str">
        <f>IFERROR(VLOOKUP(June[[#This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56" t="str">
        <f>IFERROR(VLOOKUP(June[[#This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56" t="str">
        <f>IFERROR(VLOOKUP(June[[#This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56" t="str">
        <f>IFERROR(VLOOKUP(June[[#This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56" t="str">
        <f>IFERROR(VLOOKUP(June[[#This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56" t="str">
        <f>IFERROR(VLOOKUP(June[[#This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56" t="str">
        <f>IFERROR(VLOOKUP(June[[#This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56" t="str">
        <f>IFERROR(VLOOKUP(June[[#This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56" t="str">
        <f>IFERROR(VLOOKUP(June[[#This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56" t="str">
        <f>IFERROR(VLOOKUP(June[[#This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56" t="str">
        <f>IFERROR(VLOOKUP(June[[#This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56" t="str">
        <f>IFERROR(VLOOKUP(June[[#This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56" t="str">
        <f>IFERROR(VLOOKUP(June[[#This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56" t="str">
        <f>IFERROR(VLOOKUP(June[[#This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56" t="str">
        <f>IFERROR(VLOOKUP(June[[#This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56" t="str">
        <f>IFERROR(VLOOKUP(June[[#This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56" t="str">
        <f>IFERROR(VLOOKUP(June[[#This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56" t="str">
        <f>IFERROR(VLOOKUP(June[[#This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56" t="str">
        <f>IFERROR(VLOOKUP(June[[#This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56" t="str">
        <f>IFERROR(VLOOKUP(June[[#This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56" t="str">
        <f>IFERROR(VLOOKUP(June[[#This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56" t="str">
        <f>IFERROR(VLOOKUP(June[[#This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56" t="str">
        <f>IFERROR(VLOOKUP(June[[#This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56" t="str">
        <f>IFERROR(VLOOKUP(June[[#This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56" t="str">
        <f>IFERROR(VLOOKUP(June[[#This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56" t="str">
        <f>IFERROR(VLOOKUP(June[[#This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56" t="str">
        <f>IFERROR(VLOOKUP(June[[#This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56" t="str">
        <f>IFERROR(VLOOKUP(June[[#This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56" t="str">
        <f>IFERROR(VLOOKUP(June[[#This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56" t="str">
        <f>IFERROR(VLOOKUP(June[[#This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56" t="str">
        <f>IFERROR(VLOOKUP(June[[#This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56" t="str">
        <f>IFERROR(VLOOKUP(June[[#This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56" t="str">
        <f>IFERROR(VLOOKUP(June[[#This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56" t="str">
        <f>IFERROR(VLOOKUP(June[[#This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56" t="str">
        <f>IFERROR(VLOOKUP(June[[#This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56" t="str">
        <f>IFERROR(VLOOKUP(June[[#This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56" t="str">
        <f>IFERROR(VLOOKUP(June[[#This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56" t="str">
        <f>IFERROR(VLOOKUP(June[[#This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56" t="str">
        <f>IFERROR(VLOOKUP(June[[#This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56" t="str">
        <f>IFERROR(VLOOKUP(June[[#This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56" t="str">
        <f>IFERROR(VLOOKUP(June[[#This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56" t="str">
        <f>IFERROR(VLOOKUP(June[[#This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56" t="str">
        <f>IFERROR(VLOOKUP(June[[#This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56" t="str">
        <f>IFERROR(VLOOKUP(June[[#This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56" t="str">
        <f>IFERROR(VLOOKUP(June[[#This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56" t="str">
        <f>IFERROR(VLOOKUP(June[[#This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56" t="str">
        <f>IFERROR(VLOOKUP(June[[#This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56" t="str">
        <f>IFERROR(VLOOKUP(June[[#This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56" t="str">
        <f>IFERROR(VLOOKUP(June[[#This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56" t="str">
        <f>IFERROR(VLOOKUP(June[[#This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56" t="str">
        <f>IFERROR(VLOOKUP(June[[#This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56" t="str">
        <f>IFERROR(VLOOKUP(June[[#This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56" t="str">
        <f>IFERROR(VLOOKUP(June[[#This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56" t="str">
        <f>IFERROR(VLOOKUP(June[[#This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56" t="str">
        <f>IFERROR(VLOOKUP(June[[#This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56" t="str">
        <f>IFERROR(VLOOKUP(June[[#This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56" t="str">
        <f>IFERROR(VLOOKUP(June[[#This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56" t="str">
        <f>IFERROR(VLOOKUP(June[[#This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56" t="str">
        <f>IFERROR(VLOOKUP(June[[#This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56" t="str">
        <f>IFERROR(VLOOKUP(June[[#This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56" t="str">
        <f>IFERROR(VLOOKUP(June[[#This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56" t="str">
        <f>IFERROR(VLOOKUP(June[[#This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56" t="str">
        <f>IFERROR(VLOOKUP(June[[#This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56" t="str">
        <f>IFERROR(VLOOKUP(June[[#This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56" t="str">
        <f>IFERROR(VLOOKUP(June[[#This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56" t="str">
        <f>IFERROR(VLOOKUP(June[[#This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56" t="str">
        <f>IFERROR(VLOOKUP(June[[#This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56" t="str">
        <f>IFERROR(VLOOKUP(June[[#This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56" t="str">
        <f>IFERROR(VLOOKUP(June[[#This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56" t="str">
        <f>IFERROR(VLOOKUP(June[[#This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56" t="str">
        <f>IFERROR(VLOOKUP(June[[#This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56" t="str">
        <f>IFERROR(VLOOKUP(June[[#This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56" t="str">
        <f>IFERROR(VLOOKUP(June[[#This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56" t="str">
        <f>IFERROR(VLOOKUP(June[[#This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56" t="str">
        <f>IFERROR(VLOOKUP(June[[#This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56" t="str">
        <f>IFERROR(VLOOKUP(June[[#This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56" t="str">
        <f>IFERROR(VLOOKUP(June[[#This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56" t="str">
        <f>IFERROR(VLOOKUP(June[[#This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56" t="str">
        <f>IFERROR(VLOOKUP(June[[#This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56" t="str">
        <f>IFERROR(VLOOKUP(June[[#This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56" t="str">
        <f>IFERROR(VLOOKUP(June[[#This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56" t="str">
        <f>IFERROR(VLOOKUP(June[[#This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56" t="str">
        <f>IFERROR(VLOOKUP(June[[#This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56" t="str">
        <f>IFERROR(VLOOKUP(June[[#This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56" t="str">
        <f>IFERROR(VLOOKUP(June[[#This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56" t="str">
        <f>IFERROR(VLOOKUP(June[[#This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56" t="str">
        <f>IFERROR(VLOOKUP(June[[#This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56" t="str">
        <f>IFERROR(VLOOKUP(June[[#This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56" t="str">
        <f>IFERROR(VLOOKUP(June[[#This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56" t="str">
        <f>IFERROR(VLOOKUP(June[[#This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56" t="str">
        <f>IFERROR(VLOOKUP(June[[#This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56" t="str">
        <f>IFERROR(VLOOKUP(June[[#This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56" t="str">
        <f>IFERROR(VLOOKUP(June[[#This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56" t="str">
        <f>IFERROR(VLOOKUP(June[[#This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57">
        <f>SUBTOTAL(103,June[Location Filled9])</f>
        <v>0</v>
      </c>
    </row>
  </sheetData>
  <sheetProtection algorithmName="SHA-512" hashValue="TADoVPS6tDl1u7fVPKgenZVkG+Cam0O0t5G4xK/r/29G1fv82wFfwLNEDl2w+MWUADyZZSisVFr61e/zqXXS1A==" saltValue="9HxULFdfp8ez/miEj7QxMw==" spinCount="100000" sheet="1" objects="1" scenarios="1"/>
  <mergeCells count="13">
    <mergeCell ref="AR2:AX2"/>
    <mergeCell ref="BS2:BY2"/>
    <mergeCell ref="BZ2:CF2"/>
    <mergeCell ref="CG2:CM2"/>
    <mergeCell ref="AL1:AQ2"/>
    <mergeCell ref="BM1:BR2"/>
    <mergeCell ref="BF2:BL2"/>
    <mergeCell ref="A1:J2"/>
    <mergeCell ref="K1:AF1"/>
    <mergeCell ref="K2:P2"/>
    <mergeCell ref="Q2:V2"/>
    <mergeCell ref="X2:AD2"/>
    <mergeCell ref="AE2:AK2"/>
  </mergeCells>
  <phoneticPr fontId="5" type="noConversion"/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activeCell="L1" sqref="L1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IFERROR(VLOOKUP(July[[#This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IFERROR(VLOOKUP(July[[#This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IFERROR(VLOOKUP(July[[#This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IFERROR(VLOOKUP(July[[#This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IFERROR(VLOOKUP(July[[#This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IFERROR(VLOOKUP(July[[#This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IFERROR(VLOOKUP(July[[#This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IFERROR(VLOOKUP(July[[#This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IFERROR(VLOOKUP(July[[#This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IFERROR(VLOOKUP(July[[#This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IFERROR(VLOOKUP(July[[#This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IFERROR(VLOOKUP(July[[#This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IFERROR(VLOOKUP(July[[#This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IFERROR(VLOOKUP(July[[#This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IFERROR(VLOOKUP(July[[#This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IFERROR(VLOOKUP(July[[#This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IFERROR(VLOOKUP(July[[#This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IFERROR(VLOOKUP(July[[#This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IFERROR(VLOOKUP(July[[#This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IFERROR(VLOOKUP(July[[#This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IFERROR(VLOOKUP(July[[#This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IFERROR(VLOOKUP(July[[#This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IFERROR(VLOOKUP(July[[#This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IFERROR(VLOOKUP(July[[#This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IFERROR(VLOOKUP(July[[#This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IFERROR(VLOOKUP(July[[#This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IFERROR(VLOOKUP(July[[#This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IFERROR(VLOOKUP(July[[#This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IFERROR(VLOOKUP(July[[#This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IFERROR(VLOOKUP(July[[#This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IFERROR(VLOOKUP(July[[#This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IFERROR(VLOOKUP(July[[#This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IFERROR(VLOOKUP(July[[#This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IFERROR(VLOOKUP(July[[#This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IFERROR(VLOOKUP(July[[#This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IFERROR(VLOOKUP(July[[#This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IFERROR(VLOOKUP(July[[#This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IFERROR(VLOOKUP(July[[#This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IFERROR(VLOOKUP(July[[#This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IFERROR(VLOOKUP(July[[#This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IFERROR(VLOOKUP(July[[#This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IFERROR(VLOOKUP(July[[#This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IFERROR(VLOOKUP(July[[#This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IFERROR(VLOOKUP(July[[#This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IFERROR(VLOOKUP(July[[#This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IFERROR(VLOOKUP(July[[#This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IFERROR(VLOOKUP(July[[#This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IFERROR(VLOOKUP(July[[#This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IFERROR(VLOOKUP(July[[#This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IFERROR(VLOOKUP(July[[#This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IFERROR(VLOOKUP(July[[#This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IFERROR(VLOOKUP(July[[#This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IFERROR(VLOOKUP(July[[#This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IFERROR(VLOOKUP(July[[#This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IFERROR(VLOOKUP(July[[#This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IFERROR(VLOOKUP(July[[#This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IFERROR(VLOOKUP(July[[#This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IFERROR(VLOOKUP(July[[#This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IFERROR(VLOOKUP(July[[#This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IFERROR(VLOOKUP(July[[#This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IFERROR(VLOOKUP(July[[#This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IFERROR(VLOOKUP(July[[#This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IFERROR(VLOOKUP(July[[#This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IFERROR(VLOOKUP(July[[#This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IFERROR(VLOOKUP(July[[#This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IFERROR(VLOOKUP(July[[#This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IFERROR(VLOOKUP(July[[#This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IFERROR(VLOOKUP(July[[#This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IFERROR(VLOOKUP(July[[#This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IFERROR(VLOOKUP(July[[#This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IFERROR(VLOOKUP(July[[#This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IFERROR(VLOOKUP(July[[#This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IFERROR(VLOOKUP(July[[#This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IFERROR(VLOOKUP(July[[#This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IFERROR(VLOOKUP(July[[#This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IFERROR(VLOOKUP(July[[#This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IFERROR(VLOOKUP(July[[#This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IFERROR(VLOOKUP(July[[#This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IFERROR(VLOOKUP(July[[#This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IFERROR(VLOOKUP(July[[#This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IFERROR(VLOOKUP(July[[#This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IFERROR(VLOOKUP(July[[#This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IFERROR(VLOOKUP(July[[#This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IFERROR(VLOOKUP(July[[#This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IFERROR(VLOOKUP(July[[#This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IFERROR(VLOOKUP(July[[#This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IFERROR(VLOOKUP(July[[#This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IFERROR(VLOOKUP(July[[#This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IFERROR(VLOOKUP(July[[#This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IFERROR(VLOOKUP(July[[#This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IFERROR(VLOOKUP(July[[#This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IFERROR(VLOOKUP(July[[#This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IFERROR(VLOOKUP(July[[#This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IFERROR(VLOOKUP(July[[#This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IFERROR(VLOOKUP(July[[#This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IFERROR(VLOOKUP(July[[#This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IFERROR(VLOOKUP(July[[#This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IFERROR(VLOOKUP(July[[#This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IFERROR(VLOOKUP(July[[#This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IFERROR(VLOOKUP(July[[#This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IFERROR(VLOOKUP(July[[#This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IFERROR(VLOOKUP(July[[#This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IFERROR(VLOOKUP(July[[#This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IFERROR(VLOOKUP(July[[#This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IFERROR(VLOOKUP(July[[#This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IFERROR(VLOOKUP(July[[#This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IFERROR(VLOOKUP(July[[#This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IFERROR(VLOOKUP(July[[#This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IFERROR(VLOOKUP(July[[#This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IFERROR(VLOOKUP(July[[#This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IFERROR(VLOOKUP(July[[#This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IFERROR(VLOOKUP(July[[#This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IFERROR(VLOOKUP(July[[#This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IFERROR(VLOOKUP(July[[#This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IFERROR(VLOOKUP(July[[#This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IFERROR(VLOOKUP(July[[#This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IFERROR(VLOOKUP(July[[#This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IFERROR(VLOOKUP(July[[#This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IFERROR(VLOOKUP(July[[#This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IFERROR(VLOOKUP(July[[#This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IFERROR(VLOOKUP(July[[#This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IFERROR(VLOOKUP(July[[#This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IFERROR(VLOOKUP(July[[#This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IFERROR(VLOOKUP(July[[#This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IFERROR(VLOOKUP(July[[#This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IFERROR(VLOOKUP(July[[#This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IFERROR(VLOOKUP(July[[#This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IFERROR(VLOOKUP(July[[#This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IFERROR(VLOOKUP(July[[#This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IFERROR(VLOOKUP(July[[#This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IFERROR(VLOOKUP(July[[#This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IFERROR(VLOOKUP(July[[#This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IFERROR(VLOOKUP(July[[#This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IFERROR(VLOOKUP(July[[#This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IFERROR(VLOOKUP(July[[#This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IFERROR(VLOOKUP(July[[#This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IFERROR(VLOOKUP(July[[#This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IFERROR(VLOOKUP(July[[#This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IFERROR(VLOOKUP(July[[#This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IFERROR(VLOOKUP(July[[#This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IFERROR(VLOOKUP(July[[#This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IFERROR(VLOOKUP(July[[#This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IFERROR(VLOOKUP(July[[#This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IFERROR(VLOOKUP(July[[#This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IFERROR(VLOOKUP(July[[#This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IFERROR(VLOOKUP(July[[#This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IFERROR(VLOOKUP(July[[#This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IFERROR(VLOOKUP(July[[#This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IFERROR(VLOOKUP(July[[#This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IFERROR(VLOOKUP(July[[#This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IFERROR(VLOOKUP(July[[#This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IFERROR(VLOOKUP(July[[#This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IFERROR(VLOOKUP(July[[#This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IFERROR(VLOOKUP(July[[#This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IFERROR(VLOOKUP(July[[#This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IFERROR(VLOOKUP(July[[#This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IFERROR(VLOOKUP(July[[#This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IFERROR(VLOOKUP(July[[#This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IFERROR(VLOOKUP(July[[#This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IFERROR(VLOOKUP(July[[#This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IFERROR(VLOOKUP(July[[#This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IFERROR(VLOOKUP(July[[#This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IFERROR(VLOOKUP(July[[#This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IFERROR(VLOOKUP(July[[#This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IFERROR(VLOOKUP(July[[#This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IFERROR(VLOOKUP(July[[#This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IFERROR(VLOOKUP(July[[#This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IFERROR(VLOOKUP(July[[#This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IFERROR(VLOOKUP(July[[#This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IFERROR(VLOOKUP(July[[#This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IFERROR(VLOOKUP(July[[#This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IFERROR(VLOOKUP(July[[#This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IFERROR(VLOOKUP(July[[#This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IFERROR(VLOOKUP(July[[#This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IFERROR(VLOOKUP(July[[#This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IFERROR(VLOOKUP(July[[#This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IFERROR(VLOOKUP(July[[#This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IFERROR(VLOOKUP(July[[#This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IFERROR(VLOOKUP(July[[#This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IFERROR(VLOOKUP(July[[#This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IFERROR(VLOOKUP(July[[#This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IFERROR(VLOOKUP(July[[#This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IFERROR(VLOOKUP(July[[#This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IFERROR(VLOOKUP(July[[#This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IFERROR(VLOOKUP(July[[#This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IFERROR(VLOOKUP(July[[#This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IFERROR(VLOOKUP(July[[#This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IFERROR(VLOOKUP(July[[#This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IFERROR(VLOOKUP(July[[#This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IFERROR(VLOOKUP(July[[#This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IFERROR(VLOOKUP(July[[#This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IFERROR(VLOOKUP(July[[#This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IFERROR(VLOOKUP(July[[#This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IFERROR(VLOOKUP(July[[#This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IFERROR(VLOOKUP(July[[#This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IFERROR(VLOOKUP(July[[#This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IFERROR(VLOOKUP(July[[#This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IFERROR(VLOOKUP(July[[#This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IFERROR(VLOOKUP(July[[#This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IFERROR(VLOOKUP(July[[#This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IFERROR(VLOOKUP(July[[#This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IFERROR(VLOOKUP(July[[#This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IFERROR(VLOOKUP(July[[#This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IFERROR(VLOOKUP(July[[#This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IFERROR(VLOOKUP(July[[#This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IFERROR(VLOOKUP(July[[#This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IFERROR(VLOOKUP(July[[#This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IFERROR(VLOOKUP(July[[#This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IFERROR(VLOOKUP(July[[#This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IFERROR(VLOOKUP(July[[#This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IFERROR(VLOOKUP(July[[#This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IFERROR(VLOOKUP(July[[#This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IFERROR(VLOOKUP(July[[#This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IFERROR(VLOOKUP(July[[#This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IFERROR(VLOOKUP(July[[#This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IFERROR(VLOOKUP(July[[#This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IFERROR(VLOOKUP(July[[#This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IFERROR(VLOOKUP(July[[#This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IFERROR(VLOOKUP(July[[#This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IFERROR(VLOOKUP(July[[#This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IFERROR(VLOOKUP(July[[#This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IFERROR(VLOOKUP(July[[#This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IFERROR(VLOOKUP(July[[#This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IFERROR(VLOOKUP(July[[#This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IFERROR(VLOOKUP(July[[#This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IFERROR(VLOOKUP(July[[#This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IFERROR(VLOOKUP(July[[#This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IFERROR(VLOOKUP(July[[#This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IFERROR(VLOOKUP(July[[#This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IFERROR(VLOOKUP(July[[#This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IFERROR(VLOOKUP(July[[#This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IFERROR(VLOOKUP(July[[#This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IFERROR(VLOOKUP(July[[#This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IFERROR(VLOOKUP(July[[#This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IFERROR(VLOOKUP(July[[#This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IFERROR(VLOOKUP(July[[#This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IFERROR(VLOOKUP(July[[#This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IFERROR(VLOOKUP(July[[#This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IFERROR(VLOOKUP(July[[#This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IFERROR(VLOOKUP(July[[#This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IFERROR(VLOOKUP(July[[#This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IFERROR(VLOOKUP(July[[#This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IFERROR(VLOOKUP(July[[#This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IFERROR(VLOOKUP(July[[#This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IFERROR(VLOOKUP(July[[#This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IFERROR(VLOOKUP(July[[#This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IFERROR(VLOOKUP(July[[#This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IFERROR(VLOOKUP(July[[#This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IFERROR(VLOOKUP(July[[#This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IFERROR(VLOOKUP(July[[#This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IFERROR(VLOOKUP(July[[#This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IFERROR(VLOOKUP(July[[#This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IFERROR(VLOOKUP(July[[#This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IFERROR(VLOOKUP(July[[#This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IFERROR(VLOOKUP(July[[#This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IFERROR(VLOOKUP(July[[#This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IFERROR(VLOOKUP(July[[#This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IFERROR(VLOOKUP(July[[#This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IFERROR(VLOOKUP(July[[#This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IFERROR(VLOOKUP(July[[#This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IFERROR(VLOOKUP(July[[#This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IFERROR(VLOOKUP(July[[#This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IFERROR(VLOOKUP(July[[#This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IFERROR(VLOOKUP(July[[#This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IFERROR(VLOOKUP(July[[#This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IFERROR(VLOOKUP(July[[#This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IFERROR(VLOOKUP(July[[#This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IFERROR(VLOOKUP(July[[#This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IFERROR(VLOOKUP(July[[#This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IFERROR(VLOOKUP(July[[#This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IFERROR(VLOOKUP(July[[#This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IFERROR(VLOOKUP(July[[#This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IFERROR(VLOOKUP(July[[#This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IFERROR(VLOOKUP(July[[#This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IFERROR(VLOOKUP(July[[#This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IFERROR(VLOOKUP(July[[#This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IFERROR(VLOOKUP(July[[#This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IFERROR(VLOOKUP(July[[#This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IFERROR(VLOOKUP(July[[#This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IFERROR(VLOOKUP(July[[#This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IFERROR(VLOOKUP(July[[#This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IFERROR(VLOOKUP(July[[#This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IFERROR(VLOOKUP(July[[#This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IFERROR(VLOOKUP(July[[#This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IFERROR(VLOOKUP(July[[#This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IFERROR(VLOOKUP(July[[#This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IFERROR(VLOOKUP(July[[#This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IFERROR(VLOOKUP(July[[#This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IFERROR(VLOOKUP(July[[#This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IFERROR(VLOOKUP(July[[#This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IFERROR(VLOOKUP(July[[#This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IFERROR(VLOOKUP(July[[#This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IFERROR(VLOOKUP(July[[#This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IFERROR(VLOOKUP(July[[#This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IFERROR(VLOOKUP(July[[#This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IFERROR(VLOOKUP(July[[#This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IFERROR(VLOOKUP(July[[#This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IFERROR(VLOOKUP(July[[#This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IFERROR(VLOOKUP(July[[#This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IFERROR(VLOOKUP(July[[#This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IFERROR(VLOOKUP(July[[#This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IFERROR(VLOOKUP(July[[#This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IFERROR(VLOOKUP(July[[#This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IFERROR(VLOOKUP(July[[#This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IFERROR(VLOOKUP(July[[#This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IFERROR(VLOOKUP(July[[#This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IFERROR(VLOOKUP(July[[#This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IFERROR(VLOOKUP(July[[#This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IFERROR(VLOOKUP(July[[#This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IFERROR(VLOOKUP(July[[#This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IFERROR(VLOOKUP(July[[#This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IFERROR(VLOOKUP(July[[#This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IFERROR(VLOOKUP(July[[#This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IFERROR(VLOOKUP(July[[#This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IFERROR(VLOOKUP(July[[#This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IFERROR(VLOOKUP(July[[#This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IFERROR(VLOOKUP(July[[#This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IFERROR(VLOOKUP(July[[#This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IFERROR(VLOOKUP(July[[#This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IFERROR(VLOOKUP(July[[#This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IFERROR(VLOOKUP(July[[#This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IFERROR(VLOOKUP(July[[#This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IFERROR(VLOOKUP(July[[#This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IFERROR(VLOOKUP(July[[#This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IFERROR(VLOOKUP(July[[#This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IFERROR(VLOOKUP(July[[#This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IFERROR(VLOOKUP(July[[#This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IFERROR(VLOOKUP(July[[#This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IFERROR(VLOOKUP(July[[#This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IFERROR(VLOOKUP(July[[#This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IFERROR(VLOOKUP(July[[#This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IFERROR(VLOOKUP(July[[#This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IFERROR(VLOOKUP(July[[#This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IFERROR(VLOOKUP(July[[#This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IFERROR(VLOOKUP(July[[#This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IFERROR(VLOOKUP(July[[#This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IFERROR(VLOOKUP(July[[#This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IFERROR(VLOOKUP(July[[#This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IFERROR(VLOOKUP(July[[#This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IFERROR(VLOOKUP(July[[#This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IFERROR(VLOOKUP(July[[#This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IFERROR(VLOOKUP(July[[#This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IFERROR(VLOOKUP(July[[#This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IFERROR(VLOOKUP(July[[#This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IFERROR(VLOOKUP(July[[#This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IFERROR(VLOOKUP(July[[#This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IFERROR(VLOOKUP(July[[#This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IFERROR(VLOOKUP(July[[#This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IFERROR(VLOOKUP(July[[#This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IFERROR(VLOOKUP(July[[#This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IFERROR(VLOOKUP(July[[#This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IFERROR(VLOOKUP(July[[#This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IFERROR(VLOOKUP(July[[#This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IFERROR(VLOOKUP(July[[#This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IFERROR(VLOOKUP(July[[#This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IFERROR(VLOOKUP(July[[#This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IFERROR(VLOOKUP(July[[#This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IFERROR(VLOOKUP(July[[#This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IFERROR(VLOOKUP(July[[#This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IFERROR(VLOOKUP(July[[#This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IFERROR(VLOOKUP(July[[#This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IFERROR(VLOOKUP(July[[#This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IFERROR(VLOOKUP(July[[#This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IFERROR(VLOOKUP(July[[#This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IFERROR(VLOOKUP(July[[#This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IFERROR(VLOOKUP(July[[#This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IFERROR(VLOOKUP(July[[#This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IFERROR(VLOOKUP(July[[#This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IFERROR(VLOOKUP(July[[#This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IFERROR(VLOOKUP(July[[#This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IFERROR(VLOOKUP(July[[#This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IFERROR(VLOOKUP(July[[#This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IFERROR(VLOOKUP(July[[#This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IFERROR(VLOOKUP(July[[#This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IFERROR(VLOOKUP(July[[#This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IFERROR(VLOOKUP(July[[#This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IFERROR(VLOOKUP(July[[#This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IFERROR(VLOOKUP(July[[#This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IFERROR(VLOOKUP(July[[#This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IFERROR(VLOOKUP(July[[#This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IFERROR(VLOOKUP(July[[#This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IFERROR(VLOOKUP(July[[#This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IFERROR(VLOOKUP(July[[#This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IFERROR(VLOOKUP(July[[#This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IFERROR(VLOOKUP(July[[#This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IFERROR(VLOOKUP(July[[#This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IFERROR(VLOOKUP(July[[#This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IFERROR(VLOOKUP(July[[#This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IFERROR(VLOOKUP(July[[#This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IFERROR(VLOOKUP(July[[#This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IFERROR(VLOOKUP(July[[#This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IFERROR(VLOOKUP(July[[#This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IFERROR(VLOOKUP(July[[#This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IFERROR(VLOOKUP(July[[#This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IFERROR(VLOOKUP(July[[#This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IFERROR(VLOOKUP(July[[#This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IFERROR(VLOOKUP(July[[#This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IFERROR(VLOOKUP(July[[#This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IFERROR(VLOOKUP(July[[#This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IFERROR(VLOOKUP(July[[#This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IFERROR(VLOOKUP(July[[#This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IFERROR(VLOOKUP(July[[#This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IFERROR(VLOOKUP(July[[#This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IFERROR(VLOOKUP(July[[#This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IFERROR(VLOOKUP(July[[#This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IFERROR(VLOOKUP(July[[#This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IFERROR(VLOOKUP(July[[#This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IFERROR(VLOOKUP(July[[#This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IFERROR(VLOOKUP(July[[#This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IFERROR(VLOOKUP(July[[#This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IFERROR(VLOOKUP(July[[#This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IFERROR(VLOOKUP(July[[#This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IFERROR(VLOOKUP(July[[#This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IFERROR(VLOOKUP(July[[#This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IFERROR(VLOOKUP(July[[#This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IFERROR(VLOOKUP(July[[#This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IFERROR(VLOOKUP(July[[#This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IFERROR(VLOOKUP(July[[#This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IFERROR(VLOOKUP(July[[#This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IFERROR(VLOOKUP(July[[#This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IFERROR(VLOOKUP(July[[#This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IFERROR(VLOOKUP(July[[#This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IFERROR(VLOOKUP(July[[#This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IFERROR(VLOOKUP(July[[#This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IFERROR(VLOOKUP(July[[#This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IFERROR(VLOOKUP(July[[#This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IFERROR(VLOOKUP(July[[#This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IFERROR(VLOOKUP(July[[#This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IFERROR(VLOOKUP(July[[#This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IFERROR(VLOOKUP(July[[#This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IFERROR(VLOOKUP(July[[#This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IFERROR(VLOOKUP(July[[#This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IFERROR(VLOOKUP(July[[#This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IFERROR(VLOOKUP(July[[#This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IFERROR(VLOOKUP(July[[#This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IFERROR(VLOOKUP(July[[#This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IFERROR(VLOOKUP(July[[#This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IFERROR(VLOOKUP(July[[#This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IFERROR(VLOOKUP(July[[#This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IFERROR(VLOOKUP(July[[#This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IFERROR(VLOOKUP(July[[#This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IFERROR(VLOOKUP(July[[#This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IFERROR(VLOOKUP(July[[#This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IFERROR(VLOOKUP(July[[#This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IFERROR(VLOOKUP(July[[#This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IFERROR(VLOOKUP(July[[#This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IFERROR(VLOOKUP(July[[#This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IFERROR(VLOOKUP(July[[#This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IFERROR(VLOOKUP(July[[#This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IFERROR(VLOOKUP(July[[#This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IFERROR(VLOOKUP(July[[#This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IFERROR(VLOOKUP(July[[#This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IFERROR(VLOOKUP(July[[#This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IFERROR(VLOOKUP(July[[#This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IFERROR(VLOOKUP(July[[#This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IFERROR(VLOOKUP(July[[#This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IFERROR(VLOOKUP(July[[#This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IFERROR(VLOOKUP(July[[#This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IFERROR(VLOOKUP(July[[#This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IFERROR(VLOOKUP(July[[#This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IFERROR(VLOOKUP(July[[#This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IFERROR(VLOOKUP(July[[#This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IFERROR(VLOOKUP(July[[#This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IFERROR(VLOOKUP(July[[#This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IFERROR(VLOOKUP(July[[#This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IFERROR(VLOOKUP(July[[#This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IFERROR(VLOOKUP(July[[#This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IFERROR(VLOOKUP(July[[#This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IFERROR(VLOOKUP(July[[#This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IFERROR(VLOOKUP(July[[#This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IFERROR(VLOOKUP(July[[#This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IFERROR(VLOOKUP(July[[#This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IFERROR(VLOOKUP(July[[#This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IFERROR(VLOOKUP(July[[#This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IFERROR(VLOOKUP(July[[#This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IFERROR(VLOOKUP(July[[#This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IFERROR(VLOOKUP(July[[#This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IFERROR(VLOOKUP(July[[#This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IFERROR(VLOOKUP(July[[#This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IFERROR(VLOOKUP(July[[#This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IFERROR(VLOOKUP(July[[#This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IFERROR(VLOOKUP(July[[#This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IFERROR(VLOOKUP(July[[#This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IFERROR(VLOOKUP(July[[#This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IFERROR(VLOOKUP(July[[#This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IFERROR(VLOOKUP(July[[#This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IFERROR(VLOOKUP(July[[#This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IFERROR(VLOOKUP(July[[#This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IFERROR(VLOOKUP(July[[#This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IFERROR(VLOOKUP(July[[#This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IFERROR(VLOOKUP(July[[#This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IFERROR(VLOOKUP(July[[#This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IFERROR(VLOOKUP(July[[#This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IFERROR(VLOOKUP(July[[#This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IFERROR(VLOOKUP(July[[#This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IFERROR(VLOOKUP(July[[#This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IFERROR(VLOOKUP(July[[#This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IFERROR(VLOOKUP(July[[#This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IFERROR(VLOOKUP(July[[#This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IFERROR(VLOOKUP(July[[#This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IFERROR(VLOOKUP(July[[#This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IFERROR(VLOOKUP(July[[#This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IFERROR(VLOOKUP(July[[#This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IFERROR(VLOOKUP(July[[#This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IFERROR(VLOOKUP(July[[#This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IFERROR(VLOOKUP(July[[#This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IFERROR(VLOOKUP(July[[#This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IFERROR(VLOOKUP(July[[#This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IFERROR(VLOOKUP(July[[#This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IFERROR(VLOOKUP(July[[#This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IFERROR(VLOOKUP(July[[#This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IFERROR(VLOOKUP(July[[#This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IFERROR(VLOOKUP(July[[#This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IFERROR(VLOOKUP(July[[#This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IFERROR(VLOOKUP(July[[#This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IFERROR(VLOOKUP(July[[#This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IFERROR(VLOOKUP(July[[#This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IFERROR(VLOOKUP(July[[#This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IFERROR(VLOOKUP(July[[#This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IFERROR(VLOOKUP(July[[#This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IFERROR(VLOOKUP(July[[#This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IFERROR(VLOOKUP(July[[#This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IFERROR(VLOOKUP(July[[#This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IFERROR(VLOOKUP(July[[#This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IFERROR(VLOOKUP(July[[#This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IFERROR(VLOOKUP(July[[#This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IFERROR(VLOOKUP(July[[#This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IFERROR(VLOOKUP(July[[#This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IFERROR(VLOOKUP(July[[#This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IFERROR(VLOOKUP(July[[#This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IFERROR(VLOOKUP(July[[#This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IFERROR(VLOOKUP(July[[#This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IFERROR(VLOOKUP(July[[#This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IFERROR(VLOOKUP(July[[#This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IFERROR(VLOOKUP(July[[#This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IFERROR(VLOOKUP(July[[#This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IFERROR(VLOOKUP(July[[#This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IFERROR(VLOOKUP(July[[#This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IFERROR(VLOOKUP(July[[#This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IFERROR(VLOOKUP(July[[#This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IFERROR(VLOOKUP(July[[#This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IFERROR(VLOOKUP(July[[#This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IFERROR(VLOOKUP(July[[#This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IFERROR(VLOOKUP(July[[#This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IFERROR(VLOOKUP(July[[#This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IFERROR(VLOOKUP(July[[#This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IFERROR(VLOOKUP(July[[#This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IFERROR(VLOOKUP(July[[#This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IFERROR(VLOOKUP(July[[#This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IFERROR(VLOOKUP(July[[#This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IFERROR(VLOOKUP(July[[#This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IFERROR(VLOOKUP(July[[#This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IFERROR(VLOOKUP(July[[#This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IFERROR(VLOOKUP(July[[#This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IFERROR(VLOOKUP(July[[#This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IFERROR(VLOOKUP(July[[#This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IFERROR(VLOOKUP(July[[#This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IFERROR(VLOOKUP(July[[#This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IFERROR(VLOOKUP(July[[#This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IFERROR(VLOOKUP(July[[#This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IFERROR(VLOOKUP(July[[#This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IFERROR(VLOOKUP(July[[#This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IFERROR(VLOOKUP(July[[#This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IFERROR(VLOOKUP(July[[#This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IFERROR(VLOOKUP(July[[#This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IFERROR(VLOOKUP(July[[#This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IFERROR(VLOOKUP(July[[#This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IFERROR(VLOOKUP(July[[#This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IFERROR(VLOOKUP(July[[#This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IFERROR(VLOOKUP(July[[#This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IFERROR(VLOOKUP(July[[#This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IFERROR(VLOOKUP(July[[#This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IFERROR(VLOOKUP(July[[#This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IFERROR(VLOOKUP(July[[#This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IFERROR(VLOOKUP(July[[#This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IFERROR(VLOOKUP(July[[#This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IFERROR(VLOOKUP(July[[#This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IFERROR(VLOOKUP(July[[#This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IFERROR(VLOOKUP(July[[#This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IFERROR(VLOOKUP(July[[#This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IFERROR(VLOOKUP(July[[#This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IFERROR(VLOOKUP(July[[#This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IFERROR(VLOOKUP(July[[#This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IFERROR(VLOOKUP(July[[#This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IFERROR(VLOOKUP(July[[#This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IFERROR(VLOOKUP(July[[#This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IFERROR(VLOOKUP(July[[#This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IFERROR(VLOOKUP(July[[#This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IFERROR(VLOOKUP(July[[#This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IFERROR(VLOOKUP(July[[#This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IFERROR(VLOOKUP(July[[#This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IFERROR(VLOOKUP(July[[#This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IFERROR(VLOOKUP(July[[#This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IFERROR(VLOOKUP(July[[#This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IFERROR(VLOOKUP(July[[#This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IFERROR(VLOOKUP(July[[#This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IFERROR(VLOOKUP(July[[#This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IFERROR(VLOOKUP(July[[#This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IFERROR(VLOOKUP(July[[#This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IFERROR(VLOOKUP(July[[#This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IFERROR(VLOOKUP(July[[#This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IFERROR(VLOOKUP(July[[#This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IFERROR(VLOOKUP(July[[#This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IFERROR(VLOOKUP(July[[#This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IFERROR(VLOOKUP(July[[#This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IFERROR(VLOOKUP(July[[#This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IFERROR(VLOOKUP(July[[#This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IFERROR(VLOOKUP(July[[#This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IFERROR(VLOOKUP(July[[#This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IFERROR(VLOOKUP(July[[#This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IFERROR(VLOOKUP(July[[#This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IFERROR(VLOOKUP(July[[#This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IFERROR(VLOOKUP(July[[#This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IFERROR(VLOOKUP(July[[#This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IFERROR(VLOOKUP(July[[#This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IFERROR(VLOOKUP(July[[#This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IFERROR(VLOOKUP(July[[#This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IFERROR(VLOOKUP(July[[#This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IFERROR(VLOOKUP(July[[#This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IFERROR(VLOOKUP(July[[#This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IFERROR(VLOOKUP(July[[#This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IFERROR(VLOOKUP(July[[#This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IFERROR(VLOOKUP(July[[#This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IFERROR(VLOOKUP(July[[#This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IFERROR(VLOOKUP(July[[#This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IFERROR(VLOOKUP(July[[#This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IFERROR(VLOOKUP(July[[#This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IFERROR(VLOOKUP(July[[#This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IFERROR(VLOOKUP(July[[#This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IFERROR(VLOOKUP(July[[#This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IFERROR(VLOOKUP(July[[#This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IFERROR(VLOOKUP(July[[#This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IFERROR(VLOOKUP(July[[#This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IFERROR(VLOOKUP(July[[#This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IFERROR(VLOOKUP(July[[#This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IFERROR(VLOOKUP(July[[#This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IFERROR(VLOOKUP(July[[#This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IFERROR(VLOOKUP(July[[#This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IFERROR(VLOOKUP(July[[#This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IFERROR(VLOOKUP(July[[#This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IFERROR(VLOOKUP(July[[#This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IFERROR(VLOOKUP(July[[#This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IFERROR(VLOOKUP(July[[#This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IFERROR(VLOOKUP(July[[#This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IFERROR(VLOOKUP(July[[#This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IFERROR(VLOOKUP(July[[#This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IFERROR(VLOOKUP(July[[#This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IFERROR(VLOOKUP(July[[#This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IFERROR(VLOOKUP(July[[#This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IFERROR(VLOOKUP(July[[#This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IFERROR(VLOOKUP(July[[#This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IFERROR(VLOOKUP(July[[#This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IFERROR(VLOOKUP(July[[#This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IFERROR(VLOOKUP(July[[#This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IFERROR(VLOOKUP(July[[#This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IFERROR(VLOOKUP(July[[#This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IFERROR(VLOOKUP(July[[#This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IFERROR(VLOOKUP(July[[#This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IFERROR(VLOOKUP(July[[#This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IFERROR(VLOOKUP(July[[#This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IFERROR(VLOOKUP(July[[#This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IFERROR(VLOOKUP(July[[#This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IFERROR(VLOOKUP(July[[#This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IFERROR(VLOOKUP(July[[#This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IFERROR(VLOOKUP(July[[#This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IFERROR(VLOOKUP(July[[#This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IFERROR(VLOOKUP(July[[#This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IFERROR(VLOOKUP(July[[#This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IFERROR(VLOOKUP(July[[#This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IFERROR(VLOOKUP(July[[#This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IFERROR(VLOOKUP(July[[#This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IFERROR(VLOOKUP(July[[#This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IFERROR(VLOOKUP(July[[#This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IFERROR(VLOOKUP(July[[#This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IFERROR(VLOOKUP(July[[#This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IFERROR(VLOOKUP(July[[#This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IFERROR(VLOOKUP(July[[#This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IFERROR(VLOOKUP(July[[#This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IFERROR(VLOOKUP(July[[#This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IFERROR(VLOOKUP(July[[#This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IFERROR(VLOOKUP(July[[#This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IFERROR(VLOOKUP(July[[#This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IFERROR(VLOOKUP(July[[#This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IFERROR(VLOOKUP(July[[#This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IFERROR(VLOOKUP(July[[#This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IFERROR(VLOOKUP(July[[#This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IFERROR(VLOOKUP(July[[#This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IFERROR(VLOOKUP(July[[#This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IFERROR(VLOOKUP(July[[#This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IFERROR(VLOOKUP(July[[#This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IFERROR(VLOOKUP(July[[#This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IFERROR(VLOOKUP(July[[#This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IFERROR(VLOOKUP(July[[#This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IFERROR(VLOOKUP(July[[#This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IFERROR(VLOOKUP(July[[#This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IFERROR(VLOOKUP(July[[#This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IFERROR(VLOOKUP(July[[#This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IFERROR(VLOOKUP(July[[#This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IFERROR(VLOOKUP(July[[#This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IFERROR(VLOOKUP(July[[#This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IFERROR(VLOOKUP(July[[#This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IFERROR(VLOOKUP(July[[#This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IFERROR(VLOOKUP(July[[#This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IFERROR(VLOOKUP(July[[#This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IFERROR(VLOOKUP(July[[#This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IFERROR(VLOOKUP(July[[#This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IFERROR(VLOOKUP(July[[#This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IFERROR(VLOOKUP(July[[#This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IFERROR(VLOOKUP(July[[#This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IFERROR(VLOOKUP(July[[#This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IFERROR(VLOOKUP(July[[#This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IFERROR(VLOOKUP(July[[#This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IFERROR(VLOOKUP(July[[#This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IFERROR(VLOOKUP(July[[#This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IFERROR(VLOOKUP(July[[#This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IFERROR(VLOOKUP(July[[#This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IFERROR(VLOOKUP(July[[#This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IFERROR(VLOOKUP(July[[#This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IFERROR(VLOOKUP(July[[#This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IFERROR(VLOOKUP(July[[#This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IFERROR(VLOOKUP(July[[#This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IFERROR(VLOOKUP(July[[#This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IFERROR(VLOOKUP(July[[#This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IFERROR(VLOOKUP(July[[#This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IFERROR(VLOOKUP(July[[#This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IFERROR(VLOOKUP(July[[#This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IFERROR(VLOOKUP(July[[#This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IFERROR(VLOOKUP(July[[#This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IFERROR(VLOOKUP(July[[#This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IFERROR(VLOOKUP(July[[#This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IFERROR(VLOOKUP(July[[#This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IFERROR(VLOOKUP(July[[#This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IFERROR(VLOOKUP(July[[#This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IFERROR(VLOOKUP(July[[#This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IFERROR(VLOOKUP(July[[#This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IFERROR(VLOOKUP(July[[#This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IFERROR(VLOOKUP(July[[#This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IFERROR(VLOOKUP(July[[#This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IFERROR(VLOOKUP(July[[#This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IFERROR(VLOOKUP(July[[#This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IFERROR(VLOOKUP(July[[#This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IFERROR(VLOOKUP(July[[#This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IFERROR(VLOOKUP(July[[#This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IFERROR(VLOOKUP(July[[#This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IFERROR(VLOOKUP(July[[#This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IFERROR(VLOOKUP(July[[#This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IFERROR(VLOOKUP(July[[#This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IFERROR(VLOOKUP(July[[#This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IFERROR(VLOOKUP(July[[#This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IFERROR(VLOOKUP(July[[#This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IFERROR(VLOOKUP(July[[#This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IFERROR(VLOOKUP(July[[#This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IFERROR(VLOOKUP(July[[#This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IFERROR(VLOOKUP(July[[#This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IFERROR(VLOOKUP(July[[#This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IFERROR(VLOOKUP(July[[#This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IFERROR(VLOOKUP(July[[#This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IFERROR(VLOOKUP(July[[#This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IFERROR(VLOOKUP(July[[#This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IFERROR(VLOOKUP(July[[#This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IFERROR(VLOOKUP(July[[#This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IFERROR(VLOOKUP(July[[#This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IFERROR(VLOOKUP(July[[#This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IFERROR(VLOOKUP(July[[#This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IFERROR(VLOOKUP(July[[#This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IFERROR(VLOOKUP(July[[#This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IFERROR(VLOOKUP(July[[#This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IFERROR(VLOOKUP(July[[#This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IFERROR(VLOOKUP(July[[#This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IFERROR(VLOOKUP(July[[#This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IFERROR(VLOOKUP(July[[#This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IFERROR(VLOOKUP(July[[#This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IFERROR(VLOOKUP(July[[#This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IFERROR(VLOOKUP(July[[#This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IFERROR(VLOOKUP(July[[#This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IFERROR(VLOOKUP(July[[#This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IFERROR(VLOOKUP(July[[#This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IFERROR(VLOOKUP(July[[#This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IFERROR(VLOOKUP(July[[#This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IFERROR(VLOOKUP(July[[#This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IFERROR(VLOOKUP(July[[#This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IFERROR(VLOOKUP(July[[#This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IFERROR(VLOOKUP(July[[#This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IFERROR(VLOOKUP(July[[#This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IFERROR(VLOOKUP(July[[#This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IFERROR(VLOOKUP(July[[#This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IFERROR(VLOOKUP(July[[#This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IFERROR(VLOOKUP(July[[#This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IFERROR(VLOOKUP(July[[#This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IFERROR(VLOOKUP(July[[#This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IFERROR(VLOOKUP(July[[#This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IFERROR(VLOOKUP(July[[#This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IFERROR(VLOOKUP(July[[#This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IFERROR(VLOOKUP(July[[#This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IFERROR(VLOOKUP(July[[#This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IFERROR(VLOOKUP(July[[#This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IFERROR(VLOOKUP(July[[#This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IFERROR(VLOOKUP(July[[#This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IFERROR(VLOOKUP(July[[#This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IFERROR(VLOOKUP(July[[#This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IFERROR(VLOOKUP(July[[#This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IFERROR(VLOOKUP(July[[#This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IFERROR(VLOOKUP(July[[#This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IFERROR(VLOOKUP(July[[#This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IFERROR(VLOOKUP(July[[#This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IFERROR(VLOOKUP(July[[#This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IFERROR(VLOOKUP(July[[#This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IFERROR(VLOOKUP(July[[#This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IFERROR(VLOOKUP(July[[#This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IFERROR(VLOOKUP(July[[#This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IFERROR(VLOOKUP(July[[#This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IFERROR(VLOOKUP(July[[#This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IFERROR(VLOOKUP(July[[#This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IFERROR(VLOOKUP(July[[#This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IFERROR(VLOOKUP(July[[#This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IFERROR(VLOOKUP(July[[#This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IFERROR(VLOOKUP(July[[#This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IFERROR(VLOOKUP(July[[#This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IFERROR(VLOOKUP(July[[#This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IFERROR(VLOOKUP(July[[#This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IFERROR(VLOOKUP(July[[#This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IFERROR(VLOOKUP(July[[#This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IFERROR(VLOOKUP(July[[#This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IFERROR(VLOOKUP(July[[#This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IFERROR(VLOOKUP(July[[#This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IFERROR(VLOOKUP(July[[#This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IFERROR(VLOOKUP(July[[#This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IFERROR(VLOOKUP(July[[#This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IFERROR(VLOOKUP(July[[#This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IFERROR(VLOOKUP(July[[#This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IFERROR(VLOOKUP(July[[#This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IFERROR(VLOOKUP(July[[#This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IFERROR(VLOOKUP(July[[#This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IFERROR(VLOOKUP(July[[#This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IFERROR(VLOOKUP(July[[#This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IFERROR(VLOOKUP(July[[#This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IFERROR(VLOOKUP(July[[#This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IFERROR(VLOOKUP(July[[#This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IFERROR(VLOOKUP(July[[#This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IFERROR(VLOOKUP(July[[#This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IFERROR(VLOOKUP(July[[#This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IFERROR(VLOOKUP(July[[#This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IFERROR(VLOOKUP(July[[#This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IFERROR(VLOOKUP(July[[#This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IFERROR(VLOOKUP(July[[#This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IFERROR(VLOOKUP(July[[#This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IFERROR(VLOOKUP(July[[#This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IFERROR(VLOOKUP(July[[#This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IFERROR(VLOOKUP(July[[#This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IFERROR(VLOOKUP(July[[#This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IFERROR(VLOOKUP(July[[#This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IFERROR(VLOOKUP(July[[#This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IFERROR(VLOOKUP(July[[#This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IFERROR(VLOOKUP(July[[#This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IFERROR(VLOOKUP(July[[#This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IFERROR(VLOOKUP(July[[#This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IFERROR(VLOOKUP(July[[#This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IFERROR(VLOOKUP(July[[#This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IFERROR(VLOOKUP(July[[#This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IFERROR(VLOOKUP(July[[#This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IFERROR(VLOOKUP(July[[#This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IFERROR(VLOOKUP(July[[#This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IFERROR(VLOOKUP(July[[#This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IFERROR(VLOOKUP(July[[#This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IFERROR(VLOOKUP(July[[#This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IFERROR(VLOOKUP(July[[#This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IFERROR(VLOOKUP(July[[#This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IFERROR(VLOOKUP(July[[#This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IFERROR(VLOOKUP(July[[#This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IFERROR(VLOOKUP(July[[#This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IFERROR(VLOOKUP(July[[#This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IFERROR(VLOOKUP(July[[#This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IFERROR(VLOOKUP(July[[#This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IFERROR(VLOOKUP(July[[#This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IFERROR(VLOOKUP(July[[#This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IFERROR(VLOOKUP(July[[#This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IFERROR(VLOOKUP(July[[#This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IFERROR(VLOOKUP(July[[#This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IFERROR(VLOOKUP(July[[#This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IFERROR(VLOOKUP(July[[#This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IFERROR(VLOOKUP(July[[#This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IFERROR(VLOOKUP(July[[#This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IFERROR(VLOOKUP(July[[#This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IFERROR(VLOOKUP(July[[#This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IFERROR(VLOOKUP(July[[#This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IFERROR(VLOOKUP(July[[#This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IFERROR(VLOOKUP(July[[#This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IFERROR(VLOOKUP(July[[#This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IFERROR(VLOOKUP(July[[#This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IFERROR(VLOOKUP(July[[#This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IFERROR(VLOOKUP(July[[#This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IFERROR(VLOOKUP(July[[#This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IFERROR(VLOOKUP(July[[#This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IFERROR(VLOOKUP(July[[#This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IFERROR(VLOOKUP(July[[#This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IFERROR(VLOOKUP(July[[#This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IFERROR(VLOOKUP(July[[#This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IFERROR(VLOOKUP(July[[#This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IFERROR(VLOOKUP(July[[#This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IFERROR(VLOOKUP(July[[#This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IFERROR(VLOOKUP(July[[#This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IFERROR(VLOOKUP(July[[#This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IFERROR(VLOOKUP(July[[#This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IFERROR(VLOOKUP(July[[#This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IFERROR(VLOOKUP(July[[#This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IFERROR(VLOOKUP(July[[#This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IFERROR(VLOOKUP(July[[#This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IFERROR(VLOOKUP(July[[#This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IFERROR(VLOOKUP(July[[#This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IFERROR(VLOOKUP(July[[#This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IFERROR(VLOOKUP(July[[#This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IFERROR(VLOOKUP(July[[#This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IFERROR(VLOOKUP(July[[#This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IFERROR(VLOOKUP(July[[#This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IFERROR(VLOOKUP(July[[#This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IFERROR(VLOOKUP(July[[#This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IFERROR(VLOOKUP(July[[#This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IFERROR(VLOOKUP(July[[#This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IFERROR(VLOOKUP(July[[#This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IFERROR(VLOOKUP(July[[#This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IFERROR(VLOOKUP(July[[#This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IFERROR(VLOOKUP(July[[#This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IFERROR(VLOOKUP(July[[#This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IFERROR(VLOOKUP(July[[#This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IFERROR(VLOOKUP(July[[#This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IFERROR(VLOOKUP(July[[#This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IFERROR(VLOOKUP(July[[#This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IFERROR(VLOOKUP(July[[#This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IFERROR(VLOOKUP(July[[#This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IFERROR(VLOOKUP(July[[#This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IFERROR(VLOOKUP(July[[#This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IFERROR(VLOOKUP(July[[#This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IFERROR(VLOOKUP(July[[#This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IFERROR(VLOOKUP(July[[#This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IFERROR(VLOOKUP(July[[#This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IFERROR(VLOOKUP(July[[#This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IFERROR(VLOOKUP(July[[#This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IFERROR(VLOOKUP(July[[#This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IFERROR(VLOOKUP(July[[#This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IFERROR(VLOOKUP(July[[#This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IFERROR(VLOOKUP(July[[#This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IFERROR(VLOOKUP(July[[#This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IFERROR(VLOOKUP(July[[#This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IFERROR(VLOOKUP(July[[#This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IFERROR(VLOOKUP(July[[#This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IFERROR(VLOOKUP(July[[#This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IFERROR(VLOOKUP(July[[#This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IFERROR(VLOOKUP(July[[#This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IFERROR(VLOOKUP(July[[#This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IFERROR(VLOOKUP(July[[#This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IFERROR(VLOOKUP(July[[#This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IFERROR(VLOOKUP(July[[#This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IFERROR(VLOOKUP(July[[#This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IFERROR(VLOOKUP(July[[#This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IFERROR(VLOOKUP(July[[#This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IFERROR(VLOOKUP(July[[#This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IFERROR(VLOOKUP(July[[#This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IFERROR(VLOOKUP(July[[#This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IFERROR(VLOOKUP(July[[#This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IFERROR(VLOOKUP(July[[#This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IFERROR(VLOOKUP(July[[#This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IFERROR(VLOOKUP(July[[#This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IFERROR(VLOOKUP(July[[#This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IFERROR(VLOOKUP(July[[#This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IFERROR(VLOOKUP(July[[#This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IFERROR(VLOOKUP(July[[#This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IFERROR(VLOOKUP(July[[#This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IFERROR(VLOOKUP(July[[#This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IFERROR(VLOOKUP(July[[#This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IFERROR(VLOOKUP(July[[#This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IFERROR(VLOOKUP(July[[#This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IFERROR(VLOOKUP(July[[#This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IFERROR(VLOOKUP(July[[#This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IFERROR(VLOOKUP(July[[#This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IFERROR(VLOOKUP(July[[#This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IFERROR(VLOOKUP(July[[#This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IFERROR(VLOOKUP(July[[#This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IFERROR(VLOOKUP(July[[#This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IFERROR(VLOOKUP(July[[#This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IFERROR(VLOOKUP(July[[#This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IFERROR(VLOOKUP(July[[#This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IFERROR(VLOOKUP(July[[#This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IFERROR(VLOOKUP(July[[#This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IFERROR(VLOOKUP(July[[#This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IFERROR(VLOOKUP(July[[#This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IFERROR(VLOOKUP(July[[#This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IFERROR(VLOOKUP(July[[#This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IFERROR(VLOOKUP(July[[#This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IFERROR(VLOOKUP(July[[#This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IFERROR(VLOOKUP(July[[#This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IFERROR(VLOOKUP(July[[#This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IFERROR(VLOOKUP(July[[#This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IFERROR(VLOOKUP(July[[#This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IFERROR(VLOOKUP(July[[#This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IFERROR(VLOOKUP(July[[#This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IFERROR(VLOOKUP(July[[#This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IFERROR(VLOOKUP(July[[#This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IFERROR(VLOOKUP(July[[#This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IFERROR(VLOOKUP(July[[#This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IFERROR(VLOOKUP(July[[#This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IFERROR(VLOOKUP(July[[#This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IFERROR(VLOOKUP(July[[#This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IFERROR(VLOOKUP(July[[#This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IFERROR(VLOOKUP(July[[#This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IFERROR(VLOOKUP(July[[#This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IFERROR(VLOOKUP(July[[#This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IFERROR(VLOOKUP(July[[#This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IFERROR(VLOOKUP(July[[#This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IFERROR(VLOOKUP(July[[#This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IFERROR(VLOOKUP(July[[#This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IFERROR(VLOOKUP(July[[#This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IFERROR(VLOOKUP(July[[#This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IFERROR(VLOOKUP(July[[#This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IFERROR(VLOOKUP(July[[#This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IFERROR(VLOOKUP(July[[#This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IFERROR(VLOOKUP(July[[#This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IFERROR(VLOOKUP(July[[#This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IFERROR(VLOOKUP(July[[#This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IFERROR(VLOOKUP(July[[#This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IFERROR(VLOOKUP(July[[#This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IFERROR(VLOOKUP(July[[#This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IFERROR(VLOOKUP(July[[#This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IFERROR(VLOOKUP(July[[#This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IFERROR(VLOOKUP(July[[#This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IFERROR(VLOOKUP(July[[#This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IFERROR(VLOOKUP(July[[#This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IFERROR(VLOOKUP(July[[#This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IFERROR(VLOOKUP(July[[#This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IFERROR(VLOOKUP(July[[#This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IFERROR(VLOOKUP(July[[#This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IFERROR(VLOOKUP(July[[#This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IFERROR(VLOOKUP(July[[#This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IFERROR(VLOOKUP(July[[#This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IFERROR(VLOOKUP(July[[#This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IFERROR(VLOOKUP(July[[#This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IFERROR(VLOOKUP(July[[#This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IFERROR(VLOOKUP(July[[#This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IFERROR(VLOOKUP(July[[#This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IFERROR(VLOOKUP(July[[#This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IFERROR(VLOOKUP(July[[#This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IFERROR(VLOOKUP(July[[#This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IFERROR(VLOOKUP(July[[#This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IFERROR(VLOOKUP(July[[#This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IFERROR(VLOOKUP(July[[#This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IFERROR(VLOOKUP(July[[#This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IFERROR(VLOOKUP(July[[#This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IFERROR(VLOOKUP(July[[#This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IFERROR(VLOOKUP(July[[#This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IFERROR(VLOOKUP(July[[#This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IFERROR(VLOOKUP(July[[#This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IFERROR(VLOOKUP(July[[#This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IFERROR(VLOOKUP(July[[#This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IFERROR(VLOOKUP(July[[#This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IFERROR(VLOOKUP(July[[#This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IFERROR(VLOOKUP(July[[#This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IFERROR(VLOOKUP(July[[#This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IFERROR(VLOOKUP(July[[#This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IFERROR(VLOOKUP(July[[#This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IFERROR(VLOOKUP(July[[#This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IFERROR(VLOOKUP(July[[#This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IFERROR(VLOOKUP(July[[#This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IFERROR(VLOOKUP(July[[#This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IFERROR(VLOOKUP(July[[#This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IFERROR(VLOOKUP(July[[#This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IFERROR(VLOOKUP(July[[#This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IFERROR(VLOOKUP(July[[#This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IFERROR(VLOOKUP(July[[#This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IFERROR(VLOOKUP(July[[#This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IFERROR(VLOOKUP(July[[#This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IFERROR(VLOOKUP(July[[#This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IFERROR(VLOOKUP(July[[#This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IFERROR(VLOOKUP(July[[#This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IFERROR(VLOOKUP(July[[#This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IFERROR(VLOOKUP(July[[#This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IFERROR(VLOOKUP(July[[#This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IFERROR(VLOOKUP(July[[#This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IFERROR(VLOOKUP(July[[#This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IFERROR(VLOOKUP(July[[#This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IFERROR(VLOOKUP(July[[#This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IFERROR(VLOOKUP(July[[#This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IFERROR(VLOOKUP(July[[#This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IFERROR(VLOOKUP(July[[#This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IFERROR(VLOOKUP(July[[#This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IFERROR(VLOOKUP(July[[#This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IFERROR(VLOOKUP(July[[#This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IFERROR(VLOOKUP(July[[#This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IFERROR(VLOOKUP(July[[#This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IFERROR(VLOOKUP(July[[#This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IFERROR(VLOOKUP(July[[#This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IFERROR(VLOOKUP(July[[#This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IFERROR(VLOOKUP(July[[#This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IFERROR(VLOOKUP(July[[#This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IFERROR(VLOOKUP(July[[#This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IFERROR(VLOOKUP(July[[#This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IFERROR(VLOOKUP(July[[#This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IFERROR(VLOOKUP(July[[#This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IFERROR(VLOOKUP(July[[#This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IFERROR(VLOOKUP(July[[#This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IFERROR(VLOOKUP(July[[#This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IFERROR(VLOOKUP(July[[#This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IFERROR(VLOOKUP(July[[#This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IFERROR(VLOOKUP(July[[#This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IFERROR(VLOOKUP(July[[#This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IFERROR(VLOOKUP(July[[#This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IFERROR(VLOOKUP(July[[#This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IFERROR(VLOOKUP(July[[#This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IFERROR(VLOOKUP(July[[#This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IFERROR(VLOOKUP(July[[#This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IFERROR(VLOOKUP(July[[#This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IFERROR(VLOOKUP(July[[#This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IFERROR(VLOOKUP(July[[#This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IFERROR(VLOOKUP(July[[#This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IFERROR(VLOOKUP(July[[#This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IFERROR(VLOOKUP(July[[#This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IFERROR(VLOOKUP(July[[#This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IFERROR(VLOOKUP(July[[#This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IFERROR(VLOOKUP(July[[#This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IFERROR(VLOOKUP(July[[#This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IFERROR(VLOOKUP(July[[#This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IFERROR(VLOOKUP(July[[#This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IFERROR(VLOOKUP(July[[#This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IFERROR(VLOOKUP(July[[#This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IFERROR(VLOOKUP(July[[#This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IFERROR(VLOOKUP(July[[#This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IFERROR(VLOOKUP(July[[#This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IFERROR(VLOOKUP(July[[#This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IFERROR(VLOOKUP(July[[#This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IFERROR(VLOOKUP(July[[#This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IFERROR(VLOOKUP(July[[#This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IFERROR(VLOOKUP(July[[#This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IFERROR(VLOOKUP(July[[#This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IFERROR(VLOOKUP(July[[#This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IFERROR(VLOOKUP(July[[#This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IFERROR(VLOOKUP(July[[#This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IFERROR(VLOOKUP(July[[#This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IFERROR(VLOOKUP(July[[#This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IFERROR(VLOOKUP(July[[#This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IFERROR(VLOOKUP(July[[#This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IFERROR(VLOOKUP(July[[#This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IFERROR(VLOOKUP(July[[#This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IFERROR(VLOOKUP(July[[#This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IFERROR(VLOOKUP(July[[#This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IFERROR(VLOOKUP(July[[#This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IFERROR(VLOOKUP(July[[#This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IFERROR(VLOOKUP(July[[#This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IFERROR(VLOOKUP(July[[#This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IFERROR(VLOOKUP(July[[#This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IFERROR(VLOOKUP(July[[#This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IFERROR(VLOOKUP(July[[#This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IFERROR(VLOOKUP(July[[#This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IFERROR(VLOOKUP(July[[#This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IFERROR(VLOOKUP(July[[#This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IFERROR(VLOOKUP(July[[#This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IFERROR(VLOOKUP(July[[#This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IFERROR(VLOOKUP(July[[#This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IFERROR(VLOOKUP(July[[#This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IFERROR(VLOOKUP(July[[#This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IFERROR(VLOOKUP(July[[#This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IFERROR(VLOOKUP(July[[#This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IFERROR(VLOOKUP(July[[#This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IFERROR(VLOOKUP(July[[#This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IFERROR(VLOOKUP(July[[#This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IFERROR(VLOOKUP(July[[#This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IFERROR(VLOOKUP(July[[#This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IFERROR(VLOOKUP(July[[#This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IFERROR(VLOOKUP(July[[#This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IFERROR(VLOOKUP(July[[#This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IFERROR(VLOOKUP(July[[#This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IFERROR(VLOOKUP(July[[#This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IFERROR(VLOOKUP(July[[#This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IFERROR(VLOOKUP(July[[#This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IFERROR(VLOOKUP(July[[#This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IFERROR(VLOOKUP(July[[#This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IFERROR(VLOOKUP(July[[#This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IFERROR(VLOOKUP(July[[#This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IFERROR(VLOOKUP(July[[#This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IFERROR(VLOOKUP(July[[#This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IFERROR(VLOOKUP(July[[#This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IFERROR(VLOOKUP(July[[#This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IFERROR(VLOOKUP(July[[#This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IFERROR(VLOOKUP(July[[#This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IFERROR(VLOOKUP(July[[#This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IFERROR(VLOOKUP(July[[#This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IFERROR(VLOOKUP(July[[#This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IFERROR(VLOOKUP(July[[#This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IFERROR(VLOOKUP(July[[#This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IFERROR(VLOOKUP(July[[#This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IFERROR(VLOOKUP(July[[#This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IFERROR(VLOOKUP(July[[#This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IFERROR(VLOOKUP(July[[#This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IFERROR(VLOOKUP(July[[#This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IFERROR(VLOOKUP(July[[#This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IFERROR(VLOOKUP(July[[#This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IFERROR(VLOOKUP(July[[#This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IFERROR(VLOOKUP(July[[#This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IFERROR(VLOOKUP(July[[#This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IFERROR(VLOOKUP(July[[#This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IFERROR(VLOOKUP(July[[#This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IFERROR(VLOOKUP(July[[#This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IFERROR(VLOOKUP(July[[#This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IFERROR(VLOOKUP(July[[#This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IFERROR(VLOOKUP(July[[#This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IFERROR(VLOOKUP(July[[#This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IFERROR(VLOOKUP(July[[#This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IFERROR(VLOOKUP(July[[#This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IFERROR(VLOOKUP(July[[#This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IFERROR(VLOOKUP(July[[#This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IFERROR(VLOOKUP(July[[#This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IFERROR(VLOOKUP(July[[#This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IFERROR(VLOOKUP(July[[#This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IFERROR(VLOOKUP(July[[#This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IFERROR(VLOOKUP(July[[#This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IFERROR(VLOOKUP(July[[#This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IFERROR(VLOOKUP(July[[#This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IFERROR(VLOOKUP(July[[#This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IFERROR(VLOOKUP(July[[#This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IFERROR(VLOOKUP(July[[#This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IFERROR(VLOOKUP(July[[#This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IFERROR(VLOOKUP(July[[#This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IFERROR(VLOOKUP(July[[#This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IFERROR(VLOOKUP(July[[#This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IFERROR(VLOOKUP(July[[#This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IFERROR(VLOOKUP(July[[#This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IFERROR(VLOOKUP(July[[#This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IFERROR(VLOOKUP(July[[#This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IFERROR(VLOOKUP(July[[#This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IFERROR(VLOOKUP(July[[#This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IFERROR(VLOOKUP(July[[#This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IFERROR(VLOOKUP(July[[#This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IFERROR(VLOOKUP(July[[#This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IFERROR(VLOOKUP(July[[#This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IFERROR(VLOOKUP(July[[#This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IFERROR(VLOOKUP(July[[#This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IFERROR(VLOOKUP(July[[#This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IFERROR(VLOOKUP(July[[#This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IFERROR(VLOOKUP(July[[#This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IFERROR(VLOOKUP(July[[#This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IFERROR(VLOOKUP(July[[#This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IFERROR(VLOOKUP(July[[#This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IFERROR(VLOOKUP(July[[#This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IFERROR(VLOOKUP(July[[#This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IFERROR(VLOOKUP(July[[#This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IFERROR(VLOOKUP(July[[#This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IFERROR(VLOOKUP(July[[#This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IFERROR(VLOOKUP(July[[#This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IFERROR(VLOOKUP(July[[#This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IFERROR(VLOOKUP(July[[#This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IFERROR(VLOOKUP(July[[#This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IFERROR(VLOOKUP(July[[#This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IFERROR(VLOOKUP(July[[#This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IFERROR(VLOOKUP(July[[#This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IFERROR(VLOOKUP(July[[#This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IFERROR(VLOOKUP(July[[#This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IFERROR(VLOOKUP(July[[#This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IFERROR(VLOOKUP(July[[#This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IFERROR(VLOOKUP(July[[#This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IFERROR(VLOOKUP(July[[#This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IFERROR(VLOOKUP(July[[#This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IFERROR(VLOOKUP(July[[#This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IFERROR(VLOOKUP(July[[#This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IFERROR(VLOOKUP(July[[#This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IFERROR(VLOOKUP(July[[#This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IFERROR(VLOOKUP(July[[#This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IFERROR(VLOOKUP(July[[#This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IFERROR(VLOOKUP(July[[#This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IFERROR(VLOOKUP(July[[#This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IFERROR(VLOOKUP(July[[#This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IFERROR(VLOOKUP(July[[#This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IFERROR(VLOOKUP(July[[#This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IFERROR(VLOOKUP(July[[#This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IFERROR(VLOOKUP(July[[#This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IFERROR(VLOOKUP(July[[#This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IFERROR(VLOOKUP(July[[#This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IFERROR(VLOOKUP(July[[#This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IFERROR(VLOOKUP(July[[#This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IFERROR(VLOOKUP(July[[#This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IFERROR(VLOOKUP(July[[#This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IFERROR(VLOOKUP(July[[#This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IFERROR(VLOOKUP(July[[#This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IFERROR(VLOOKUP(July[[#This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IFERROR(VLOOKUP(July[[#This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IFERROR(VLOOKUP(July[[#This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IFERROR(VLOOKUP(July[[#This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IFERROR(VLOOKUP(July[[#This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IFERROR(VLOOKUP(July[[#This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IFERROR(VLOOKUP(July[[#This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IFERROR(VLOOKUP(July[[#This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IFERROR(VLOOKUP(July[[#This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IFERROR(VLOOKUP(July[[#This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IFERROR(VLOOKUP(July[[#This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IFERROR(VLOOKUP(July[[#This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IFERROR(VLOOKUP(July[[#This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IFERROR(VLOOKUP(July[[#This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IFERROR(VLOOKUP(July[[#This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IFERROR(VLOOKUP(July[[#This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IFERROR(VLOOKUP(July[[#This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IFERROR(VLOOKUP(July[[#This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IFERROR(VLOOKUP(July[[#This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IFERROR(VLOOKUP(July[[#This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IFERROR(VLOOKUP(July[[#This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IFERROR(VLOOKUP(July[[#This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IFERROR(VLOOKUP(July[[#This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IFERROR(VLOOKUP(July[[#This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IFERROR(VLOOKUP(July[[#This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IFERROR(VLOOKUP(July[[#This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IFERROR(VLOOKUP(July[[#This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IFERROR(VLOOKUP(July[[#This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IFERROR(VLOOKUP(July[[#This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IFERROR(VLOOKUP(July[[#This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IFERROR(VLOOKUP(July[[#This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IFERROR(VLOOKUP(July[[#This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IFERROR(VLOOKUP(July[[#This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IFERROR(VLOOKUP(July[[#This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IFERROR(VLOOKUP(July[[#This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IFERROR(VLOOKUP(July[[#This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IFERROR(VLOOKUP(July[[#This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IFERROR(VLOOKUP(July[[#This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IFERROR(VLOOKUP(July[[#This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IFERROR(VLOOKUP(July[[#This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IFERROR(VLOOKUP(July[[#This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IFERROR(VLOOKUP(July[[#This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IFERROR(VLOOKUP(July[[#This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IFERROR(VLOOKUP(July[[#This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IFERROR(VLOOKUP(July[[#This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IFERROR(VLOOKUP(July[[#This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IFERROR(VLOOKUP(July[[#This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IFERROR(VLOOKUP(July[[#This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IFERROR(VLOOKUP(July[[#This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IFERROR(VLOOKUP(July[[#This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IFERROR(VLOOKUP(July[[#This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IFERROR(VLOOKUP(July[[#This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IFERROR(VLOOKUP(July[[#This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IFERROR(VLOOKUP(July[[#This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IFERROR(VLOOKUP(July[[#This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IFERROR(VLOOKUP(July[[#This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IFERROR(VLOOKUP(July[[#This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IFERROR(VLOOKUP(July[[#This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IFERROR(VLOOKUP(July[[#This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IFERROR(VLOOKUP(July[[#This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IFERROR(VLOOKUP(July[[#This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IFERROR(VLOOKUP(July[[#This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IFERROR(VLOOKUP(July[[#This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IFERROR(VLOOKUP(July[[#This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IFERROR(VLOOKUP(July[[#This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IFERROR(VLOOKUP(July[[#This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IFERROR(VLOOKUP(July[[#This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IFERROR(VLOOKUP(July[[#This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IFERROR(VLOOKUP(July[[#This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IFERROR(VLOOKUP(July[[#This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IFERROR(VLOOKUP(July[[#This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IFERROR(VLOOKUP(July[[#This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IFERROR(VLOOKUP(July[[#This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IFERROR(VLOOKUP(July[[#This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IFERROR(VLOOKUP(July[[#This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IFERROR(VLOOKUP(July[[#This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IFERROR(VLOOKUP(July[[#This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IFERROR(VLOOKUP(July[[#This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IFERROR(VLOOKUP(July[[#This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IFERROR(VLOOKUP(July[[#This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IFERROR(VLOOKUP(July[[#This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IFERROR(VLOOKUP(July[[#This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IFERROR(VLOOKUP(July[[#This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IFERROR(VLOOKUP(July[[#This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IFERROR(VLOOKUP(July[[#This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IFERROR(VLOOKUP(July[[#This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IFERROR(VLOOKUP(July[[#This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IFERROR(VLOOKUP(July[[#This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IFERROR(VLOOKUP(July[[#This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IFERROR(VLOOKUP(July[[#This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IFERROR(VLOOKUP(July[[#This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IFERROR(VLOOKUP(July[[#This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IFERROR(VLOOKUP(July[[#This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IFERROR(VLOOKUP(July[[#This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IFERROR(VLOOKUP(July[[#This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IFERROR(VLOOKUP(July[[#This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IFERROR(VLOOKUP(July[[#This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IFERROR(VLOOKUP(July[[#This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IFERROR(VLOOKUP(July[[#This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IFERROR(VLOOKUP(July[[#This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IFERROR(VLOOKUP(July[[#This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IFERROR(VLOOKUP(July[[#This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IFERROR(VLOOKUP(July[[#This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IFERROR(VLOOKUP(July[[#This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IFERROR(VLOOKUP(July[[#This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IFERROR(VLOOKUP(July[[#This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IFERROR(VLOOKUP(July[[#This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IFERROR(VLOOKUP(July[[#This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IFERROR(VLOOKUP(July[[#This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IFERROR(VLOOKUP(July[[#This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IFERROR(VLOOKUP(July[[#This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IFERROR(VLOOKUP(July[[#This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IFERROR(VLOOKUP(July[[#This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IFERROR(VLOOKUP(July[[#This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IFERROR(VLOOKUP(July[[#This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IFERROR(VLOOKUP(July[[#This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IFERROR(VLOOKUP(July[[#This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IFERROR(VLOOKUP(July[[#This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IFERROR(VLOOKUP(July[[#This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IFERROR(VLOOKUP(July[[#This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IFERROR(VLOOKUP(July[[#This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IFERROR(VLOOKUP(July[[#This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IFERROR(VLOOKUP(July[[#This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IFERROR(VLOOKUP(July[[#This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IFERROR(VLOOKUP(July[[#This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IFERROR(VLOOKUP(July[[#This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IFERROR(VLOOKUP(July[[#This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IFERROR(VLOOKUP(July[[#This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IFERROR(VLOOKUP(July[[#This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IFERROR(VLOOKUP(July[[#This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IFERROR(VLOOKUP(July[[#This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IFERROR(VLOOKUP(July[[#This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IFERROR(VLOOKUP(July[[#This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IFERROR(VLOOKUP(July[[#This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IFERROR(VLOOKUP(July[[#This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IFERROR(VLOOKUP(July[[#This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IFERROR(VLOOKUP(July[[#This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IFERROR(VLOOKUP(July[[#This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IFERROR(VLOOKUP(July[[#This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IFERROR(VLOOKUP(July[[#This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IFERROR(VLOOKUP(July[[#This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IFERROR(VLOOKUP(July[[#This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IFERROR(VLOOKUP(July[[#This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IFERROR(VLOOKUP(July[[#This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IFERROR(VLOOKUP(July[[#This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IFERROR(VLOOKUP(July[[#This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IFERROR(VLOOKUP(July[[#This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IFERROR(VLOOKUP(July[[#This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IFERROR(VLOOKUP(July[[#This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IFERROR(VLOOKUP(July[[#This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IFERROR(VLOOKUP(July[[#This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IFERROR(VLOOKUP(July[[#This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IFERROR(VLOOKUP(July[[#This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IFERROR(VLOOKUP(July[[#This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IFERROR(VLOOKUP(July[[#This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IFERROR(VLOOKUP(July[[#This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IFERROR(VLOOKUP(July[[#This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IFERROR(VLOOKUP(July[[#This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IFERROR(VLOOKUP(July[[#This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IFERROR(VLOOKUP(July[[#This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IFERROR(VLOOKUP(July[[#This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IFERROR(VLOOKUP(July[[#This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IFERROR(VLOOKUP(July[[#This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IFERROR(VLOOKUP(July[[#This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IFERROR(VLOOKUP(July[[#This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IFERROR(VLOOKUP(July[[#This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IFERROR(VLOOKUP(July[[#This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IFERROR(VLOOKUP(July[[#This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IFERROR(VLOOKUP(July[[#This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IFERROR(VLOOKUP(July[[#This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IFERROR(VLOOKUP(July[[#This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IFERROR(VLOOKUP(July[[#This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IFERROR(VLOOKUP(July[[#This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IFERROR(VLOOKUP(July[[#This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IFERROR(VLOOKUP(July[[#This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IFERROR(VLOOKUP(July[[#This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IFERROR(VLOOKUP(July[[#This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IFERROR(VLOOKUP(July[[#This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IFERROR(VLOOKUP(July[[#This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IFERROR(VLOOKUP(July[[#This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IFERROR(VLOOKUP(July[[#This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IFERROR(VLOOKUP(July[[#This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IFERROR(VLOOKUP(July[[#This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IFERROR(VLOOKUP(July[[#This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IFERROR(VLOOKUP(July[[#This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IFERROR(VLOOKUP(July[[#This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IFERROR(VLOOKUP(July[[#This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IFERROR(VLOOKUP(July[[#This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IFERROR(VLOOKUP(July[[#This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IFERROR(VLOOKUP(July[[#This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IFERROR(VLOOKUP(July[[#This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IFERROR(VLOOKUP(July[[#This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IFERROR(VLOOKUP(July[[#This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IFERROR(VLOOKUP(July[[#This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IFERROR(VLOOKUP(July[[#This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IFERROR(VLOOKUP(July[[#This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IFERROR(VLOOKUP(July[[#This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IFERROR(VLOOKUP(July[[#This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IFERROR(VLOOKUP(July[[#This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IFERROR(VLOOKUP(July[[#This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IFERROR(VLOOKUP(July[[#This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IFERROR(VLOOKUP(July[[#This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IFERROR(VLOOKUP(July[[#This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IFERROR(VLOOKUP(July[[#This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IFERROR(VLOOKUP(July[[#This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IFERROR(VLOOKUP(July[[#This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IFERROR(VLOOKUP(July[[#This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IFERROR(VLOOKUP(July[[#This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IFERROR(VLOOKUP(July[[#This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IFERROR(VLOOKUP(July[[#This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IFERROR(VLOOKUP(July[[#This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IFERROR(VLOOKUP(July[[#This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IFERROR(VLOOKUP(July[[#This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IFERROR(VLOOKUP(July[[#This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IFERROR(VLOOKUP(July[[#This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IFERROR(VLOOKUP(July[[#This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IFERROR(VLOOKUP(July[[#This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IFERROR(VLOOKUP(July[[#This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IFERROR(VLOOKUP(July[[#This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IFERROR(VLOOKUP(July[[#This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IFERROR(VLOOKUP(July[[#This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IFERROR(VLOOKUP(July[[#This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IFERROR(VLOOKUP(July[[#This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IFERROR(VLOOKUP(July[[#This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IFERROR(VLOOKUP(July[[#This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IFERROR(VLOOKUP(July[[#This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IFERROR(VLOOKUP(July[[#This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IFERROR(VLOOKUP(July[[#This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IFERROR(VLOOKUP(July[[#This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IFERROR(VLOOKUP(July[[#This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IFERROR(VLOOKUP(July[[#This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IFERROR(VLOOKUP(July[[#This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IFERROR(VLOOKUP(July[[#This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IFERROR(VLOOKUP(July[[#This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IFERROR(VLOOKUP(July[[#This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IFERROR(VLOOKUP(July[[#This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IFERROR(VLOOKUP(July[[#This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IFERROR(VLOOKUP(July[[#This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IFERROR(VLOOKUP(July[[#This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IFERROR(VLOOKUP(July[[#This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IFERROR(VLOOKUP(July[[#This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IFERROR(VLOOKUP(July[[#This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IFERROR(VLOOKUP(July[[#This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IFERROR(VLOOKUP(July[[#This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IFERROR(VLOOKUP(July[[#This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IFERROR(VLOOKUP(July[[#This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IFERROR(VLOOKUP(July[[#This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IFERROR(VLOOKUP(July[[#This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IFERROR(VLOOKUP(July[[#This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IFERROR(VLOOKUP(July[[#This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IFERROR(VLOOKUP(July[[#This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IFERROR(VLOOKUP(July[[#This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IFERROR(VLOOKUP(July[[#This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IFERROR(VLOOKUP(July[[#This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IFERROR(VLOOKUP(July[[#This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IFERROR(VLOOKUP(July[[#This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IFERROR(VLOOKUP(July[[#This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IFERROR(VLOOKUP(July[[#This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IFERROR(VLOOKUP(July[[#This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IFERROR(VLOOKUP(July[[#This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IFERROR(VLOOKUP(July[[#This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IFERROR(VLOOKUP(July[[#This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IFERROR(VLOOKUP(July[[#This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IFERROR(VLOOKUP(July[[#This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IFERROR(VLOOKUP(July[[#This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IFERROR(VLOOKUP(July[[#This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IFERROR(VLOOKUP(July[[#This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IFERROR(VLOOKUP(July[[#This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IFERROR(VLOOKUP(July[[#This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IFERROR(VLOOKUP(July[[#This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IFERROR(VLOOKUP(July[[#This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IFERROR(VLOOKUP(July[[#This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IFERROR(VLOOKUP(July[[#This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IFERROR(VLOOKUP(July[[#This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IFERROR(VLOOKUP(July[[#This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IFERROR(VLOOKUP(July[[#This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IFERROR(VLOOKUP(July[[#This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IFERROR(VLOOKUP(July[[#This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IFERROR(VLOOKUP(July[[#This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IFERROR(VLOOKUP(July[[#This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IFERROR(VLOOKUP(July[[#This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IFERROR(VLOOKUP(July[[#This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IFERROR(VLOOKUP(July[[#This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IFERROR(VLOOKUP(July[[#This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IFERROR(VLOOKUP(July[[#This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IFERROR(VLOOKUP(July[[#This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IFERROR(VLOOKUP(July[[#This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IFERROR(VLOOKUP(July[[#This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IFERROR(VLOOKUP(July[[#This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IFERROR(VLOOKUP(July[[#This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IFERROR(VLOOKUP(July[[#This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IFERROR(VLOOKUP(July[[#This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IFERROR(VLOOKUP(July[[#This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IFERROR(VLOOKUP(July[[#This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IFERROR(VLOOKUP(July[[#This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IFERROR(VLOOKUP(July[[#This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IFERROR(VLOOKUP(July[[#This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IFERROR(VLOOKUP(July[[#This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IFERROR(VLOOKUP(July[[#This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IFERROR(VLOOKUP(July[[#This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IFERROR(VLOOKUP(July[[#This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IFERROR(VLOOKUP(July[[#This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IFERROR(VLOOKUP(July[[#This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IFERROR(VLOOKUP(July[[#This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IFERROR(VLOOKUP(July[[#This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IFERROR(VLOOKUP(July[[#This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IFERROR(VLOOKUP(July[[#This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IFERROR(VLOOKUP(July[[#This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IFERROR(VLOOKUP(July[[#This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IFERROR(VLOOKUP(July[[#This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IFERROR(VLOOKUP(July[[#This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IFERROR(VLOOKUP(July[[#This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IFERROR(VLOOKUP(July[[#This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IFERROR(VLOOKUP(July[[#This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IFERROR(VLOOKUP(July[[#This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IFERROR(VLOOKUP(July[[#This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IFERROR(VLOOKUP(July[[#This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IFERROR(VLOOKUP(July[[#This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IFERROR(VLOOKUP(July[[#This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IFERROR(VLOOKUP(July[[#This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IFERROR(VLOOKUP(July[[#This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IFERROR(VLOOKUP(July[[#This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IFERROR(VLOOKUP(July[[#This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IFERROR(VLOOKUP(July[[#This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IFERROR(VLOOKUP(July[[#This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IFERROR(VLOOKUP(July[[#This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IFERROR(VLOOKUP(July[[#This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IFERROR(VLOOKUP(July[[#This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IFERROR(VLOOKUP(July[[#This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IFERROR(VLOOKUP(July[[#This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IFERROR(VLOOKUP(July[[#This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IFERROR(VLOOKUP(July[[#This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IFERROR(VLOOKUP(July[[#This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IFERROR(VLOOKUP(July[[#This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IFERROR(VLOOKUP(July[[#This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IFERROR(VLOOKUP(July[[#This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IFERROR(VLOOKUP(July[[#This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IFERROR(VLOOKUP(July[[#This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IFERROR(VLOOKUP(July[[#This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IFERROR(VLOOKUP(July[[#This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IFERROR(VLOOKUP(July[[#This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IFERROR(VLOOKUP(July[[#This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IFERROR(VLOOKUP(July[[#This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IFERROR(VLOOKUP(July[[#This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IFERROR(VLOOKUP(July[[#This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IFERROR(VLOOKUP(July[[#This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IFERROR(VLOOKUP(July[[#This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IFERROR(VLOOKUP(July[[#This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IFERROR(VLOOKUP(July[[#This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IFERROR(VLOOKUP(July[[#This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IFERROR(VLOOKUP(July[[#This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IFERROR(VLOOKUP(July[[#This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IFERROR(VLOOKUP(July[[#This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IFERROR(VLOOKUP(July[[#This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IFERROR(VLOOKUP(July[[#This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IFERROR(VLOOKUP(July[[#This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IFERROR(VLOOKUP(July[[#This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IFERROR(VLOOKUP(July[[#This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IFERROR(VLOOKUP(July[[#This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IFERROR(VLOOKUP(July[[#This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IFERROR(VLOOKUP(July[[#This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IFERROR(VLOOKUP(July[[#This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IFERROR(VLOOKUP(July[[#This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IFERROR(VLOOKUP(July[[#This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IFERROR(VLOOKUP(July[[#This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IFERROR(VLOOKUP(July[[#This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IFERROR(VLOOKUP(July[[#This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IFERROR(VLOOKUP(July[[#This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IFERROR(VLOOKUP(July[[#This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IFERROR(VLOOKUP(July[[#This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IFERROR(VLOOKUP(July[[#This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IFERROR(VLOOKUP(July[[#This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IFERROR(VLOOKUP(July[[#This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IFERROR(VLOOKUP(July[[#This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IFERROR(VLOOKUP(July[[#This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IFERROR(VLOOKUP(July[[#This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IFERROR(VLOOKUP(July[[#This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IFERROR(VLOOKUP(July[[#This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IFERROR(VLOOKUP(July[[#This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IFERROR(VLOOKUP(July[[#This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IFERROR(VLOOKUP(July[[#This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IFERROR(VLOOKUP(July[[#This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IFERROR(VLOOKUP(July[[#This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IFERROR(VLOOKUP(July[[#This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IFERROR(VLOOKUP(July[[#This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IFERROR(VLOOKUP(July[[#This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IFERROR(VLOOKUP(July[[#This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IFERROR(VLOOKUP(July[[#This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IFERROR(VLOOKUP(July[[#This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IFERROR(VLOOKUP(July[[#This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IFERROR(VLOOKUP(July[[#This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IFERROR(VLOOKUP(July[[#This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IFERROR(VLOOKUP(July[[#This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IFERROR(VLOOKUP(July[[#This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IFERROR(VLOOKUP(July[[#This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IFERROR(VLOOKUP(July[[#This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IFERROR(VLOOKUP(July[[#This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IFERROR(VLOOKUP(July[[#This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IFERROR(VLOOKUP(July[[#This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IFERROR(VLOOKUP(July[[#This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IFERROR(VLOOKUP(July[[#This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IFERROR(VLOOKUP(July[[#This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IFERROR(VLOOKUP(July[[#This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IFERROR(VLOOKUP(July[[#This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IFERROR(VLOOKUP(July[[#This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IFERROR(VLOOKUP(July[[#This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IFERROR(VLOOKUP(July[[#This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IFERROR(VLOOKUP(July[[#This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IFERROR(VLOOKUP(July[[#This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IFERROR(VLOOKUP(July[[#This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IFERROR(VLOOKUP(July[[#This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IFERROR(VLOOKUP(July[[#This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IFERROR(VLOOKUP(July[[#This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IFERROR(VLOOKUP(July[[#This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IFERROR(VLOOKUP(July[[#This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IFERROR(VLOOKUP(July[[#This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IFERROR(VLOOKUP(July[[#This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IFERROR(VLOOKUP(July[[#This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IFERROR(VLOOKUP(July[[#This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IFERROR(VLOOKUP(July[[#This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IFERROR(VLOOKUP(July[[#This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IFERROR(VLOOKUP(July[[#This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IFERROR(VLOOKUP(July[[#This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IFERROR(VLOOKUP(July[[#This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IFERROR(VLOOKUP(July[[#This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IFERROR(VLOOKUP(July[[#This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IFERROR(VLOOKUP(July[[#This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IFERROR(VLOOKUP(July[[#This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IFERROR(VLOOKUP(July[[#This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IFERROR(VLOOKUP(July[[#This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IFERROR(VLOOKUP(July[[#This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IFERROR(VLOOKUP(July[[#This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IFERROR(VLOOKUP(July[[#This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IFERROR(VLOOKUP(July[[#This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IFERROR(VLOOKUP(July[[#This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IFERROR(VLOOKUP(July[[#This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IFERROR(VLOOKUP(July[[#This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IFERROR(VLOOKUP(July[[#This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IFERROR(VLOOKUP(July[[#This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IFERROR(VLOOKUP(July[[#This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IFERROR(VLOOKUP(July[[#This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IFERROR(VLOOKUP(July[[#This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IFERROR(VLOOKUP(July[[#This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IFERROR(VLOOKUP(July[[#This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IFERROR(VLOOKUP(July[[#This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IFERROR(VLOOKUP(July[[#This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IFERROR(VLOOKUP(July[[#This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IFERROR(VLOOKUP(July[[#This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IFERROR(VLOOKUP(July[[#This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IFERROR(VLOOKUP(July[[#This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IFERROR(VLOOKUP(July[[#This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IFERROR(VLOOKUP(July[[#This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IFERROR(VLOOKUP(July[[#This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IFERROR(VLOOKUP(July[[#This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IFERROR(VLOOKUP(July[[#This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IFERROR(VLOOKUP(July[[#This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IFERROR(VLOOKUP(July[[#This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IFERROR(VLOOKUP(July[[#This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IFERROR(VLOOKUP(July[[#This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IFERROR(VLOOKUP(July[[#This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IFERROR(VLOOKUP(July[[#This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IFERROR(VLOOKUP(July[[#This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IFERROR(VLOOKUP(July[[#This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IFERROR(VLOOKUP(July[[#This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IFERROR(VLOOKUP(July[[#This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IFERROR(VLOOKUP(July[[#This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IFERROR(VLOOKUP(July[[#This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IFERROR(VLOOKUP(July[[#This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IFERROR(VLOOKUP(July[[#This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IFERROR(VLOOKUP(July[[#This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IFERROR(VLOOKUP(July[[#This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IFERROR(VLOOKUP(July[[#This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IFERROR(VLOOKUP(July[[#This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IFERROR(VLOOKUP(July[[#This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IFERROR(VLOOKUP(July[[#This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IFERROR(VLOOKUP(July[[#This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IFERROR(VLOOKUP(July[[#This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IFERROR(VLOOKUP(July[[#This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IFERROR(VLOOKUP(July[[#This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IFERROR(VLOOKUP(July[[#This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IFERROR(VLOOKUP(July[[#This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IFERROR(VLOOKUP(July[[#This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IFERROR(VLOOKUP(July[[#This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IFERROR(VLOOKUP(July[[#This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IFERROR(VLOOKUP(July[[#This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IFERROR(VLOOKUP(July[[#This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IFERROR(VLOOKUP(July[[#This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IFERROR(VLOOKUP(July[[#This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IFERROR(VLOOKUP(July[[#This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IFERROR(VLOOKUP(July[[#This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IFERROR(VLOOKUP(July[[#This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IFERROR(VLOOKUP(July[[#This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IFERROR(VLOOKUP(July[[#This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IFERROR(VLOOKUP(July[[#This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IFERROR(VLOOKUP(July[[#This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IFERROR(VLOOKUP(July[[#This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IFERROR(VLOOKUP(July[[#This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IFERROR(VLOOKUP(July[[#This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IFERROR(VLOOKUP(July[[#This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IFERROR(VLOOKUP(July[[#This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IFERROR(VLOOKUP(July[[#This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IFERROR(VLOOKUP(July[[#This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IFERROR(VLOOKUP(July[[#This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SUBTOTAL(103,July[Location Filled9])</f>
        <v>0</v>
      </c>
    </row>
  </sheetData>
  <sheetProtection algorithmName="SHA-512" hashValue="Zi74M3GUi/9h72YFHWE14OZm3IcR3xyQAnmoMktNNXEdkmmgdAlMy8dojo68Lwl1UkmW5MSPra/StY/ZROam6Q==" saltValue="aux7NgXpXj7HwzS7Rv9zVA==" spinCount="100000" sheet="1" objects="1" scenarios="1"/>
  <mergeCells count="13">
    <mergeCell ref="BS2:BY2"/>
    <mergeCell ref="BZ2:CF2"/>
    <mergeCell ref="CG2:CM2"/>
    <mergeCell ref="A1:J2"/>
    <mergeCell ref="K1:AF1"/>
    <mergeCell ref="AL1:AQ2"/>
    <mergeCell ref="BM1:BR2"/>
    <mergeCell ref="K2:P2"/>
    <mergeCell ref="Q2:V2"/>
    <mergeCell ref="X2:AD2"/>
    <mergeCell ref="AE2:AK2"/>
    <mergeCell ref="AR2:AX2"/>
    <mergeCell ref="BF2:BL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activeCell="G1" sqref="G1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IFERROR(VLOOKUP(August[[#This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IFERROR(VLOOKUP(August[[#This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IFERROR(VLOOKUP(August[[#This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IFERROR(VLOOKUP(August[[#This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IFERROR(VLOOKUP(August[[#This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IFERROR(VLOOKUP(August[[#This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IFERROR(VLOOKUP(August[[#This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IFERROR(VLOOKUP(August[[#This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IFERROR(VLOOKUP(August[[#This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IFERROR(VLOOKUP(August[[#This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IFERROR(VLOOKUP(August[[#This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IFERROR(VLOOKUP(August[[#This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IFERROR(VLOOKUP(August[[#This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IFERROR(VLOOKUP(August[[#This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IFERROR(VLOOKUP(August[[#This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IFERROR(VLOOKUP(August[[#This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IFERROR(VLOOKUP(August[[#This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IFERROR(VLOOKUP(August[[#This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IFERROR(VLOOKUP(August[[#This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IFERROR(VLOOKUP(August[[#This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IFERROR(VLOOKUP(August[[#This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IFERROR(VLOOKUP(August[[#This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IFERROR(VLOOKUP(August[[#This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IFERROR(VLOOKUP(August[[#This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IFERROR(VLOOKUP(August[[#This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IFERROR(VLOOKUP(August[[#This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IFERROR(VLOOKUP(August[[#This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IFERROR(VLOOKUP(August[[#This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IFERROR(VLOOKUP(August[[#This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IFERROR(VLOOKUP(August[[#This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IFERROR(VLOOKUP(August[[#This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IFERROR(VLOOKUP(August[[#This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IFERROR(VLOOKUP(August[[#This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IFERROR(VLOOKUP(August[[#This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IFERROR(VLOOKUP(August[[#This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IFERROR(VLOOKUP(August[[#This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IFERROR(VLOOKUP(August[[#This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IFERROR(VLOOKUP(August[[#This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IFERROR(VLOOKUP(August[[#This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IFERROR(VLOOKUP(August[[#This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IFERROR(VLOOKUP(August[[#This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IFERROR(VLOOKUP(August[[#This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IFERROR(VLOOKUP(August[[#This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IFERROR(VLOOKUP(August[[#This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IFERROR(VLOOKUP(August[[#This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IFERROR(VLOOKUP(August[[#This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IFERROR(VLOOKUP(August[[#This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IFERROR(VLOOKUP(August[[#This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IFERROR(VLOOKUP(August[[#This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IFERROR(VLOOKUP(August[[#This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IFERROR(VLOOKUP(August[[#This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IFERROR(VLOOKUP(August[[#This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IFERROR(VLOOKUP(August[[#This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IFERROR(VLOOKUP(August[[#This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IFERROR(VLOOKUP(August[[#This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IFERROR(VLOOKUP(August[[#This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IFERROR(VLOOKUP(August[[#This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IFERROR(VLOOKUP(August[[#This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IFERROR(VLOOKUP(August[[#This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IFERROR(VLOOKUP(August[[#This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IFERROR(VLOOKUP(August[[#This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IFERROR(VLOOKUP(August[[#This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IFERROR(VLOOKUP(August[[#This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IFERROR(VLOOKUP(August[[#This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IFERROR(VLOOKUP(August[[#This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IFERROR(VLOOKUP(August[[#This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IFERROR(VLOOKUP(August[[#This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IFERROR(VLOOKUP(August[[#This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IFERROR(VLOOKUP(August[[#This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IFERROR(VLOOKUP(August[[#This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IFERROR(VLOOKUP(August[[#This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IFERROR(VLOOKUP(August[[#This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IFERROR(VLOOKUP(August[[#This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IFERROR(VLOOKUP(August[[#This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IFERROR(VLOOKUP(August[[#This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IFERROR(VLOOKUP(August[[#This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IFERROR(VLOOKUP(August[[#This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IFERROR(VLOOKUP(August[[#This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IFERROR(VLOOKUP(August[[#This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IFERROR(VLOOKUP(August[[#This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IFERROR(VLOOKUP(August[[#This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IFERROR(VLOOKUP(August[[#This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IFERROR(VLOOKUP(August[[#This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IFERROR(VLOOKUP(August[[#This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IFERROR(VLOOKUP(August[[#This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IFERROR(VLOOKUP(August[[#This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IFERROR(VLOOKUP(August[[#This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IFERROR(VLOOKUP(August[[#This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IFERROR(VLOOKUP(August[[#This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IFERROR(VLOOKUP(August[[#This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IFERROR(VLOOKUP(August[[#This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IFERROR(VLOOKUP(August[[#This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IFERROR(VLOOKUP(August[[#This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IFERROR(VLOOKUP(August[[#This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IFERROR(VLOOKUP(August[[#This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IFERROR(VLOOKUP(August[[#This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IFERROR(VLOOKUP(August[[#This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IFERROR(VLOOKUP(August[[#This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IFERROR(VLOOKUP(August[[#This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IFERROR(VLOOKUP(August[[#This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IFERROR(VLOOKUP(August[[#This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IFERROR(VLOOKUP(August[[#This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IFERROR(VLOOKUP(August[[#This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IFERROR(VLOOKUP(August[[#This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IFERROR(VLOOKUP(August[[#This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IFERROR(VLOOKUP(August[[#This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IFERROR(VLOOKUP(August[[#This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IFERROR(VLOOKUP(August[[#This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IFERROR(VLOOKUP(August[[#This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IFERROR(VLOOKUP(August[[#This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IFERROR(VLOOKUP(August[[#This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IFERROR(VLOOKUP(August[[#This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IFERROR(VLOOKUP(August[[#This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IFERROR(VLOOKUP(August[[#This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IFERROR(VLOOKUP(August[[#This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IFERROR(VLOOKUP(August[[#This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IFERROR(VLOOKUP(August[[#This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IFERROR(VLOOKUP(August[[#This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IFERROR(VLOOKUP(August[[#This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IFERROR(VLOOKUP(August[[#This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IFERROR(VLOOKUP(August[[#This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IFERROR(VLOOKUP(August[[#This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IFERROR(VLOOKUP(August[[#This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IFERROR(VLOOKUP(August[[#This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IFERROR(VLOOKUP(August[[#This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IFERROR(VLOOKUP(August[[#This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IFERROR(VLOOKUP(August[[#This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IFERROR(VLOOKUP(August[[#This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IFERROR(VLOOKUP(August[[#This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IFERROR(VLOOKUP(August[[#This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IFERROR(VLOOKUP(August[[#This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IFERROR(VLOOKUP(August[[#This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IFERROR(VLOOKUP(August[[#This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IFERROR(VLOOKUP(August[[#This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IFERROR(VLOOKUP(August[[#This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IFERROR(VLOOKUP(August[[#This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IFERROR(VLOOKUP(August[[#This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IFERROR(VLOOKUP(August[[#This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IFERROR(VLOOKUP(August[[#This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IFERROR(VLOOKUP(August[[#This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IFERROR(VLOOKUP(August[[#This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IFERROR(VLOOKUP(August[[#This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IFERROR(VLOOKUP(August[[#This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IFERROR(VLOOKUP(August[[#This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IFERROR(VLOOKUP(August[[#This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IFERROR(VLOOKUP(August[[#This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IFERROR(VLOOKUP(August[[#This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IFERROR(VLOOKUP(August[[#This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IFERROR(VLOOKUP(August[[#This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IFERROR(VLOOKUP(August[[#This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IFERROR(VLOOKUP(August[[#This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IFERROR(VLOOKUP(August[[#This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IFERROR(VLOOKUP(August[[#This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IFERROR(VLOOKUP(August[[#This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IFERROR(VLOOKUP(August[[#This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IFERROR(VLOOKUP(August[[#This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IFERROR(VLOOKUP(August[[#This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IFERROR(VLOOKUP(August[[#This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IFERROR(VLOOKUP(August[[#This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IFERROR(VLOOKUP(August[[#This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IFERROR(VLOOKUP(August[[#This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IFERROR(VLOOKUP(August[[#This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IFERROR(VLOOKUP(August[[#This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IFERROR(VLOOKUP(August[[#This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IFERROR(VLOOKUP(August[[#This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IFERROR(VLOOKUP(August[[#This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IFERROR(VLOOKUP(August[[#This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IFERROR(VLOOKUP(August[[#This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IFERROR(VLOOKUP(August[[#This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IFERROR(VLOOKUP(August[[#This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IFERROR(VLOOKUP(August[[#This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IFERROR(VLOOKUP(August[[#This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IFERROR(VLOOKUP(August[[#This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IFERROR(VLOOKUP(August[[#This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IFERROR(VLOOKUP(August[[#This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IFERROR(VLOOKUP(August[[#This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IFERROR(VLOOKUP(August[[#This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IFERROR(VLOOKUP(August[[#This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IFERROR(VLOOKUP(August[[#This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IFERROR(VLOOKUP(August[[#This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IFERROR(VLOOKUP(August[[#This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IFERROR(VLOOKUP(August[[#This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IFERROR(VLOOKUP(August[[#This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IFERROR(VLOOKUP(August[[#This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IFERROR(VLOOKUP(August[[#This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IFERROR(VLOOKUP(August[[#This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IFERROR(VLOOKUP(August[[#This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IFERROR(VLOOKUP(August[[#This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IFERROR(VLOOKUP(August[[#This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IFERROR(VLOOKUP(August[[#This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IFERROR(VLOOKUP(August[[#This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IFERROR(VLOOKUP(August[[#This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IFERROR(VLOOKUP(August[[#This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IFERROR(VLOOKUP(August[[#This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IFERROR(VLOOKUP(August[[#This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IFERROR(VLOOKUP(August[[#This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IFERROR(VLOOKUP(August[[#This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IFERROR(VLOOKUP(August[[#This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IFERROR(VLOOKUP(August[[#This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IFERROR(VLOOKUP(August[[#This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IFERROR(VLOOKUP(August[[#This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IFERROR(VLOOKUP(August[[#This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IFERROR(VLOOKUP(August[[#This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IFERROR(VLOOKUP(August[[#This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IFERROR(VLOOKUP(August[[#This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IFERROR(VLOOKUP(August[[#This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IFERROR(VLOOKUP(August[[#This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IFERROR(VLOOKUP(August[[#This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IFERROR(VLOOKUP(August[[#This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IFERROR(VLOOKUP(August[[#This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IFERROR(VLOOKUP(August[[#This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IFERROR(VLOOKUP(August[[#This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IFERROR(VLOOKUP(August[[#This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IFERROR(VLOOKUP(August[[#This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IFERROR(VLOOKUP(August[[#This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IFERROR(VLOOKUP(August[[#This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IFERROR(VLOOKUP(August[[#This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IFERROR(VLOOKUP(August[[#This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IFERROR(VLOOKUP(August[[#This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IFERROR(VLOOKUP(August[[#This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IFERROR(VLOOKUP(August[[#This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IFERROR(VLOOKUP(August[[#This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IFERROR(VLOOKUP(August[[#This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IFERROR(VLOOKUP(August[[#This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IFERROR(VLOOKUP(August[[#This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IFERROR(VLOOKUP(August[[#This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IFERROR(VLOOKUP(August[[#This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IFERROR(VLOOKUP(August[[#This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IFERROR(VLOOKUP(August[[#This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IFERROR(VLOOKUP(August[[#This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IFERROR(VLOOKUP(August[[#This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IFERROR(VLOOKUP(August[[#This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IFERROR(VLOOKUP(August[[#This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IFERROR(VLOOKUP(August[[#This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IFERROR(VLOOKUP(August[[#This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IFERROR(VLOOKUP(August[[#This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IFERROR(VLOOKUP(August[[#This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IFERROR(VLOOKUP(August[[#This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IFERROR(VLOOKUP(August[[#This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IFERROR(VLOOKUP(August[[#This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IFERROR(VLOOKUP(August[[#This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IFERROR(VLOOKUP(August[[#This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IFERROR(VLOOKUP(August[[#This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IFERROR(VLOOKUP(August[[#This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IFERROR(VLOOKUP(August[[#This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IFERROR(VLOOKUP(August[[#This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IFERROR(VLOOKUP(August[[#This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IFERROR(VLOOKUP(August[[#This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IFERROR(VLOOKUP(August[[#This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IFERROR(VLOOKUP(August[[#This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IFERROR(VLOOKUP(August[[#This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IFERROR(VLOOKUP(August[[#This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IFERROR(VLOOKUP(August[[#This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IFERROR(VLOOKUP(August[[#This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IFERROR(VLOOKUP(August[[#This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IFERROR(VLOOKUP(August[[#This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IFERROR(VLOOKUP(August[[#This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IFERROR(VLOOKUP(August[[#This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IFERROR(VLOOKUP(August[[#This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IFERROR(VLOOKUP(August[[#This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IFERROR(VLOOKUP(August[[#This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IFERROR(VLOOKUP(August[[#This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IFERROR(VLOOKUP(August[[#This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IFERROR(VLOOKUP(August[[#This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IFERROR(VLOOKUP(August[[#This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IFERROR(VLOOKUP(August[[#This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IFERROR(VLOOKUP(August[[#This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IFERROR(VLOOKUP(August[[#This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IFERROR(VLOOKUP(August[[#This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IFERROR(VLOOKUP(August[[#This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IFERROR(VLOOKUP(August[[#This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IFERROR(VLOOKUP(August[[#This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IFERROR(VLOOKUP(August[[#This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IFERROR(VLOOKUP(August[[#This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IFERROR(VLOOKUP(August[[#This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IFERROR(VLOOKUP(August[[#This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IFERROR(VLOOKUP(August[[#This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IFERROR(VLOOKUP(August[[#This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IFERROR(VLOOKUP(August[[#This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IFERROR(VLOOKUP(August[[#This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IFERROR(VLOOKUP(August[[#This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IFERROR(VLOOKUP(August[[#This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IFERROR(VLOOKUP(August[[#This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IFERROR(VLOOKUP(August[[#This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IFERROR(VLOOKUP(August[[#This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IFERROR(VLOOKUP(August[[#This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IFERROR(VLOOKUP(August[[#This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IFERROR(VLOOKUP(August[[#This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IFERROR(VLOOKUP(August[[#This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IFERROR(VLOOKUP(August[[#This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IFERROR(VLOOKUP(August[[#This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IFERROR(VLOOKUP(August[[#This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IFERROR(VLOOKUP(August[[#This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IFERROR(VLOOKUP(August[[#This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IFERROR(VLOOKUP(August[[#This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IFERROR(VLOOKUP(August[[#This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IFERROR(VLOOKUP(August[[#This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IFERROR(VLOOKUP(August[[#This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IFERROR(VLOOKUP(August[[#This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IFERROR(VLOOKUP(August[[#This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IFERROR(VLOOKUP(August[[#This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IFERROR(VLOOKUP(August[[#This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IFERROR(VLOOKUP(August[[#This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IFERROR(VLOOKUP(August[[#This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IFERROR(VLOOKUP(August[[#This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IFERROR(VLOOKUP(August[[#This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IFERROR(VLOOKUP(August[[#This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IFERROR(VLOOKUP(August[[#This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IFERROR(VLOOKUP(August[[#This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IFERROR(VLOOKUP(August[[#This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IFERROR(VLOOKUP(August[[#This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IFERROR(VLOOKUP(August[[#This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IFERROR(VLOOKUP(August[[#This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IFERROR(VLOOKUP(August[[#This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IFERROR(VLOOKUP(August[[#This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IFERROR(VLOOKUP(August[[#This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IFERROR(VLOOKUP(August[[#This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IFERROR(VLOOKUP(August[[#This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IFERROR(VLOOKUP(August[[#This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IFERROR(VLOOKUP(August[[#This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IFERROR(VLOOKUP(August[[#This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IFERROR(VLOOKUP(August[[#This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IFERROR(VLOOKUP(August[[#This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IFERROR(VLOOKUP(August[[#This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IFERROR(VLOOKUP(August[[#This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IFERROR(VLOOKUP(August[[#This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IFERROR(VLOOKUP(August[[#This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IFERROR(VLOOKUP(August[[#This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IFERROR(VLOOKUP(August[[#This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IFERROR(VLOOKUP(August[[#This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IFERROR(VLOOKUP(August[[#This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IFERROR(VLOOKUP(August[[#This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IFERROR(VLOOKUP(August[[#This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IFERROR(VLOOKUP(August[[#This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IFERROR(VLOOKUP(August[[#This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IFERROR(VLOOKUP(August[[#This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IFERROR(VLOOKUP(August[[#This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IFERROR(VLOOKUP(August[[#This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IFERROR(VLOOKUP(August[[#This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IFERROR(VLOOKUP(August[[#This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IFERROR(VLOOKUP(August[[#This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IFERROR(VLOOKUP(August[[#This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IFERROR(VLOOKUP(August[[#This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IFERROR(VLOOKUP(August[[#This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IFERROR(VLOOKUP(August[[#This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IFERROR(VLOOKUP(August[[#This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IFERROR(VLOOKUP(August[[#This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IFERROR(VLOOKUP(August[[#This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IFERROR(VLOOKUP(August[[#This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IFERROR(VLOOKUP(August[[#This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IFERROR(VLOOKUP(August[[#This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IFERROR(VLOOKUP(August[[#This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IFERROR(VLOOKUP(August[[#This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IFERROR(VLOOKUP(August[[#This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IFERROR(VLOOKUP(August[[#This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IFERROR(VLOOKUP(August[[#This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IFERROR(VLOOKUP(August[[#This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IFERROR(VLOOKUP(August[[#This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IFERROR(VLOOKUP(August[[#This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IFERROR(VLOOKUP(August[[#This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IFERROR(VLOOKUP(August[[#This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IFERROR(VLOOKUP(August[[#This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IFERROR(VLOOKUP(August[[#This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IFERROR(VLOOKUP(August[[#This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IFERROR(VLOOKUP(August[[#This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IFERROR(VLOOKUP(August[[#This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IFERROR(VLOOKUP(August[[#This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IFERROR(VLOOKUP(August[[#This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IFERROR(VLOOKUP(August[[#This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IFERROR(VLOOKUP(August[[#This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IFERROR(VLOOKUP(August[[#This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IFERROR(VLOOKUP(August[[#This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IFERROR(VLOOKUP(August[[#This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IFERROR(VLOOKUP(August[[#This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IFERROR(VLOOKUP(August[[#This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IFERROR(VLOOKUP(August[[#This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IFERROR(VLOOKUP(August[[#This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IFERROR(VLOOKUP(August[[#This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IFERROR(VLOOKUP(August[[#This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IFERROR(VLOOKUP(August[[#This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IFERROR(VLOOKUP(August[[#This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IFERROR(VLOOKUP(August[[#This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IFERROR(VLOOKUP(August[[#This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IFERROR(VLOOKUP(August[[#This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IFERROR(VLOOKUP(August[[#This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IFERROR(VLOOKUP(August[[#This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IFERROR(VLOOKUP(August[[#This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IFERROR(VLOOKUP(August[[#This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IFERROR(VLOOKUP(August[[#This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IFERROR(VLOOKUP(August[[#This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IFERROR(VLOOKUP(August[[#This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IFERROR(VLOOKUP(August[[#This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IFERROR(VLOOKUP(August[[#This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IFERROR(VLOOKUP(August[[#This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IFERROR(VLOOKUP(August[[#This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IFERROR(VLOOKUP(August[[#This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IFERROR(VLOOKUP(August[[#This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IFERROR(VLOOKUP(August[[#This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IFERROR(VLOOKUP(August[[#This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IFERROR(VLOOKUP(August[[#This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IFERROR(VLOOKUP(August[[#This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IFERROR(VLOOKUP(August[[#This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IFERROR(VLOOKUP(August[[#This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IFERROR(VLOOKUP(August[[#This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IFERROR(VLOOKUP(August[[#This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IFERROR(VLOOKUP(August[[#This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IFERROR(VLOOKUP(August[[#This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IFERROR(VLOOKUP(August[[#This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IFERROR(VLOOKUP(August[[#This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IFERROR(VLOOKUP(August[[#This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IFERROR(VLOOKUP(August[[#This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IFERROR(VLOOKUP(August[[#This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IFERROR(VLOOKUP(August[[#This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IFERROR(VLOOKUP(August[[#This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IFERROR(VLOOKUP(August[[#This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IFERROR(VLOOKUP(August[[#This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IFERROR(VLOOKUP(August[[#This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IFERROR(VLOOKUP(August[[#This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IFERROR(VLOOKUP(August[[#This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IFERROR(VLOOKUP(August[[#This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IFERROR(VLOOKUP(August[[#This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IFERROR(VLOOKUP(August[[#This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IFERROR(VLOOKUP(August[[#This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IFERROR(VLOOKUP(August[[#This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IFERROR(VLOOKUP(August[[#This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IFERROR(VLOOKUP(August[[#This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IFERROR(VLOOKUP(August[[#This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IFERROR(VLOOKUP(August[[#This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IFERROR(VLOOKUP(August[[#This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IFERROR(VLOOKUP(August[[#This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IFERROR(VLOOKUP(August[[#This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IFERROR(VLOOKUP(August[[#This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IFERROR(VLOOKUP(August[[#This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IFERROR(VLOOKUP(August[[#This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IFERROR(VLOOKUP(August[[#This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IFERROR(VLOOKUP(August[[#This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IFERROR(VLOOKUP(August[[#This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IFERROR(VLOOKUP(August[[#This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IFERROR(VLOOKUP(August[[#This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IFERROR(VLOOKUP(August[[#This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IFERROR(VLOOKUP(August[[#This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IFERROR(VLOOKUP(August[[#This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IFERROR(VLOOKUP(August[[#This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IFERROR(VLOOKUP(August[[#This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IFERROR(VLOOKUP(August[[#This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IFERROR(VLOOKUP(August[[#This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IFERROR(VLOOKUP(August[[#This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IFERROR(VLOOKUP(August[[#This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IFERROR(VLOOKUP(August[[#This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IFERROR(VLOOKUP(August[[#This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IFERROR(VLOOKUP(August[[#This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IFERROR(VLOOKUP(August[[#This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IFERROR(VLOOKUP(August[[#This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IFERROR(VLOOKUP(August[[#This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IFERROR(VLOOKUP(August[[#This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IFERROR(VLOOKUP(August[[#This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IFERROR(VLOOKUP(August[[#This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IFERROR(VLOOKUP(August[[#This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IFERROR(VLOOKUP(August[[#This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IFERROR(VLOOKUP(August[[#This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IFERROR(VLOOKUP(August[[#This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IFERROR(VLOOKUP(August[[#This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IFERROR(VLOOKUP(August[[#This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IFERROR(VLOOKUP(August[[#This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IFERROR(VLOOKUP(August[[#This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IFERROR(VLOOKUP(August[[#This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IFERROR(VLOOKUP(August[[#This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IFERROR(VLOOKUP(August[[#This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IFERROR(VLOOKUP(August[[#This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IFERROR(VLOOKUP(August[[#This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IFERROR(VLOOKUP(August[[#This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IFERROR(VLOOKUP(August[[#This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IFERROR(VLOOKUP(August[[#This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IFERROR(VLOOKUP(August[[#This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IFERROR(VLOOKUP(August[[#This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IFERROR(VLOOKUP(August[[#This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IFERROR(VLOOKUP(August[[#This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IFERROR(VLOOKUP(August[[#This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IFERROR(VLOOKUP(August[[#This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IFERROR(VLOOKUP(August[[#This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IFERROR(VLOOKUP(August[[#This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IFERROR(VLOOKUP(August[[#This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IFERROR(VLOOKUP(August[[#This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IFERROR(VLOOKUP(August[[#This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IFERROR(VLOOKUP(August[[#This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IFERROR(VLOOKUP(August[[#This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IFERROR(VLOOKUP(August[[#This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IFERROR(VLOOKUP(August[[#This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IFERROR(VLOOKUP(August[[#This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IFERROR(VLOOKUP(August[[#This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IFERROR(VLOOKUP(August[[#This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IFERROR(VLOOKUP(August[[#This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IFERROR(VLOOKUP(August[[#This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IFERROR(VLOOKUP(August[[#This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IFERROR(VLOOKUP(August[[#This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IFERROR(VLOOKUP(August[[#This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IFERROR(VLOOKUP(August[[#This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IFERROR(VLOOKUP(August[[#This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IFERROR(VLOOKUP(August[[#This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IFERROR(VLOOKUP(August[[#This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IFERROR(VLOOKUP(August[[#This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IFERROR(VLOOKUP(August[[#This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IFERROR(VLOOKUP(August[[#This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IFERROR(VLOOKUP(August[[#This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IFERROR(VLOOKUP(August[[#This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IFERROR(VLOOKUP(August[[#This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IFERROR(VLOOKUP(August[[#This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IFERROR(VLOOKUP(August[[#This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IFERROR(VLOOKUP(August[[#This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IFERROR(VLOOKUP(August[[#This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IFERROR(VLOOKUP(August[[#This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IFERROR(VLOOKUP(August[[#This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IFERROR(VLOOKUP(August[[#This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IFERROR(VLOOKUP(August[[#This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IFERROR(VLOOKUP(August[[#This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IFERROR(VLOOKUP(August[[#This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IFERROR(VLOOKUP(August[[#This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IFERROR(VLOOKUP(August[[#This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IFERROR(VLOOKUP(August[[#This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IFERROR(VLOOKUP(August[[#This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IFERROR(VLOOKUP(August[[#This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IFERROR(VLOOKUP(August[[#This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IFERROR(VLOOKUP(August[[#This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IFERROR(VLOOKUP(August[[#This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IFERROR(VLOOKUP(August[[#This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IFERROR(VLOOKUP(August[[#This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IFERROR(VLOOKUP(August[[#This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IFERROR(VLOOKUP(August[[#This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IFERROR(VLOOKUP(August[[#This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IFERROR(VLOOKUP(August[[#This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IFERROR(VLOOKUP(August[[#This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IFERROR(VLOOKUP(August[[#This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IFERROR(VLOOKUP(August[[#This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IFERROR(VLOOKUP(August[[#This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IFERROR(VLOOKUP(August[[#This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IFERROR(VLOOKUP(August[[#This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IFERROR(VLOOKUP(August[[#This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IFERROR(VLOOKUP(August[[#This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IFERROR(VLOOKUP(August[[#This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IFERROR(VLOOKUP(August[[#This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IFERROR(VLOOKUP(August[[#This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IFERROR(VLOOKUP(August[[#This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IFERROR(VLOOKUP(August[[#This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IFERROR(VLOOKUP(August[[#This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IFERROR(VLOOKUP(August[[#This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IFERROR(VLOOKUP(August[[#This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IFERROR(VLOOKUP(August[[#This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IFERROR(VLOOKUP(August[[#This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IFERROR(VLOOKUP(August[[#This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IFERROR(VLOOKUP(August[[#This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IFERROR(VLOOKUP(August[[#This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IFERROR(VLOOKUP(August[[#This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IFERROR(VLOOKUP(August[[#This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IFERROR(VLOOKUP(August[[#This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IFERROR(VLOOKUP(August[[#This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IFERROR(VLOOKUP(August[[#This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IFERROR(VLOOKUP(August[[#This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IFERROR(VLOOKUP(August[[#This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IFERROR(VLOOKUP(August[[#This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IFERROR(VLOOKUP(August[[#This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IFERROR(VLOOKUP(August[[#This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IFERROR(VLOOKUP(August[[#This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IFERROR(VLOOKUP(August[[#This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IFERROR(VLOOKUP(August[[#This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IFERROR(VLOOKUP(August[[#This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IFERROR(VLOOKUP(August[[#This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IFERROR(VLOOKUP(August[[#This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IFERROR(VLOOKUP(August[[#This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IFERROR(VLOOKUP(August[[#This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IFERROR(VLOOKUP(August[[#This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IFERROR(VLOOKUP(August[[#This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IFERROR(VLOOKUP(August[[#This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IFERROR(VLOOKUP(August[[#This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IFERROR(VLOOKUP(August[[#This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IFERROR(VLOOKUP(August[[#This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IFERROR(VLOOKUP(August[[#This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IFERROR(VLOOKUP(August[[#This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IFERROR(VLOOKUP(August[[#This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IFERROR(VLOOKUP(August[[#This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IFERROR(VLOOKUP(August[[#This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IFERROR(VLOOKUP(August[[#This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IFERROR(VLOOKUP(August[[#This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IFERROR(VLOOKUP(August[[#This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IFERROR(VLOOKUP(August[[#This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IFERROR(VLOOKUP(August[[#This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IFERROR(VLOOKUP(August[[#This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IFERROR(VLOOKUP(August[[#This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IFERROR(VLOOKUP(August[[#This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IFERROR(VLOOKUP(August[[#This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IFERROR(VLOOKUP(August[[#This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IFERROR(VLOOKUP(August[[#This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IFERROR(VLOOKUP(August[[#This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IFERROR(VLOOKUP(August[[#This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IFERROR(VLOOKUP(August[[#This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IFERROR(VLOOKUP(August[[#This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IFERROR(VLOOKUP(August[[#This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IFERROR(VLOOKUP(August[[#This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IFERROR(VLOOKUP(August[[#This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IFERROR(VLOOKUP(August[[#This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IFERROR(VLOOKUP(August[[#This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IFERROR(VLOOKUP(August[[#This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IFERROR(VLOOKUP(August[[#This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IFERROR(VLOOKUP(August[[#This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IFERROR(VLOOKUP(August[[#This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IFERROR(VLOOKUP(August[[#This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IFERROR(VLOOKUP(August[[#This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IFERROR(VLOOKUP(August[[#This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IFERROR(VLOOKUP(August[[#This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IFERROR(VLOOKUP(August[[#This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IFERROR(VLOOKUP(August[[#This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IFERROR(VLOOKUP(August[[#This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IFERROR(VLOOKUP(August[[#This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IFERROR(VLOOKUP(August[[#This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IFERROR(VLOOKUP(August[[#This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IFERROR(VLOOKUP(August[[#This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IFERROR(VLOOKUP(August[[#This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IFERROR(VLOOKUP(August[[#This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IFERROR(VLOOKUP(August[[#This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IFERROR(VLOOKUP(August[[#This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IFERROR(VLOOKUP(August[[#This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IFERROR(VLOOKUP(August[[#This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IFERROR(VLOOKUP(August[[#This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IFERROR(VLOOKUP(August[[#This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IFERROR(VLOOKUP(August[[#This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IFERROR(VLOOKUP(August[[#This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IFERROR(VLOOKUP(August[[#This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IFERROR(VLOOKUP(August[[#This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IFERROR(VLOOKUP(August[[#This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IFERROR(VLOOKUP(August[[#This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IFERROR(VLOOKUP(August[[#This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IFERROR(VLOOKUP(August[[#This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IFERROR(VLOOKUP(August[[#This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IFERROR(VLOOKUP(August[[#This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IFERROR(VLOOKUP(August[[#This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IFERROR(VLOOKUP(August[[#This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IFERROR(VLOOKUP(August[[#This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IFERROR(VLOOKUP(August[[#This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IFERROR(VLOOKUP(August[[#This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IFERROR(VLOOKUP(August[[#This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IFERROR(VLOOKUP(August[[#This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IFERROR(VLOOKUP(August[[#This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IFERROR(VLOOKUP(August[[#This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IFERROR(VLOOKUP(August[[#This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IFERROR(VLOOKUP(August[[#This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IFERROR(VLOOKUP(August[[#This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IFERROR(VLOOKUP(August[[#This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IFERROR(VLOOKUP(August[[#This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IFERROR(VLOOKUP(August[[#This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IFERROR(VLOOKUP(August[[#This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IFERROR(VLOOKUP(August[[#This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IFERROR(VLOOKUP(August[[#This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IFERROR(VLOOKUP(August[[#This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IFERROR(VLOOKUP(August[[#This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IFERROR(VLOOKUP(August[[#This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IFERROR(VLOOKUP(August[[#This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IFERROR(VLOOKUP(August[[#This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IFERROR(VLOOKUP(August[[#This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IFERROR(VLOOKUP(August[[#This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IFERROR(VLOOKUP(August[[#This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IFERROR(VLOOKUP(August[[#This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IFERROR(VLOOKUP(August[[#This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IFERROR(VLOOKUP(August[[#This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IFERROR(VLOOKUP(August[[#This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IFERROR(VLOOKUP(August[[#This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IFERROR(VLOOKUP(August[[#This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IFERROR(VLOOKUP(August[[#This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IFERROR(VLOOKUP(August[[#This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IFERROR(VLOOKUP(August[[#This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IFERROR(VLOOKUP(August[[#This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IFERROR(VLOOKUP(August[[#This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IFERROR(VLOOKUP(August[[#This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IFERROR(VLOOKUP(August[[#This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IFERROR(VLOOKUP(August[[#This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IFERROR(VLOOKUP(August[[#This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IFERROR(VLOOKUP(August[[#This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IFERROR(VLOOKUP(August[[#This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IFERROR(VLOOKUP(August[[#This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IFERROR(VLOOKUP(August[[#This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IFERROR(VLOOKUP(August[[#This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IFERROR(VLOOKUP(August[[#This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IFERROR(VLOOKUP(August[[#This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IFERROR(VLOOKUP(August[[#This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IFERROR(VLOOKUP(August[[#This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IFERROR(VLOOKUP(August[[#This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IFERROR(VLOOKUP(August[[#This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IFERROR(VLOOKUP(August[[#This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IFERROR(VLOOKUP(August[[#This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IFERROR(VLOOKUP(August[[#This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IFERROR(VLOOKUP(August[[#This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IFERROR(VLOOKUP(August[[#This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IFERROR(VLOOKUP(August[[#This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IFERROR(VLOOKUP(August[[#This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IFERROR(VLOOKUP(August[[#This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IFERROR(VLOOKUP(August[[#This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IFERROR(VLOOKUP(August[[#This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IFERROR(VLOOKUP(August[[#This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IFERROR(VLOOKUP(August[[#This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IFERROR(VLOOKUP(August[[#This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IFERROR(VLOOKUP(August[[#This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IFERROR(VLOOKUP(August[[#This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IFERROR(VLOOKUP(August[[#This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IFERROR(VLOOKUP(August[[#This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IFERROR(VLOOKUP(August[[#This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IFERROR(VLOOKUP(August[[#This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IFERROR(VLOOKUP(August[[#This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IFERROR(VLOOKUP(August[[#This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IFERROR(VLOOKUP(August[[#This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IFERROR(VLOOKUP(August[[#This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IFERROR(VLOOKUP(August[[#This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IFERROR(VLOOKUP(August[[#This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IFERROR(VLOOKUP(August[[#This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IFERROR(VLOOKUP(August[[#This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IFERROR(VLOOKUP(August[[#This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IFERROR(VLOOKUP(August[[#This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IFERROR(VLOOKUP(August[[#This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IFERROR(VLOOKUP(August[[#This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IFERROR(VLOOKUP(August[[#This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IFERROR(VLOOKUP(August[[#This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IFERROR(VLOOKUP(August[[#This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IFERROR(VLOOKUP(August[[#This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IFERROR(VLOOKUP(August[[#This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IFERROR(VLOOKUP(August[[#This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IFERROR(VLOOKUP(August[[#This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IFERROR(VLOOKUP(August[[#This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IFERROR(VLOOKUP(August[[#This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IFERROR(VLOOKUP(August[[#This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IFERROR(VLOOKUP(August[[#This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IFERROR(VLOOKUP(August[[#This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IFERROR(VLOOKUP(August[[#This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IFERROR(VLOOKUP(August[[#This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IFERROR(VLOOKUP(August[[#This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IFERROR(VLOOKUP(August[[#This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IFERROR(VLOOKUP(August[[#This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IFERROR(VLOOKUP(August[[#This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IFERROR(VLOOKUP(August[[#This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IFERROR(VLOOKUP(August[[#This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IFERROR(VLOOKUP(August[[#This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IFERROR(VLOOKUP(August[[#This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IFERROR(VLOOKUP(August[[#This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IFERROR(VLOOKUP(August[[#This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IFERROR(VLOOKUP(August[[#This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IFERROR(VLOOKUP(August[[#This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IFERROR(VLOOKUP(August[[#This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IFERROR(VLOOKUP(August[[#This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IFERROR(VLOOKUP(August[[#This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IFERROR(VLOOKUP(August[[#This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IFERROR(VLOOKUP(August[[#This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IFERROR(VLOOKUP(August[[#This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IFERROR(VLOOKUP(August[[#This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IFERROR(VLOOKUP(August[[#This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IFERROR(VLOOKUP(August[[#This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IFERROR(VLOOKUP(August[[#This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IFERROR(VLOOKUP(August[[#This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IFERROR(VLOOKUP(August[[#This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IFERROR(VLOOKUP(August[[#This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IFERROR(VLOOKUP(August[[#This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IFERROR(VLOOKUP(August[[#This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IFERROR(VLOOKUP(August[[#This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IFERROR(VLOOKUP(August[[#This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IFERROR(VLOOKUP(August[[#This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IFERROR(VLOOKUP(August[[#This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IFERROR(VLOOKUP(August[[#This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IFERROR(VLOOKUP(August[[#This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IFERROR(VLOOKUP(August[[#This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IFERROR(VLOOKUP(August[[#This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IFERROR(VLOOKUP(August[[#This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IFERROR(VLOOKUP(August[[#This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IFERROR(VLOOKUP(August[[#This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IFERROR(VLOOKUP(August[[#This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IFERROR(VLOOKUP(August[[#This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IFERROR(VLOOKUP(August[[#This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IFERROR(VLOOKUP(August[[#This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IFERROR(VLOOKUP(August[[#This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IFERROR(VLOOKUP(August[[#This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IFERROR(VLOOKUP(August[[#This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IFERROR(VLOOKUP(August[[#This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IFERROR(VLOOKUP(August[[#This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IFERROR(VLOOKUP(August[[#This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IFERROR(VLOOKUP(August[[#This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IFERROR(VLOOKUP(August[[#This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IFERROR(VLOOKUP(August[[#This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IFERROR(VLOOKUP(August[[#This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IFERROR(VLOOKUP(August[[#This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IFERROR(VLOOKUP(August[[#This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IFERROR(VLOOKUP(August[[#This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IFERROR(VLOOKUP(August[[#This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IFERROR(VLOOKUP(August[[#This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IFERROR(VLOOKUP(August[[#This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IFERROR(VLOOKUP(August[[#This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IFERROR(VLOOKUP(August[[#This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IFERROR(VLOOKUP(August[[#This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IFERROR(VLOOKUP(August[[#This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IFERROR(VLOOKUP(August[[#This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IFERROR(VLOOKUP(August[[#This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IFERROR(VLOOKUP(August[[#This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IFERROR(VLOOKUP(August[[#This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IFERROR(VLOOKUP(August[[#This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IFERROR(VLOOKUP(August[[#This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IFERROR(VLOOKUP(August[[#This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IFERROR(VLOOKUP(August[[#This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IFERROR(VLOOKUP(August[[#This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IFERROR(VLOOKUP(August[[#This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IFERROR(VLOOKUP(August[[#This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IFERROR(VLOOKUP(August[[#This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IFERROR(VLOOKUP(August[[#This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IFERROR(VLOOKUP(August[[#This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IFERROR(VLOOKUP(August[[#This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IFERROR(VLOOKUP(August[[#This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IFERROR(VLOOKUP(August[[#This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IFERROR(VLOOKUP(August[[#This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IFERROR(VLOOKUP(August[[#This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IFERROR(VLOOKUP(August[[#This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IFERROR(VLOOKUP(August[[#This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IFERROR(VLOOKUP(August[[#This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IFERROR(VLOOKUP(August[[#This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IFERROR(VLOOKUP(August[[#This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IFERROR(VLOOKUP(August[[#This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IFERROR(VLOOKUP(August[[#This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IFERROR(VLOOKUP(August[[#This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IFERROR(VLOOKUP(August[[#This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IFERROR(VLOOKUP(August[[#This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IFERROR(VLOOKUP(August[[#This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IFERROR(VLOOKUP(August[[#This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IFERROR(VLOOKUP(August[[#This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IFERROR(VLOOKUP(August[[#This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IFERROR(VLOOKUP(August[[#This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IFERROR(VLOOKUP(August[[#This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IFERROR(VLOOKUP(August[[#This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IFERROR(VLOOKUP(August[[#This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IFERROR(VLOOKUP(August[[#This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IFERROR(VLOOKUP(August[[#This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IFERROR(VLOOKUP(August[[#This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IFERROR(VLOOKUP(August[[#This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IFERROR(VLOOKUP(August[[#This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IFERROR(VLOOKUP(August[[#This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IFERROR(VLOOKUP(August[[#This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IFERROR(VLOOKUP(August[[#This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IFERROR(VLOOKUP(August[[#This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IFERROR(VLOOKUP(August[[#This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IFERROR(VLOOKUP(August[[#This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IFERROR(VLOOKUP(August[[#This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IFERROR(VLOOKUP(August[[#This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IFERROR(VLOOKUP(August[[#This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IFERROR(VLOOKUP(August[[#This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IFERROR(VLOOKUP(August[[#This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IFERROR(VLOOKUP(August[[#This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IFERROR(VLOOKUP(August[[#This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IFERROR(VLOOKUP(August[[#This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IFERROR(VLOOKUP(August[[#This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IFERROR(VLOOKUP(August[[#This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IFERROR(VLOOKUP(August[[#This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IFERROR(VLOOKUP(August[[#This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IFERROR(VLOOKUP(August[[#This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IFERROR(VLOOKUP(August[[#This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IFERROR(VLOOKUP(August[[#This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IFERROR(VLOOKUP(August[[#This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IFERROR(VLOOKUP(August[[#This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IFERROR(VLOOKUP(August[[#This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IFERROR(VLOOKUP(August[[#This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IFERROR(VLOOKUP(August[[#This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IFERROR(VLOOKUP(August[[#This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IFERROR(VLOOKUP(August[[#This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IFERROR(VLOOKUP(August[[#This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IFERROR(VLOOKUP(August[[#This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IFERROR(VLOOKUP(August[[#This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IFERROR(VLOOKUP(August[[#This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IFERROR(VLOOKUP(August[[#This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IFERROR(VLOOKUP(August[[#This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IFERROR(VLOOKUP(August[[#This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IFERROR(VLOOKUP(August[[#This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IFERROR(VLOOKUP(August[[#This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IFERROR(VLOOKUP(August[[#This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IFERROR(VLOOKUP(August[[#This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IFERROR(VLOOKUP(August[[#This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IFERROR(VLOOKUP(August[[#This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IFERROR(VLOOKUP(August[[#This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IFERROR(VLOOKUP(August[[#This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IFERROR(VLOOKUP(August[[#This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IFERROR(VLOOKUP(August[[#This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IFERROR(VLOOKUP(August[[#This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IFERROR(VLOOKUP(August[[#This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IFERROR(VLOOKUP(August[[#This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IFERROR(VLOOKUP(August[[#This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IFERROR(VLOOKUP(August[[#This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IFERROR(VLOOKUP(August[[#This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IFERROR(VLOOKUP(August[[#This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IFERROR(VLOOKUP(August[[#This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IFERROR(VLOOKUP(August[[#This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IFERROR(VLOOKUP(August[[#This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IFERROR(VLOOKUP(August[[#This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IFERROR(VLOOKUP(August[[#This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IFERROR(VLOOKUP(August[[#This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IFERROR(VLOOKUP(August[[#This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IFERROR(VLOOKUP(August[[#This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IFERROR(VLOOKUP(August[[#This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IFERROR(VLOOKUP(August[[#This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IFERROR(VLOOKUP(August[[#This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IFERROR(VLOOKUP(August[[#This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IFERROR(VLOOKUP(August[[#This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IFERROR(VLOOKUP(August[[#This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IFERROR(VLOOKUP(August[[#This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IFERROR(VLOOKUP(August[[#This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IFERROR(VLOOKUP(August[[#This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IFERROR(VLOOKUP(August[[#This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IFERROR(VLOOKUP(August[[#This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IFERROR(VLOOKUP(August[[#This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IFERROR(VLOOKUP(August[[#This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IFERROR(VLOOKUP(August[[#This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IFERROR(VLOOKUP(August[[#This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IFERROR(VLOOKUP(August[[#This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IFERROR(VLOOKUP(August[[#This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IFERROR(VLOOKUP(August[[#This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IFERROR(VLOOKUP(August[[#This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IFERROR(VLOOKUP(August[[#This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IFERROR(VLOOKUP(August[[#This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IFERROR(VLOOKUP(August[[#This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IFERROR(VLOOKUP(August[[#This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IFERROR(VLOOKUP(August[[#This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IFERROR(VLOOKUP(August[[#This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IFERROR(VLOOKUP(August[[#This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IFERROR(VLOOKUP(August[[#This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IFERROR(VLOOKUP(August[[#This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IFERROR(VLOOKUP(August[[#This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IFERROR(VLOOKUP(August[[#This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IFERROR(VLOOKUP(August[[#This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IFERROR(VLOOKUP(August[[#This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IFERROR(VLOOKUP(August[[#This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IFERROR(VLOOKUP(August[[#This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IFERROR(VLOOKUP(August[[#This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IFERROR(VLOOKUP(August[[#This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IFERROR(VLOOKUP(August[[#This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IFERROR(VLOOKUP(August[[#This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IFERROR(VLOOKUP(August[[#This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IFERROR(VLOOKUP(August[[#This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IFERROR(VLOOKUP(August[[#This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IFERROR(VLOOKUP(August[[#This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IFERROR(VLOOKUP(August[[#This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IFERROR(VLOOKUP(August[[#This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IFERROR(VLOOKUP(August[[#This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IFERROR(VLOOKUP(August[[#This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IFERROR(VLOOKUP(August[[#This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IFERROR(VLOOKUP(August[[#This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IFERROR(VLOOKUP(August[[#This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IFERROR(VLOOKUP(August[[#This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IFERROR(VLOOKUP(August[[#This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IFERROR(VLOOKUP(August[[#This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IFERROR(VLOOKUP(August[[#This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IFERROR(VLOOKUP(August[[#This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IFERROR(VLOOKUP(August[[#This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IFERROR(VLOOKUP(August[[#This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IFERROR(VLOOKUP(August[[#This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IFERROR(VLOOKUP(August[[#This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IFERROR(VLOOKUP(August[[#This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IFERROR(VLOOKUP(August[[#This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IFERROR(VLOOKUP(August[[#This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IFERROR(VLOOKUP(August[[#This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IFERROR(VLOOKUP(August[[#This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IFERROR(VLOOKUP(August[[#This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IFERROR(VLOOKUP(August[[#This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IFERROR(VLOOKUP(August[[#This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IFERROR(VLOOKUP(August[[#This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IFERROR(VLOOKUP(August[[#This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IFERROR(VLOOKUP(August[[#This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IFERROR(VLOOKUP(August[[#This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IFERROR(VLOOKUP(August[[#This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IFERROR(VLOOKUP(August[[#This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IFERROR(VLOOKUP(August[[#This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IFERROR(VLOOKUP(August[[#This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IFERROR(VLOOKUP(August[[#This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IFERROR(VLOOKUP(August[[#This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IFERROR(VLOOKUP(August[[#This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IFERROR(VLOOKUP(August[[#This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IFERROR(VLOOKUP(August[[#This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IFERROR(VLOOKUP(August[[#This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IFERROR(VLOOKUP(August[[#This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IFERROR(VLOOKUP(August[[#This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IFERROR(VLOOKUP(August[[#This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IFERROR(VLOOKUP(August[[#This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IFERROR(VLOOKUP(August[[#This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IFERROR(VLOOKUP(August[[#This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IFERROR(VLOOKUP(August[[#This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IFERROR(VLOOKUP(August[[#This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IFERROR(VLOOKUP(August[[#This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IFERROR(VLOOKUP(August[[#This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IFERROR(VLOOKUP(August[[#This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IFERROR(VLOOKUP(August[[#This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IFERROR(VLOOKUP(August[[#This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IFERROR(VLOOKUP(August[[#This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IFERROR(VLOOKUP(August[[#This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IFERROR(VLOOKUP(August[[#This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IFERROR(VLOOKUP(August[[#This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IFERROR(VLOOKUP(August[[#This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IFERROR(VLOOKUP(August[[#This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IFERROR(VLOOKUP(August[[#This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IFERROR(VLOOKUP(August[[#This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IFERROR(VLOOKUP(August[[#This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IFERROR(VLOOKUP(August[[#This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IFERROR(VLOOKUP(August[[#This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IFERROR(VLOOKUP(August[[#This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IFERROR(VLOOKUP(August[[#This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IFERROR(VLOOKUP(August[[#This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IFERROR(VLOOKUP(August[[#This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IFERROR(VLOOKUP(August[[#This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IFERROR(VLOOKUP(August[[#This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IFERROR(VLOOKUP(August[[#This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IFERROR(VLOOKUP(August[[#This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IFERROR(VLOOKUP(August[[#This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IFERROR(VLOOKUP(August[[#This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IFERROR(VLOOKUP(August[[#This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IFERROR(VLOOKUP(August[[#This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IFERROR(VLOOKUP(August[[#This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IFERROR(VLOOKUP(August[[#This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IFERROR(VLOOKUP(August[[#This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IFERROR(VLOOKUP(August[[#This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IFERROR(VLOOKUP(August[[#This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IFERROR(VLOOKUP(August[[#This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IFERROR(VLOOKUP(August[[#This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IFERROR(VLOOKUP(August[[#This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IFERROR(VLOOKUP(August[[#This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IFERROR(VLOOKUP(August[[#This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IFERROR(VLOOKUP(August[[#This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IFERROR(VLOOKUP(August[[#This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IFERROR(VLOOKUP(August[[#This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IFERROR(VLOOKUP(August[[#This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IFERROR(VLOOKUP(August[[#This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IFERROR(VLOOKUP(August[[#This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IFERROR(VLOOKUP(August[[#This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IFERROR(VLOOKUP(August[[#This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IFERROR(VLOOKUP(August[[#This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IFERROR(VLOOKUP(August[[#This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IFERROR(VLOOKUP(August[[#This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IFERROR(VLOOKUP(August[[#This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IFERROR(VLOOKUP(August[[#This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IFERROR(VLOOKUP(August[[#This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IFERROR(VLOOKUP(August[[#This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IFERROR(VLOOKUP(August[[#This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IFERROR(VLOOKUP(August[[#This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IFERROR(VLOOKUP(August[[#This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IFERROR(VLOOKUP(August[[#This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IFERROR(VLOOKUP(August[[#This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IFERROR(VLOOKUP(August[[#This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IFERROR(VLOOKUP(August[[#This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IFERROR(VLOOKUP(August[[#This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IFERROR(VLOOKUP(August[[#This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IFERROR(VLOOKUP(August[[#This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IFERROR(VLOOKUP(August[[#This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IFERROR(VLOOKUP(August[[#This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IFERROR(VLOOKUP(August[[#This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IFERROR(VLOOKUP(August[[#This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IFERROR(VLOOKUP(August[[#This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IFERROR(VLOOKUP(August[[#This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IFERROR(VLOOKUP(August[[#This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IFERROR(VLOOKUP(August[[#This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IFERROR(VLOOKUP(August[[#This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IFERROR(VLOOKUP(August[[#This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IFERROR(VLOOKUP(August[[#This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IFERROR(VLOOKUP(August[[#This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IFERROR(VLOOKUP(August[[#This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IFERROR(VLOOKUP(August[[#This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IFERROR(VLOOKUP(August[[#This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IFERROR(VLOOKUP(August[[#This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IFERROR(VLOOKUP(August[[#This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IFERROR(VLOOKUP(August[[#This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IFERROR(VLOOKUP(August[[#This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IFERROR(VLOOKUP(August[[#This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IFERROR(VLOOKUP(August[[#This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IFERROR(VLOOKUP(August[[#This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IFERROR(VLOOKUP(August[[#This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IFERROR(VLOOKUP(August[[#This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IFERROR(VLOOKUP(August[[#This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IFERROR(VLOOKUP(August[[#This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IFERROR(VLOOKUP(August[[#This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IFERROR(VLOOKUP(August[[#This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IFERROR(VLOOKUP(August[[#This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IFERROR(VLOOKUP(August[[#This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IFERROR(VLOOKUP(August[[#This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IFERROR(VLOOKUP(August[[#This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IFERROR(VLOOKUP(August[[#This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IFERROR(VLOOKUP(August[[#This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IFERROR(VLOOKUP(August[[#This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IFERROR(VLOOKUP(August[[#This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IFERROR(VLOOKUP(August[[#This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IFERROR(VLOOKUP(August[[#This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IFERROR(VLOOKUP(August[[#This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IFERROR(VLOOKUP(August[[#This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IFERROR(VLOOKUP(August[[#This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IFERROR(VLOOKUP(August[[#This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IFERROR(VLOOKUP(August[[#This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IFERROR(VLOOKUP(August[[#This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IFERROR(VLOOKUP(August[[#This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IFERROR(VLOOKUP(August[[#This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IFERROR(VLOOKUP(August[[#This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IFERROR(VLOOKUP(August[[#This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IFERROR(VLOOKUP(August[[#This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IFERROR(VLOOKUP(August[[#This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IFERROR(VLOOKUP(August[[#This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IFERROR(VLOOKUP(August[[#This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IFERROR(VLOOKUP(August[[#This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IFERROR(VLOOKUP(August[[#This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IFERROR(VLOOKUP(August[[#This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IFERROR(VLOOKUP(August[[#This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IFERROR(VLOOKUP(August[[#This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IFERROR(VLOOKUP(August[[#This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IFERROR(VLOOKUP(August[[#This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IFERROR(VLOOKUP(August[[#This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IFERROR(VLOOKUP(August[[#This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IFERROR(VLOOKUP(August[[#This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IFERROR(VLOOKUP(August[[#This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IFERROR(VLOOKUP(August[[#This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IFERROR(VLOOKUP(August[[#This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IFERROR(VLOOKUP(August[[#This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IFERROR(VLOOKUP(August[[#This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IFERROR(VLOOKUP(August[[#This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IFERROR(VLOOKUP(August[[#This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IFERROR(VLOOKUP(August[[#This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IFERROR(VLOOKUP(August[[#This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IFERROR(VLOOKUP(August[[#This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IFERROR(VLOOKUP(August[[#This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IFERROR(VLOOKUP(August[[#This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IFERROR(VLOOKUP(August[[#This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IFERROR(VLOOKUP(August[[#This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IFERROR(VLOOKUP(August[[#This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IFERROR(VLOOKUP(August[[#This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IFERROR(VLOOKUP(August[[#This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IFERROR(VLOOKUP(August[[#This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IFERROR(VLOOKUP(August[[#This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IFERROR(VLOOKUP(August[[#This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IFERROR(VLOOKUP(August[[#This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IFERROR(VLOOKUP(August[[#This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IFERROR(VLOOKUP(August[[#This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IFERROR(VLOOKUP(August[[#This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IFERROR(VLOOKUP(August[[#This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IFERROR(VLOOKUP(August[[#This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IFERROR(VLOOKUP(August[[#This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IFERROR(VLOOKUP(August[[#This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IFERROR(VLOOKUP(August[[#This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IFERROR(VLOOKUP(August[[#This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IFERROR(VLOOKUP(August[[#This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IFERROR(VLOOKUP(August[[#This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IFERROR(VLOOKUP(August[[#This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IFERROR(VLOOKUP(August[[#This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IFERROR(VLOOKUP(August[[#This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IFERROR(VLOOKUP(August[[#This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IFERROR(VLOOKUP(August[[#This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IFERROR(VLOOKUP(August[[#This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IFERROR(VLOOKUP(August[[#This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IFERROR(VLOOKUP(August[[#This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IFERROR(VLOOKUP(August[[#This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IFERROR(VLOOKUP(August[[#This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IFERROR(VLOOKUP(August[[#This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IFERROR(VLOOKUP(August[[#This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IFERROR(VLOOKUP(August[[#This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IFERROR(VLOOKUP(August[[#This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IFERROR(VLOOKUP(August[[#This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IFERROR(VLOOKUP(August[[#This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IFERROR(VLOOKUP(August[[#This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IFERROR(VLOOKUP(August[[#This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IFERROR(VLOOKUP(August[[#This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IFERROR(VLOOKUP(August[[#This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IFERROR(VLOOKUP(August[[#This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IFERROR(VLOOKUP(August[[#This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IFERROR(VLOOKUP(August[[#This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IFERROR(VLOOKUP(August[[#This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IFERROR(VLOOKUP(August[[#This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IFERROR(VLOOKUP(August[[#This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IFERROR(VLOOKUP(August[[#This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IFERROR(VLOOKUP(August[[#This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IFERROR(VLOOKUP(August[[#This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IFERROR(VLOOKUP(August[[#This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IFERROR(VLOOKUP(August[[#This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IFERROR(VLOOKUP(August[[#This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IFERROR(VLOOKUP(August[[#This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IFERROR(VLOOKUP(August[[#This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IFERROR(VLOOKUP(August[[#This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IFERROR(VLOOKUP(August[[#This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IFERROR(VLOOKUP(August[[#This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IFERROR(VLOOKUP(August[[#This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IFERROR(VLOOKUP(August[[#This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IFERROR(VLOOKUP(August[[#This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IFERROR(VLOOKUP(August[[#This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IFERROR(VLOOKUP(August[[#This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IFERROR(VLOOKUP(August[[#This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IFERROR(VLOOKUP(August[[#This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IFERROR(VLOOKUP(August[[#This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IFERROR(VLOOKUP(August[[#This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IFERROR(VLOOKUP(August[[#This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IFERROR(VLOOKUP(August[[#This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IFERROR(VLOOKUP(August[[#This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IFERROR(VLOOKUP(August[[#This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IFERROR(VLOOKUP(August[[#This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IFERROR(VLOOKUP(August[[#This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IFERROR(VLOOKUP(August[[#This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IFERROR(VLOOKUP(August[[#This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IFERROR(VLOOKUP(August[[#This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IFERROR(VLOOKUP(August[[#This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IFERROR(VLOOKUP(August[[#This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IFERROR(VLOOKUP(August[[#This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IFERROR(VLOOKUP(August[[#This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IFERROR(VLOOKUP(August[[#This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IFERROR(VLOOKUP(August[[#This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IFERROR(VLOOKUP(August[[#This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IFERROR(VLOOKUP(August[[#This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IFERROR(VLOOKUP(August[[#This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IFERROR(VLOOKUP(August[[#This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IFERROR(VLOOKUP(August[[#This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IFERROR(VLOOKUP(August[[#This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IFERROR(VLOOKUP(August[[#This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IFERROR(VLOOKUP(August[[#This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IFERROR(VLOOKUP(August[[#This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IFERROR(VLOOKUP(August[[#This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IFERROR(VLOOKUP(August[[#This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IFERROR(VLOOKUP(August[[#This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IFERROR(VLOOKUP(August[[#This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IFERROR(VLOOKUP(August[[#This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IFERROR(VLOOKUP(August[[#This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IFERROR(VLOOKUP(August[[#This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IFERROR(VLOOKUP(August[[#This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IFERROR(VLOOKUP(August[[#This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IFERROR(VLOOKUP(August[[#This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IFERROR(VLOOKUP(August[[#This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IFERROR(VLOOKUP(August[[#This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IFERROR(VLOOKUP(August[[#This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IFERROR(VLOOKUP(August[[#This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IFERROR(VLOOKUP(August[[#This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IFERROR(VLOOKUP(August[[#This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IFERROR(VLOOKUP(August[[#This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IFERROR(VLOOKUP(August[[#This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IFERROR(VLOOKUP(August[[#This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IFERROR(VLOOKUP(August[[#This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IFERROR(VLOOKUP(August[[#This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IFERROR(VLOOKUP(August[[#This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IFERROR(VLOOKUP(August[[#This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IFERROR(VLOOKUP(August[[#This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IFERROR(VLOOKUP(August[[#This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IFERROR(VLOOKUP(August[[#This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IFERROR(VLOOKUP(August[[#This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IFERROR(VLOOKUP(August[[#This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IFERROR(VLOOKUP(August[[#This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IFERROR(VLOOKUP(August[[#This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IFERROR(VLOOKUP(August[[#This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IFERROR(VLOOKUP(August[[#This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IFERROR(VLOOKUP(August[[#This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IFERROR(VLOOKUP(August[[#This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IFERROR(VLOOKUP(August[[#This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IFERROR(VLOOKUP(August[[#This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IFERROR(VLOOKUP(August[[#This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IFERROR(VLOOKUP(August[[#This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IFERROR(VLOOKUP(August[[#This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IFERROR(VLOOKUP(August[[#This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IFERROR(VLOOKUP(August[[#This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IFERROR(VLOOKUP(August[[#This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IFERROR(VLOOKUP(August[[#This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IFERROR(VLOOKUP(August[[#This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IFERROR(VLOOKUP(August[[#This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IFERROR(VLOOKUP(August[[#This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IFERROR(VLOOKUP(August[[#This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IFERROR(VLOOKUP(August[[#This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IFERROR(VLOOKUP(August[[#This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IFERROR(VLOOKUP(August[[#This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IFERROR(VLOOKUP(August[[#This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IFERROR(VLOOKUP(August[[#This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IFERROR(VLOOKUP(August[[#This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IFERROR(VLOOKUP(August[[#This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IFERROR(VLOOKUP(August[[#This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IFERROR(VLOOKUP(August[[#This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IFERROR(VLOOKUP(August[[#This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IFERROR(VLOOKUP(August[[#This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IFERROR(VLOOKUP(August[[#This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IFERROR(VLOOKUP(August[[#This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IFERROR(VLOOKUP(August[[#This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IFERROR(VLOOKUP(August[[#This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IFERROR(VLOOKUP(August[[#This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IFERROR(VLOOKUP(August[[#This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IFERROR(VLOOKUP(August[[#This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IFERROR(VLOOKUP(August[[#This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IFERROR(VLOOKUP(August[[#This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IFERROR(VLOOKUP(August[[#This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IFERROR(VLOOKUP(August[[#This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IFERROR(VLOOKUP(August[[#This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IFERROR(VLOOKUP(August[[#This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IFERROR(VLOOKUP(August[[#This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IFERROR(VLOOKUP(August[[#This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IFERROR(VLOOKUP(August[[#This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IFERROR(VLOOKUP(August[[#This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IFERROR(VLOOKUP(August[[#This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IFERROR(VLOOKUP(August[[#This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IFERROR(VLOOKUP(August[[#This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IFERROR(VLOOKUP(August[[#This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IFERROR(VLOOKUP(August[[#This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IFERROR(VLOOKUP(August[[#This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IFERROR(VLOOKUP(August[[#This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IFERROR(VLOOKUP(August[[#This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IFERROR(VLOOKUP(August[[#This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IFERROR(VLOOKUP(August[[#This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IFERROR(VLOOKUP(August[[#This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IFERROR(VLOOKUP(August[[#This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IFERROR(VLOOKUP(August[[#This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IFERROR(VLOOKUP(August[[#This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IFERROR(VLOOKUP(August[[#This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IFERROR(VLOOKUP(August[[#This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IFERROR(VLOOKUP(August[[#This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IFERROR(VLOOKUP(August[[#This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IFERROR(VLOOKUP(August[[#This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IFERROR(VLOOKUP(August[[#This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IFERROR(VLOOKUP(August[[#This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IFERROR(VLOOKUP(August[[#This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IFERROR(VLOOKUP(August[[#This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IFERROR(VLOOKUP(August[[#This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IFERROR(VLOOKUP(August[[#This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IFERROR(VLOOKUP(August[[#This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IFERROR(VLOOKUP(August[[#This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IFERROR(VLOOKUP(August[[#This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IFERROR(VLOOKUP(August[[#This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IFERROR(VLOOKUP(August[[#This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IFERROR(VLOOKUP(August[[#This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IFERROR(VLOOKUP(August[[#This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IFERROR(VLOOKUP(August[[#This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IFERROR(VLOOKUP(August[[#This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IFERROR(VLOOKUP(August[[#This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IFERROR(VLOOKUP(August[[#This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IFERROR(VLOOKUP(August[[#This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IFERROR(VLOOKUP(August[[#This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IFERROR(VLOOKUP(August[[#This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IFERROR(VLOOKUP(August[[#This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IFERROR(VLOOKUP(August[[#This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IFERROR(VLOOKUP(August[[#This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IFERROR(VLOOKUP(August[[#This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IFERROR(VLOOKUP(August[[#This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IFERROR(VLOOKUP(August[[#This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IFERROR(VLOOKUP(August[[#This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IFERROR(VLOOKUP(August[[#This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IFERROR(VLOOKUP(August[[#This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IFERROR(VLOOKUP(August[[#This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IFERROR(VLOOKUP(August[[#This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IFERROR(VLOOKUP(August[[#This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IFERROR(VLOOKUP(August[[#This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IFERROR(VLOOKUP(August[[#This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IFERROR(VLOOKUP(August[[#This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IFERROR(VLOOKUP(August[[#This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IFERROR(VLOOKUP(August[[#This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IFERROR(VLOOKUP(August[[#This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IFERROR(VLOOKUP(August[[#This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IFERROR(VLOOKUP(August[[#This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IFERROR(VLOOKUP(August[[#This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IFERROR(VLOOKUP(August[[#This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IFERROR(VLOOKUP(August[[#This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IFERROR(VLOOKUP(August[[#This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IFERROR(VLOOKUP(August[[#This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IFERROR(VLOOKUP(August[[#This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IFERROR(VLOOKUP(August[[#This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IFERROR(VLOOKUP(August[[#This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IFERROR(VLOOKUP(August[[#This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IFERROR(VLOOKUP(August[[#This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IFERROR(VLOOKUP(August[[#This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IFERROR(VLOOKUP(August[[#This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IFERROR(VLOOKUP(August[[#This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IFERROR(VLOOKUP(August[[#This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IFERROR(VLOOKUP(August[[#This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IFERROR(VLOOKUP(August[[#This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IFERROR(VLOOKUP(August[[#This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IFERROR(VLOOKUP(August[[#This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IFERROR(VLOOKUP(August[[#This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IFERROR(VLOOKUP(August[[#This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IFERROR(VLOOKUP(August[[#This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IFERROR(VLOOKUP(August[[#This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IFERROR(VLOOKUP(August[[#This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IFERROR(VLOOKUP(August[[#This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IFERROR(VLOOKUP(August[[#This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IFERROR(VLOOKUP(August[[#This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IFERROR(VLOOKUP(August[[#This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IFERROR(VLOOKUP(August[[#This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IFERROR(VLOOKUP(August[[#This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IFERROR(VLOOKUP(August[[#This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IFERROR(VLOOKUP(August[[#This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IFERROR(VLOOKUP(August[[#This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IFERROR(VLOOKUP(August[[#This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IFERROR(VLOOKUP(August[[#This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IFERROR(VLOOKUP(August[[#This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IFERROR(VLOOKUP(August[[#This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IFERROR(VLOOKUP(August[[#This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IFERROR(VLOOKUP(August[[#This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IFERROR(VLOOKUP(August[[#This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IFERROR(VLOOKUP(August[[#This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IFERROR(VLOOKUP(August[[#This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IFERROR(VLOOKUP(August[[#This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IFERROR(VLOOKUP(August[[#This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IFERROR(VLOOKUP(August[[#This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IFERROR(VLOOKUP(August[[#This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IFERROR(VLOOKUP(August[[#This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IFERROR(VLOOKUP(August[[#This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IFERROR(VLOOKUP(August[[#This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IFERROR(VLOOKUP(August[[#This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IFERROR(VLOOKUP(August[[#This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IFERROR(VLOOKUP(August[[#This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IFERROR(VLOOKUP(August[[#This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IFERROR(VLOOKUP(August[[#This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IFERROR(VLOOKUP(August[[#This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IFERROR(VLOOKUP(August[[#This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IFERROR(VLOOKUP(August[[#This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IFERROR(VLOOKUP(August[[#This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IFERROR(VLOOKUP(August[[#This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IFERROR(VLOOKUP(August[[#This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IFERROR(VLOOKUP(August[[#This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IFERROR(VLOOKUP(August[[#This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IFERROR(VLOOKUP(August[[#This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IFERROR(VLOOKUP(August[[#This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IFERROR(VLOOKUP(August[[#This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IFERROR(VLOOKUP(August[[#This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IFERROR(VLOOKUP(August[[#This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IFERROR(VLOOKUP(August[[#This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IFERROR(VLOOKUP(August[[#This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IFERROR(VLOOKUP(August[[#This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IFERROR(VLOOKUP(August[[#This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IFERROR(VLOOKUP(August[[#This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IFERROR(VLOOKUP(August[[#This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IFERROR(VLOOKUP(August[[#This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IFERROR(VLOOKUP(August[[#This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IFERROR(VLOOKUP(August[[#This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IFERROR(VLOOKUP(August[[#This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IFERROR(VLOOKUP(August[[#This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IFERROR(VLOOKUP(August[[#This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IFERROR(VLOOKUP(August[[#This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IFERROR(VLOOKUP(August[[#This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IFERROR(VLOOKUP(August[[#This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IFERROR(VLOOKUP(August[[#This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IFERROR(VLOOKUP(August[[#This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IFERROR(VLOOKUP(August[[#This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IFERROR(VLOOKUP(August[[#This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IFERROR(VLOOKUP(August[[#This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IFERROR(VLOOKUP(August[[#This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IFERROR(VLOOKUP(August[[#This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IFERROR(VLOOKUP(August[[#This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IFERROR(VLOOKUP(August[[#This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IFERROR(VLOOKUP(August[[#This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IFERROR(VLOOKUP(August[[#This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IFERROR(VLOOKUP(August[[#This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IFERROR(VLOOKUP(August[[#This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IFERROR(VLOOKUP(August[[#This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IFERROR(VLOOKUP(August[[#This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IFERROR(VLOOKUP(August[[#This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IFERROR(VLOOKUP(August[[#This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IFERROR(VLOOKUP(August[[#This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IFERROR(VLOOKUP(August[[#This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IFERROR(VLOOKUP(August[[#This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IFERROR(VLOOKUP(August[[#This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IFERROR(VLOOKUP(August[[#This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IFERROR(VLOOKUP(August[[#This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IFERROR(VLOOKUP(August[[#This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IFERROR(VLOOKUP(August[[#This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IFERROR(VLOOKUP(August[[#This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IFERROR(VLOOKUP(August[[#This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IFERROR(VLOOKUP(August[[#This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IFERROR(VLOOKUP(August[[#This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IFERROR(VLOOKUP(August[[#This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IFERROR(VLOOKUP(August[[#This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IFERROR(VLOOKUP(August[[#This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IFERROR(VLOOKUP(August[[#This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IFERROR(VLOOKUP(August[[#This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IFERROR(VLOOKUP(August[[#This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IFERROR(VLOOKUP(August[[#This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IFERROR(VLOOKUP(August[[#This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IFERROR(VLOOKUP(August[[#This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IFERROR(VLOOKUP(August[[#This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IFERROR(VLOOKUP(August[[#This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IFERROR(VLOOKUP(August[[#This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IFERROR(VLOOKUP(August[[#This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IFERROR(VLOOKUP(August[[#This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IFERROR(VLOOKUP(August[[#This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IFERROR(VLOOKUP(August[[#This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IFERROR(VLOOKUP(August[[#This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IFERROR(VLOOKUP(August[[#This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IFERROR(VLOOKUP(August[[#This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IFERROR(VLOOKUP(August[[#This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IFERROR(VLOOKUP(August[[#This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IFERROR(VLOOKUP(August[[#This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IFERROR(VLOOKUP(August[[#This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IFERROR(VLOOKUP(August[[#This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IFERROR(VLOOKUP(August[[#This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IFERROR(VLOOKUP(August[[#This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IFERROR(VLOOKUP(August[[#This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IFERROR(VLOOKUP(August[[#This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IFERROR(VLOOKUP(August[[#This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IFERROR(VLOOKUP(August[[#This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IFERROR(VLOOKUP(August[[#This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IFERROR(VLOOKUP(August[[#This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IFERROR(VLOOKUP(August[[#This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IFERROR(VLOOKUP(August[[#This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IFERROR(VLOOKUP(August[[#This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IFERROR(VLOOKUP(August[[#This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IFERROR(VLOOKUP(August[[#This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IFERROR(VLOOKUP(August[[#This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IFERROR(VLOOKUP(August[[#This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IFERROR(VLOOKUP(August[[#This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IFERROR(VLOOKUP(August[[#This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IFERROR(VLOOKUP(August[[#This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IFERROR(VLOOKUP(August[[#This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IFERROR(VLOOKUP(August[[#This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IFERROR(VLOOKUP(August[[#This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IFERROR(VLOOKUP(August[[#This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IFERROR(VLOOKUP(August[[#This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IFERROR(VLOOKUP(August[[#This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IFERROR(VLOOKUP(August[[#This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IFERROR(VLOOKUP(August[[#This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IFERROR(VLOOKUP(August[[#This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IFERROR(VLOOKUP(August[[#This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IFERROR(VLOOKUP(August[[#This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IFERROR(VLOOKUP(August[[#This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IFERROR(VLOOKUP(August[[#This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IFERROR(VLOOKUP(August[[#This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IFERROR(VLOOKUP(August[[#This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IFERROR(VLOOKUP(August[[#This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IFERROR(VLOOKUP(August[[#This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IFERROR(VLOOKUP(August[[#This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IFERROR(VLOOKUP(August[[#This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IFERROR(VLOOKUP(August[[#This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IFERROR(VLOOKUP(August[[#This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IFERROR(VLOOKUP(August[[#This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IFERROR(VLOOKUP(August[[#This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IFERROR(VLOOKUP(August[[#This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IFERROR(VLOOKUP(August[[#This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IFERROR(VLOOKUP(August[[#This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IFERROR(VLOOKUP(August[[#This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IFERROR(VLOOKUP(August[[#This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IFERROR(VLOOKUP(August[[#This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IFERROR(VLOOKUP(August[[#This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IFERROR(VLOOKUP(August[[#This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IFERROR(VLOOKUP(August[[#This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IFERROR(VLOOKUP(August[[#This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IFERROR(VLOOKUP(August[[#This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IFERROR(VLOOKUP(August[[#This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IFERROR(VLOOKUP(August[[#This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IFERROR(VLOOKUP(August[[#This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IFERROR(VLOOKUP(August[[#This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IFERROR(VLOOKUP(August[[#This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IFERROR(VLOOKUP(August[[#This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IFERROR(VLOOKUP(August[[#This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IFERROR(VLOOKUP(August[[#This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IFERROR(VLOOKUP(August[[#This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IFERROR(VLOOKUP(August[[#This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IFERROR(VLOOKUP(August[[#This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IFERROR(VLOOKUP(August[[#This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IFERROR(VLOOKUP(August[[#This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IFERROR(VLOOKUP(August[[#This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IFERROR(VLOOKUP(August[[#This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IFERROR(VLOOKUP(August[[#This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IFERROR(VLOOKUP(August[[#This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IFERROR(VLOOKUP(August[[#This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IFERROR(VLOOKUP(August[[#This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IFERROR(VLOOKUP(August[[#This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IFERROR(VLOOKUP(August[[#This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IFERROR(VLOOKUP(August[[#This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IFERROR(VLOOKUP(August[[#This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IFERROR(VLOOKUP(August[[#This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IFERROR(VLOOKUP(August[[#This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IFERROR(VLOOKUP(August[[#This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IFERROR(VLOOKUP(August[[#This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IFERROR(VLOOKUP(August[[#This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IFERROR(VLOOKUP(August[[#This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IFERROR(VLOOKUP(August[[#This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IFERROR(VLOOKUP(August[[#This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IFERROR(VLOOKUP(August[[#This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IFERROR(VLOOKUP(August[[#This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IFERROR(VLOOKUP(August[[#This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IFERROR(VLOOKUP(August[[#This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IFERROR(VLOOKUP(August[[#This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IFERROR(VLOOKUP(August[[#This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IFERROR(VLOOKUP(August[[#This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IFERROR(VLOOKUP(August[[#This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IFERROR(VLOOKUP(August[[#This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IFERROR(VLOOKUP(August[[#This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IFERROR(VLOOKUP(August[[#This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IFERROR(VLOOKUP(August[[#This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IFERROR(VLOOKUP(August[[#This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IFERROR(VLOOKUP(August[[#This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IFERROR(VLOOKUP(August[[#This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IFERROR(VLOOKUP(August[[#This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IFERROR(VLOOKUP(August[[#This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IFERROR(VLOOKUP(August[[#This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IFERROR(VLOOKUP(August[[#This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IFERROR(VLOOKUP(August[[#This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IFERROR(VLOOKUP(August[[#This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IFERROR(VLOOKUP(August[[#This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IFERROR(VLOOKUP(August[[#This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IFERROR(VLOOKUP(August[[#This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IFERROR(VLOOKUP(August[[#This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IFERROR(VLOOKUP(August[[#This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IFERROR(VLOOKUP(August[[#This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IFERROR(VLOOKUP(August[[#This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IFERROR(VLOOKUP(August[[#This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IFERROR(VLOOKUP(August[[#This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IFERROR(VLOOKUP(August[[#This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IFERROR(VLOOKUP(August[[#This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IFERROR(VLOOKUP(August[[#This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IFERROR(VLOOKUP(August[[#This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IFERROR(VLOOKUP(August[[#This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IFERROR(VLOOKUP(August[[#This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IFERROR(VLOOKUP(August[[#This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IFERROR(VLOOKUP(August[[#This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IFERROR(VLOOKUP(August[[#This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IFERROR(VLOOKUP(August[[#This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IFERROR(VLOOKUP(August[[#This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IFERROR(VLOOKUP(August[[#This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IFERROR(VLOOKUP(August[[#This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IFERROR(VLOOKUP(August[[#This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IFERROR(VLOOKUP(August[[#This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IFERROR(VLOOKUP(August[[#This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IFERROR(VLOOKUP(August[[#This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IFERROR(VLOOKUP(August[[#This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IFERROR(VLOOKUP(August[[#This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IFERROR(VLOOKUP(August[[#This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IFERROR(VLOOKUP(August[[#This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IFERROR(VLOOKUP(August[[#This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IFERROR(VLOOKUP(August[[#This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IFERROR(VLOOKUP(August[[#This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IFERROR(VLOOKUP(August[[#This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IFERROR(VLOOKUP(August[[#This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IFERROR(VLOOKUP(August[[#This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IFERROR(VLOOKUP(August[[#This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IFERROR(VLOOKUP(August[[#This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IFERROR(VLOOKUP(August[[#This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IFERROR(VLOOKUP(August[[#This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IFERROR(VLOOKUP(August[[#This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IFERROR(VLOOKUP(August[[#This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IFERROR(VLOOKUP(August[[#This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IFERROR(VLOOKUP(August[[#This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IFERROR(VLOOKUP(August[[#This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IFERROR(VLOOKUP(August[[#This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IFERROR(VLOOKUP(August[[#This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IFERROR(VLOOKUP(August[[#This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IFERROR(VLOOKUP(August[[#This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IFERROR(VLOOKUP(August[[#This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IFERROR(VLOOKUP(August[[#This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IFERROR(VLOOKUP(August[[#This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IFERROR(VLOOKUP(August[[#This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IFERROR(VLOOKUP(August[[#This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IFERROR(VLOOKUP(August[[#This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IFERROR(VLOOKUP(August[[#This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IFERROR(VLOOKUP(August[[#This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IFERROR(VLOOKUP(August[[#This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IFERROR(VLOOKUP(August[[#This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IFERROR(VLOOKUP(August[[#This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IFERROR(VLOOKUP(August[[#This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IFERROR(VLOOKUP(August[[#This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IFERROR(VLOOKUP(August[[#This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IFERROR(VLOOKUP(August[[#This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IFERROR(VLOOKUP(August[[#This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IFERROR(VLOOKUP(August[[#This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IFERROR(VLOOKUP(August[[#This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IFERROR(VLOOKUP(August[[#This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IFERROR(VLOOKUP(August[[#This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IFERROR(VLOOKUP(August[[#This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IFERROR(VLOOKUP(August[[#This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IFERROR(VLOOKUP(August[[#This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IFERROR(VLOOKUP(August[[#This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IFERROR(VLOOKUP(August[[#This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IFERROR(VLOOKUP(August[[#This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IFERROR(VLOOKUP(August[[#This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IFERROR(VLOOKUP(August[[#This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IFERROR(VLOOKUP(August[[#This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IFERROR(VLOOKUP(August[[#This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IFERROR(VLOOKUP(August[[#This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IFERROR(VLOOKUP(August[[#This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IFERROR(VLOOKUP(August[[#This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IFERROR(VLOOKUP(August[[#This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IFERROR(VLOOKUP(August[[#This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IFERROR(VLOOKUP(August[[#This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IFERROR(VLOOKUP(August[[#This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IFERROR(VLOOKUP(August[[#This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IFERROR(VLOOKUP(August[[#This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IFERROR(VLOOKUP(August[[#This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IFERROR(VLOOKUP(August[[#This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IFERROR(VLOOKUP(August[[#This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IFERROR(VLOOKUP(August[[#This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IFERROR(VLOOKUP(August[[#This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IFERROR(VLOOKUP(August[[#This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IFERROR(VLOOKUP(August[[#This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IFERROR(VLOOKUP(August[[#This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IFERROR(VLOOKUP(August[[#This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IFERROR(VLOOKUP(August[[#This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IFERROR(VLOOKUP(August[[#This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IFERROR(VLOOKUP(August[[#This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IFERROR(VLOOKUP(August[[#This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IFERROR(VLOOKUP(August[[#This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IFERROR(VLOOKUP(August[[#This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IFERROR(VLOOKUP(August[[#This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IFERROR(VLOOKUP(August[[#This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IFERROR(VLOOKUP(August[[#This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IFERROR(VLOOKUP(August[[#This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IFERROR(VLOOKUP(August[[#This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IFERROR(VLOOKUP(August[[#This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IFERROR(VLOOKUP(August[[#This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IFERROR(VLOOKUP(August[[#This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IFERROR(VLOOKUP(August[[#This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IFERROR(VLOOKUP(August[[#This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IFERROR(VLOOKUP(August[[#This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IFERROR(VLOOKUP(August[[#This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IFERROR(VLOOKUP(August[[#This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IFERROR(VLOOKUP(August[[#This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IFERROR(VLOOKUP(August[[#This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IFERROR(VLOOKUP(August[[#This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IFERROR(VLOOKUP(August[[#This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IFERROR(VLOOKUP(August[[#This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IFERROR(VLOOKUP(August[[#This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IFERROR(VLOOKUP(August[[#This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IFERROR(VLOOKUP(August[[#This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IFERROR(VLOOKUP(August[[#This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IFERROR(VLOOKUP(August[[#This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IFERROR(VLOOKUP(August[[#This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IFERROR(VLOOKUP(August[[#This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IFERROR(VLOOKUP(August[[#This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IFERROR(VLOOKUP(August[[#This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IFERROR(VLOOKUP(August[[#This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IFERROR(VLOOKUP(August[[#This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IFERROR(VLOOKUP(August[[#This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IFERROR(VLOOKUP(August[[#This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IFERROR(VLOOKUP(August[[#This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IFERROR(VLOOKUP(August[[#This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IFERROR(VLOOKUP(August[[#This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IFERROR(VLOOKUP(August[[#This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IFERROR(VLOOKUP(August[[#This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IFERROR(VLOOKUP(August[[#This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IFERROR(VLOOKUP(August[[#This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IFERROR(VLOOKUP(August[[#This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IFERROR(VLOOKUP(August[[#This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IFERROR(VLOOKUP(August[[#This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IFERROR(VLOOKUP(August[[#This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IFERROR(VLOOKUP(August[[#This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IFERROR(VLOOKUP(August[[#This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IFERROR(VLOOKUP(August[[#This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IFERROR(VLOOKUP(August[[#This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IFERROR(VLOOKUP(August[[#This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IFERROR(VLOOKUP(August[[#This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IFERROR(VLOOKUP(August[[#This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IFERROR(VLOOKUP(August[[#This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IFERROR(VLOOKUP(August[[#This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IFERROR(VLOOKUP(August[[#This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IFERROR(VLOOKUP(August[[#This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IFERROR(VLOOKUP(August[[#This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IFERROR(VLOOKUP(August[[#This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IFERROR(VLOOKUP(August[[#This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IFERROR(VLOOKUP(August[[#This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IFERROR(VLOOKUP(August[[#This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IFERROR(VLOOKUP(August[[#This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IFERROR(VLOOKUP(August[[#This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IFERROR(VLOOKUP(August[[#This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IFERROR(VLOOKUP(August[[#This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IFERROR(VLOOKUP(August[[#This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IFERROR(VLOOKUP(August[[#This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IFERROR(VLOOKUP(August[[#This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IFERROR(VLOOKUP(August[[#This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IFERROR(VLOOKUP(August[[#This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IFERROR(VLOOKUP(August[[#This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IFERROR(VLOOKUP(August[[#This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IFERROR(VLOOKUP(August[[#This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IFERROR(VLOOKUP(August[[#This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IFERROR(VLOOKUP(August[[#This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IFERROR(VLOOKUP(August[[#This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IFERROR(VLOOKUP(August[[#This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IFERROR(VLOOKUP(August[[#This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IFERROR(VLOOKUP(August[[#This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IFERROR(VLOOKUP(August[[#This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IFERROR(VLOOKUP(August[[#This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IFERROR(VLOOKUP(August[[#This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IFERROR(VLOOKUP(August[[#This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IFERROR(VLOOKUP(August[[#This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IFERROR(VLOOKUP(August[[#This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IFERROR(VLOOKUP(August[[#This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IFERROR(VLOOKUP(August[[#This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IFERROR(VLOOKUP(August[[#This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IFERROR(VLOOKUP(August[[#This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IFERROR(VLOOKUP(August[[#This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IFERROR(VLOOKUP(August[[#This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IFERROR(VLOOKUP(August[[#This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IFERROR(VLOOKUP(August[[#This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IFERROR(VLOOKUP(August[[#This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IFERROR(VLOOKUP(August[[#This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IFERROR(VLOOKUP(August[[#This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IFERROR(VLOOKUP(August[[#This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IFERROR(VLOOKUP(August[[#This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IFERROR(VLOOKUP(August[[#This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IFERROR(VLOOKUP(August[[#This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IFERROR(VLOOKUP(August[[#This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SUBTOTAL(103,August[Location Filled9])</f>
        <v>0</v>
      </c>
    </row>
  </sheetData>
  <sheetProtection algorithmName="SHA-512" hashValue="0kRnhNIICCN34Yi2LXINAd5ghDKajSim1ZcomRz170H0oBklWlD75STibqyRlhCT2rpHZycfxiUlNSHAqAlfcg==" saltValue="eFMYA2r9XHJor5BrLTQfoA==" spinCount="100000" sheet="1" objects="1" scenarios="1"/>
  <mergeCells count="13">
    <mergeCell ref="AR2:AX2"/>
    <mergeCell ref="BS2:BY2"/>
    <mergeCell ref="BZ2:CF2"/>
    <mergeCell ref="CG2:CM2"/>
    <mergeCell ref="AL1:AQ2"/>
    <mergeCell ref="BM1:BR2"/>
    <mergeCell ref="BF2:BL2"/>
    <mergeCell ref="A1:J2"/>
    <mergeCell ref="K1:AF1"/>
    <mergeCell ref="K2:P2"/>
    <mergeCell ref="Q2:V2"/>
    <mergeCell ref="X2:AD2"/>
    <mergeCell ref="AE2:AK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IFERROR(VLOOKUP(September[[#This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IFERROR(VLOOKUP(September[[#This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IFERROR(VLOOKUP(September[[#This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IFERROR(VLOOKUP(September[[#This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IFERROR(VLOOKUP(September[[#This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IFERROR(VLOOKUP(September[[#This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IFERROR(VLOOKUP(September[[#This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IFERROR(VLOOKUP(September[[#This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IFERROR(VLOOKUP(September[[#This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IFERROR(VLOOKUP(September[[#This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IFERROR(VLOOKUP(September[[#This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IFERROR(VLOOKUP(September[[#This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IFERROR(VLOOKUP(September[[#This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IFERROR(VLOOKUP(September[[#This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IFERROR(VLOOKUP(September[[#This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IFERROR(VLOOKUP(September[[#This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IFERROR(VLOOKUP(September[[#This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IFERROR(VLOOKUP(September[[#This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IFERROR(VLOOKUP(September[[#This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IFERROR(VLOOKUP(September[[#This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IFERROR(VLOOKUP(September[[#This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IFERROR(VLOOKUP(September[[#This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IFERROR(VLOOKUP(September[[#This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IFERROR(VLOOKUP(September[[#This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IFERROR(VLOOKUP(September[[#This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IFERROR(VLOOKUP(September[[#This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IFERROR(VLOOKUP(September[[#This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IFERROR(VLOOKUP(September[[#This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IFERROR(VLOOKUP(September[[#This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IFERROR(VLOOKUP(September[[#This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IFERROR(VLOOKUP(September[[#This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IFERROR(VLOOKUP(September[[#This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IFERROR(VLOOKUP(September[[#This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IFERROR(VLOOKUP(September[[#This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IFERROR(VLOOKUP(September[[#This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IFERROR(VLOOKUP(September[[#This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IFERROR(VLOOKUP(September[[#This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IFERROR(VLOOKUP(September[[#This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IFERROR(VLOOKUP(September[[#This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IFERROR(VLOOKUP(September[[#This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IFERROR(VLOOKUP(September[[#This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IFERROR(VLOOKUP(September[[#This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IFERROR(VLOOKUP(September[[#This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IFERROR(VLOOKUP(September[[#This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IFERROR(VLOOKUP(September[[#This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IFERROR(VLOOKUP(September[[#This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IFERROR(VLOOKUP(September[[#This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IFERROR(VLOOKUP(September[[#This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IFERROR(VLOOKUP(September[[#This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IFERROR(VLOOKUP(September[[#This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IFERROR(VLOOKUP(September[[#This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IFERROR(VLOOKUP(September[[#This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IFERROR(VLOOKUP(September[[#This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IFERROR(VLOOKUP(September[[#This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IFERROR(VLOOKUP(September[[#This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IFERROR(VLOOKUP(September[[#This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IFERROR(VLOOKUP(September[[#This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IFERROR(VLOOKUP(September[[#This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IFERROR(VLOOKUP(September[[#This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IFERROR(VLOOKUP(September[[#This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IFERROR(VLOOKUP(September[[#This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IFERROR(VLOOKUP(September[[#This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IFERROR(VLOOKUP(September[[#This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IFERROR(VLOOKUP(September[[#This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IFERROR(VLOOKUP(September[[#This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IFERROR(VLOOKUP(September[[#This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IFERROR(VLOOKUP(September[[#This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IFERROR(VLOOKUP(September[[#This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IFERROR(VLOOKUP(September[[#This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IFERROR(VLOOKUP(September[[#This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IFERROR(VLOOKUP(September[[#This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IFERROR(VLOOKUP(September[[#This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IFERROR(VLOOKUP(September[[#This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IFERROR(VLOOKUP(September[[#This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IFERROR(VLOOKUP(September[[#This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IFERROR(VLOOKUP(September[[#This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IFERROR(VLOOKUP(September[[#This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IFERROR(VLOOKUP(September[[#This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IFERROR(VLOOKUP(September[[#This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IFERROR(VLOOKUP(September[[#This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IFERROR(VLOOKUP(September[[#This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IFERROR(VLOOKUP(September[[#This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IFERROR(VLOOKUP(September[[#This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IFERROR(VLOOKUP(September[[#This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IFERROR(VLOOKUP(September[[#This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IFERROR(VLOOKUP(September[[#This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IFERROR(VLOOKUP(September[[#This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IFERROR(VLOOKUP(September[[#This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IFERROR(VLOOKUP(September[[#This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IFERROR(VLOOKUP(September[[#This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IFERROR(VLOOKUP(September[[#This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IFERROR(VLOOKUP(September[[#This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IFERROR(VLOOKUP(September[[#This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IFERROR(VLOOKUP(September[[#This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IFERROR(VLOOKUP(September[[#This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IFERROR(VLOOKUP(September[[#This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IFERROR(VLOOKUP(September[[#This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IFERROR(VLOOKUP(September[[#This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IFERROR(VLOOKUP(September[[#This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IFERROR(VLOOKUP(September[[#This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IFERROR(VLOOKUP(September[[#This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IFERROR(VLOOKUP(September[[#This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IFERROR(VLOOKUP(September[[#This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IFERROR(VLOOKUP(September[[#This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IFERROR(VLOOKUP(September[[#This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IFERROR(VLOOKUP(September[[#This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IFERROR(VLOOKUP(September[[#This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IFERROR(VLOOKUP(September[[#This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IFERROR(VLOOKUP(September[[#This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IFERROR(VLOOKUP(September[[#This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IFERROR(VLOOKUP(September[[#This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IFERROR(VLOOKUP(September[[#This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IFERROR(VLOOKUP(September[[#This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IFERROR(VLOOKUP(September[[#This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IFERROR(VLOOKUP(September[[#This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IFERROR(VLOOKUP(September[[#This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IFERROR(VLOOKUP(September[[#This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IFERROR(VLOOKUP(September[[#This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IFERROR(VLOOKUP(September[[#This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IFERROR(VLOOKUP(September[[#This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IFERROR(VLOOKUP(September[[#This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IFERROR(VLOOKUP(September[[#This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IFERROR(VLOOKUP(September[[#This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IFERROR(VLOOKUP(September[[#This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IFERROR(VLOOKUP(September[[#This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IFERROR(VLOOKUP(September[[#This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IFERROR(VLOOKUP(September[[#This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IFERROR(VLOOKUP(September[[#This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IFERROR(VLOOKUP(September[[#This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IFERROR(VLOOKUP(September[[#This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IFERROR(VLOOKUP(September[[#This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IFERROR(VLOOKUP(September[[#This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IFERROR(VLOOKUP(September[[#This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IFERROR(VLOOKUP(September[[#This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IFERROR(VLOOKUP(September[[#This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IFERROR(VLOOKUP(September[[#This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IFERROR(VLOOKUP(September[[#This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IFERROR(VLOOKUP(September[[#This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IFERROR(VLOOKUP(September[[#This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IFERROR(VLOOKUP(September[[#This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IFERROR(VLOOKUP(September[[#This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IFERROR(VLOOKUP(September[[#This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IFERROR(VLOOKUP(September[[#This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IFERROR(VLOOKUP(September[[#This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IFERROR(VLOOKUP(September[[#This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IFERROR(VLOOKUP(September[[#This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IFERROR(VLOOKUP(September[[#This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IFERROR(VLOOKUP(September[[#This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IFERROR(VLOOKUP(September[[#This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IFERROR(VLOOKUP(September[[#This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IFERROR(VLOOKUP(September[[#This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IFERROR(VLOOKUP(September[[#This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IFERROR(VLOOKUP(September[[#This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IFERROR(VLOOKUP(September[[#This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IFERROR(VLOOKUP(September[[#This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IFERROR(VLOOKUP(September[[#This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IFERROR(VLOOKUP(September[[#This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IFERROR(VLOOKUP(September[[#This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IFERROR(VLOOKUP(September[[#This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IFERROR(VLOOKUP(September[[#This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IFERROR(VLOOKUP(September[[#This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IFERROR(VLOOKUP(September[[#This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IFERROR(VLOOKUP(September[[#This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IFERROR(VLOOKUP(September[[#This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IFERROR(VLOOKUP(September[[#This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IFERROR(VLOOKUP(September[[#This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IFERROR(VLOOKUP(September[[#This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IFERROR(VLOOKUP(September[[#This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IFERROR(VLOOKUP(September[[#This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IFERROR(VLOOKUP(September[[#This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IFERROR(VLOOKUP(September[[#This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IFERROR(VLOOKUP(September[[#This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IFERROR(VLOOKUP(September[[#This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IFERROR(VLOOKUP(September[[#This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IFERROR(VLOOKUP(September[[#This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IFERROR(VLOOKUP(September[[#This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IFERROR(VLOOKUP(September[[#This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IFERROR(VLOOKUP(September[[#This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IFERROR(VLOOKUP(September[[#This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IFERROR(VLOOKUP(September[[#This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IFERROR(VLOOKUP(September[[#This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IFERROR(VLOOKUP(September[[#This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IFERROR(VLOOKUP(September[[#This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IFERROR(VLOOKUP(September[[#This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IFERROR(VLOOKUP(September[[#This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IFERROR(VLOOKUP(September[[#This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IFERROR(VLOOKUP(September[[#This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IFERROR(VLOOKUP(September[[#This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IFERROR(VLOOKUP(September[[#This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IFERROR(VLOOKUP(September[[#This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IFERROR(VLOOKUP(September[[#This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IFERROR(VLOOKUP(September[[#This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IFERROR(VLOOKUP(September[[#This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IFERROR(VLOOKUP(September[[#This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IFERROR(VLOOKUP(September[[#This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IFERROR(VLOOKUP(September[[#This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IFERROR(VLOOKUP(September[[#This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IFERROR(VLOOKUP(September[[#This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IFERROR(VLOOKUP(September[[#This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IFERROR(VLOOKUP(September[[#This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IFERROR(VLOOKUP(September[[#This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IFERROR(VLOOKUP(September[[#This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IFERROR(VLOOKUP(September[[#This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IFERROR(VLOOKUP(September[[#This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IFERROR(VLOOKUP(September[[#This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IFERROR(VLOOKUP(September[[#This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IFERROR(VLOOKUP(September[[#This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IFERROR(VLOOKUP(September[[#This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IFERROR(VLOOKUP(September[[#This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IFERROR(VLOOKUP(September[[#This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IFERROR(VLOOKUP(September[[#This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IFERROR(VLOOKUP(September[[#This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IFERROR(VLOOKUP(September[[#This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IFERROR(VLOOKUP(September[[#This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IFERROR(VLOOKUP(September[[#This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IFERROR(VLOOKUP(September[[#This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IFERROR(VLOOKUP(September[[#This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IFERROR(VLOOKUP(September[[#This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IFERROR(VLOOKUP(September[[#This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IFERROR(VLOOKUP(September[[#This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IFERROR(VLOOKUP(September[[#This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IFERROR(VLOOKUP(September[[#This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IFERROR(VLOOKUP(September[[#This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IFERROR(VLOOKUP(September[[#This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IFERROR(VLOOKUP(September[[#This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IFERROR(VLOOKUP(September[[#This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IFERROR(VLOOKUP(September[[#This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IFERROR(VLOOKUP(September[[#This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IFERROR(VLOOKUP(September[[#This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IFERROR(VLOOKUP(September[[#This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IFERROR(VLOOKUP(September[[#This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IFERROR(VLOOKUP(September[[#This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IFERROR(VLOOKUP(September[[#This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IFERROR(VLOOKUP(September[[#This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IFERROR(VLOOKUP(September[[#This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IFERROR(VLOOKUP(September[[#This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IFERROR(VLOOKUP(September[[#This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IFERROR(VLOOKUP(September[[#This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IFERROR(VLOOKUP(September[[#This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IFERROR(VLOOKUP(September[[#This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IFERROR(VLOOKUP(September[[#This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IFERROR(VLOOKUP(September[[#This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IFERROR(VLOOKUP(September[[#This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IFERROR(VLOOKUP(September[[#This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IFERROR(VLOOKUP(September[[#This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IFERROR(VLOOKUP(September[[#This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IFERROR(VLOOKUP(September[[#This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IFERROR(VLOOKUP(September[[#This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IFERROR(VLOOKUP(September[[#This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IFERROR(VLOOKUP(September[[#This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IFERROR(VLOOKUP(September[[#This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IFERROR(VLOOKUP(September[[#This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IFERROR(VLOOKUP(September[[#This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IFERROR(VLOOKUP(September[[#This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IFERROR(VLOOKUP(September[[#This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IFERROR(VLOOKUP(September[[#This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IFERROR(VLOOKUP(September[[#This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IFERROR(VLOOKUP(September[[#This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IFERROR(VLOOKUP(September[[#This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IFERROR(VLOOKUP(September[[#This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IFERROR(VLOOKUP(September[[#This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IFERROR(VLOOKUP(September[[#This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IFERROR(VLOOKUP(September[[#This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IFERROR(VLOOKUP(September[[#This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IFERROR(VLOOKUP(September[[#This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IFERROR(VLOOKUP(September[[#This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IFERROR(VLOOKUP(September[[#This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IFERROR(VLOOKUP(September[[#This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IFERROR(VLOOKUP(September[[#This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IFERROR(VLOOKUP(September[[#This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IFERROR(VLOOKUP(September[[#This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IFERROR(VLOOKUP(September[[#This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IFERROR(VLOOKUP(September[[#This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IFERROR(VLOOKUP(September[[#This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IFERROR(VLOOKUP(September[[#This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IFERROR(VLOOKUP(September[[#This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IFERROR(VLOOKUP(September[[#This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IFERROR(VLOOKUP(September[[#This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IFERROR(VLOOKUP(September[[#This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IFERROR(VLOOKUP(September[[#This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IFERROR(VLOOKUP(September[[#This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IFERROR(VLOOKUP(September[[#This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IFERROR(VLOOKUP(September[[#This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IFERROR(VLOOKUP(September[[#This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IFERROR(VLOOKUP(September[[#This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IFERROR(VLOOKUP(September[[#This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IFERROR(VLOOKUP(September[[#This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IFERROR(VLOOKUP(September[[#This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IFERROR(VLOOKUP(September[[#This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IFERROR(VLOOKUP(September[[#This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IFERROR(VLOOKUP(September[[#This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IFERROR(VLOOKUP(September[[#This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IFERROR(VLOOKUP(September[[#This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IFERROR(VLOOKUP(September[[#This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IFERROR(VLOOKUP(September[[#This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IFERROR(VLOOKUP(September[[#This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IFERROR(VLOOKUP(September[[#This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IFERROR(VLOOKUP(September[[#This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IFERROR(VLOOKUP(September[[#This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IFERROR(VLOOKUP(September[[#This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IFERROR(VLOOKUP(September[[#This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IFERROR(VLOOKUP(September[[#This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IFERROR(VLOOKUP(September[[#This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IFERROR(VLOOKUP(September[[#This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IFERROR(VLOOKUP(September[[#This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IFERROR(VLOOKUP(September[[#This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IFERROR(VLOOKUP(September[[#This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IFERROR(VLOOKUP(September[[#This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IFERROR(VLOOKUP(September[[#This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IFERROR(VLOOKUP(September[[#This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IFERROR(VLOOKUP(September[[#This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IFERROR(VLOOKUP(September[[#This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IFERROR(VLOOKUP(September[[#This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IFERROR(VLOOKUP(September[[#This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IFERROR(VLOOKUP(September[[#This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IFERROR(VLOOKUP(September[[#This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IFERROR(VLOOKUP(September[[#This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IFERROR(VLOOKUP(September[[#This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IFERROR(VLOOKUP(September[[#This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IFERROR(VLOOKUP(September[[#This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IFERROR(VLOOKUP(September[[#This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IFERROR(VLOOKUP(September[[#This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IFERROR(VLOOKUP(September[[#This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IFERROR(VLOOKUP(September[[#This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IFERROR(VLOOKUP(September[[#This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IFERROR(VLOOKUP(September[[#This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IFERROR(VLOOKUP(September[[#This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IFERROR(VLOOKUP(September[[#This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IFERROR(VLOOKUP(September[[#This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IFERROR(VLOOKUP(September[[#This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IFERROR(VLOOKUP(September[[#This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IFERROR(VLOOKUP(September[[#This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IFERROR(VLOOKUP(September[[#This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IFERROR(VLOOKUP(September[[#This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IFERROR(VLOOKUP(September[[#This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IFERROR(VLOOKUP(September[[#This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IFERROR(VLOOKUP(September[[#This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IFERROR(VLOOKUP(September[[#This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IFERROR(VLOOKUP(September[[#This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IFERROR(VLOOKUP(September[[#This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IFERROR(VLOOKUP(September[[#This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IFERROR(VLOOKUP(September[[#This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IFERROR(VLOOKUP(September[[#This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IFERROR(VLOOKUP(September[[#This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IFERROR(VLOOKUP(September[[#This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IFERROR(VLOOKUP(September[[#This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IFERROR(VLOOKUP(September[[#This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IFERROR(VLOOKUP(September[[#This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IFERROR(VLOOKUP(September[[#This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IFERROR(VLOOKUP(September[[#This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IFERROR(VLOOKUP(September[[#This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IFERROR(VLOOKUP(September[[#This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IFERROR(VLOOKUP(September[[#This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IFERROR(VLOOKUP(September[[#This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IFERROR(VLOOKUP(September[[#This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IFERROR(VLOOKUP(September[[#This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IFERROR(VLOOKUP(September[[#This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IFERROR(VLOOKUP(September[[#This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IFERROR(VLOOKUP(September[[#This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IFERROR(VLOOKUP(September[[#This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IFERROR(VLOOKUP(September[[#This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IFERROR(VLOOKUP(September[[#This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IFERROR(VLOOKUP(September[[#This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IFERROR(VLOOKUP(September[[#This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IFERROR(VLOOKUP(September[[#This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IFERROR(VLOOKUP(September[[#This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IFERROR(VLOOKUP(September[[#This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IFERROR(VLOOKUP(September[[#This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IFERROR(VLOOKUP(September[[#This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IFERROR(VLOOKUP(September[[#This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IFERROR(VLOOKUP(September[[#This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IFERROR(VLOOKUP(September[[#This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IFERROR(VLOOKUP(September[[#This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IFERROR(VLOOKUP(September[[#This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IFERROR(VLOOKUP(September[[#This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IFERROR(VLOOKUP(September[[#This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IFERROR(VLOOKUP(September[[#This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IFERROR(VLOOKUP(September[[#This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IFERROR(VLOOKUP(September[[#This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IFERROR(VLOOKUP(September[[#This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IFERROR(VLOOKUP(September[[#This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IFERROR(VLOOKUP(September[[#This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IFERROR(VLOOKUP(September[[#This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IFERROR(VLOOKUP(September[[#This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IFERROR(VLOOKUP(September[[#This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IFERROR(VLOOKUP(September[[#This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IFERROR(VLOOKUP(September[[#This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IFERROR(VLOOKUP(September[[#This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IFERROR(VLOOKUP(September[[#This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IFERROR(VLOOKUP(September[[#This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IFERROR(VLOOKUP(September[[#This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IFERROR(VLOOKUP(September[[#This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IFERROR(VLOOKUP(September[[#This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IFERROR(VLOOKUP(September[[#This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IFERROR(VLOOKUP(September[[#This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IFERROR(VLOOKUP(September[[#This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IFERROR(VLOOKUP(September[[#This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IFERROR(VLOOKUP(September[[#This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IFERROR(VLOOKUP(September[[#This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IFERROR(VLOOKUP(September[[#This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IFERROR(VLOOKUP(September[[#This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IFERROR(VLOOKUP(September[[#This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IFERROR(VLOOKUP(September[[#This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IFERROR(VLOOKUP(September[[#This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IFERROR(VLOOKUP(September[[#This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IFERROR(VLOOKUP(September[[#This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IFERROR(VLOOKUP(September[[#This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IFERROR(VLOOKUP(September[[#This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IFERROR(VLOOKUP(September[[#This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IFERROR(VLOOKUP(September[[#This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IFERROR(VLOOKUP(September[[#This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IFERROR(VLOOKUP(September[[#This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IFERROR(VLOOKUP(September[[#This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IFERROR(VLOOKUP(September[[#This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IFERROR(VLOOKUP(September[[#This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IFERROR(VLOOKUP(September[[#This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IFERROR(VLOOKUP(September[[#This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IFERROR(VLOOKUP(September[[#This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IFERROR(VLOOKUP(September[[#This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IFERROR(VLOOKUP(September[[#This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IFERROR(VLOOKUP(September[[#This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IFERROR(VLOOKUP(September[[#This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IFERROR(VLOOKUP(September[[#This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IFERROR(VLOOKUP(September[[#This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IFERROR(VLOOKUP(September[[#This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IFERROR(VLOOKUP(September[[#This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IFERROR(VLOOKUP(September[[#This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IFERROR(VLOOKUP(September[[#This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IFERROR(VLOOKUP(September[[#This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IFERROR(VLOOKUP(September[[#This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IFERROR(VLOOKUP(September[[#This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IFERROR(VLOOKUP(September[[#This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IFERROR(VLOOKUP(September[[#This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IFERROR(VLOOKUP(September[[#This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IFERROR(VLOOKUP(September[[#This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IFERROR(VLOOKUP(September[[#This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IFERROR(VLOOKUP(September[[#This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IFERROR(VLOOKUP(September[[#This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IFERROR(VLOOKUP(September[[#This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IFERROR(VLOOKUP(September[[#This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IFERROR(VLOOKUP(September[[#This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IFERROR(VLOOKUP(September[[#This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IFERROR(VLOOKUP(September[[#This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IFERROR(VLOOKUP(September[[#This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IFERROR(VLOOKUP(September[[#This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IFERROR(VLOOKUP(September[[#This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IFERROR(VLOOKUP(September[[#This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IFERROR(VLOOKUP(September[[#This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IFERROR(VLOOKUP(September[[#This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IFERROR(VLOOKUP(September[[#This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IFERROR(VLOOKUP(September[[#This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IFERROR(VLOOKUP(September[[#This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IFERROR(VLOOKUP(September[[#This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IFERROR(VLOOKUP(September[[#This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IFERROR(VLOOKUP(September[[#This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IFERROR(VLOOKUP(September[[#This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IFERROR(VLOOKUP(September[[#This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IFERROR(VLOOKUP(September[[#This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IFERROR(VLOOKUP(September[[#This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IFERROR(VLOOKUP(September[[#This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IFERROR(VLOOKUP(September[[#This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IFERROR(VLOOKUP(September[[#This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IFERROR(VLOOKUP(September[[#This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IFERROR(VLOOKUP(September[[#This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IFERROR(VLOOKUP(September[[#This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IFERROR(VLOOKUP(September[[#This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IFERROR(VLOOKUP(September[[#This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IFERROR(VLOOKUP(September[[#This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IFERROR(VLOOKUP(September[[#This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IFERROR(VLOOKUP(September[[#This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IFERROR(VLOOKUP(September[[#This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IFERROR(VLOOKUP(September[[#This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IFERROR(VLOOKUP(September[[#This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IFERROR(VLOOKUP(September[[#This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IFERROR(VLOOKUP(September[[#This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IFERROR(VLOOKUP(September[[#This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IFERROR(VLOOKUP(September[[#This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IFERROR(VLOOKUP(September[[#This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IFERROR(VLOOKUP(September[[#This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IFERROR(VLOOKUP(September[[#This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IFERROR(VLOOKUP(September[[#This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IFERROR(VLOOKUP(September[[#This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IFERROR(VLOOKUP(September[[#This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IFERROR(VLOOKUP(September[[#This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IFERROR(VLOOKUP(September[[#This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IFERROR(VLOOKUP(September[[#This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IFERROR(VLOOKUP(September[[#This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IFERROR(VLOOKUP(September[[#This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IFERROR(VLOOKUP(September[[#This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IFERROR(VLOOKUP(September[[#This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IFERROR(VLOOKUP(September[[#This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IFERROR(VLOOKUP(September[[#This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IFERROR(VLOOKUP(September[[#This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IFERROR(VLOOKUP(September[[#This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IFERROR(VLOOKUP(September[[#This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IFERROR(VLOOKUP(September[[#This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IFERROR(VLOOKUP(September[[#This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IFERROR(VLOOKUP(September[[#This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IFERROR(VLOOKUP(September[[#This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IFERROR(VLOOKUP(September[[#This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IFERROR(VLOOKUP(September[[#This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IFERROR(VLOOKUP(September[[#This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IFERROR(VLOOKUP(September[[#This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IFERROR(VLOOKUP(September[[#This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IFERROR(VLOOKUP(September[[#This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IFERROR(VLOOKUP(September[[#This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IFERROR(VLOOKUP(September[[#This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IFERROR(VLOOKUP(September[[#This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IFERROR(VLOOKUP(September[[#This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IFERROR(VLOOKUP(September[[#This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IFERROR(VLOOKUP(September[[#This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IFERROR(VLOOKUP(September[[#This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IFERROR(VLOOKUP(September[[#This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IFERROR(VLOOKUP(September[[#This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IFERROR(VLOOKUP(September[[#This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IFERROR(VLOOKUP(September[[#This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IFERROR(VLOOKUP(September[[#This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IFERROR(VLOOKUP(September[[#This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IFERROR(VLOOKUP(September[[#This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IFERROR(VLOOKUP(September[[#This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IFERROR(VLOOKUP(September[[#This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IFERROR(VLOOKUP(September[[#This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IFERROR(VLOOKUP(September[[#This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IFERROR(VLOOKUP(September[[#This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IFERROR(VLOOKUP(September[[#This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IFERROR(VLOOKUP(September[[#This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IFERROR(VLOOKUP(September[[#This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IFERROR(VLOOKUP(September[[#This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IFERROR(VLOOKUP(September[[#This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IFERROR(VLOOKUP(September[[#This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IFERROR(VLOOKUP(September[[#This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IFERROR(VLOOKUP(September[[#This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IFERROR(VLOOKUP(September[[#This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IFERROR(VLOOKUP(September[[#This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IFERROR(VLOOKUP(September[[#This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IFERROR(VLOOKUP(September[[#This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IFERROR(VLOOKUP(September[[#This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IFERROR(VLOOKUP(September[[#This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IFERROR(VLOOKUP(September[[#This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IFERROR(VLOOKUP(September[[#This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IFERROR(VLOOKUP(September[[#This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IFERROR(VLOOKUP(September[[#This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IFERROR(VLOOKUP(September[[#This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IFERROR(VLOOKUP(September[[#This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IFERROR(VLOOKUP(September[[#This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IFERROR(VLOOKUP(September[[#This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IFERROR(VLOOKUP(September[[#This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IFERROR(VLOOKUP(September[[#This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IFERROR(VLOOKUP(September[[#This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IFERROR(VLOOKUP(September[[#This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IFERROR(VLOOKUP(September[[#This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IFERROR(VLOOKUP(September[[#This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IFERROR(VLOOKUP(September[[#This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IFERROR(VLOOKUP(September[[#This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IFERROR(VLOOKUP(September[[#This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IFERROR(VLOOKUP(September[[#This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IFERROR(VLOOKUP(September[[#This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IFERROR(VLOOKUP(September[[#This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IFERROR(VLOOKUP(September[[#This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IFERROR(VLOOKUP(September[[#This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IFERROR(VLOOKUP(September[[#This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IFERROR(VLOOKUP(September[[#This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IFERROR(VLOOKUP(September[[#This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IFERROR(VLOOKUP(September[[#This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IFERROR(VLOOKUP(September[[#This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IFERROR(VLOOKUP(September[[#This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IFERROR(VLOOKUP(September[[#This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IFERROR(VLOOKUP(September[[#This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IFERROR(VLOOKUP(September[[#This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IFERROR(VLOOKUP(September[[#This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IFERROR(VLOOKUP(September[[#This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IFERROR(VLOOKUP(September[[#This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IFERROR(VLOOKUP(September[[#This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IFERROR(VLOOKUP(September[[#This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IFERROR(VLOOKUP(September[[#This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IFERROR(VLOOKUP(September[[#This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IFERROR(VLOOKUP(September[[#This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IFERROR(VLOOKUP(September[[#This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IFERROR(VLOOKUP(September[[#This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IFERROR(VLOOKUP(September[[#This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IFERROR(VLOOKUP(September[[#This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IFERROR(VLOOKUP(September[[#This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IFERROR(VLOOKUP(September[[#This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IFERROR(VLOOKUP(September[[#This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IFERROR(VLOOKUP(September[[#This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IFERROR(VLOOKUP(September[[#This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IFERROR(VLOOKUP(September[[#This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IFERROR(VLOOKUP(September[[#This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IFERROR(VLOOKUP(September[[#This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IFERROR(VLOOKUP(September[[#This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IFERROR(VLOOKUP(September[[#This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IFERROR(VLOOKUP(September[[#This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IFERROR(VLOOKUP(September[[#This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IFERROR(VLOOKUP(September[[#This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IFERROR(VLOOKUP(September[[#This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IFERROR(VLOOKUP(September[[#This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IFERROR(VLOOKUP(September[[#This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IFERROR(VLOOKUP(September[[#This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IFERROR(VLOOKUP(September[[#This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IFERROR(VLOOKUP(September[[#This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IFERROR(VLOOKUP(September[[#This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IFERROR(VLOOKUP(September[[#This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IFERROR(VLOOKUP(September[[#This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IFERROR(VLOOKUP(September[[#This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IFERROR(VLOOKUP(September[[#This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IFERROR(VLOOKUP(September[[#This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IFERROR(VLOOKUP(September[[#This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IFERROR(VLOOKUP(September[[#This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IFERROR(VLOOKUP(September[[#This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IFERROR(VLOOKUP(September[[#This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IFERROR(VLOOKUP(September[[#This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IFERROR(VLOOKUP(September[[#This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IFERROR(VLOOKUP(September[[#This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IFERROR(VLOOKUP(September[[#This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IFERROR(VLOOKUP(September[[#This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IFERROR(VLOOKUP(September[[#This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IFERROR(VLOOKUP(September[[#This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IFERROR(VLOOKUP(September[[#This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IFERROR(VLOOKUP(September[[#This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IFERROR(VLOOKUP(September[[#This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IFERROR(VLOOKUP(September[[#This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IFERROR(VLOOKUP(September[[#This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IFERROR(VLOOKUP(September[[#This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IFERROR(VLOOKUP(September[[#This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IFERROR(VLOOKUP(September[[#This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IFERROR(VLOOKUP(September[[#This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IFERROR(VLOOKUP(September[[#This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IFERROR(VLOOKUP(September[[#This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IFERROR(VLOOKUP(September[[#This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IFERROR(VLOOKUP(September[[#This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IFERROR(VLOOKUP(September[[#This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IFERROR(VLOOKUP(September[[#This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IFERROR(VLOOKUP(September[[#This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IFERROR(VLOOKUP(September[[#This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IFERROR(VLOOKUP(September[[#This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IFERROR(VLOOKUP(September[[#This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IFERROR(VLOOKUP(September[[#This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IFERROR(VLOOKUP(September[[#This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IFERROR(VLOOKUP(September[[#This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IFERROR(VLOOKUP(September[[#This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IFERROR(VLOOKUP(September[[#This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IFERROR(VLOOKUP(September[[#This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IFERROR(VLOOKUP(September[[#This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IFERROR(VLOOKUP(September[[#This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IFERROR(VLOOKUP(September[[#This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IFERROR(VLOOKUP(September[[#This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IFERROR(VLOOKUP(September[[#This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IFERROR(VLOOKUP(September[[#This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IFERROR(VLOOKUP(September[[#This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IFERROR(VLOOKUP(September[[#This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IFERROR(VLOOKUP(September[[#This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IFERROR(VLOOKUP(September[[#This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IFERROR(VLOOKUP(September[[#This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IFERROR(VLOOKUP(September[[#This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IFERROR(VLOOKUP(September[[#This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IFERROR(VLOOKUP(September[[#This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IFERROR(VLOOKUP(September[[#This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IFERROR(VLOOKUP(September[[#This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IFERROR(VLOOKUP(September[[#This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IFERROR(VLOOKUP(September[[#This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IFERROR(VLOOKUP(September[[#This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IFERROR(VLOOKUP(September[[#This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IFERROR(VLOOKUP(September[[#This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IFERROR(VLOOKUP(September[[#This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IFERROR(VLOOKUP(September[[#This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IFERROR(VLOOKUP(September[[#This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IFERROR(VLOOKUP(September[[#This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IFERROR(VLOOKUP(September[[#This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IFERROR(VLOOKUP(September[[#This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IFERROR(VLOOKUP(September[[#This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IFERROR(VLOOKUP(September[[#This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IFERROR(VLOOKUP(September[[#This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IFERROR(VLOOKUP(September[[#This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IFERROR(VLOOKUP(September[[#This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IFERROR(VLOOKUP(September[[#This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IFERROR(VLOOKUP(September[[#This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IFERROR(VLOOKUP(September[[#This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IFERROR(VLOOKUP(September[[#This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IFERROR(VLOOKUP(September[[#This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IFERROR(VLOOKUP(September[[#This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IFERROR(VLOOKUP(September[[#This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IFERROR(VLOOKUP(September[[#This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IFERROR(VLOOKUP(September[[#This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IFERROR(VLOOKUP(September[[#This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IFERROR(VLOOKUP(September[[#This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IFERROR(VLOOKUP(September[[#This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IFERROR(VLOOKUP(September[[#This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IFERROR(VLOOKUP(September[[#This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IFERROR(VLOOKUP(September[[#This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IFERROR(VLOOKUP(September[[#This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IFERROR(VLOOKUP(September[[#This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IFERROR(VLOOKUP(September[[#This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IFERROR(VLOOKUP(September[[#This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IFERROR(VLOOKUP(September[[#This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IFERROR(VLOOKUP(September[[#This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IFERROR(VLOOKUP(September[[#This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IFERROR(VLOOKUP(September[[#This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IFERROR(VLOOKUP(September[[#This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IFERROR(VLOOKUP(September[[#This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IFERROR(VLOOKUP(September[[#This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IFERROR(VLOOKUP(September[[#This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IFERROR(VLOOKUP(September[[#This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IFERROR(VLOOKUP(September[[#This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IFERROR(VLOOKUP(September[[#This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IFERROR(VLOOKUP(September[[#This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IFERROR(VLOOKUP(September[[#This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IFERROR(VLOOKUP(September[[#This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IFERROR(VLOOKUP(September[[#This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IFERROR(VLOOKUP(September[[#This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IFERROR(VLOOKUP(September[[#This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IFERROR(VLOOKUP(September[[#This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IFERROR(VLOOKUP(September[[#This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IFERROR(VLOOKUP(September[[#This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IFERROR(VLOOKUP(September[[#This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IFERROR(VLOOKUP(September[[#This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IFERROR(VLOOKUP(September[[#This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IFERROR(VLOOKUP(September[[#This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IFERROR(VLOOKUP(September[[#This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IFERROR(VLOOKUP(September[[#This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IFERROR(VLOOKUP(September[[#This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IFERROR(VLOOKUP(September[[#This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IFERROR(VLOOKUP(September[[#This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IFERROR(VLOOKUP(September[[#This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IFERROR(VLOOKUP(September[[#This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IFERROR(VLOOKUP(September[[#This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IFERROR(VLOOKUP(September[[#This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IFERROR(VLOOKUP(September[[#This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IFERROR(VLOOKUP(September[[#This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IFERROR(VLOOKUP(September[[#This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IFERROR(VLOOKUP(September[[#This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IFERROR(VLOOKUP(September[[#This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IFERROR(VLOOKUP(September[[#This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IFERROR(VLOOKUP(September[[#This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IFERROR(VLOOKUP(September[[#This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IFERROR(VLOOKUP(September[[#This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IFERROR(VLOOKUP(September[[#This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IFERROR(VLOOKUP(September[[#This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IFERROR(VLOOKUP(September[[#This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IFERROR(VLOOKUP(September[[#This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IFERROR(VLOOKUP(September[[#This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IFERROR(VLOOKUP(September[[#This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IFERROR(VLOOKUP(September[[#This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IFERROR(VLOOKUP(September[[#This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IFERROR(VLOOKUP(September[[#This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IFERROR(VLOOKUP(September[[#This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IFERROR(VLOOKUP(September[[#This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IFERROR(VLOOKUP(September[[#This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IFERROR(VLOOKUP(September[[#This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IFERROR(VLOOKUP(September[[#This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IFERROR(VLOOKUP(September[[#This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IFERROR(VLOOKUP(September[[#This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IFERROR(VLOOKUP(September[[#This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IFERROR(VLOOKUP(September[[#This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IFERROR(VLOOKUP(September[[#This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IFERROR(VLOOKUP(September[[#This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IFERROR(VLOOKUP(September[[#This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IFERROR(VLOOKUP(September[[#This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IFERROR(VLOOKUP(September[[#This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IFERROR(VLOOKUP(September[[#This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IFERROR(VLOOKUP(September[[#This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IFERROR(VLOOKUP(September[[#This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IFERROR(VLOOKUP(September[[#This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IFERROR(VLOOKUP(September[[#This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IFERROR(VLOOKUP(September[[#This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IFERROR(VLOOKUP(September[[#This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IFERROR(VLOOKUP(September[[#This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IFERROR(VLOOKUP(September[[#This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IFERROR(VLOOKUP(September[[#This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IFERROR(VLOOKUP(September[[#This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IFERROR(VLOOKUP(September[[#This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IFERROR(VLOOKUP(September[[#This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IFERROR(VLOOKUP(September[[#This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IFERROR(VLOOKUP(September[[#This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IFERROR(VLOOKUP(September[[#This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IFERROR(VLOOKUP(September[[#This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IFERROR(VLOOKUP(September[[#This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IFERROR(VLOOKUP(September[[#This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IFERROR(VLOOKUP(September[[#This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IFERROR(VLOOKUP(September[[#This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IFERROR(VLOOKUP(September[[#This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IFERROR(VLOOKUP(September[[#This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IFERROR(VLOOKUP(September[[#This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IFERROR(VLOOKUP(September[[#This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IFERROR(VLOOKUP(September[[#This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IFERROR(VLOOKUP(September[[#This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IFERROR(VLOOKUP(September[[#This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IFERROR(VLOOKUP(September[[#This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IFERROR(VLOOKUP(September[[#This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IFERROR(VLOOKUP(September[[#This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IFERROR(VLOOKUP(September[[#This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IFERROR(VLOOKUP(September[[#This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IFERROR(VLOOKUP(September[[#This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IFERROR(VLOOKUP(September[[#This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IFERROR(VLOOKUP(September[[#This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IFERROR(VLOOKUP(September[[#This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IFERROR(VLOOKUP(September[[#This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IFERROR(VLOOKUP(September[[#This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IFERROR(VLOOKUP(September[[#This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IFERROR(VLOOKUP(September[[#This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IFERROR(VLOOKUP(September[[#This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IFERROR(VLOOKUP(September[[#This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IFERROR(VLOOKUP(September[[#This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IFERROR(VLOOKUP(September[[#This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IFERROR(VLOOKUP(September[[#This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IFERROR(VLOOKUP(September[[#This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IFERROR(VLOOKUP(September[[#This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IFERROR(VLOOKUP(September[[#This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IFERROR(VLOOKUP(September[[#This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IFERROR(VLOOKUP(September[[#This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IFERROR(VLOOKUP(September[[#This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IFERROR(VLOOKUP(September[[#This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IFERROR(VLOOKUP(September[[#This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IFERROR(VLOOKUP(September[[#This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IFERROR(VLOOKUP(September[[#This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IFERROR(VLOOKUP(September[[#This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IFERROR(VLOOKUP(September[[#This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IFERROR(VLOOKUP(September[[#This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IFERROR(VLOOKUP(September[[#This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IFERROR(VLOOKUP(September[[#This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IFERROR(VLOOKUP(September[[#This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IFERROR(VLOOKUP(September[[#This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IFERROR(VLOOKUP(September[[#This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IFERROR(VLOOKUP(September[[#This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IFERROR(VLOOKUP(September[[#This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IFERROR(VLOOKUP(September[[#This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IFERROR(VLOOKUP(September[[#This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IFERROR(VLOOKUP(September[[#This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IFERROR(VLOOKUP(September[[#This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IFERROR(VLOOKUP(September[[#This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IFERROR(VLOOKUP(September[[#This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IFERROR(VLOOKUP(September[[#This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IFERROR(VLOOKUP(September[[#This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IFERROR(VLOOKUP(September[[#This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IFERROR(VLOOKUP(September[[#This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IFERROR(VLOOKUP(September[[#This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IFERROR(VLOOKUP(September[[#This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IFERROR(VLOOKUP(September[[#This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IFERROR(VLOOKUP(September[[#This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IFERROR(VLOOKUP(September[[#This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IFERROR(VLOOKUP(September[[#This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IFERROR(VLOOKUP(September[[#This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IFERROR(VLOOKUP(September[[#This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IFERROR(VLOOKUP(September[[#This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IFERROR(VLOOKUP(September[[#This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IFERROR(VLOOKUP(September[[#This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IFERROR(VLOOKUP(September[[#This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IFERROR(VLOOKUP(September[[#This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IFERROR(VLOOKUP(September[[#This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IFERROR(VLOOKUP(September[[#This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IFERROR(VLOOKUP(September[[#This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IFERROR(VLOOKUP(September[[#This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IFERROR(VLOOKUP(September[[#This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IFERROR(VLOOKUP(September[[#This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IFERROR(VLOOKUP(September[[#This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IFERROR(VLOOKUP(September[[#This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IFERROR(VLOOKUP(September[[#This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IFERROR(VLOOKUP(September[[#This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IFERROR(VLOOKUP(September[[#This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IFERROR(VLOOKUP(September[[#This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IFERROR(VLOOKUP(September[[#This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IFERROR(VLOOKUP(September[[#This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IFERROR(VLOOKUP(September[[#This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IFERROR(VLOOKUP(September[[#This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IFERROR(VLOOKUP(September[[#This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IFERROR(VLOOKUP(September[[#This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IFERROR(VLOOKUP(September[[#This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IFERROR(VLOOKUP(September[[#This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IFERROR(VLOOKUP(September[[#This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IFERROR(VLOOKUP(September[[#This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IFERROR(VLOOKUP(September[[#This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IFERROR(VLOOKUP(September[[#This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IFERROR(VLOOKUP(September[[#This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IFERROR(VLOOKUP(September[[#This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IFERROR(VLOOKUP(September[[#This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IFERROR(VLOOKUP(September[[#This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IFERROR(VLOOKUP(September[[#This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IFERROR(VLOOKUP(September[[#This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IFERROR(VLOOKUP(September[[#This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IFERROR(VLOOKUP(September[[#This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IFERROR(VLOOKUP(September[[#This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IFERROR(VLOOKUP(September[[#This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IFERROR(VLOOKUP(September[[#This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IFERROR(VLOOKUP(September[[#This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IFERROR(VLOOKUP(September[[#This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IFERROR(VLOOKUP(September[[#This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IFERROR(VLOOKUP(September[[#This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IFERROR(VLOOKUP(September[[#This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IFERROR(VLOOKUP(September[[#This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IFERROR(VLOOKUP(September[[#This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IFERROR(VLOOKUP(September[[#This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IFERROR(VLOOKUP(September[[#This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IFERROR(VLOOKUP(September[[#This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IFERROR(VLOOKUP(September[[#This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IFERROR(VLOOKUP(September[[#This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IFERROR(VLOOKUP(September[[#This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IFERROR(VLOOKUP(September[[#This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IFERROR(VLOOKUP(September[[#This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IFERROR(VLOOKUP(September[[#This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IFERROR(VLOOKUP(September[[#This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IFERROR(VLOOKUP(September[[#This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IFERROR(VLOOKUP(September[[#This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IFERROR(VLOOKUP(September[[#This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IFERROR(VLOOKUP(September[[#This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IFERROR(VLOOKUP(September[[#This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IFERROR(VLOOKUP(September[[#This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IFERROR(VLOOKUP(September[[#This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IFERROR(VLOOKUP(September[[#This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IFERROR(VLOOKUP(September[[#This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IFERROR(VLOOKUP(September[[#This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IFERROR(VLOOKUP(September[[#This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IFERROR(VLOOKUP(September[[#This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IFERROR(VLOOKUP(September[[#This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IFERROR(VLOOKUP(September[[#This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IFERROR(VLOOKUP(September[[#This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IFERROR(VLOOKUP(September[[#This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IFERROR(VLOOKUP(September[[#This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IFERROR(VLOOKUP(September[[#This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IFERROR(VLOOKUP(September[[#This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IFERROR(VLOOKUP(September[[#This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IFERROR(VLOOKUP(September[[#This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IFERROR(VLOOKUP(September[[#This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IFERROR(VLOOKUP(September[[#This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IFERROR(VLOOKUP(September[[#This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IFERROR(VLOOKUP(September[[#This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IFERROR(VLOOKUP(September[[#This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IFERROR(VLOOKUP(September[[#This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IFERROR(VLOOKUP(September[[#This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IFERROR(VLOOKUP(September[[#This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IFERROR(VLOOKUP(September[[#This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IFERROR(VLOOKUP(September[[#This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IFERROR(VLOOKUP(September[[#This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IFERROR(VLOOKUP(September[[#This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IFERROR(VLOOKUP(September[[#This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IFERROR(VLOOKUP(September[[#This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IFERROR(VLOOKUP(September[[#This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IFERROR(VLOOKUP(September[[#This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IFERROR(VLOOKUP(September[[#This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IFERROR(VLOOKUP(September[[#This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IFERROR(VLOOKUP(September[[#This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IFERROR(VLOOKUP(September[[#This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IFERROR(VLOOKUP(September[[#This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IFERROR(VLOOKUP(September[[#This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IFERROR(VLOOKUP(September[[#This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IFERROR(VLOOKUP(September[[#This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IFERROR(VLOOKUP(September[[#This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IFERROR(VLOOKUP(September[[#This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IFERROR(VLOOKUP(September[[#This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IFERROR(VLOOKUP(September[[#This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IFERROR(VLOOKUP(September[[#This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IFERROR(VLOOKUP(September[[#This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IFERROR(VLOOKUP(September[[#This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IFERROR(VLOOKUP(September[[#This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IFERROR(VLOOKUP(September[[#This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IFERROR(VLOOKUP(September[[#This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IFERROR(VLOOKUP(September[[#This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IFERROR(VLOOKUP(September[[#This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IFERROR(VLOOKUP(September[[#This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IFERROR(VLOOKUP(September[[#This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IFERROR(VLOOKUP(September[[#This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IFERROR(VLOOKUP(September[[#This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IFERROR(VLOOKUP(September[[#This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IFERROR(VLOOKUP(September[[#This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IFERROR(VLOOKUP(September[[#This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IFERROR(VLOOKUP(September[[#This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IFERROR(VLOOKUP(September[[#This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IFERROR(VLOOKUP(September[[#This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IFERROR(VLOOKUP(September[[#This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IFERROR(VLOOKUP(September[[#This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IFERROR(VLOOKUP(September[[#This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IFERROR(VLOOKUP(September[[#This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IFERROR(VLOOKUP(September[[#This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IFERROR(VLOOKUP(September[[#This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IFERROR(VLOOKUP(September[[#This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IFERROR(VLOOKUP(September[[#This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IFERROR(VLOOKUP(September[[#This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IFERROR(VLOOKUP(September[[#This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IFERROR(VLOOKUP(September[[#This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IFERROR(VLOOKUP(September[[#This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IFERROR(VLOOKUP(September[[#This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IFERROR(VLOOKUP(September[[#This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IFERROR(VLOOKUP(September[[#This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IFERROR(VLOOKUP(September[[#This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IFERROR(VLOOKUP(September[[#This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IFERROR(VLOOKUP(September[[#This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IFERROR(VLOOKUP(September[[#This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IFERROR(VLOOKUP(September[[#This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IFERROR(VLOOKUP(September[[#This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IFERROR(VLOOKUP(September[[#This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IFERROR(VLOOKUP(September[[#This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IFERROR(VLOOKUP(September[[#This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IFERROR(VLOOKUP(September[[#This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IFERROR(VLOOKUP(September[[#This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IFERROR(VLOOKUP(September[[#This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IFERROR(VLOOKUP(September[[#This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IFERROR(VLOOKUP(September[[#This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IFERROR(VLOOKUP(September[[#This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IFERROR(VLOOKUP(September[[#This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IFERROR(VLOOKUP(September[[#This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IFERROR(VLOOKUP(September[[#This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IFERROR(VLOOKUP(September[[#This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IFERROR(VLOOKUP(September[[#This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IFERROR(VLOOKUP(September[[#This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IFERROR(VLOOKUP(September[[#This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IFERROR(VLOOKUP(September[[#This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IFERROR(VLOOKUP(September[[#This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IFERROR(VLOOKUP(September[[#This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IFERROR(VLOOKUP(September[[#This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IFERROR(VLOOKUP(September[[#This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IFERROR(VLOOKUP(September[[#This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IFERROR(VLOOKUP(September[[#This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IFERROR(VLOOKUP(September[[#This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IFERROR(VLOOKUP(September[[#This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IFERROR(VLOOKUP(September[[#This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IFERROR(VLOOKUP(September[[#This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IFERROR(VLOOKUP(September[[#This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IFERROR(VLOOKUP(September[[#This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IFERROR(VLOOKUP(September[[#This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IFERROR(VLOOKUP(September[[#This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IFERROR(VLOOKUP(September[[#This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IFERROR(VLOOKUP(September[[#This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IFERROR(VLOOKUP(September[[#This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IFERROR(VLOOKUP(September[[#This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IFERROR(VLOOKUP(September[[#This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IFERROR(VLOOKUP(September[[#This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IFERROR(VLOOKUP(September[[#This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IFERROR(VLOOKUP(September[[#This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IFERROR(VLOOKUP(September[[#This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IFERROR(VLOOKUP(September[[#This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IFERROR(VLOOKUP(September[[#This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IFERROR(VLOOKUP(September[[#This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IFERROR(VLOOKUP(September[[#This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IFERROR(VLOOKUP(September[[#This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IFERROR(VLOOKUP(September[[#This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IFERROR(VLOOKUP(September[[#This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IFERROR(VLOOKUP(September[[#This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IFERROR(VLOOKUP(September[[#This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IFERROR(VLOOKUP(September[[#This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IFERROR(VLOOKUP(September[[#This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IFERROR(VLOOKUP(September[[#This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IFERROR(VLOOKUP(September[[#This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IFERROR(VLOOKUP(September[[#This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IFERROR(VLOOKUP(September[[#This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IFERROR(VLOOKUP(September[[#This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IFERROR(VLOOKUP(September[[#This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IFERROR(VLOOKUP(September[[#This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IFERROR(VLOOKUP(September[[#This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IFERROR(VLOOKUP(September[[#This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IFERROR(VLOOKUP(September[[#This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IFERROR(VLOOKUP(September[[#This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IFERROR(VLOOKUP(September[[#This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IFERROR(VLOOKUP(September[[#This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IFERROR(VLOOKUP(September[[#This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IFERROR(VLOOKUP(September[[#This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IFERROR(VLOOKUP(September[[#This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IFERROR(VLOOKUP(September[[#This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IFERROR(VLOOKUP(September[[#This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IFERROR(VLOOKUP(September[[#This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IFERROR(VLOOKUP(September[[#This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IFERROR(VLOOKUP(September[[#This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IFERROR(VLOOKUP(September[[#This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IFERROR(VLOOKUP(September[[#This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IFERROR(VLOOKUP(September[[#This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IFERROR(VLOOKUP(September[[#This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IFERROR(VLOOKUP(September[[#This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IFERROR(VLOOKUP(September[[#This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IFERROR(VLOOKUP(September[[#This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IFERROR(VLOOKUP(September[[#This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IFERROR(VLOOKUP(September[[#This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IFERROR(VLOOKUP(September[[#This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IFERROR(VLOOKUP(September[[#This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IFERROR(VLOOKUP(September[[#This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IFERROR(VLOOKUP(September[[#This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IFERROR(VLOOKUP(September[[#This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IFERROR(VLOOKUP(September[[#This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IFERROR(VLOOKUP(September[[#This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IFERROR(VLOOKUP(September[[#This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IFERROR(VLOOKUP(September[[#This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IFERROR(VLOOKUP(September[[#This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IFERROR(VLOOKUP(September[[#This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IFERROR(VLOOKUP(September[[#This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IFERROR(VLOOKUP(September[[#This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IFERROR(VLOOKUP(September[[#This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IFERROR(VLOOKUP(September[[#This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IFERROR(VLOOKUP(September[[#This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IFERROR(VLOOKUP(September[[#This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IFERROR(VLOOKUP(September[[#This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IFERROR(VLOOKUP(September[[#This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IFERROR(VLOOKUP(September[[#This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IFERROR(VLOOKUP(September[[#This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IFERROR(VLOOKUP(September[[#This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IFERROR(VLOOKUP(September[[#This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IFERROR(VLOOKUP(September[[#This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IFERROR(VLOOKUP(September[[#This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IFERROR(VLOOKUP(September[[#This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IFERROR(VLOOKUP(September[[#This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IFERROR(VLOOKUP(September[[#This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IFERROR(VLOOKUP(September[[#This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IFERROR(VLOOKUP(September[[#This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IFERROR(VLOOKUP(September[[#This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IFERROR(VLOOKUP(September[[#This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IFERROR(VLOOKUP(September[[#This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IFERROR(VLOOKUP(September[[#This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IFERROR(VLOOKUP(September[[#This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IFERROR(VLOOKUP(September[[#This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IFERROR(VLOOKUP(September[[#This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IFERROR(VLOOKUP(September[[#This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IFERROR(VLOOKUP(September[[#This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IFERROR(VLOOKUP(September[[#This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IFERROR(VLOOKUP(September[[#This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IFERROR(VLOOKUP(September[[#This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IFERROR(VLOOKUP(September[[#This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IFERROR(VLOOKUP(September[[#This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IFERROR(VLOOKUP(September[[#This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IFERROR(VLOOKUP(September[[#This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IFERROR(VLOOKUP(September[[#This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IFERROR(VLOOKUP(September[[#This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IFERROR(VLOOKUP(September[[#This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IFERROR(VLOOKUP(September[[#This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IFERROR(VLOOKUP(September[[#This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IFERROR(VLOOKUP(September[[#This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IFERROR(VLOOKUP(September[[#This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IFERROR(VLOOKUP(September[[#This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IFERROR(VLOOKUP(September[[#This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IFERROR(VLOOKUP(September[[#This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IFERROR(VLOOKUP(September[[#This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IFERROR(VLOOKUP(September[[#This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IFERROR(VLOOKUP(September[[#This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IFERROR(VLOOKUP(September[[#This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IFERROR(VLOOKUP(September[[#This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IFERROR(VLOOKUP(September[[#This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IFERROR(VLOOKUP(September[[#This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IFERROR(VLOOKUP(September[[#This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IFERROR(VLOOKUP(September[[#This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IFERROR(VLOOKUP(September[[#This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IFERROR(VLOOKUP(September[[#This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IFERROR(VLOOKUP(September[[#This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IFERROR(VLOOKUP(September[[#This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IFERROR(VLOOKUP(September[[#This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IFERROR(VLOOKUP(September[[#This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IFERROR(VLOOKUP(September[[#This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IFERROR(VLOOKUP(September[[#This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IFERROR(VLOOKUP(September[[#This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IFERROR(VLOOKUP(September[[#This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IFERROR(VLOOKUP(September[[#This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IFERROR(VLOOKUP(September[[#This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IFERROR(VLOOKUP(September[[#This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IFERROR(VLOOKUP(September[[#This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IFERROR(VLOOKUP(September[[#This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IFERROR(VLOOKUP(September[[#This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IFERROR(VLOOKUP(September[[#This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IFERROR(VLOOKUP(September[[#This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IFERROR(VLOOKUP(September[[#This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IFERROR(VLOOKUP(September[[#This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IFERROR(VLOOKUP(September[[#This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IFERROR(VLOOKUP(September[[#This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IFERROR(VLOOKUP(September[[#This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IFERROR(VLOOKUP(September[[#This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IFERROR(VLOOKUP(September[[#This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IFERROR(VLOOKUP(September[[#This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IFERROR(VLOOKUP(September[[#This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IFERROR(VLOOKUP(September[[#This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IFERROR(VLOOKUP(September[[#This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IFERROR(VLOOKUP(September[[#This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IFERROR(VLOOKUP(September[[#This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IFERROR(VLOOKUP(September[[#This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IFERROR(VLOOKUP(September[[#This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IFERROR(VLOOKUP(September[[#This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IFERROR(VLOOKUP(September[[#This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IFERROR(VLOOKUP(September[[#This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IFERROR(VLOOKUP(September[[#This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IFERROR(VLOOKUP(September[[#This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IFERROR(VLOOKUP(September[[#This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IFERROR(VLOOKUP(September[[#This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IFERROR(VLOOKUP(September[[#This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IFERROR(VLOOKUP(September[[#This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IFERROR(VLOOKUP(September[[#This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IFERROR(VLOOKUP(September[[#This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IFERROR(VLOOKUP(September[[#This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IFERROR(VLOOKUP(September[[#This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IFERROR(VLOOKUP(September[[#This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IFERROR(VLOOKUP(September[[#This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IFERROR(VLOOKUP(September[[#This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IFERROR(VLOOKUP(September[[#This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IFERROR(VLOOKUP(September[[#This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IFERROR(VLOOKUP(September[[#This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IFERROR(VLOOKUP(September[[#This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IFERROR(VLOOKUP(September[[#This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IFERROR(VLOOKUP(September[[#This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IFERROR(VLOOKUP(September[[#This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IFERROR(VLOOKUP(September[[#This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IFERROR(VLOOKUP(September[[#This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IFERROR(VLOOKUP(September[[#This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IFERROR(VLOOKUP(September[[#This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IFERROR(VLOOKUP(September[[#This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IFERROR(VLOOKUP(September[[#This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IFERROR(VLOOKUP(September[[#This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IFERROR(VLOOKUP(September[[#This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IFERROR(VLOOKUP(September[[#This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IFERROR(VLOOKUP(September[[#This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IFERROR(VLOOKUP(September[[#This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IFERROR(VLOOKUP(September[[#This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IFERROR(VLOOKUP(September[[#This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IFERROR(VLOOKUP(September[[#This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IFERROR(VLOOKUP(September[[#This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IFERROR(VLOOKUP(September[[#This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IFERROR(VLOOKUP(September[[#This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IFERROR(VLOOKUP(September[[#This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IFERROR(VLOOKUP(September[[#This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IFERROR(VLOOKUP(September[[#This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IFERROR(VLOOKUP(September[[#This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IFERROR(VLOOKUP(September[[#This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IFERROR(VLOOKUP(September[[#This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IFERROR(VLOOKUP(September[[#This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IFERROR(VLOOKUP(September[[#This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IFERROR(VLOOKUP(September[[#This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IFERROR(VLOOKUP(September[[#This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IFERROR(VLOOKUP(September[[#This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IFERROR(VLOOKUP(September[[#This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IFERROR(VLOOKUP(September[[#This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IFERROR(VLOOKUP(September[[#This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IFERROR(VLOOKUP(September[[#This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IFERROR(VLOOKUP(September[[#This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IFERROR(VLOOKUP(September[[#This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IFERROR(VLOOKUP(September[[#This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IFERROR(VLOOKUP(September[[#This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IFERROR(VLOOKUP(September[[#This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IFERROR(VLOOKUP(September[[#This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IFERROR(VLOOKUP(September[[#This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IFERROR(VLOOKUP(September[[#This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IFERROR(VLOOKUP(September[[#This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IFERROR(VLOOKUP(September[[#This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IFERROR(VLOOKUP(September[[#This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IFERROR(VLOOKUP(September[[#This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IFERROR(VLOOKUP(September[[#This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IFERROR(VLOOKUP(September[[#This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IFERROR(VLOOKUP(September[[#This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IFERROR(VLOOKUP(September[[#This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IFERROR(VLOOKUP(September[[#This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IFERROR(VLOOKUP(September[[#This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IFERROR(VLOOKUP(September[[#This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IFERROR(VLOOKUP(September[[#This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IFERROR(VLOOKUP(September[[#This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IFERROR(VLOOKUP(September[[#This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IFERROR(VLOOKUP(September[[#This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IFERROR(VLOOKUP(September[[#This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IFERROR(VLOOKUP(September[[#This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IFERROR(VLOOKUP(September[[#This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IFERROR(VLOOKUP(September[[#This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IFERROR(VLOOKUP(September[[#This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IFERROR(VLOOKUP(September[[#This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IFERROR(VLOOKUP(September[[#This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IFERROR(VLOOKUP(September[[#This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IFERROR(VLOOKUP(September[[#This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IFERROR(VLOOKUP(September[[#This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IFERROR(VLOOKUP(September[[#This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IFERROR(VLOOKUP(September[[#This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IFERROR(VLOOKUP(September[[#This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IFERROR(VLOOKUP(September[[#This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IFERROR(VLOOKUP(September[[#This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IFERROR(VLOOKUP(September[[#This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IFERROR(VLOOKUP(September[[#This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IFERROR(VLOOKUP(September[[#This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IFERROR(VLOOKUP(September[[#This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IFERROR(VLOOKUP(September[[#This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IFERROR(VLOOKUP(September[[#This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IFERROR(VLOOKUP(September[[#This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IFERROR(VLOOKUP(September[[#This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IFERROR(VLOOKUP(September[[#This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IFERROR(VLOOKUP(September[[#This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IFERROR(VLOOKUP(September[[#This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IFERROR(VLOOKUP(September[[#This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IFERROR(VLOOKUP(September[[#This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IFERROR(VLOOKUP(September[[#This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IFERROR(VLOOKUP(September[[#This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IFERROR(VLOOKUP(September[[#This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IFERROR(VLOOKUP(September[[#This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IFERROR(VLOOKUP(September[[#This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IFERROR(VLOOKUP(September[[#This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IFERROR(VLOOKUP(September[[#This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IFERROR(VLOOKUP(September[[#This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IFERROR(VLOOKUP(September[[#This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IFERROR(VLOOKUP(September[[#This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IFERROR(VLOOKUP(September[[#This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IFERROR(VLOOKUP(September[[#This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IFERROR(VLOOKUP(September[[#This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IFERROR(VLOOKUP(September[[#This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IFERROR(VLOOKUP(September[[#This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IFERROR(VLOOKUP(September[[#This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IFERROR(VLOOKUP(September[[#This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IFERROR(VLOOKUP(September[[#This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IFERROR(VLOOKUP(September[[#This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IFERROR(VLOOKUP(September[[#This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IFERROR(VLOOKUP(September[[#This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IFERROR(VLOOKUP(September[[#This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IFERROR(VLOOKUP(September[[#This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IFERROR(VLOOKUP(September[[#This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IFERROR(VLOOKUP(September[[#This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IFERROR(VLOOKUP(September[[#This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IFERROR(VLOOKUP(September[[#This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IFERROR(VLOOKUP(September[[#This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IFERROR(VLOOKUP(September[[#This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IFERROR(VLOOKUP(September[[#This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IFERROR(VLOOKUP(September[[#This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IFERROR(VLOOKUP(September[[#This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IFERROR(VLOOKUP(September[[#This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IFERROR(VLOOKUP(September[[#This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IFERROR(VLOOKUP(September[[#This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IFERROR(VLOOKUP(September[[#This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IFERROR(VLOOKUP(September[[#This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IFERROR(VLOOKUP(September[[#This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IFERROR(VLOOKUP(September[[#This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IFERROR(VLOOKUP(September[[#This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IFERROR(VLOOKUP(September[[#This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IFERROR(VLOOKUP(September[[#This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IFERROR(VLOOKUP(September[[#This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IFERROR(VLOOKUP(September[[#This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IFERROR(VLOOKUP(September[[#This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IFERROR(VLOOKUP(September[[#This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IFERROR(VLOOKUP(September[[#This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IFERROR(VLOOKUP(September[[#This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IFERROR(VLOOKUP(September[[#This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IFERROR(VLOOKUP(September[[#This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IFERROR(VLOOKUP(September[[#This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IFERROR(VLOOKUP(September[[#This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IFERROR(VLOOKUP(September[[#This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IFERROR(VLOOKUP(September[[#This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IFERROR(VLOOKUP(September[[#This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IFERROR(VLOOKUP(September[[#This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IFERROR(VLOOKUP(September[[#This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IFERROR(VLOOKUP(September[[#This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IFERROR(VLOOKUP(September[[#This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IFERROR(VLOOKUP(September[[#This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IFERROR(VLOOKUP(September[[#This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IFERROR(VLOOKUP(September[[#This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IFERROR(VLOOKUP(September[[#This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IFERROR(VLOOKUP(September[[#This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IFERROR(VLOOKUP(September[[#This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IFERROR(VLOOKUP(September[[#This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IFERROR(VLOOKUP(September[[#This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IFERROR(VLOOKUP(September[[#This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IFERROR(VLOOKUP(September[[#This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IFERROR(VLOOKUP(September[[#This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IFERROR(VLOOKUP(September[[#This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IFERROR(VLOOKUP(September[[#This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IFERROR(VLOOKUP(September[[#This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IFERROR(VLOOKUP(September[[#This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IFERROR(VLOOKUP(September[[#This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IFERROR(VLOOKUP(September[[#This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IFERROR(VLOOKUP(September[[#This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IFERROR(VLOOKUP(September[[#This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IFERROR(VLOOKUP(September[[#This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IFERROR(VLOOKUP(September[[#This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IFERROR(VLOOKUP(September[[#This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IFERROR(VLOOKUP(September[[#This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IFERROR(VLOOKUP(September[[#This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IFERROR(VLOOKUP(September[[#This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IFERROR(VLOOKUP(September[[#This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IFERROR(VLOOKUP(September[[#This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IFERROR(VLOOKUP(September[[#This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IFERROR(VLOOKUP(September[[#This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IFERROR(VLOOKUP(September[[#This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IFERROR(VLOOKUP(September[[#This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IFERROR(VLOOKUP(September[[#This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IFERROR(VLOOKUP(September[[#This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IFERROR(VLOOKUP(September[[#This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IFERROR(VLOOKUP(September[[#This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IFERROR(VLOOKUP(September[[#This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IFERROR(VLOOKUP(September[[#This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IFERROR(VLOOKUP(September[[#This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IFERROR(VLOOKUP(September[[#This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IFERROR(VLOOKUP(September[[#This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IFERROR(VLOOKUP(September[[#This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IFERROR(VLOOKUP(September[[#This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IFERROR(VLOOKUP(September[[#This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IFERROR(VLOOKUP(September[[#This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IFERROR(VLOOKUP(September[[#This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IFERROR(VLOOKUP(September[[#This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IFERROR(VLOOKUP(September[[#This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IFERROR(VLOOKUP(September[[#This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IFERROR(VLOOKUP(September[[#This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IFERROR(VLOOKUP(September[[#This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IFERROR(VLOOKUP(September[[#This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IFERROR(VLOOKUP(September[[#This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IFERROR(VLOOKUP(September[[#This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IFERROR(VLOOKUP(September[[#This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IFERROR(VLOOKUP(September[[#This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IFERROR(VLOOKUP(September[[#This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IFERROR(VLOOKUP(September[[#This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IFERROR(VLOOKUP(September[[#This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IFERROR(VLOOKUP(September[[#This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IFERROR(VLOOKUP(September[[#This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IFERROR(VLOOKUP(September[[#This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IFERROR(VLOOKUP(September[[#This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IFERROR(VLOOKUP(September[[#This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IFERROR(VLOOKUP(September[[#This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IFERROR(VLOOKUP(September[[#This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IFERROR(VLOOKUP(September[[#This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IFERROR(VLOOKUP(September[[#This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IFERROR(VLOOKUP(September[[#This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IFERROR(VLOOKUP(September[[#This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IFERROR(VLOOKUP(September[[#This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IFERROR(VLOOKUP(September[[#This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IFERROR(VLOOKUP(September[[#This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IFERROR(VLOOKUP(September[[#This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IFERROR(VLOOKUP(September[[#This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IFERROR(VLOOKUP(September[[#This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IFERROR(VLOOKUP(September[[#This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IFERROR(VLOOKUP(September[[#This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IFERROR(VLOOKUP(September[[#This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IFERROR(VLOOKUP(September[[#This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IFERROR(VLOOKUP(September[[#This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IFERROR(VLOOKUP(September[[#This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IFERROR(VLOOKUP(September[[#This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IFERROR(VLOOKUP(September[[#This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IFERROR(VLOOKUP(September[[#This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IFERROR(VLOOKUP(September[[#This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IFERROR(VLOOKUP(September[[#This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IFERROR(VLOOKUP(September[[#This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IFERROR(VLOOKUP(September[[#This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IFERROR(VLOOKUP(September[[#This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IFERROR(VLOOKUP(September[[#This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IFERROR(VLOOKUP(September[[#This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IFERROR(VLOOKUP(September[[#This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IFERROR(VLOOKUP(September[[#This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IFERROR(VLOOKUP(September[[#This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IFERROR(VLOOKUP(September[[#This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IFERROR(VLOOKUP(September[[#This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IFERROR(VLOOKUP(September[[#This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IFERROR(VLOOKUP(September[[#This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IFERROR(VLOOKUP(September[[#This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IFERROR(VLOOKUP(September[[#This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IFERROR(VLOOKUP(September[[#This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IFERROR(VLOOKUP(September[[#This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IFERROR(VLOOKUP(September[[#This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IFERROR(VLOOKUP(September[[#This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IFERROR(VLOOKUP(September[[#This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IFERROR(VLOOKUP(September[[#This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IFERROR(VLOOKUP(September[[#This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IFERROR(VLOOKUP(September[[#This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IFERROR(VLOOKUP(September[[#This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IFERROR(VLOOKUP(September[[#This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IFERROR(VLOOKUP(September[[#This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IFERROR(VLOOKUP(September[[#This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IFERROR(VLOOKUP(September[[#This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IFERROR(VLOOKUP(September[[#This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IFERROR(VLOOKUP(September[[#This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IFERROR(VLOOKUP(September[[#This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IFERROR(VLOOKUP(September[[#This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IFERROR(VLOOKUP(September[[#This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IFERROR(VLOOKUP(September[[#This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IFERROR(VLOOKUP(September[[#This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IFERROR(VLOOKUP(September[[#This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IFERROR(VLOOKUP(September[[#This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IFERROR(VLOOKUP(September[[#This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IFERROR(VLOOKUP(September[[#This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IFERROR(VLOOKUP(September[[#This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IFERROR(VLOOKUP(September[[#This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IFERROR(VLOOKUP(September[[#This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IFERROR(VLOOKUP(September[[#This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IFERROR(VLOOKUP(September[[#This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IFERROR(VLOOKUP(September[[#This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IFERROR(VLOOKUP(September[[#This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IFERROR(VLOOKUP(September[[#This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IFERROR(VLOOKUP(September[[#This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IFERROR(VLOOKUP(September[[#This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IFERROR(VLOOKUP(September[[#This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IFERROR(VLOOKUP(September[[#This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IFERROR(VLOOKUP(September[[#This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IFERROR(VLOOKUP(September[[#This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IFERROR(VLOOKUP(September[[#This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IFERROR(VLOOKUP(September[[#This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IFERROR(VLOOKUP(September[[#This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IFERROR(VLOOKUP(September[[#This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IFERROR(VLOOKUP(September[[#This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IFERROR(VLOOKUP(September[[#This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IFERROR(VLOOKUP(September[[#This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IFERROR(VLOOKUP(September[[#This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IFERROR(VLOOKUP(September[[#This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IFERROR(VLOOKUP(September[[#This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IFERROR(VLOOKUP(September[[#This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IFERROR(VLOOKUP(September[[#This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IFERROR(VLOOKUP(September[[#This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IFERROR(VLOOKUP(September[[#This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IFERROR(VLOOKUP(September[[#This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IFERROR(VLOOKUP(September[[#This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IFERROR(VLOOKUP(September[[#This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IFERROR(VLOOKUP(September[[#This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IFERROR(VLOOKUP(September[[#This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IFERROR(VLOOKUP(September[[#This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IFERROR(VLOOKUP(September[[#This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IFERROR(VLOOKUP(September[[#This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IFERROR(VLOOKUP(September[[#This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IFERROR(VLOOKUP(September[[#This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IFERROR(VLOOKUP(September[[#This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IFERROR(VLOOKUP(September[[#This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IFERROR(VLOOKUP(September[[#This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IFERROR(VLOOKUP(September[[#This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IFERROR(VLOOKUP(September[[#This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IFERROR(VLOOKUP(September[[#This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IFERROR(VLOOKUP(September[[#This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IFERROR(VLOOKUP(September[[#This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IFERROR(VLOOKUP(September[[#This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IFERROR(VLOOKUP(September[[#This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IFERROR(VLOOKUP(September[[#This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IFERROR(VLOOKUP(September[[#This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IFERROR(VLOOKUP(September[[#This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IFERROR(VLOOKUP(September[[#This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IFERROR(VLOOKUP(September[[#This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IFERROR(VLOOKUP(September[[#This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IFERROR(VLOOKUP(September[[#This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IFERROR(VLOOKUP(September[[#This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IFERROR(VLOOKUP(September[[#This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IFERROR(VLOOKUP(September[[#This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IFERROR(VLOOKUP(September[[#This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IFERROR(VLOOKUP(September[[#This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IFERROR(VLOOKUP(September[[#This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IFERROR(VLOOKUP(September[[#This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IFERROR(VLOOKUP(September[[#This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IFERROR(VLOOKUP(September[[#This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IFERROR(VLOOKUP(September[[#This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IFERROR(VLOOKUP(September[[#This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IFERROR(VLOOKUP(September[[#This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IFERROR(VLOOKUP(September[[#This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IFERROR(VLOOKUP(September[[#This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IFERROR(VLOOKUP(September[[#This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IFERROR(VLOOKUP(September[[#This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IFERROR(VLOOKUP(September[[#This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IFERROR(VLOOKUP(September[[#This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IFERROR(VLOOKUP(September[[#This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IFERROR(VLOOKUP(September[[#This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IFERROR(VLOOKUP(September[[#This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IFERROR(VLOOKUP(September[[#This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IFERROR(VLOOKUP(September[[#This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IFERROR(VLOOKUP(September[[#This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IFERROR(VLOOKUP(September[[#This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IFERROR(VLOOKUP(September[[#This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IFERROR(VLOOKUP(September[[#This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IFERROR(VLOOKUP(September[[#This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IFERROR(VLOOKUP(September[[#This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IFERROR(VLOOKUP(September[[#This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IFERROR(VLOOKUP(September[[#This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IFERROR(VLOOKUP(September[[#This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IFERROR(VLOOKUP(September[[#This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IFERROR(VLOOKUP(September[[#This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IFERROR(VLOOKUP(September[[#This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IFERROR(VLOOKUP(September[[#This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IFERROR(VLOOKUP(September[[#This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IFERROR(VLOOKUP(September[[#This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IFERROR(VLOOKUP(September[[#This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IFERROR(VLOOKUP(September[[#This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IFERROR(VLOOKUP(September[[#This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IFERROR(VLOOKUP(September[[#This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IFERROR(VLOOKUP(September[[#This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IFERROR(VLOOKUP(September[[#This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IFERROR(VLOOKUP(September[[#This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IFERROR(VLOOKUP(September[[#This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IFERROR(VLOOKUP(September[[#This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IFERROR(VLOOKUP(September[[#This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IFERROR(VLOOKUP(September[[#This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IFERROR(VLOOKUP(September[[#This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IFERROR(VLOOKUP(September[[#This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IFERROR(VLOOKUP(September[[#This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IFERROR(VLOOKUP(September[[#This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IFERROR(VLOOKUP(September[[#This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IFERROR(VLOOKUP(September[[#This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IFERROR(VLOOKUP(September[[#This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IFERROR(VLOOKUP(September[[#This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IFERROR(VLOOKUP(September[[#This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IFERROR(VLOOKUP(September[[#This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IFERROR(VLOOKUP(September[[#This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IFERROR(VLOOKUP(September[[#This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IFERROR(VLOOKUP(September[[#This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IFERROR(VLOOKUP(September[[#This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IFERROR(VLOOKUP(September[[#This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IFERROR(VLOOKUP(September[[#This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IFERROR(VLOOKUP(September[[#This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IFERROR(VLOOKUP(September[[#This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IFERROR(VLOOKUP(September[[#This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IFERROR(VLOOKUP(September[[#This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IFERROR(VLOOKUP(September[[#This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IFERROR(VLOOKUP(September[[#This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IFERROR(VLOOKUP(September[[#This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IFERROR(VLOOKUP(September[[#This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IFERROR(VLOOKUP(September[[#This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IFERROR(VLOOKUP(September[[#This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IFERROR(VLOOKUP(September[[#This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IFERROR(VLOOKUP(September[[#This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IFERROR(VLOOKUP(September[[#This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IFERROR(VLOOKUP(September[[#This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IFERROR(VLOOKUP(September[[#This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IFERROR(VLOOKUP(September[[#This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IFERROR(VLOOKUP(September[[#This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IFERROR(VLOOKUP(September[[#This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IFERROR(VLOOKUP(September[[#This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IFERROR(VLOOKUP(September[[#This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IFERROR(VLOOKUP(September[[#This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IFERROR(VLOOKUP(September[[#This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IFERROR(VLOOKUP(September[[#This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IFERROR(VLOOKUP(September[[#This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IFERROR(VLOOKUP(September[[#This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IFERROR(VLOOKUP(September[[#This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IFERROR(VLOOKUP(September[[#This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IFERROR(VLOOKUP(September[[#This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IFERROR(VLOOKUP(September[[#This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IFERROR(VLOOKUP(September[[#This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IFERROR(VLOOKUP(September[[#This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IFERROR(VLOOKUP(September[[#This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IFERROR(VLOOKUP(September[[#This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IFERROR(VLOOKUP(September[[#This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IFERROR(VLOOKUP(September[[#This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IFERROR(VLOOKUP(September[[#This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IFERROR(VLOOKUP(September[[#This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IFERROR(VLOOKUP(September[[#This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IFERROR(VLOOKUP(September[[#This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IFERROR(VLOOKUP(September[[#This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IFERROR(VLOOKUP(September[[#This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IFERROR(VLOOKUP(September[[#This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IFERROR(VLOOKUP(September[[#This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IFERROR(VLOOKUP(September[[#This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IFERROR(VLOOKUP(September[[#This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IFERROR(VLOOKUP(September[[#This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IFERROR(VLOOKUP(September[[#This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IFERROR(VLOOKUP(September[[#This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IFERROR(VLOOKUP(September[[#This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IFERROR(VLOOKUP(September[[#This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IFERROR(VLOOKUP(September[[#This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IFERROR(VLOOKUP(September[[#This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IFERROR(VLOOKUP(September[[#This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IFERROR(VLOOKUP(September[[#This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IFERROR(VLOOKUP(September[[#This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IFERROR(VLOOKUP(September[[#This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IFERROR(VLOOKUP(September[[#This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IFERROR(VLOOKUP(September[[#This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IFERROR(VLOOKUP(September[[#This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IFERROR(VLOOKUP(September[[#This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IFERROR(VLOOKUP(September[[#This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IFERROR(VLOOKUP(September[[#This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IFERROR(VLOOKUP(September[[#This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IFERROR(VLOOKUP(September[[#This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IFERROR(VLOOKUP(September[[#This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IFERROR(VLOOKUP(September[[#This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IFERROR(VLOOKUP(September[[#This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IFERROR(VLOOKUP(September[[#This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IFERROR(VLOOKUP(September[[#This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IFERROR(VLOOKUP(September[[#This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IFERROR(VLOOKUP(September[[#This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IFERROR(VLOOKUP(September[[#This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IFERROR(VLOOKUP(September[[#This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IFERROR(VLOOKUP(September[[#This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IFERROR(VLOOKUP(September[[#This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IFERROR(VLOOKUP(September[[#This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IFERROR(VLOOKUP(September[[#This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IFERROR(VLOOKUP(September[[#This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IFERROR(VLOOKUP(September[[#This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IFERROR(VLOOKUP(September[[#This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IFERROR(VLOOKUP(September[[#This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IFERROR(VLOOKUP(September[[#This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IFERROR(VLOOKUP(September[[#This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IFERROR(VLOOKUP(September[[#This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IFERROR(VLOOKUP(September[[#This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IFERROR(VLOOKUP(September[[#This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IFERROR(VLOOKUP(September[[#This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IFERROR(VLOOKUP(September[[#This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IFERROR(VLOOKUP(September[[#This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IFERROR(VLOOKUP(September[[#This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IFERROR(VLOOKUP(September[[#This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IFERROR(VLOOKUP(September[[#This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IFERROR(VLOOKUP(September[[#This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IFERROR(VLOOKUP(September[[#This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IFERROR(VLOOKUP(September[[#This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IFERROR(VLOOKUP(September[[#This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IFERROR(VLOOKUP(September[[#This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IFERROR(VLOOKUP(September[[#This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IFERROR(VLOOKUP(September[[#This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IFERROR(VLOOKUP(September[[#This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IFERROR(VLOOKUP(September[[#This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IFERROR(VLOOKUP(September[[#This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IFERROR(VLOOKUP(September[[#This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IFERROR(VLOOKUP(September[[#This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IFERROR(VLOOKUP(September[[#This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IFERROR(VLOOKUP(September[[#This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IFERROR(VLOOKUP(September[[#This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IFERROR(VLOOKUP(September[[#This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IFERROR(VLOOKUP(September[[#This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IFERROR(VLOOKUP(September[[#This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IFERROR(VLOOKUP(September[[#This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IFERROR(VLOOKUP(September[[#This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IFERROR(VLOOKUP(September[[#This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IFERROR(VLOOKUP(September[[#This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IFERROR(VLOOKUP(September[[#This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IFERROR(VLOOKUP(September[[#This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IFERROR(VLOOKUP(September[[#This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IFERROR(VLOOKUP(September[[#This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IFERROR(VLOOKUP(September[[#This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IFERROR(VLOOKUP(September[[#This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IFERROR(VLOOKUP(September[[#This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IFERROR(VLOOKUP(September[[#This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IFERROR(VLOOKUP(September[[#This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IFERROR(VLOOKUP(September[[#This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IFERROR(VLOOKUP(September[[#This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IFERROR(VLOOKUP(September[[#This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IFERROR(VLOOKUP(September[[#This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IFERROR(VLOOKUP(September[[#This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IFERROR(VLOOKUP(September[[#This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IFERROR(VLOOKUP(September[[#This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IFERROR(VLOOKUP(September[[#This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IFERROR(VLOOKUP(September[[#This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IFERROR(VLOOKUP(September[[#This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IFERROR(VLOOKUP(September[[#This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IFERROR(VLOOKUP(September[[#This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IFERROR(VLOOKUP(September[[#This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IFERROR(VLOOKUP(September[[#This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IFERROR(VLOOKUP(September[[#This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IFERROR(VLOOKUP(September[[#This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IFERROR(VLOOKUP(September[[#This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IFERROR(VLOOKUP(September[[#This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IFERROR(VLOOKUP(September[[#This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IFERROR(VLOOKUP(September[[#This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IFERROR(VLOOKUP(September[[#This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IFERROR(VLOOKUP(September[[#This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IFERROR(VLOOKUP(September[[#This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IFERROR(VLOOKUP(September[[#This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IFERROR(VLOOKUP(September[[#This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IFERROR(VLOOKUP(September[[#This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IFERROR(VLOOKUP(September[[#This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IFERROR(VLOOKUP(September[[#This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IFERROR(VLOOKUP(September[[#This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IFERROR(VLOOKUP(September[[#This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IFERROR(VLOOKUP(September[[#This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IFERROR(VLOOKUP(September[[#This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IFERROR(VLOOKUP(September[[#This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IFERROR(VLOOKUP(September[[#This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IFERROR(VLOOKUP(September[[#This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IFERROR(VLOOKUP(September[[#This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IFERROR(VLOOKUP(September[[#This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IFERROR(VLOOKUP(September[[#This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IFERROR(VLOOKUP(September[[#This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IFERROR(VLOOKUP(September[[#This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IFERROR(VLOOKUP(September[[#This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IFERROR(VLOOKUP(September[[#This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IFERROR(VLOOKUP(September[[#This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IFERROR(VLOOKUP(September[[#This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IFERROR(VLOOKUP(September[[#This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IFERROR(VLOOKUP(September[[#This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IFERROR(VLOOKUP(September[[#This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IFERROR(VLOOKUP(September[[#This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IFERROR(VLOOKUP(September[[#This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IFERROR(VLOOKUP(September[[#This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IFERROR(VLOOKUP(September[[#This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IFERROR(VLOOKUP(September[[#This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IFERROR(VLOOKUP(September[[#This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IFERROR(VLOOKUP(September[[#This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IFERROR(VLOOKUP(September[[#This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IFERROR(VLOOKUP(September[[#This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IFERROR(VLOOKUP(September[[#This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IFERROR(VLOOKUP(September[[#This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IFERROR(VLOOKUP(September[[#This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IFERROR(VLOOKUP(September[[#This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IFERROR(VLOOKUP(September[[#This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IFERROR(VLOOKUP(September[[#This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IFERROR(VLOOKUP(September[[#This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IFERROR(VLOOKUP(September[[#This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IFERROR(VLOOKUP(September[[#This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IFERROR(VLOOKUP(September[[#This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IFERROR(VLOOKUP(September[[#This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IFERROR(VLOOKUP(September[[#This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IFERROR(VLOOKUP(September[[#This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IFERROR(VLOOKUP(September[[#This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IFERROR(VLOOKUP(September[[#This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IFERROR(VLOOKUP(September[[#This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IFERROR(VLOOKUP(September[[#This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IFERROR(VLOOKUP(September[[#This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IFERROR(VLOOKUP(September[[#This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IFERROR(VLOOKUP(September[[#This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IFERROR(VLOOKUP(September[[#This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IFERROR(VLOOKUP(September[[#This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IFERROR(VLOOKUP(September[[#This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IFERROR(VLOOKUP(September[[#This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IFERROR(VLOOKUP(September[[#This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IFERROR(VLOOKUP(September[[#This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IFERROR(VLOOKUP(September[[#This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IFERROR(VLOOKUP(September[[#This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SUBTOTAL(103,September[Location Filled9])</f>
        <v>0</v>
      </c>
    </row>
  </sheetData>
  <sheetProtection algorithmName="SHA-512" hashValue="+zHnvu+UPelzo+Zyl9lqrijWLJcUs1TQrVPCMwOQ3kiPKbp5CyUyxCMaek6NmvglJZYdhiuMId3GmD1wVTmJfA==" saltValue="Sh++e5+kj6D68A2PtpLsjQ==" spinCount="100000" sheet="1" objects="1" scenarios="1"/>
  <mergeCells count="13">
    <mergeCell ref="AR2:AX2"/>
    <mergeCell ref="BS2:BY2"/>
    <mergeCell ref="BZ2:CF2"/>
    <mergeCell ref="CG2:CM2"/>
    <mergeCell ref="AL1:AQ2"/>
    <mergeCell ref="BM1:BR2"/>
    <mergeCell ref="BF2:BL2"/>
    <mergeCell ref="A1:J2"/>
    <mergeCell ref="K1:AF1"/>
    <mergeCell ref="K2:P2"/>
    <mergeCell ref="Q2:V2"/>
    <mergeCell ref="X2:AD2"/>
    <mergeCell ref="AE2:AK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IFERROR(VLOOKUP(October[[#This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IFERROR(VLOOKUP(October[[#This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IFERROR(VLOOKUP(October[[#This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IFERROR(VLOOKUP(October[[#This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IFERROR(VLOOKUP(October[[#This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IFERROR(VLOOKUP(October[[#This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IFERROR(VLOOKUP(October[[#This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IFERROR(VLOOKUP(October[[#This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IFERROR(VLOOKUP(October[[#This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IFERROR(VLOOKUP(October[[#This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IFERROR(VLOOKUP(October[[#This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IFERROR(VLOOKUP(October[[#This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IFERROR(VLOOKUP(October[[#This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IFERROR(VLOOKUP(October[[#This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IFERROR(VLOOKUP(October[[#This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IFERROR(VLOOKUP(October[[#This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IFERROR(VLOOKUP(October[[#This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IFERROR(VLOOKUP(October[[#This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IFERROR(VLOOKUP(October[[#This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IFERROR(VLOOKUP(October[[#This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IFERROR(VLOOKUP(October[[#This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IFERROR(VLOOKUP(October[[#This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IFERROR(VLOOKUP(October[[#This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IFERROR(VLOOKUP(October[[#This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IFERROR(VLOOKUP(October[[#This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IFERROR(VLOOKUP(October[[#This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IFERROR(VLOOKUP(October[[#This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IFERROR(VLOOKUP(October[[#This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IFERROR(VLOOKUP(October[[#This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IFERROR(VLOOKUP(October[[#This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IFERROR(VLOOKUP(October[[#This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IFERROR(VLOOKUP(October[[#This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IFERROR(VLOOKUP(October[[#This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IFERROR(VLOOKUP(October[[#This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IFERROR(VLOOKUP(October[[#This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IFERROR(VLOOKUP(October[[#This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IFERROR(VLOOKUP(October[[#This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IFERROR(VLOOKUP(October[[#This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IFERROR(VLOOKUP(October[[#This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IFERROR(VLOOKUP(October[[#This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IFERROR(VLOOKUP(October[[#This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IFERROR(VLOOKUP(October[[#This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IFERROR(VLOOKUP(October[[#This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IFERROR(VLOOKUP(October[[#This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IFERROR(VLOOKUP(October[[#This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IFERROR(VLOOKUP(October[[#This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IFERROR(VLOOKUP(October[[#This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IFERROR(VLOOKUP(October[[#This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IFERROR(VLOOKUP(October[[#This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IFERROR(VLOOKUP(October[[#This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IFERROR(VLOOKUP(October[[#This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IFERROR(VLOOKUP(October[[#This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IFERROR(VLOOKUP(October[[#This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IFERROR(VLOOKUP(October[[#This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IFERROR(VLOOKUP(October[[#This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IFERROR(VLOOKUP(October[[#This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IFERROR(VLOOKUP(October[[#This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IFERROR(VLOOKUP(October[[#This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IFERROR(VLOOKUP(October[[#This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IFERROR(VLOOKUP(October[[#This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IFERROR(VLOOKUP(October[[#This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IFERROR(VLOOKUP(October[[#This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IFERROR(VLOOKUP(October[[#This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IFERROR(VLOOKUP(October[[#This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IFERROR(VLOOKUP(October[[#This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IFERROR(VLOOKUP(October[[#This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IFERROR(VLOOKUP(October[[#This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IFERROR(VLOOKUP(October[[#This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IFERROR(VLOOKUP(October[[#This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IFERROR(VLOOKUP(October[[#This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IFERROR(VLOOKUP(October[[#This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IFERROR(VLOOKUP(October[[#This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IFERROR(VLOOKUP(October[[#This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IFERROR(VLOOKUP(October[[#This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IFERROR(VLOOKUP(October[[#This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IFERROR(VLOOKUP(October[[#This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IFERROR(VLOOKUP(October[[#This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IFERROR(VLOOKUP(October[[#This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IFERROR(VLOOKUP(October[[#This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IFERROR(VLOOKUP(October[[#This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IFERROR(VLOOKUP(October[[#This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IFERROR(VLOOKUP(October[[#This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IFERROR(VLOOKUP(October[[#This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IFERROR(VLOOKUP(October[[#This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IFERROR(VLOOKUP(October[[#This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IFERROR(VLOOKUP(October[[#This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IFERROR(VLOOKUP(October[[#This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IFERROR(VLOOKUP(October[[#This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IFERROR(VLOOKUP(October[[#This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IFERROR(VLOOKUP(October[[#This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IFERROR(VLOOKUP(October[[#This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IFERROR(VLOOKUP(October[[#This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IFERROR(VLOOKUP(October[[#This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IFERROR(VLOOKUP(October[[#This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IFERROR(VLOOKUP(October[[#This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IFERROR(VLOOKUP(October[[#This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IFERROR(VLOOKUP(October[[#This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IFERROR(VLOOKUP(October[[#This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IFERROR(VLOOKUP(October[[#This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IFERROR(VLOOKUP(October[[#This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IFERROR(VLOOKUP(October[[#This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IFERROR(VLOOKUP(October[[#This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IFERROR(VLOOKUP(October[[#This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IFERROR(VLOOKUP(October[[#This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IFERROR(VLOOKUP(October[[#This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IFERROR(VLOOKUP(October[[#This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IFERROR(VLOOKUP(October[[#This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IFERROR(VLOOKUP(October[[#This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IFERROR(VLOOKUP(October[[#This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IFERROR(VLOOKUP(October[[#This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IFERROR(VLOOKUP(October[[#This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IFERROR(VLOOKUP(October[[#This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IFERROR(VLOOKUP(October[[#This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IFERROR(VLOOKUP(October[[#This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IFERROR(VLOOKUP(October[[#This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IFERROR(VLOOKUP(October[[#This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IFERROR(VLOOKUP(October[[#This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IFERROR(VLOOKUP(October[[#This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IFERROR(VLOOKUP(October[[#This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IFERROR(VLOOKUP(October[[#This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IFERROR(VLOOKUP(October[[#This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IFERROR(VLOOKUP(October[[#This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IFERROR(VLOOKUP(October[[#This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IFERROR(VLOOKUP(October[[#This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IFERROR(VLOOKUP(October[[#This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IFERROR(VLOOKUP(October[[#This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IFERROR(VLOOKUP(October[[#This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IFERROR(VLOOKUP(October[[#This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IFERROR(VLOOKUP(October[[#This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IFERROR(VLOOKUP(October[[#This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IFERROR(VLOOKUP(October[[#This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IFERROR(VLOOKUP(October[[#This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IFERROR(VLOOKUP(October[[#This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IFERROR(VLOOKUP(October[[#This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IFERROR(VLOOKUP(October[[#This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IFERROR(VLOOKUP(October[[#This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IFERROR(VLOOKUP(October[[#This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IFERROR(VLOOKUP(October[[#This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IFERROR(VLOOKUP(October[[#This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IFERROR(VLOOKUP(October[[#This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IFERROR(VLOOKUP(October[[#This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IFERROR(VLOOKUP(October[[#This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IFERROR(VLOOKUP(October[[#This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IFERROR(VLOOKUP(October[[#This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IFERROR(VLOOKUP(October[[#This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IFERROR(VLOOKUP(October[[#This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IFERROR(VLOOKUP(October[[#This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IFERROR(VLOOKUP(October[[#This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IFERROR(VLOOKUP(October[[#This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IFERROR(VLOOKUP(October[[#This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IFERROR(VLOOKUP(October[[#This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IFERROR(VLOOKUP(October[[#This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IFERROR(VLOOKUP(October[[#This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IFERROR(VLOOKUP(October[[#This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IFERROR(VLOOKUP(October[[#This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IFERROR(VLOOKUP(October[[#This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IFERROR(VLOOKUP(October[[#This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IFERROR(VLOOKUP(October[[#This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IFERROR(VLOOKUP(October[[#This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IFERROR(VLOOKUP(October[[#This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IFERROR(VLOOKUP(October[[#This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IFERROR(VLOOKUP(October[[#This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IFERROR(VLOOKUP(October[[#This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IFERROR(VLOOKUP(October[[#This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IFERROR(VLOOKUP(October[[#This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IFERROR(VLOOKUP(October[[#This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IFERROR(VLOOKUP(October[[#This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IFERROR(VLOOKUP(October[[#This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IFERROR(VLOOKUP(October[[#This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IFERROR(VLOOKUP(October[[#This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IFERROR(VLOOKUP(October[[#This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IFERROR(VLOOKUP(October[[#This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IFERROR(VLOOKUP(October[[#This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IFERROR(VLOOKUP(October[[#This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IFERROR(VLOOKUP(October[[#This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IFERROR(VLOOKUP(October[[#This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IFERROR(VLOOKUP(October[[#This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IFERROR(VLOOKUP(October[[#This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IFERROR(VLOOKUP(October[[#This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IFERROR(VLOOKUP(October[[#This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IFERROR(VLOOKUP(October[[#This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IFERROR(VLOOKUP(October[[#This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IFERROR(VLOOKUP(October[[#This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IFERROR(VLOOKUP(October[[#This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IFERROR(VLOOKUP(October[[#This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IFERROR(VLOOKUP(October[[#This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IFERROR(VLOOKUP(October[[#This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IFERROR(VLOOKUP(October[[#This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IFERROR(VLOOKUP(October[[#This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IFERROR(VLOOKUP(October[[#This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IFERROR(VLOOKUP(October[[#This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IFERROR(VLOOKUP(October[[#This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IFERROR(VLOOKUP(October[[#This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IFERROR(VLOOKUP(October[[#This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IFERROR(VLOOKUP(October[[#This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IFERROR(VLOOKUP(October[[#This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IFERROR(VLOOKUP(October[[#This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IFERROR(VLOOKUP(October[[#This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IFERROR(VLOOKUP(October[[#This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IFERROR(VLOOKUP(October[[#This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IFERROR(VLOOKUP(October[[#This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IFERROR(VLOOKUP(October[[#This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IFERROR(VLOOKUP(October[[#This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IFERROR(VLOOKUP(October[[#This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IFERROR(VLOOKUP(October[[#This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IFERROR(VLOOKUP(October[[#This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IFERROR(VLOOKUP(October[[#This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IFERROR(VLOOKUP(October[[#This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IFERROR(VLOOKUP(October[[#This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IFERROR(VLOOKUP(October[[#This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IFERROR(VLOOKUP(October[[#This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IFERROR(VLOOKUP(October[[#This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IFERROR(VLOOKUP(October[[#This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IFERROR(VLOOKUP(October[[#This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IFERROR(VLOOKUP(October[[#This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IFERROR(VLOOKUP(October[[#This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IFERROR(VLOOKUP(October[[#This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IFERROR(VLOOKUP(October[[#This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IFERROR(VLOOKUP(October[[#This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IFERROR(VLOOKUP(October[[#This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IFERROR(VLOOKUP(October[[#This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IFERROR(VLOOKUP(October[[#This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IFERROR(VLOOKUP(October[[#This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IFERROR(VLOOKUP(October[[#This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IFERROR(VLOOKUP(October[[#This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IFERROR(VLOOKUP(October[[#This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IFERROR(VLOOKUP(October[[#This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IFERROR(VLOOKUP(October[[#This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IFERROR(VLOOKUP(October[[#This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IFERROR(VLOOKUP(October[[#This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IFERROR(VLOOKUP(October[[#This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IFERROR(VLOOKUP(October[[#This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IFERROR(VLOOKUP(October[[#This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IFERROR(VLOOKUP(October[[#This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IFERROR(VLOOKUP(October[[#This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IFERROR(VLOOKUP(October[[#This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IFERROR(VLOOKUP(October[[#This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IFERROR(VLOOKUP(October[[#This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IFERROR(VLOOKUP(October[[#This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IFERROR(VLOOKUP(October[[#This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IFERROR(VLOOKUP(October[[#This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IFERROR(VLOOKUP(October[[#This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IFERROR(VLOOKUP(October[[#This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IFERROR(VLOOKUP(October[[#This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IFERROR(VLOOKUP(October[[#This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IFERROR(VLOOKUP(October[[#This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IFERROR(VLOOKUP(October[[#This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IFERROR(VLOOKUP(October[[#This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IFERROR(VLOOKUP(October[[#This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IFERROR(VLOOKUP(October[[#This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IFERROR(VLOOKUP(October[[#This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IFERROR(VLOOKUP(October[[#This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IFERROR(VLOOKUP(October[[#This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IFERROR(VLOOKUP(October[[#This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IFERROR(VLOOKUP(October[[#This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IFERROR(VLOOKUP(October[[#This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IFERROR(VLOOKUP(October[[#This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IFERROR(VLOOKUP(October[[#This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IFERROR(VLOOKUP(October[[#This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IFERROR(VLOOKUP(October[[#This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IFERROR(VLOOKUP(October[[#This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IFERROR(VLOOKUP(October[[#This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IFERROR(VLOOKUP(October[[#This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IFERROR(VLOOKUP(October[[#This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IFERROR(VLOOKUP(October[[#This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IFERROR(VLOOKUP(October[[#This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IFERROR(VLOOKUP(October[[#This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IFERROR(VLOOKUP(October[[#This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IFERROR(VLOOKUP(October[[#This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IFERROR(VLOOKUP(October[[#This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IFERROR(VLOOKUP(October[[#This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IFERROR(VLOOKUP(October[[#This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IFERROR(VLOOKUP(October[[#This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IFERROR(VLOOKUP(October[[#This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IFERROR(VLOOKUP(October[[#This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IFERROR(VLOOKUP(October[[#This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IFERROR(VLOOKUP(October[[#This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IFERROR(VLOOKUP(October[[#This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IFERROR(VLOOKUP(October[[#This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IFERROR(VLOOKUP(October[[#This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IFERROR(VLOOKUP(October[[#This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IFERROR(VLOOKUP(October[[#This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IFERROR(VLOOKUP(October[[#This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IFERROR(VLOOKUP(October[[#This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IFERROR(VLOOKUP(October[[#This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IFERROR(VLOOKUP(October[[#This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IFERROR(VLOOKUP(October[[#This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IFERROR(VLOOKUP(October[[#This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IFERROR(VLOOKUP(October[[#This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IFERROR(VLOOKUP(October[[#This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IFERROR(VLOOKUP(October[[#This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IFERROR(VLOOKUP(October[[#This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IFERROR(VLOOKUP(October[[#This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IFERROR(VLOOKUP(October[[#This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IFERROR(VLOOKUP(October[[#This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IFERROR(VLOOKUP(October[[#This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IFERROR(VLOOKUP(October[[#This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IFERROR(VLOOKUP(October[[#This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IFERROR(VLOOKUP(October[[#This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IFERROR(VLOOKUP(October[[#This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IFERROR(VLOOKUP(October[[#This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IFERROR(VLOOKUP(October[[#This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IFERROR(VLOOKUP(October[[#This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IFERROR(VLOOKUP(October[[#This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IFERROR(VLOOKUP(October[[#This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IFERROR(VLOOKUP(October[[#This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IFERROR(VLOOKUP(October[[#This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IFERROR(VLOOKUP(October[[#This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IFERROR(VLOOKUP(October[[#This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IFERROR(VLOOKUP(October[[#This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IFERROR(VLOOKUP(October[[#This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IFERROR(VLOOKUP(October[[#This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IFERROR(VLOOKUP(October[[#This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IFERROR(VLOOKUP(October[[#This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IFERROR(VLOOKUP(October[[#This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IFERROR(VLOOKUP(October[[#This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IFERROR(VLOOKUP(October[[#This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IFERROR(VLOOKUP(October[[#This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IFERROR(VLOOKUP(October[[#This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IFERROR(VLOOKUP(October[[#This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IFERROR(VLOOKUP(October[[#This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IFERROR(VLOOKUP(October[[#This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IFERROR(VLOOKUP(October[[#This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IFERROR(VLOOKUP(October[[#This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IFERROR(VLOOKUP(October[[#This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IFERROR(VLOOKUP(October[[#This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IFERROR(VLOOKUP(October[[#This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IFERROR(VLOOKUP(October[[#This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IFERROR(VLOOKUP(October[[#This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IFERROR(VLOOKUP(October[[#This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IFERROR(VLOOKUP(October[[#This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IFERROR(VLOOKUP(October[[#This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IFERROR(VLOOKUP(October[[#This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IFERROR(VLOOKUP(October[[#This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IFERROR(VLOOKUP(October[[#This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IFERROR(VLOOKUP(October[[#This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IFERROR(VLOOKUP(October[[#This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IFERROR(VLOOKUP(October[[#This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IFERROR(VLOOKUP(October[[#This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IFERROR(VLOOKUP(October[[#This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IFERROR(VLOOKUP(October[[#This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IFERROR(VLOOKUP(October[[#This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IFERROR(VLOOKUP(October[[#This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IFERROR(VLOOKUP(October[[#This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IFERROR(VLOOKUP(October[[#This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IFERROR(VLOOKUP(October[[#This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IFERROR(VLOOKUP(October[[#This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IFERROR(VLOOKUP(October[[#This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IFERROR(VLOOKUP(October[[#This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IFERROR(VLOOKUP(October[[#This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IFERROR(VLOOKUP(October[[#This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IFERROR(VLOOKUP(October[[#This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IFERROR(VLOOKUP(October[[#This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IFERROR(VLOOKUP(October[[#This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IFERROR(VLOOKUP(October[[#This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IFERROR(VLOOKUP(October[[#This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IFERROR(VLOOKUP(October[[#This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IFERROR(VLOOKUP(October[[#This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IFERROR(VLOOKUP(October[[#This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IFERROR(VLOOKUP(October[[#This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IFERROR(VLOOKUP(October[[#This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IFERROR(VLOOKUP(October[[#This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IFERROR(VLOOKUP(October[[#This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IFERROR(VLOOKUP(October[[#This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IFERROR(VLOOKUP(October[[#This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IFERROR(VLOOKUP(October[[#This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IFERROR(VLOOKUP(October[[#This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IFERROR(VLOOKUP(October[[#This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IFERROR(VLOOKUP(October[[#This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IFERROR(VLOOKUP(October[[#This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IFERROR(VLOOKUP(October[[#This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IFERROR(VLOOKUP(October[[#This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IFERROR(VLOOKUP(October[[#This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IFERROR(VLOOKUP(October[[#This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IFERROR(VLOOKUP(October[[#This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IFERROR(VLOOKUP(October[[#This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IFERROR(VLOOKUP(October[[#This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IFERROR(VLOOKUP(October[[#This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IFERROR(VLOOKUP(October[[#This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IFERROR(VLOOKUP(October[[#This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IFERROR(VLOOKUP(October[[#This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IFERROR(VLOOKUP(October[[#This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IFERROR(VLOOKUP(October[[#This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IFERROR(VLOOKUP(October[[#This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IFERROR(VLOOKUP(October[[#This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IFERROR(VLOOKUP(October[[#This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IFERROR(VLOOKUP(October[[#This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IFERROR(VLOOKUP(October[[#This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IFERROR(VLOOKUP(October[[#This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IFERROR(VLOOKUP(October[[#This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IFERROR(VLOOKUP(October[[#This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IFERROR(VLOOKUP(October[[#This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IFERROR(VLOOKUP(October[[#This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IFERROR(VLOOKUP(October[[#This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IFERROR(VLOOKUP(October[[#This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IFERROR(VLOOKUP(October[[#This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IFERROR(VLOOKUP(October[[#This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IFERROR(VLOOKUP(October[[#This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IFERROR(VLOOKUP(October[[#This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IFERROR(VLOOKUP(October[[#This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IFERROR(VLOOKUP(October[[#This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IFERROR(VLOOKUP(October[[#This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IFERROR(VLOOKUP(October[[#This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IFERROR(VLOOKUP(October[[#This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IFERROR(VLOOKUP(October[[#This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IFERROR(VLOOKUP(October[[#This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IFERROR(VLOOKUP(October[[#This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IFERROR(VLOOKUP(October[[#This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IFERROR(VLOOKUP(October[[#This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IFERROR(VLOOKUP(October[[#This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IFERROR(VLOOKUP(October[[#This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IFERROR(VLOOKUP(October[[#This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IFERROR(VLOOKUP(October[[#This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IFERROR(VLOOKUP(October[[#This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IFERROR(VLOOKUP(October[[#This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IFERROR(VLOOKUP(October[[#This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IFERROR(VLOOKUP(October[[#This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IFERROR(VLOOKUP(October[[#This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IFERROR(VLOOKUP(October[[#This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IFERROR(VLOOKUP(October[[#This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IFERROR(VLOOKUP(October[[#This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IFERROR(VLOOKUP(October[[#This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IFERROR(VLOOKUP(October[[#This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IFERROR(VLOOKUP(October[[#This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IFERROR(VLOOKUP(October[[#This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IFERROR(VLOOKUP(October[[#This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IFERROR(VLOOKUP(October[[#This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IFERROR(VLOOKUP(October[[#This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IFERROR(VLOOKUP(October[[#This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IFERROR(VLOOKUP(October[[#This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IFERROR(VLOOKUP(October[[#This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IFERROR(VLOOKUP(October[[#This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IFERROR(VLOOKUP(October[[#This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IFERROR(VLOOKUP(October[[#This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IFERROR(VLOOKUP(October[[#This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IFERROR(VLOOKUP(October[[#This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IFERROR(VLOOKUP(October[[#This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IFERROR(VLOOKUP(October[[#This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IFERROR(VLOOKUP(October[[#This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IFERROR(VLOOKUP(October[[#This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IFERROR(VLOOKUP(October[[#This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IFERROR(VLOOKUP(October[[#This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IFERROR(VLOOKUP(October[[#This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IFERROR(VLOOKUP(October[[#This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IFERROR(VLOOKUP(October[[#This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IFERROR(VLOOKUP(October[[#This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IFERROR(VLOOKUP(October[[#This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IFERROR(VLOOKUP(October[[#This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IFERROR(VLOOKUP(October[[#This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IFERROR(VLOOKUP(October[[#This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IFERROR(VLOOKUP(October[[#This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IFERROR(VLOOKUP(October[[#This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IFERROR(VLOOKUP(October[[#This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IFERROR(VLOOKUP(October[[#This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IFERROR(VLOOKUP(October[[#This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IFERROR(VLOOKUP(October[[#This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IFERROR(VLOOKUP(October[[#This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IFERROR(VLOOKUP(October[[#This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IFERROR(VLOOKUP(October[[#This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IFERROR(VLOOKUP(October[[#This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IFERROR(VLOOKUP(October[[#This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IFERROR(VLOOKUP(October[[#This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IFERROR(VLOOKUP(October[[#This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IFERROR(VLOOKUP(October[[#This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IFERROR(VLOOKUP(October[[#This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IFERROR(VLOOKUP(October[[#This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IFERROR(VLOOKUP(October[[#This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IFERROR(VLOOKUP(October[[#This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IFERROR(VLOOKUP(October[[#This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IFERROR(VLOOKUP(October[[#This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IFERROR(VLOOKUP(October[[#This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IFERROR(VLOOKUP(October[[#This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IFERROR(VLOOKUP(October[[#This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IFERROR(VLOOKUP(October[[#This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IFERROR(VLOOKUP(October[[#This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IFERROR(VLOOKUP(October[[#This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IFERROR(VLOOKUP(October[[#This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IFERROR(VLOOKUP(October[[#This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IFERROR(VLOOKUP(October[[#This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IFERROR(VLOOKUP(October[[#This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IFERROR(VLOOKUP(October[[#This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IFERROR(VLOOKUP(October[[#This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IFERROR(VLOOKUP(October[[#This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IFERROR(VLOOKUP(October[[#This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IFERROR(VLOOKUP(October[[#This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IFERROR(VLOOKUP(October[[#This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IFERROR(VLOOKUP(October[[#This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IFERROR(VLOOKUP(October[[#This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IFERROR(VLOOKUP(October[[#This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IFERROR(VLOOKUP(October[[#This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IFERROR(VLOOKUP(October[[#This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IFERROR(VLOOKUP(October[[#This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IFERROR(VLOOKUP(October[[#This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IFERROR(VLOOKUP(October[[#This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IFERROR(VLOOKUP(October[[#This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IFERROR(VLOOKUP(October[[#This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IFERROR(VLOOKUP(October[[#This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IFERROR(VLOOKUP(October[[#This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IFERROR(VLOOKUP(October[[#This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IFERROR(VLOOKUP(October[[#This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IFERROR(VLOOKUP(October[[#This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IFERROR(VLOOKUP(October[[#This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IFERROR(VLOOKUP(October[[#This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IFERROR(VLOOKUP(October[[#This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IFERROR(VLOOKUP(October[[#This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IFERROR(VLOOKUP(October[[#This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IFERROR(VLOOKUP(October[[#This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IFERROR(VLOOKUP(October[[#This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IFERROR(VLOOKUP(October[[#This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IFERROR(VLOOKUP(October[[#This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IFERROR(VLOOKUP(October[[#This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IFERROR(VLOOKUP(October[[#This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IFERROR(VLOOKUP(October[[#This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IFERROR(VLOOKUP(October[[#This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IFERROR(VLOOKUP(October[[#This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IFERROR(VLOOKUP(October[[#This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IFERROR(VLOOKUP(October[[#This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IFERROR(VLOOKUP(October[[#This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IFERROR(VLOOKUP(October[[#This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IFERROR(VLOOKUP(October[[#This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IFERROR(VLOOKUP(October[[#This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IFERROR(VLOOKUP(October[[#This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IFERROR(VLOOKUP(October[[#This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IFERROR(VLOOKUP(October[[#This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IFERROR(VLOOKUP(October[[#This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IFERROR(VLOOKUP(October[[#This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IFERROR(VLOOKUP(October[[#This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IFERROR(VLOOKUP(October[[#This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IFERROR(VLOOKUP(October[[#This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IFERROR(VLOOKUP(October[[#This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IFERROR(VLOOKUP(October[[#This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IFERROR(VLOOKUP(October[[#This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IFERROR(VLOOKUP(October[[#This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IFERROR(VLOOKUP(October[[#This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IFERROR(VLOOKUP(October[[#This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IFERROR(VLOOKUP(October[[#This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IFERROR(VLOOKUP(October[[#This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IFERROR(VLOOKUP(October[[#This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IFERROR(VLOOKUP(October[[#This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IFERROR(VLOOKUP(October[[#This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IFERROR(VLOOKUP(October[[#This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IFERROR(VLOOKUP(October[[#This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IFERROR(VLOOKUP(October[[#This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IFERROR(VLOOKUP(October[[#This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IFERROR(VLOOKUP(October[[#This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IFERROR(VLOOKUP(October[[#This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IFERROR(VLOOKUP(October[[#This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IFERROR(VLOOKUP(October[[#This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IFERROR(VLOOKUP(October[[#This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IFERROR(VLOOKUP(October[[#This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IFERROR(VLOOKUP(October[[#This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IFERROR(VLOOKUP(October[[#This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IFERROR(VLOOKUP(October[[#This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IFERROR(VLOOKUP(October[[#This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IFERROR(VLOOKUP(October[[#This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IFERROR(VLOOKUP(October[[#This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IFERROR(VLOOKUP(October[[#This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IFERROR(VLOOKUP(October[[#This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IFERROR(VLOOKUP(October[[#This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IFERROR(VLOOKUP(October[[#This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IFERROR(VLOOKUP(October[[#This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IFERROR(VLOOKUP(October[[#This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IFERROR(VLOOKUP(October[[#This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IFERROR(VLOOKUP(October[[#This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IFERROR(VLOOKUP(October[[#This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IFERROR(VLOOKUP(October[[#This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IFERROR(VLOOKUP(October[[#This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IFERROR(VLOOKUP(October[[#This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IFERROR(VLOOKUP(October[[#This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IFERROR(VLOOKUP(October[[#This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IFERROR(VLOOKUP(October[[#This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IFERROR(VLOOKUP(October[[#This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IFERROR(VLOOKUP(October[[#This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IFERROR(VLOOKUP(October[[#This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IFERROR(VLOOKUP(October[[#This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IFERROR(VLOOKUP(October[[#This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IFERROR(VLOOKUP(October[[#This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IFERROR(VLOOKUP(October[[#This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IFERROR(VLOOKUP(October[[#This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IFERROR(VLOOKUP(October[[#This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IFERROR(VLOOKUP(October[[#This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IFERROR(VLOOKUP(October[[#This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IFERROR(VLOOKUP(October[[#This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IFERROR(VLOOKUP(October[[#This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IFERROR(VLOOKUP(October[[#This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IFERROR(VLOOKUP(October[[#This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IFERROR(VLOOKUP(October[[#This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IFERROR(VLOOKUP(October[[#This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IFERROR(VLOOKUP(October[[#This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IFERROR(VLOOKUP(October[[#This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IFERROR(VLOOKUP(October[[#This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IFERROR(VLOOKUP(October[[#This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IFERROR(VLOOKUP(October[[#This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IFERROR(VLOOKUP(October[[#This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IFERROR(VLOOKUP(October[[#This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IFERROR(VLOOKUP(October[[#This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IFERROR(VLOOKUP(October[[#This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IFERROR(VLOOKUP(October[[#This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IFERROR(VLOOKUP(October[[#This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IFERROR(VLOOKUP(October[[#This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IFERROR(VLOOKUP(October[[#This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IFERROR(VLOOKUP(October[[#This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IFERROR(VLOOKUP(October[[#This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IFERROR(VLOOKUP(October[[#This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IFERROR(VLOOKUP(October[[#This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IFERROR(VLOOKUP(October[[#This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IFERROR(VLOOKUP(October[[#This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IFERROR(VLOOKUP(October[[#This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IFERROR(VLOOKUP(October[[#This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IFERROR(VLOOKUP(October[[#This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IFERROR(VLOOKUP(October[[#This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IFERROR(VLOOKUP(October[[#This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IFERROR(VLOOKUP(October[[#This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IFERROR(VLOOKUP(October[[#This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IFERROR(VLOOKUP(October[[#This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IFERROR(VLOOKUP(October[[#This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IFERROR(VLOOKUP(October[[#This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IFERROR(VLOOKUP(October[[#This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IFERROR(VLOOKUP(October[[#This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IFERROR(VLOOKUP(October[[#This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IFERROR(VLOOKUP(October[[#This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IFERROR(VLOOKUP(October[[#This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IFERROR(VLOOKUP(October[[#This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IFERROR(VLOOKUP(October[[#This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IFERROR(VLOOKUP(October[[#This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IFERROR(VLOOKUP(October[[#This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IFERROR(VLOOKUP(October[[#This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IFERROR(VLOOKUP(October[[#This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IFERROR(VLOOKUP(October[[#This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IFERROR(VLOOKUP(October[[#This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IFERROR(VLOOKUP(October[[#This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IFERROR(VLOOKUP(October[[#This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IFERROR(VLOOKUP(October[[#This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IFERROR(VLOOKUP(October[[#This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IFERROR(VLOOKUP(October[[#This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IFERROR(VLOOKUP(October[[#This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IFERROR(VLOOKUP(October[[#This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IFERROR(VLOOKUP(October[[#This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IFERROR(VLOOKUP(October[[#This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IFERROR(VLOOKUP(October[[#This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IFERROR(VLOOKUP(October[[#This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IFERROR(VLOOKUP(October[[#This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IFERROR(VLOOKUP(October[[#This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IFERROR(VLOOKUP(October[[#This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IFERROR(VLOOKUP(October[[#This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IFERROR(VLOOKUP(October[[#This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IFERROR(VLOOKUP(October[[#This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IFERROR(VLOOKUP(October[[#This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IFERROR(VLOOKUP(October[[#This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IFERROR(VLOOKUP(October[[#This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IFERROR(VLOOKUP(October[[#This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IFERROR(VLOOKUP(October[[#This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IFERROR(VLOOKUP(October[[#This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IFERROR(VLOOKUP(October[[#This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IFERROR(VLOOKUP(October[[#This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IFERROR(VLOOKUP(October[[#This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IFERROR(VLOOKUP(October[[#This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IFERROR(VLOOKUP(October[[#This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IFERROR(VLOOKUP(October[[#This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IFERROR(VLOOKUP(October[[#This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IFERROR(VLOOKUP(October[[#This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IFERROR(VLOOKUP(October[[#This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IFERROR(VLOOKUP(October[[#This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IFERROR(VLOOKUP(October[[#This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IFERROR(VLOOKUP(October[[#This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IFERROR(VLOOKUP(October[[#This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IFERROR(VLOOKUP(October[[#This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IFERROR(VLOOKUP(October[[#This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IFERROR(VLOOKUP(October[[#This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IFERROR(VLOOKUP(October[[#This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IFERROR(VLOOKUP(October[[#This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IFERROR(VLOOKUP(October[[#This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IFERROR(VLOOKUP(October[[#This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IFERROR(VLOOKUP(October[[#This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IFERROR(VLOOKUP(October[[#This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IFERROR(VLOOKUP(October[[#This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IFERROR(VLOOKUP(October[[#This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IFERROR(VLOOKUP(October[[#This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IFERROR(VLOOKUP(October[[#This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IFERROR(VLOOKUP(October[[#This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IFERROR(VLOOKUP(October[[#This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IFERROR(VLOOKUP(October[[#This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IFERROR(VLOOKUP(October[[#This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IFERROR(VLOOKUP(October[[#This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IFERROR(VLOOKUP(October[[#This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IFERROR(VLOOKUP(October[[#This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IFERROR(VLOOKUP(October[[#This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IFERROR(VLOOKUP(October[[#This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IFERROR(VLOOKUP(October[[#This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IFERROR(VLOOKUP(October[[#This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IFERROR(VLOOKUP(October[[#This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IFERROR(VLOOKUP(October[[#This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IFERROR(VLOOKUP(October[[#This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IFERROR(VLOOKUP(October[[#This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IFERROR(VLOOKUP(October[[#This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IFERROR(VLOOKUP(October[[#This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IFERROR(VLOOKUP(October[[#This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IFERROR(VLOOKUP(October[[#This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IFERROR(VLOOKUP(October[[#This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IFERROR(VLOOKUP(October[[#This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IFERROR(VLOOKUP(October[[#This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IFERROR(VLOOKUP(October[[#This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IFERROR(VLOOKUP(October[[#This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IFERROR(VLOOKUP(October[[#This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IFERROR(VLOOKUP(October[[#This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IFERROR(VLOOKUP(October[[#This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IFERROR(VLOOKUP(October[[#This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IFERROR(VLOOKUP(October[[#This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IFERROR(VLOOKUP(October[[#This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IFERROR(VLOOKUP(October[[#This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IFERROR(VLOOKUP(October[[#This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IFERROR(VLOOKUP(October[[#This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IFERROR(VLOOKUP(October[[#This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IFERROR(VLOOKUP(October[[#This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IFERROR(VLOOKUP(October[[#This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IFERROR(VLOOKUP(October[[#This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IFERROR(VLOOKUP(October[[#This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IFERROR(VLOOKUP(October[[#This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IFERROR(VLOOKUP(October[[#This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IFERROR(VLOOKUP(October[[#This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IFERROR(VLOOKUP(October[[#This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IFERROR(VLOOKUP(October[[#This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IFERROR(VLOOKUP(October[[#This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IFERROR(VLOOKUP(October[[#This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IFERROR(VLOOKUP(October[[#This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IFERROR(VLOOKUP(October[[#This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IFERROR(VLOOKUP(October[[#This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IFERROR(VLOOKUP(October[[#This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IFERROR(VLOOKUP(October[[#This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IFERROR(VLOOKUP(October[[#This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IFERROR(VLOOKUP(October[[#This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IFERROR(VLOOKUP(October[[#This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IFERROR(VLOOKUP(October[[#This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IFERROR(VLOOKUP(October[[#This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IFERROR(VLOOKUP(October[[#This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IFERROR(VLOOKUP(October[[#This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IFERROR(VLOOKUP(October[[#This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IFERROR(VLOOKUP(October[[#This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IFERROR(VLOOKUP(October[[#This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IFERROR(VLOOKUP(October[[#This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IFERROR(VLOOKUP(October[[#This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IFERROR(VLOOKUP(October[[#This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IFERROR(VLOOKUP(October[[#This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IFERROR(VLOOKUP(October[[#This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IFERROR(VLOOKUP(October[[#This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IFERROR(VLOOKUP(October[[#This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IFERROR(VLOOKUP(October[[#This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IFERROR(VLOOKUP(October[[#This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IFERROR(VLOOKUP(October[[#This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IFERROR(VLOOKUP(October[[#This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IFERROR(VLOOKUP(October[[#This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IFERROR(VLOOKUP(October[[#This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IFERROR(VLOOKUP(October[[#This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IFERROR(VLOOKUP(October[[#This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IFERROR(VLOOKUP(October[[#This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IFERROR(VLOOKUP(October[[#This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IFERROR(VLOOKUP(October[[#This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IFERROR(VLOOKUP(October[[#This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IFERROR(VLOOKUP(October[[#This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IFERROR(VLOOKUP(October[[#This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IFERROR(VLOOKUP(October[[#This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IFERROR(VLOOKUP(October[[#This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IFERROR(VLOOKUP(October[[#This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IFERROR(VLOOKUP(October[[#This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IFERROR(VLOOKUP(October[[#This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IFERROR(VLOOKUP(October[[#This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IFERROR(VLOOKUP(October[[#This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IFERROR(VLOOKUP(October[[#This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IFERROR(VLOOKUP(October[[#This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IFERROR(VLOOKUP(October[[#This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IFERROR(VLOOKUP(October[[#This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IFERROR(VLOOKUP(October[[#This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IFERROR(VLOOKUP(October[[#This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IFERROR(VLOOKUP(October[[#This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IFERROR(VLOOKUP(October[[#This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IFERROR(VLOOKUP(October[[#This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IFERROR(VLOOKUP(October[[#This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IFERROR(VLOOKUP(October[[#This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IFERROR(VLOOKUP(October[[#This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IFERROR(VLOOKUP(October[[#This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IFERROR(VLOOKUP(October[[#This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IFERROR(VLOOKUP(October[[#This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IFERROR(VLOOKUP(October[[#This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IFERROR(VLOOKUP(October[[#This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IFERROR(VLOOKUP(October[[#This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IFERROR(VLOOKUP(October[[#This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IFERROR(VLOOKUP(October[[#This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IFERROR(VLOOKUP(October[[#This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IFERROR(VLOOKUP(October[[#This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IFERROR(VLOOKUP(October[[#This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IFERROR(VLOOKUP(October[[#This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IFERROR(VLOOKUP(October[[#This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IFERROR(VLOOKUP(October[[#This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IFERROR(VLOOKUP(October[[#This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IFERROR(VLOOKUP(October[[#This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IFERROR(VLOOKUP(October[[#This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IFERROR(VLOOKUP(October[[#This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IFERROR(VLOOKUP(October[[#This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IFERROR(VLOOKUP(October[[#This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IFERROR(VLOOKUP(October[[#This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IFERROR(VLOOKUP(October[[#This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IFERROR(VLOOKUP(October[[#This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IFERROR(VLOOKUP(October[[#This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IFERROR(VLOOKUP(October[[#This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IFERROR(VLOOKUP(October[[#This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IFERROR(VLOOKUP(October[[#This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IFERROR(VLOOKUP(October[[#This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IFERROR(VLOOKUP(October[[#This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IFERROR(VLOOKUP(October[[#This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IFERROR(VLOOKUP(October[[#This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IFERROR(VLOOKUP(October[[#This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IFERROR(VLOOKUP(October[[#This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IFERROR(VLOOKUP(October[[#This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IFERROR(VLOOKUP(October[[#This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IFERROR(VLOOKUP(October[[#This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IFERROR(VLOOKUP(October[[#This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IFERROR(VLOOKUP(October[[#This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IFERROR(VLOOKUP(October[[#This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IFERROR(VLOOKUP(October[[#This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IFERROR(VLOOKUP(October[[#This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IFERROR(VLOOKUP(October[[#This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IFERROR(VLOOKUP(October[[#This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IFERROR(VLOOKUP(October[[#This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IFERROR(VLOOKUP(October[[#This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IFERROR(VLOOKUP(October[[#This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IFERROR(VLOOKUP(October[[#This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IFERROR(VLOOKUP(October[[#This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IFERROR(VLOOKUP(October[[#This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IFERROR(VLOOKUP(October[[#This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IFERROR(VLOOKUP(October[[#This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IFERROR(VLOOKUP(October[[#This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IFERROR(VLOOKUP(October[[#This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IFERROR(VLOOKUP(October[[#This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IFERROR(VLOOKUP(October[[#This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IFERROR(VLOOKUP(October[[#This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IFERROR(VLOOKUP(October[[#This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IFERROR(VLOOKUP(October[[#This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IFERROR(VLOOKUP(October[[#This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IFERROR(VLOOKUP(October[[#This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IFERROR(VLOOKUP(October[[#This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IFERROR(VLOOKUP(October[[#This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IFERROR(VLOOKUP(October[[#This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IFERROR(VLOOKUP(October[[#This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IFERROR(VLOOKUP(October[[#This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IFERROR(VLOOKUP(October[[#This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IFERROR(VLOOKUP(October[[#This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IFERROR(VLOOKUP(October[[#This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IFERROR(VLOOKUP(October[[#This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IFERROR(VLOOKUP(October[[#This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IFERROR(VLOOKUP(October[[#This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IFERROR(VLOOKUP(October[[#This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IFERROR(VLOOKUP(October[[#This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IFERROR(VLOOKUP(October[[#This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IFERROR(VLOOKUP(October[[#This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IFERROR(VLOOKUP(October[[#This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IFERROR(VLOOKUP(October[[#This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IFERROR(VLOOKUP(October[[#This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IFERROR(VLOOKUP(October[[#This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IFERROR(VLOOKUP(October[[#This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IFERROR(VLOOKUP(October[[#This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IFERROR(VLOOKUP(October[[#This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IFERROR(VLOOKUP(October[[#This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IFERROR(VLOOKUP(October[[#This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IFERROR(VLOOKUP(October[[#This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IFERROR(VLOOKUP(October[[#This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IFERROR(VLOOKUP(October[[#This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IFERROR(VLOOKUP(October[[#This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IFERROR(VLOOKUP(October[[#This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IFERROR(VLOOKUP(October[[#This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IFERROR(VLOOKUP(October[[#This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IFERROR(VLOOKUP(October[[#This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IFERROR(VLOOKUP(October[[#This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IFERROR(VLOOKUP(October[[#This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IFERROR(VLOOKUP(October[[#This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IFERROR(VLOOKUP(October[[#This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IFERROR(VLOOKUP(October[[#This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IFERROR(VLOOKUP(October[[#This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IFERROR(VLOOKUP(October[[#This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IFERROR(VLOOKUP(October[[#This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IFERROR(VLOOKUP(October[[#This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IFERROR(VLOOKUP(October[[#This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IFERROR(VLOOKUP(October[[#This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IFERROR(VLOOKUP(October[[#This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IFERROR(VLOOKUP(October[[#This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IFERROR(VLOOKUP(October[[#This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IFERROR(VLOOKUP(October[[#This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IFERROR(VLOOKUP(October[[#This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IFERROR(VLOOKUP(October[[#This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IFERROR(VLOOKUP(October[[#This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IFERROR(VLOOKUP(October[[#This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IFERROR(VLOOKUP(October[[#This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IFERROR(VLOOKUP(October[[#This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IFERROR(VLOOKUP(October[[#This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IFERROR(VLOOKUP(October[[#This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IFERROR(VLOOKUP(October[[#This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IFERROR(VLOOKUP(October[[#This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IFERROR(VLOOKUP(October[[#This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IFERROR(VLOOKUP(October[[#This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IFERROR(VLOOKUP(October[[#This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IFERROR(VLOOKUP(October[[#This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IFERROR(VLOOKUP(October[[#This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IFERROR(VLOOKUP(October[[#This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IFERROR(VLOOKUP(October[[#This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IFERROR(VLOOKUP(October[[#This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IFERROR(VLOOKUP(October[[#This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IFERROR(VLOOKUP(October[[#This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IFERROR(VLOOKUP(October[[#This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IFERROR(VLOOKUP(October[[#This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IFERROR(VLOOKUP(October[[#This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IFERROR(VLOOKUP(October[[#This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IFERROR(VLOOKUP(October[[#This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IFERROR(VLOOKUP(October[[#This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IFERROR(VLOOKUP(October[[#This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IFERROR(VLOOKUP(October[[#This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IFERROR(VLOOKUP(October[[#This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IFERROR(VLOOKUP(October[[#This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IFERROR(VLOOKUP(October[[#This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IFERROR(VLOOKUP(October[[#This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IFERROR(VLOOKUP(October[[#This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IFERROR(VLOOKUP(October[[#This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IFERROR(VLOOKUP(October[[#This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IFERROR(VLOOKUP(October[[#This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IFERROR(VLOOKUP(October[[#This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IFERROR(VLOOKUP(October[[#This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IFERROR(VLOOKUP(October[[#This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IFERROR(VLOOKUP(October[[#This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IFERROR(VLOOKUP(October[[#This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IFERROR(VLOOKUP(October[[#This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IFERROR(VLOOKUP(October[[#This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IFERROR(VLOOKUP(October[[#This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IFERROR(VLOOKUP(October[[#This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IFERROR(VLOOKUP(October[[#This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IFERROR(VLOOKUP(October[[#This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IFERROR(VLOOKUP(October[[#This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IFERROR(VLOOKUP(October[[#This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IFERROR(VLOOKUP(October[[#This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IFERROR(VLOOKUP(October[[#This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IFERROR(VLOOKUP(October[[#This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IFERROR(VLOOKUP(October[[#This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IFERROR(VLOOKUP(October[[#This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IFERROR(VLOOKUP(October[[#This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IFERROR(VLOOKUP(October[[#This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IFERROR(VLOOKUP(October[[#This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IFERROR(VLOOKUP(October[[#This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IFERROR(VLOOKUP(October[[#This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IFERROR(VLOOKUP(October[[#This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IFERROR(VLOOKUP(October[[#This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IFERROR(VLOOKUP(October[[#This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IFERROR(VLOOKUP(October[[#This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IFERROR(VLOOKUP(October[[#This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IFERROR(VLOOKUP(October[[#This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IFERROR(VLOOKUP(October[[#This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IFERROR(VLOOKUP(October[[#This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IFERROR(VLOOKUP(October[[#This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IFERROR(VLOOKUP(October[[#This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IFERROR(VLOOKUP(October[[#This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IFERROR(VLOOKUP(October[[#This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IFERROR(VLOOKUP(October[[#This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IFERROR(VLOOKUP(October[[#This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IFERROR(VLOOKUP(October[[#This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IFERROR(VLOOKUP(October[[#This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IFERROR(VLOOKUP(October[[#This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IFERROR(VLOOKUP(October[[#This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IFERROR(VLOOKUP(October[[#This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IFERROR(VLOOKUP(October[[#This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IFERROR(VLOOKUP(October[[#This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IFERROR(VLOOKUP(October[[#This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IFERROR(VLOOKUP(October[[#This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IFERROR(VLOOKUP(October[[#This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IFERROR(VLOOKUP(October[[#This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IFERROR(VLOOKUP(October[[#This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IFERROR(VLOOKUP(October[[#This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IFERROR(VLOOKUP(October[[#This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IFERROR(VLOOKUP(October[[#This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IFERROR(VLOOKUP(October[[#This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IFERROR(VLOOKUP(October[[#This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IFERROR(VLOOKUP(October[[#This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IFERROR(VLOOKUP(October[[#This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IFERROR(VLOOKUP(October[[#This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IFERROR(VLOOKUP(October[[#This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IFERROR(VLOOKUP(October[[#This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IFERROR(VLOOKUP(October[[#This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IFERROR(VLOOKUP(October[[#This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IFERROR(VLOOKUP(October[[#This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IFERROR(VLOOKUP(October[[#This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IFERROR(VLOOKUP(October[[#This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IFERROR(VLOOKUP(October[[#This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IFERROR(VLOOKUP(October[[#This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IFERROR(VLOOKUP(October[[#This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IFERROR(VLOOKUP(October[[#This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IFERROR(VLOOKUP(October[[#This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IFERROR(VLOOKUP(October[[#This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IFERROR(VLOOKUP(October[[#This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IFERROR(VLOOKUP(October[[#This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IFERROR(VLOOKUP(October[[#This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IFERROR(VLOOKUP(October[[#This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IFERROR(VLOOKUP(October[[#This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IFERROR(VLOOKUP(October[[#This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IFERROR(VLOOKUP(October[[#This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IFERROR(VLOOKUP(October[[#This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IFERROR(VLOOKUP(October[[#This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IFERROR(VLOOKUP(October[[#This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IFERROR(VLOOKUP(October[[#This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IFERROR(VLOOKUP(October[[#This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IFERROR(VLOOKUP(October[[#This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IFERROR(VLOOKUP(October[[#This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IFERROR(VLOOKUP(October[[#This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IFERROR(VLOOKUP(October[[#This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IFERROR(VLOOKUP(October[[#This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IFERROR(VLOOKUP(October[[#This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IFERROR(VLOOKUP(October[[#This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IFERROR(VLOOKUP(October[[#This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IFERROR(VLOOKUP(October[[#This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IFERROR(VLOOKUP(October[[#This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IFERROR(VLOOKUP(October[[#This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IFERROR(VLOOKUP(October[[#This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IFERROR(VLOOKUP(October[[#This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IFERROR(VLOOKUP(October[[#This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IFERROR(VLOOKUP(October[[#This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IFERROR(VLOOKUP(October[[#This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IFERROR(VLOOKUP(October[[#This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IFERROR(VLOOKUP(October[[#This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IFERROR(VLOOKUP(October[[#This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IFERROR(VLOOKUP(October[[#This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IFERROR(VLOOKUP(October[[#This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IFERROR(VLOOKUP(October[[#This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IFERROR(VLOOKUP(October[[#This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IFERROR(VLOOKUP(October[[#This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IFERROR(VLOOKUP(October[[#This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IFERROR(VLOOKUP(October[[#This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IFERROR(VLOOKUP(October[[#This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IFERROR(VLOOKUP(October[[#This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IFERROR(VLOOKUP(October[[#This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IFERROR(VLOOKUP(October[[#This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IFERROR(VLOOKUP(October[[#This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IFERROR(VLOOKUP(October[[#This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IFERROR(VLOOKUP(October[[#This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IFERROR(VLOOKUP(October[[#This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IFERROR(VLOOKUP(October[[#This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IFERROR(VLOOKUP(October[[#This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IFERROR(VLOOKUP(October[[#This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IFERROR(VLOOKUP(October[[#This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IFERROR(VLOOKUP(October[[#This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IFERROR(VLOOKUP(October[[#This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IFERROR(VLOOKUP(October[[#This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IFERROR(VLOOKUP(October[[#This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IFERROR(VLOOKUP(October[[#This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IFERROR(VLOOKUP(October[[#This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IFERROR(VLOOKUP(October[[#This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IFERROR(VLOOKUP(October[[#This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IFERROR(VLOOKUP(October[[#This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IFERROR(VLOOKUP(October[[#This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IFERROR(VLOOKUP(October[[#This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IFERROR(VLOOKUP(October[[#This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IFERROR(VLOOKUP(October[[#This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IFERROR(VLOOKUP(October[[#This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IFERROR(VLOOKUP(October[[#This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IFERROR(VLOOKUP(October[[#This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IFERROR(VLOOKUP(October[[#This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IFERROR(VLOOKUP(October[[#This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IFERROR(VLOOKUP(October[[#This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IFERROR(VLOOKUP(October[[#This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IFERROR(VLOOKUP(October[[#This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IFERROR(VLOOKUP(October[[#This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IFERROR(VLOOKUP(October[[#This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IFERROR(VLOOKUP(October[[#This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IFERROR(VLOOKUP(October[[#This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IFERROR(VLOOKUP(October[[#This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IFERROR(VLOOKUP(October[[#This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IFERROR(VLOOKUP(October[[#This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IFERROR(VLOOKUP(October[[#This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IFERROR(VLOOKUP(October[[#This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IFERROR(VLOOKUP(October[[#This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IFERROR(VLOOKUP(October[[#This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IFERROR(VLOOKUP(October[[#This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IFERROR(VLOOKUP(October[[#This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IFERROR(VLOOKUP(October[[#This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IFERROR(VLOOKUP(October[[#This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IFERROR(VLOOKUP(October[[#This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IFERROR(VLOOKUP(October[[#This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IFERROR(VLOOKUP(October[[#This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IFERROR(VLOOKUP(October[[#This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IFERROR(VLOOKUP(October[[#This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IFERROR(VLOOKUP(October[[#This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IFERROR(VLOOKUP(October[[#This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IFERROR(VLOOKUP(October[[#This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IFERROR(VLOOKUP(October[[#This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IFERROR(VLOOKUP(October[[#This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IFERROR(VLOOKUP(October[[#This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IFERROR(VLOOKUP(October[[#This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IFERROR(VLOOKUP(October[[#This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IFERROR(VLOOKUP(October[[#This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IFERROR(VLOOKUP(October[[#This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IFERROR(VLOOKUP(October[[#This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IFERROR(VLOOKUP(October[[#This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IFERROR(VLOOKUP(October[[#This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IFERROR(VLOOKUP(October[[#This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IFERROR(VLOOKUP(October[[#This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IFERROR(VLOOKUP(October[[#This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IFERROR(VLOOKUP(October[[#This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IFERROR(VLOOKUP(October[[#This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IFERROR(VLOOKUP(October[[#This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IFERROR(VLOOKUP(October[[#This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IFERROR(VLOOKUP(October[[#This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IFERROR(VLOOKUP(October[[#This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IFERROR(VLOOKUP(October[[#This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IFERROR(VLOOKUP(October[[#This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IFERROR(VLOOKUP(October[[#This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IFERROR(VLOOKUP(October[[#This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IFERROR(VLOOKUP(October[[#This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IFERROR(VLOOKUP(October[[#This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IFERROR(VLOOKUP(October[[#This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IFERROR(VLOOKUP(October[[#This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IFERROR(VLOOKUP(October[[#This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IFERROR(VLOOKUP(October[[#This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IFERROR(VLOOKUP(October[[#This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IFERROR(VLOOKUP(October[[#This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IFERROR(VLOOKUP(October[[#This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IFERROR(VLOOKUP(October[[#This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IFERROR(VLOOKUP(October[[#This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IFERROR(VLOOKUP(October[[#This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IFERROR(VLOOKUP(October[[#This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IFERROR(VLOOKUP(October[[#This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IFERROR(VLOOKUP(October[[#This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IFERROR(VLOOKUP(October[[#This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IFERROR(VLOOKUP(October[[#This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IFERROR(VLOOKUP(October[[#This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IFERROR(VLOOKUP(October[[#This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IFERROR(VLOOKUP(October[[#This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IFERROR(VLOOKUP(October[[#This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IFERROR(VLOOKUP(October[[#This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IFERROR(VLOOKUP(October[[#This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IFERROR(VLOOKUP(October[[#This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IFERROR(VLOOKUP(October[[#This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IFERROR(VLOOKUP(October[[#This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IFERROR(VLOOKUP(October[[#This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IFERROR(VLOOKUP(October[[#This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IFERROR(VLOOKUP(October[[#This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IFERROR(VLOOKUP(October[[#This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IFERROR(VLOOKUP(October[[#This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IFERROR(VLOOKUP(October[[#This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IFERROR(VLOOKUP(October[[#This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IFERROR(VLOOKUP(October[[#This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IFERROR(VLOOKUP(October[[#This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IFERROR(VLOOKUP(October[[#This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IFERROR(VLOOKUP(October[[#This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IFERROR(VLOOKUP(October[[#This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IFERROR(VLOOKUP(October[[#This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IFERROR(VLOOKUP(October[[#This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IFERROR(VLOOKUP(October[[#This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IFERROR(VLOOKUP(October[[#This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IFERROR(VLOOKUP(October[[#This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IFERROR(VLOOKUP(October[[#This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IFERROR(VLOOKUP(October[[#This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IFERROR(VLOOKUP(October[[#This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IFERROR(VLOOKUP(October[[#This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IFERROR(VLOOKUP(October[[#This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IFERROR(VLOOKUP(October[[#This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IFERROR(VLOOKUP(October[[#This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IFERROR(VLOOKUP(October[[#This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IFERROR(VLOOKUP(October[[#This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IFERROR(VLOOKUP(October[[#This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IFERROR(VLOOKUP(October[[#This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IFERROR(VLOOKUP(October[[#This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IFERROR(VLOOKUP(October[[#This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IFERROR(VLOOKUP(October[[#This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IFERROR(VLOOKUP(October[[#This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IFERROR(VLOOKUP(October[[#This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IFERROR(VLOOKUP(October[[#This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IFERROR(VLOOKUP(October[[#This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IFERROR(VLOOKUP(October[[#This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IFERROR(VLOOKUP(October[[#This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IFERROR(VLOOKUP(October[[#This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IFERROR(VLOOKUP(October[[#This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IFERROR(VLOOKUP(October[[#This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IFERROR(VLOOKUP(October[[#This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IFERROR(VLOOKUP(October[[#This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IFERROR(VLOOKUP(October[[#This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IFERROR(VLOOKUP(October[[#This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IFERROR(VLOOKUP(October[[#This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IFERROR(VLOOKUP(October[[#This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IFERROR(VLOOKUP(October[[#This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IFERROR(VLOOKUP(October[[#This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IFERROR(VLOOKUP(October[[#This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IFERROR(VLOOKUP(October[[#This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IFERROR(VLOOKUP(October[[#This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IFERROR(VLOOKUP(October[[#This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IFERROR(VLOOKUP(October[[#This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IFERROR(VLOOKUP(October[[#This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IFERROR(VLOOKUP(October[[#This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IFERROR(VLOOKUP(October[[#This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IFERROR(VLOOKUP(October[[#This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IFERROR(VLOOKUP(October[[#This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IFERROR(VLOOKUP(October[[#This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IFERROR(VLOOKUP(October[[#This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IFERROR(VLOOKUP(October[[#This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IFERROR(VLOOKUP(October[[#This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IFERROR(VLOOKUP(October[[#This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IFERROR(VLOOKUP(October[[#This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IFERROR(VLOOKUP(October[[#This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IFERROR(VLOOKUP(October[[#This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IFERROR(VLOOKUP(October[[#This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IFERROR(VLOOKUP(October[[#This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IFERROR(VLOOKUP(October[[#This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IFERROR(VLOOKUP(October[[#This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IFERROR(VLOOKUP(October[[#This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IFERROR(VLOOKUP(October[[#This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IFERROR(VLOOKUP(October[[#This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IFERROR(VLOOKUP(October[[#This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IFERROR(VLOOKUP(October[[#This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IFERROR(VLOOKUP(October[[#This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IFERROR(VLOOKUP(October[[#This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IFERROR(VLOOKUP(October[[#This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IFERROR(VLOOKUP(October[[#This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IFERROR(VLOOKUP(October[[#This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IFERROR(VLOOKUP(October[[#This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IFERROR(VLOOKUP(October[[#This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IFERROR(VLOOKUP(October[[#This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IFERROR(VLOOKUP(October[[#This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IFERROR(VLOOKUP(October[[#This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IFERROR(VLOOKUP(October[[#This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IFERROR(VLOOKUP(October[[#This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IFERROR(VLOOKUP(October[[#This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IFERROR(VLOOKUP(October[[#This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IFERROR(VLOOKUP(October[[#This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IFERROR(VLOOKUP(October[[#This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IFERROR(VLOOKUP(October[[#This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IFERROR(VLOOKUP(October[[#This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IFERROR(VLOOKUP(October[[#This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IFERROR(VLOOKUP(October[[#This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IFERROR(VLOOKUP(October[[#This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IFERROR(VLOOKUP(October[[#This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IFERROR(VLOOKUP(October[[#This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IFERROR(VLOOKUP(October[[#This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IFERROR(VLOOKUP(October[[#This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IFERROR(VLOOKUP(October[[#This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IFERROR(VLOOKUP(October[[#This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IFERROR(VLOOKUP(October[[#This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IFERROR(VLOOKUP(October[[#This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IFERROR(VLOOKUP(October[[#This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IFERROR(VLOOKUP(October[[#This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IFERROR(VLOOKUP(October[[#This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IFERROR(VLOOKUP(October[[#This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IFERROR(VLOOKUP(October[[#This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IFERROR(VLOOKUP(October[[#This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IFERROR(VLOOKUP(October[[#This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IFERROR(VLOOKUP(October[[#This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IFERROR(VLOOKUP(October[[#This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IFERROR(VLOOKUP(October[[#This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IFERROR(VLOOKUP(October[[#This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IFERROR(VLOOKUP(October[[#This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IFERROR(VLOOKUP(October[[#This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IFERROR(VLOOKUP(October[[#This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IFERROR(VLOOKUP(October[[#This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IFERROR(VLOOKUP(October[[#This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IFERROR(VLOOKUP(October[[#This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IFERROR(VLOOKUP(October[[#This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IFERROR(VLOOKUP(October[[#This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IFERROR(VLOOKUP(October[[#This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IFERROR(VLOOKUP(October[[#This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IFERROR(VLOOKUP(October[[#This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IFERROR(VLOOKUP(October[[#This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IFERROR(VLOOKUP(October[[#This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IFERROR(VLOOKUP(October[[#This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IFERROR(VLOOKUP(October[[#This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IFERROR(VLOOKUP(October[[#This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IFERROR(VLOOKUP(October[[#This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IFERROR(VLOOKUP(October[[#This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IFERROR(VLOOKUP(October[[#This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IFERROR(VLOOKUP(October[[#This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IFERROR(VLOOKUP(October[[#This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IFERROR(VLOOKUP(October[[#This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IFERROR(VLOOKUP(October[[#This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IFERROR(VLOOKUP(October[[#This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IFERROR(VLOOKUP(October[[#This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IFERROR(VLOOKUP(October[[#This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IFERROR(VLOOKUP(October[[#This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IFERROR(VLOOKUP(October[[#This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IFERROR(VLOOKUP(October[[#This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IFERROR(VLOOKUP(October[[#This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IFERROR(VLOOKUP(October[[#This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IFERROR(VLOOKUP(October[[#This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IFERROR(VLOOKUP(October[[#This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IFERROR(VLOOKUP(October[[#This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IFERROR(VLOOKUP(October[[#This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IFERROR(VLOOKUP(October[[#This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IFERROR(VLOOKUP(October[[#This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IFERROR(VLOOKUP(October[[#This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IFERROR(VLOOKUP(October[[#This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IFERROR(VLOOKUP(October[[#This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IFERROR(VLOOKUP(October[[#This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IFERROR(VLOOKUP(October[[#This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IFERROR(VLOOKUP(October[[#This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IFERROR(VLOOKUP(October[[#This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IFERROR(VLOOKUP(October[[#This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IFERROR(VLOOKUP(October[[#This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IFERROR(VLOOKUP(October[[#This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IFERROR(VLOOKUP(October[[#This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IFERROR(VLOOKUP(October[[#This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IFERROR(VLOOKUP(October[[#This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IFERROR(VLOOKUP(October[[#This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IFERROR(VLOOKUP(October[[#This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IFERROR(VLOOKUP(October[[#This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IFERROR(VLOOKUP(October[[#This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IFERROR(VLOOKUP(October[[#This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IFERROR(VLOOKUP(October[[#This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IFERROR(VLOOKUP(October[[#This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IFERROR(VLOOKUP(October[[#This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IFERROR(VLOOKUP(October[[#This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IFERROR(VLOOKUP(October[[#This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IFERROR(VLOOKUP(October[[#This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IFERROR(VLOOKUP(October[[#This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IFERROR(VLOOKUP(October[[#This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IFERROR(VLOOKUP(October[[#This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IFERROR(VLOOKUP(October[[#This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IFERROR(VLOOKUP(October[[#This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IFERROR(VLOOKUP(October[[#This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IFERROR(VLOOKUP(October[[#This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IFERROR(VLOOKUP(October[[#This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IFERROR(VLOOKUP(October[[#This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IFERROR(VLOOKUP(October[[#This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IFERROR(VLOOKUP(October[[#This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IFERROR(VLOOKUP(October[[#This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IFERROR(VLOOKUP(October[[#This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IFERROR(VLOOKUP(October[[#This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IFERROR(VLOOKUP(October[[#This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IFERROR(VLOOKUP(October[[#This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IFERROR(VLOOKUP(October[[#This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IFERROR(VLOOKUP(October[[#This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IFERROR(VLOOKUP(October[[#This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IFERROR(VLOOKUP(October[[#This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IFERROR(VLOOKUP(October[[#This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IFERROR(VLOOKUP(October[[#This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IFERROR(VLOOKUP(October[[#This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IFERROR(VLOOKUP(October[[#This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IFERROR(VLOOKUP(October[[#This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IFERROR(VLOOKUP(October[[#This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IFERROR(VLOOKUP(October[[#This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IFERROR(VLOOKUP(October[[#This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IFERROR(VLOOKUP(October[[#This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IFERROR(VLOOKUP(October[[#This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IFERROR(VLOOKUP(October[[#This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IFERROR(VLOOKUP(October[[#This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IFERROR(VLOOKUP(October[[#This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IFERROR(VLOOKUP(October[[#This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IFERROR(VLOOKUP(October[[#This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IFERROR(VLOOKUP(October[[#This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IFERROR(VLOOKUP(October[[#This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IFERROR(VLOOKUP(October[[#This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IFERROR(VLOOKUP(October[[#This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IFERROR(VLOOKUP(October[[#This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IFERROR(VLOOKUP(October[[#This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IFERROR(VLOOKUP(October[[#This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IFERROR(VLOOKUP(October[[#This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IFERROR(VLOOKUP(October[[#This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IFERROR(VLOOKUP(October[[#This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IFERROR(VLOOKUP(October[[#This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IFERROR(VLOOKUP(October[[#This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IFERROR(VLOOKUP(October[[#This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IFERROR(VLOOKUP(October[[#This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IFERROR(VLOOKUP(October[[#This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IFERROR(VLOOKUP(October[[#This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IFERROR(VLOOKUP(October[[#This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IFERROR(VLOOKUP(October[[#This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IFERROR(VLOOKUP(October[[#This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IFERROR(VLOOKUP(October[[#This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IFERROR(VLOOKUP(October[[#This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IFERROR(VLOOKUP(October[[#This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IFERROR(VLOOKUP(October[[#This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IFERROR(VLOOKUP(October[[#This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IFERROR(VLOOKUP(October[[#This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IFERROR(VLOOKUP(October[[#This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IFERROR(VLOOKUP(October[[#This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IFERROR(VLOOKUP(October[[#This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IFERROR(VLOOKUP(October[[#This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IFERROR(VLOOKUP(October[[#This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IFERROR(VLOOKUP(October[[#This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IFERROR(VLOOKUP(October[[#This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IFERROR(VLOOKUP(October[[#This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IFERROR(VLOOKUP(October[[#This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IFERROR(VLOOKUP(October[[#This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IFERROR(VLOOKUP(October[[#This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IFERROR(VLOOKUP(October[[#This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IFERROR(VLOOKUP(October[[#This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IFERROR(VLOOKUP(October[[#This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IFERROR(VLOOKUP(October[[#This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IFERROR(VLOOKUP(October[[#This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IFERROR(VLOOKUP(October[[#This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IFERROR(VLOOKUP(October[[#This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IFERROR(VLOOKUP(October[[#This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IFERROR(VLOOKUP(October[[#This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IFERROR(VLOOKUP(October[[#This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IFERROR(VLOOKUP(October[[#This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IFERROR(VLOOKUP(October[[#This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IFERROR(VLOOKUP(October[[#This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IFERROR(VLOOKUP(October[[#This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IFERROR(VLOOKUP(October[[#This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IFERROR(VLOOKUP(October[[#This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IFERROR(VLOOKUP(October[[#This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IFERROR(VLOOKUP(October[[#This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IFERROR(VLOOKUP(October[[#This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IFERROR(VLOOKUP(October[[#This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IFERROR(VLOOKUP(October[[#This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IFERROR(VLOOKUP(October[[#This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IFERROR(VLOOKUP(October[[#This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IFERROR(VLOOKUP(October[[#This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IFERROR(VLOOKUP(October[[#This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IFERROR(VLOOKUP(October[[#This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IFERROR(VLOOKUP(October[[#This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IFERROR(VLOOKUP(October[[#This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IFERROR(VLOOKUP(October[[#This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IFERROR(VLOOKUP(October[[#This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IFERROR(VLOOKUP(October[[#This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IFERROR(VLOOKUP(October[[#This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IFERROR(VLOOKUP(October[[#This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IFERROR(VLOOKUP(October[[#This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IFERROR(VLOOKUP(October[[#This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IFERROR(VLOOKUP(October[[#This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IFERROR(VLOOKUP(October[[#This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IFERROR(VLOOKUP(October[[#This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IFERROR(VLOOKUP(October[[#This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IFERROR(VLOOKUP(October[[#This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IFERROR(VLOOKUP(October[[#This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IFERROR(VLOOKUP(October[[#This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IFERROR(VLOOKUP(October[[#This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IFERROR(VLOOKUP(October[[#This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IFERROR(VLOOKUP(October[[#This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IFERROR(VLOOKUP(October[[#This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IFERROR(VLOOKUP(October[[#This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IFERROR(VLOOKUP(October[[#This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IFERROR(VLOOKUP(October[[#This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IFERROR(VLOOKUP(October[[#This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IFERROR(VLOOKUP(October[[#This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IFERROR(VLOOKUP(October[[#This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IFERROR(VLOOKUP(October[[#This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IFERROR(VLOOKUP(October[[#This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IFERROR(VLOOKUP(October[[#This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IFERROR(VLOOKUP(October[[#This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IFERROR(VLOOKUP(October[[#This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IFERROR(VLOOKUP(October[[#This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IFERROR(VLOOKUP(October[[#This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IFERROR(VLOOKUP(October[[#This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IFERROR(VLOOKUP(October[[#This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IFERROR(VLOOKUP(October[[#This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IFERROR(VLOOKUP(October[[#This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IFERROR(VLOOKUP(October[[#This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IFERROR(VLOOKUP(October[[#This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IFERROR(VLOOKUP(October[[#This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IFERROR(VLOOKUP(October[[#This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IFERROR(VLOOKUP(October[[#This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IFERROR(VLOOKUP(October[[#This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IFERROR(VLOOKUP(October[[#This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IFERROR(VLOOKUP(October[[#This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IFERROR(VLOOKUP(October[[#This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IFERROR(VLOOKUP(October[[#This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IFERROR(VLOOKUP(October[[#This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IFERROR(VLOOKUP(October[[#This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IFERROR(VLOOKUP(October[[#This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IFERROR(VLOOKUP(October[[#This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IFERROR(VLOOKUP(October[[#This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IFERROR(VLOOKUP(October[[#This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IFERROR(VLOOKUP(October[[#This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IFERROR(VLOOKUP(October[[#This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IFERROR(VLOOKUP(October[[#This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IFERROR(VLOOKUP(October[[#This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IFERROR(VLOOKUP(October[[#This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IFERROR(VLOOKUP(October[[#This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IFERROR(VLOOKUP(October[[#This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IFERROR(VLOOKUP(October[[#This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IFERROR(VLOOKUP(October[[#This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IFERROR(VLOOKUP(October[[#This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IFERROR(VLOOKUP(October[[#This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IFERROR(VLOOKUP(October[[#This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IFERROR(VLOOKUP(October[[#This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IFERROR(VLOOKUP(October[[#This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IFERROR(VLOOKUP(October[[#This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IFERROR(VLOOKUP(October[[#This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IFERROR(VLOOKUP(October[[#This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IFERROR(VLOOKUP(October[[#This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IFERROR(VLOOKUP(October[[#This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IFERROR(VLOOKUP(October[[#This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IFERROR(VLOOKUP(October[[#This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IFERROR(VLOOKUP(October[[#This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IFERROR(VLOOKUP(October[[#This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IFERROR(VLOOKUP(October[[#This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IFERROR(VLOOKUP(October[[#This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IFERROR(VLOOKUP(October[[#This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IFERROR(VLOOKUP(October[[#This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IFERROR(VLOOKUP(October[[#This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IFERROR(VLOOKUP(October[[#This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IFERROR(VLOOKUP(October[[#This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IFERROR(VLOOKUP(October[[#This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IFERROR(VLOOKUP(October[[#This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IFERROR(VLOOKUP(October[[#This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IFERROR(VLOOKUP(October[[#This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IFERROR(VLOOKUP(October[[#This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IFERROR(VLOOKUP(October[[#This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IFERROR(VLOOKUP(October[[#This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IFERROR(VLOOKUP(October[[#This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IFERROR(VLOOKUP(October[[#This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IFERROR(VLOOKUP(October[[#This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IFERROR(VLOOKUP(October[[#This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IFERROR(VLOOKUP(October[[#This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IFERROR(VLOOKUP(October[[#This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IFERROR(VLOOKUP(October[[#This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IFERROR(VLOOKUP(October[[#This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IFERROR(VLOOKUP(October[[#This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IFERROR(VLOOKUP(October[[#This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IFERROR(VLOOKUP(October[[#This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IFERROR(VLOOKUP(October[[#This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IFERROR(VLOOKUP(October[[#This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IFERROR(VLOOKUP(October[[#This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IFERROR(VLOOKUP(October[[#This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IFERROR(VLOOKUP(October[[#This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IFERROR(VLOOKUP(October[[#This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IFERROR(VLOOKUP(October[[#This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IFERROR(VLOOKUP(October[[#This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IFERROR(VLOOKUP(October[[#This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IFERROR(VLOOKUP(October[[#This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IFERROR(VLOOKUP(October[[#This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IFERROR(VLOOKUP(October[[#This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IFERROR(VLOOKUP(October[[#This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IFERROR(VLOOKUP(October[[#This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IFERROR(VLOOKUP(October[[#This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IFERROR(VLOOKUP(October[[#This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IFERROR(VLOOKUP(October[[#This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IFERROR(VLOOKUP(October[[#This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IFERROR(VLOOKUP(October[[#This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IFERROR(VLOOKUP(October[[#This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IFERROR(VLOOKUP(October[[#This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IFERROR(VLOOKUP(October[[#This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IFERROR(VLOOKUP(October[[#This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IFERROR(VLOOKUP(October[[#This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IFERROR(VLOOKUP(October[[#This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IFERROR(VLOOKUP(October[[#This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IFERROR(VLOOKUP(October[[#This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IFERROR(VLOOKUP(October[[#This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IFERROR(VLOOKUP(October[[#This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IFERROR(VLOOKUP(October[[#This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IFERROR(VLOOKUP(October[[#This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IFERROR(VLOOKUP(October[[#This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IFERROR(VLOOKUP(October[[#This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IFERROR(VLOOKUP(October[[#This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IFERROR(VLOOKUP(October[[#This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IFERROR(VLOOKUP(October[[#This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IFERROR(VLOOKUP(October[[#This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IFERROR(VLOOKUP(October[[#This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IFERROR(VLOOKUP(October[[#This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IFERROR(VLOOKUP(October[[#This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IFERROR(VLOOKUP(October[[#This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IFERROR(VLOOKUP(October[[#This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IFERROR(VLOOKUP(October[[#This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IFERROR(VLOOKUP(October[[#This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IFERROR(VLOOKUP(October[[#This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IFERROR(VLOOKUP(October[[#This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IFERROR(VLOOKUP(October[[#This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IFERROR(VLOOKUP(October[[#This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IFERROR(VLOOKUP(October[[#This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IFERROR(VLOOKUP(October[[#This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IFERROR(VLOOKUP(October[[#This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IFERROR(VLOOKUP(October[[#This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IFERROR(VLOOKUP(October[[#This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IFERROR(VLOOKUP(October[[#This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IFERROR(VLOOKUP(October[[#This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IFERROR(VLOOKUP(October[[#This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IFERROR(VLOOKUP(October[[#This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IFERROR(VLOOKUP(October[[#This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IFERROR(VLOOKUP(October[[#This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IFERROR(VLOOKUP(October[[#This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IFERROR(VLOOKUP(October[[#This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IFERROR(VLOOKUP(October[[#This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IFERROR(VLOOKUP(October[[#This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IFERROR(VLOOKUP(October[[#This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IFERROR(VLOOKUP(October[[#This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IFERROR(VLOOKUP(October[[#This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IFERROR(VLOOKUP(October[[#This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IFERROR(VLOOKUP(October[[#This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IFERROR(VLOOKUP(October[[#This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IFERROR(VLOOKUP(October[[#This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IFERROR(VLOOKUP(October[[#This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IFERROR(VLOOKUP(October[[#This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IFERROR(VLOOKUP(October[[#This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IFERROR(VLOOKUP(October[[#This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IFERROR(VLOOKUP(October[[#This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IFERROR(VLOOKUP(October[[#This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IFERROR(VLOOKUP(October[[#This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IFERROR(VLOOKUP(October[[#This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IFERROR(VLOOKUP(October[[#This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IFERROR(VLOOKUP(October[[#This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IFERROR(VLOOKUP(October[[#This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IFERROR(VLOOKUP(October[[#This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IFERROR(VLOOKUP(October[[#This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IFERROR(VLOOKUP(October[[#This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IFERROR(VLOOKUP(October[[#This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IFERROR(VLOOKUP(October[[#This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IFERROR(VLOOKUP(October[[#This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IFERROR(VLOOKUP(October[[#This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IFERROR(VLOOKUP(October[[#This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IFERROR(VLOOKUP(October[[#This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IFERROR(VLOOKUP(October[[#This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IFERROR(VLOOKUP(October[[#This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IFERROR(VLOOKUP(October[[#This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IFERROR(VLOOKUP(October[[#This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IFERROR(VLOOKUP(October[[#This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IFERROR(VLOOKUP(October[[#This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IFERROR(VLOOKUP(October[[#This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IFERROR(VLOOKUP(October[[#This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IFERROR(VLOOKUP(October[[#This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IFERROR(VLOOKUP(October[[#This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IFERROR(VLOOKUP(October[[#This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IFERROR(VLOOKUP(October[[#This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IFERROR(VLOOKUP(October[[#This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IFERROR(VLOOKUP(October[[#This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IFERROR(VLOOKUP(October[[#This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IFERROR(VLOOKUP(October[[#This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IFERROR(VLOOKUP(October[[#This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IFERROR(VLOOKUP(October[[#This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IFERROR(VLOOKUP(October[[#This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IFERROR(VLOOKUP(October[[#This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IFERROR(VLOOKUP(October[[#This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IFERROR(VLOOKUP(October[[#This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IFERROR(VLOOKUP(October[[#This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IFERROR(VLOOKUP(October[[#This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IFERROR(VLOOKUP(October[[#This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IFERROR(VLOOKUP(October[[#This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IFERROR(VLOOKUP(October[[#This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IFERROR(VLOOKUP(October[[#This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IFERROR(VLOOKUP(October[[#This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IFERROR(VLOOKUP(October[[#This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IFERROR(VLOOKUP(October[[#This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IFERROR(VLOOKUP(October[[#This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IFERROR(VLOOKUP(October[[#This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IFERROR(VLOOKUP(October[[#This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IFERROR(VLOOKUP(October[[#This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IFERROR(VLOOKUP(October[[#This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IFERROR(VLOOKUP(October[[#This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IFERROR(VLOOKUP(October[[#This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IFERROR(VLOOKUP(October[[#This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IFERROR(VLOOKUP(October[[#This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IFERROR(VLOOKUP(October[[#This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IFERROR(VLOOKUP(October[[#This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IFERROR(VLOOKUP(October[[#This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IFERROR(VLOOKUP(October[[#This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IFERROR(VLOOKUP(October[[#This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IFERROR(VLOOKUP(October[[#This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IFERROR(VLOOKUP(October[[#This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IFERROR(VLOOKUP(October[[#This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IFERROR(VLOOKUP(October[[#This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IFERROR(VLOOKUP(October[[#This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IFERROR(VLOOKUP(October[[#This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IFERROR(VLOOKUP(October[[#This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IFERROR(VLOOKUP(October[[#This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IFERROR(VLOOKUP(October[[#This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IFERROR(VLOOKUP(October[[#This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IFERROR(VLOOKUP(October[[#This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IFERROR(VLOOKUP(October[[#This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IFERROR(VLOOKUP(October[[#This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IFERROR(VLOOKUP(October[[#This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IFERROR(VLOOKUP(October[[#This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IFERROR(VLOOKUP(October[[#This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IFERROR(VLOOKUP(October[[#This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IFERROR(VLOOKUP(October[[#This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IFERROR(VLOOKUP(October[[#This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IFERROR(VLOOKUP(October[[#This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IFERROR(VLOOKUP(October[[#This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IFERROR(VLOOKUP(October[[#This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IFERROR(VLOOKUP(October[[#This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IFERROR(VLOOKUP(October[[#This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IFERROR(VLOOKUP(October[[#This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IFERROR(VLOOKUP(October[[#This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IFERROR(VLOOKUP(October[[#This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IFERROR(VLOOKUP(October[[#This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IFERROR(VLOOKUP(October[[#This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IFERROR(VLOOKUP(October[[#This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IFERROR(VLOOKUP(October[[#This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IFERROR(VLOOKUP(October[[#This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IFERROR(VLOOKUP(October[[#This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IFERROR(VLOOKUP(October[[#This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IFERROR(VLOOKUP(October[[#This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IFERROR(VLOOKUP(October[[#This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IFERROR(VLOOKUP(October[[#This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IFERROR(VLOOKUP(October[[#This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IFERROR(VLOOKUP(October[[#This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IFERROR(VLOOKUP(October[[#This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IFERROR(VLOOKUP(October[[#This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IFERROR(VLOOKUP(October[[#This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IFERROR(VLOOKUP(October[[#This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IFERROR(VLOOKUP(October[[#This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IFERROR(VLOOKUP(October[[#This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IFERROR(VLOOKUP(October[[#This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IFERROR(VLOOKUP(October[[#This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IFERROR(VLOOKUP(October[[#This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IFERROR(VLOOKUP(October[[#This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IFERROR(VLOOKUP(October[[#This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IFERROR(VLOOKUP(October[[#This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IFERROR(VLOOKUP(October[[#This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IFERROR(VLOOKUP(October[[#This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IFERROR(VLOOKUP(October[[#This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IFERROR(VLOOKUP(October[[#This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IFERROR(VLOOKUP(October[[#This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IFERROR(VLOOKUP(October[[#This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IFERROR(VLOOKUP(October[[#This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IFERROR(VLOOKUP(October[[#This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IFERROR(VLOOKUP(October[[#This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IFERROR(VLOOKUP(October[[#This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IFERROR(VLOOKUP(October[[#This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IFERROR(VLOOKUP(October[[#This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IFERROR(VLOOKUP(October[[#This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IFERROR(VLOOKUP(October[[#This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IFERROR(VLOOKUP(October[[#This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IFERROR(VLOOKUP(October[[#This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IFERROR(VLOOKUP(October[[#This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IFERROR(VLOOKUP(October[[#This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IFERROR(VLOOKUP(October[[#This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IFERROR(VLOOKUP(October[[#This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IFERROR(VLOOKUP(October[[#This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IFERROR(VLOOKUP(October[[#This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IFERROR(VLOOKUP(October[[#This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IFERROR(VLOOKUP(October[[#This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IFERROR(VLOOKUP(October[[#This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IFERROR(VLOOKUP(October[[#This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IFERROR(VLOOKUP(October[[#This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IFERROR(VLOOKUP(October[[#This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IFERROR(VLOOKUP(October[[#This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IFERROR(VLOOKUP(October[[#This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IFERROR(VLOOKUP(October[[#This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IFERROR(VLOOKUP(October[[#This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IFERROR(VLOOKUP(October[[#This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IFERROR(VLOOKUP(October[[#This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IFERROR(VLOOKUP(October[[#This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IFERROR(VLOOKUP(October[[#This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IFERROR(VLOOKUP(October[[#This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IFERROR(VLOOKUP(October[[#This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IFERROR(VLOOKUP(October[[#This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IFERROR(VLOOKUP(October[[#This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IFERROR(VLOOKUP(October[[#This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IFERROR(VLOOKUP(October[[#This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IFERROR(VLOOKUP(October[[#This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IFERROR(VLOOKUP(October[[#This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IFERROR(VLOOKUP(October[[#This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IFERROR(VLOOKUP(October[[#This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IFERROR(VLOOKUP(October[[#This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IFERROR(VLOOKUP(October[[#This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IFERROR(VLOOKUP(October[[#This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IFERROR(VLOOKUP(October[[#This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IFERROR(VLOOKUP(October[[#This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IFERROR(VLOOKUP(October[[#This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IFERROR(VLOOKUP(October[[#This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IFERROR(VLOOKUP(October[[#This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IFERROR(VLOOKUP(October[[#This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IFERROR(VLOOKUP(October[[#This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IFERROR(VLOOKUP(October[[#This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IFERROR(VLOOKUP(October[[#This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IFERROR(VLOOKUP(October[[#This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IFERROR(VLOOKUP(October[[#This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IFERROR(VLOOKUP(October[[#This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IFERROR(VLOOKUP(October[[#This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IFERROR(VLOOKUP(October[[#This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IFERROR(VLOOKUP(October[[#This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IFERROR(VLOOKUP(October[[#This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IFERROR(VLOOKUP(October[[#This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IFERROR(VLOOKUP(October[[#This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IFERROR(VLOOKUP(October[[#This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IFERROR(VLOOKUP(October[[#This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IFERROR(VLOOKUP(October[[#This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IFERROR(VLOOKUP(October[[#This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IFERROR(VLOOKUP(October[[#This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IFERROR(VLOOKUP(October[[#This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IFERROR(VLOOKUP(October[[#This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IFERROR(VLOOKUP(October[[#This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IFERROR(VLOOKUP(October[[#This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IFERROR(VLOOKUP(October[[#This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IFERROR(VLOOKUP(October[[#This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IFERROR(VLOOKUP(October[[#This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IFERROR(VLOOKUP(October[[#This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IFERROR(VLOOKUP(October[[#This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IFERROR(VLOOKUP(October[[#This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IFERROR(VLOOKUP(October[[#This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IFERROR(VLOOKUP(October[[#This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IFERROR(VLOOKUP(October[[#This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IFERROR(VLOOKUP(October[[#This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IFERROR(VLOOKUP(October[[#This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SUBTOTAL(103,October[Location Filled9])</f>
        <v>0</v>
      </c>
    </row>
  </sheetData>
  <sheetProtection algorithmName="SHA-512" hashValue="LUGXK1OIX9UTDn7Fyu2fobUNY4WthFBgOPUS5tIxQJ5Zz6TbfOMRunifxfllgkAiPk3ej26vVqU3nZLCD+V5Pg==" saltValue="jwhDqSs1GtQdhH54ALYf3g==" spinCount="100000" sheet="1" objects="1" scenarios="1"/>
  <mergeCells count="13">
    <mergeCell ref="AR2:AX2"/>
    <mergeCell ref="BS2:BY2"/>
    <mergeCell ref="BZ2:CF2"/>
    <mergeCell ref="CG2:CM2"/>
    <mergeCell ref="AL1:AQ2"/>
    <mergeCell ref="BM1:BR2"/>
    <mergeCell ref="BF2:BL2"/>
    <mergeCell ref="A1:J2"/>
    <mergeCell ref="K1:AF1"/>
    <mergeCell ref="K2:P2"/>
    <mergeCell ref="Q2:V2"/>
    <mergeCell ref="X2:AD2"/>
    <mergeCell ref="AE2:AK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IFERROR(VLOOKUP(November[[#This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IFERROR(VLOOKUP(November[[#This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IFERROR(VLOOKUP(November[[#This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IFERROR(VLOOKUP(November[[#This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IFERROR(VLOOKUP(November[[#This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IFERROR(VLOOKUP(November[[#This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IFERROR(VLOOKUP(November[[#This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IFERROR(VLOOKUP(November[[#This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IFERROR(VLOOKUP(November[[#This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IFERROR(VLOOKUP(November[[#This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IFERROR(VLOOKUP(November[[#This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IFERROR(VLOOKUP(November[[#This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IFERROR(VLOOKUP(November[[#This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IFERROR(VLOOKUP(November[[#This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IFERROR(VLOOKUP(November[[#This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IFERROR(VLOOKUP(November[[#This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IFERROR(VLOOKUP(November[[#This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IFERROR(VLOOKUP(November[[#This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IFERROR(VLOOKUP(November[[#This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IFERROR(VLOOKUP(November[[#This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IFERROR(VLOOKUP(November[[#This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IFERROR(VLOOKUP(November[[#This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IFERROR(VLOOKUP(November[[#This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IFERROR(VLOOKUP(November[[#This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IFERROR(VLOOKUP(November[[#This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IFERROR(VLOOKUP(November[[#This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IFERROR(VLOOKUP(November[[#This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IFERROR(VLOOKUP(November[[#This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IFERROR(VLOOKUP(November[[#This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IFERROR(VLOOKUP(November[[#This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IFERROR(VLOOKUP(November[[#This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IFERROR(VLOOKUP(November[[#This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IFERROR(VLOOKUP(November[[#This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IFERROR(VLOOKUP(November[[#This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IFERROR(VLOOKUP(November[[#This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IFERROR(VLOOKUP(November[[#This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IFERROR(VLOOKUP(November[[#This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IFERROR(VLOOKUP(November[[#This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IFERROR(VLOOKUP(November[[#This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IFERROR(VLOOKUP(November[[#This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IFERROR(VLOOKUP(November[[#This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IFERROR(VLOOKUP(November[[#This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IFERROR(VLOOKUP(November[[#This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IFERROR(VLOOKUP(November[[#This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IFERROR(VLOOKUP(November[[#This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IFERROR(VLOOKUP(November[[#This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IFERROR(VLOOKUP(November[[#This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IFERROR(VLOOKUP(November[[#This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IFERROR(VLOOKUP(November[[#This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IFERROR(VLOOKUP(November[[#This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IFERROR(VLOOKUP(November[[#This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IFERROR(VLOOKUP(November[[#This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IFERROR(VLOOKUP(November[[#This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IFERROR(VLOOKUP(November[[#This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IFERROR(VLOOKUP(November[[#This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IFERROR(VLOOKUP(November[[#This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IFERROR(VLOOKUP(November[[#This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IFERROR(VLOOKUP(November[[#This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IFERROR(VLOOKUP(November[[#This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IFERROR(VLOOKUP(November[[#This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IFERROR(VLOOKUP(November[[#This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IFERROR(VLOOKUP(November[[#This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IFERROR(VLOOKUP(November[[#This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IFERROR(VLOOKUP(November[[#This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IFERROR(VLOOKUP(November[[#This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IFERROR(VLOOKUP(November[[#This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IFERROR(VLOOKUP(November[[#This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IFERROR(VLOOKUP(November[[#This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IFERROR(VLOOKUP(November[[#This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IFERROR(VLOOKUP(November[[#This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IFERROR(VLOOKUP(November[[#This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IFERROR(VLOOKUP(November[[#This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IFERROR(VLOOKUP(November[[#This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IFERROR(VLOOKUP(November[[#This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IFERROR(VLOOKUP(November[[#This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IFERROR(VLOOKUP(November[[#This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IFERROR(VLOOKUP(November[[#This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IFERROR(VLOOKUP(November[[#This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IFERROR(VLOOKUP(November[[#This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IFERROR(VLOOKUP(November[[#This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IFERROR(VLOOKUP(November[[#This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IFERROR(VLOOKUP(November[[#This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IFERROR(VLOOKUP(November[[#This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IFERROR(VLOOKUP(November[[#This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IFERROR(VLOOKUP(November[[#This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IFERROR(VLOOKUP(November[[#This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IFERROR(VLOOKUP(November[[#This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IFERROR(VLOOKUP(November[[#This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IFERROR(VLOOKUP(November[[#This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IFERROR(VLOOKUP(November[[#This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IFERROR(VLOOKUP(November[[#This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IFERROR(VLOOKUP(November[[#This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IFERROR(VLOOKUP(November[[#This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IFERROR(VLOOKUP(November[[#This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IFERROR(VLOOKUP(November[[#This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IFERROR(VLOOKUP(November[[#This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IFERROR(VLOOKUP(November[[#This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IFERROR(VLOOKUP(November[[#This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IFERROR(VLOOKUP(November[[#This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IFERROR(VLOOKUP(November[[#This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IFERROR(VLOOKUP(November[[#This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IFERROR(VLOOKUP(November[[#This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IFERROR(VLOOKUP(November[[#This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IFERROR(VLOOKUP(November[[#This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IFERROR(VLOOKUP(November[[#This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IFERROR(VLOOKUP(November[[#This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IFERROR(VLOOKUP(November[[#This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IFERROR(VLOOKUP(November[[#This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IFERROR(VLOOKUP(November[[#This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IFERROR(VLOOKUP(November[[#This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IFERROR(VLOOKUP(November[[#This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IFERROR(VLOOKUP(November[[#This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IFERROR(VLOOKUP(November[[#This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IFERROR(VLOOKUP(November[[#This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IFERROR(VLOOKUP(November[[#This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IFERROR(VLOOKUP(November[[#This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IFERROR(VLOOKUP(November[[#This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IFERROR(VLOOKUP(November[[#This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IFERROR(VLOOKUP(November[[#This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IFERROR(VLOOKUP(November[[#This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IFERROR(VLOOKUP(November[[#This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IFERROR(VLOOKUP(November[[#This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IFERROR(VLOOKUP(November[[#This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IFERROR(VLOOKUP(November[[#This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IFERROR(VLOOKUP(November[[#This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IFERROR(VLOOKUP(November[[#This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IFERROR(VLOOKUP(November[[#This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IFERROR(VLOOKUP(November[[#This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IFERROR(VLOOKUP(November[[#This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IFERROR(VLOOKUP(November[[#This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IFERROR(VLOOKUP(November[[#This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IFERROR(VLOOKUP(November[[#This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IFERROR(VLOOKUP(November[[#This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IFERROR(VLOOKUP(November[[#This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IFERROR(VLOOKUP(November[[#This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IFERROR(VLOOKUP(November[[#This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IFERROR(VLOOKUP(November[[#This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IFERROR(VLOOKUP(November[[#This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IFERROR(VLOOKUP(November[[#This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IFERROR(VLOOKUP(November[[#This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IFERROR(VLOOKUP(November[[#This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IFERROR(VLOOKUP(November[[#This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IFERROR(VLOOKUP(November[[#This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IFERROR(VLOOKUP(November[[#This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IFERROR(VLOOKUP(November[[#This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IFERROR(VLOOKUP(November[[#This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IFERROR(VLOOKUP(November[[#This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IFERROR(VLOOKUP(November[[#This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IFERROR(VLOOKUP(November[[#This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IFERROR(VLOOKUP(November[[#This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IFERROR(VLOOKUP(November[[#This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IFERROR(VLOOKUP(November[[#This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IFERROR(VLOOKUP(November[[#This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IFERROR(VLOOKUP(November[[#This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IFERROR(VLOOKUP(November[[#This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IFERROR(VLOOKUP(November[[#This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IFERROR(VLOOKUP(November[[#This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IFERROR(VLOOKUP(November[[#This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IFERROR(VLOOKUP(November[[#This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IFERROR(VLOOKUP(November[[#This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IFERROR(VLOOKUP(November[[#This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IFERROR(VLOOKUP(November[[#This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IFERROR(VLOOKUP(November[[#This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IFERROR(VLOOKUP(November[[#This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IFERROR(VLOOKUP(November[[#This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IFERROR(VLOOKUP(November[[#This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IFERROR(VLOOKUP(November[[#This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IFERROR(VLOOKUP(November[[#This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IFERROR(VLOOKUP(November[[#This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IFERROR(VLOOKUP(November[[#This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IFERROR(VLOOKUP(November[[#This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IFERROR(VLOOKUP(November[[#This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IFERROR(VLOOKUP(November[[#This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IFERROR(VLOOKUP(November[[#This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IFERROR(VLOOKUP(November[[#This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IFERROR(VLOOKUP(November[[#This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IFERROR(VLOOKUP(November[[#This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IFERROR(VLOOKUP(November[[#This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IFERROR(VLOOKUP(November[[#This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IFERROR(VLOOKUP(November[[#This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IFERROR(VLOOKUP(November[[#This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IFERROR(VLOOKUP(November[[#This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IFERROR(VLOOKUP(November[[#This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IFERROR(VLOOKUP(November[[#This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IFERROR(VLOOKUP(November[[#This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IFERROR(VLOOKUP(November[[#This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IFERROR(VLOOKUP(November[[#This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IFERROR(VLOOKUP(November[[#This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IFERROR(VLOOKUP(November[[#This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IFERROR(VLOOKUP(November[[#This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IFERROR(VLOOKUP(November[[#This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IFERROR(VLOOKUP(November[[#This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IFERROR(VLOOKUP(November[[#This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IFERROR(VLOOKUP(November[[#This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IFERROR(VLOOKUP(November[[#This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IFERROR(VLOOKUP(November[[#This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IFERROR(VLOOKUP(November[[#This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IFERROR(VLOOKUP(November[[#This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IFERROR(VLOOKUP(November[[#This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IFERROR(VLOOKUP(November[[#This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IFERROR(VLOOKUP(November[[#This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IFERROR(VLOOKUP(November[[#This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IFERROR(VLOOKUP(November[[#This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IFERROR(VLOOKUP(November[[#This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IFERROR(VLOOKUP(November[[#This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IFERROR(VLOOKUP(November[[#This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IFERROR(VLOOKUP(November[[#This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IFERROR(VLOOKUP(November[[#This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IFERROR(VLOOKUP(November[[#This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IFERROR(VLOOKUP(November[[#This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IFERROR(VLOOKUP(November[[#This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IFERROR(VLOOKUP(November[[#This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IFERROR(VLOOKUP(November[[#This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IFERROR(VLOOKUP(November[[#This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IFERROR(VLOOKUP(November[[#This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IFERROR(VLOOKUP(November[[#This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IFERROR(VLOOKUP(November[[#This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IFERROR(VLOOKUP(November[[#This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IFERROR(VLOOKUP(November[[#This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IFERROR(VLOOKUP(November[[#This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IFERROR(VLOOKUP(November[[#This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IFERROR(VLOOKUP(November[[#This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IFERROR(VLOOKUP(November[[#This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IFERROR(VLOOKUP(November[[#This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IFERROR(VLOOKUP(November[[#This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IFERROR(VLOOKUP(November[[#This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IFERROR(VLOOKUP(November[[#This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IFERROR(VLOOKUP(November[[#This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IFERROR(VLOOKUP(November[[#This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IFERROR(VLOOKUP(November[[#This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IFERROR(VLOOKUP(November[[#This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IFERROR(VLOOKUP(November[[#This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IFERROR(VLOOKUP(November[[#This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IFERROR(VLOOKUP(November[[#This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IFERROR(VLOOKUP(November[[#This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IFERROR(VLOOKUP(November[[#This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IFERROR(VLOOKUP(November[[#This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IFERROR(VLOOKUP(November[[#This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IFERROR(VLOOKUP(November[[#This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IFERROR(VLOOKUP(November[[#This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IFERROR(VLOOKUP(November[[#This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IFERROR(VLOOKUP(November[[#This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IFERROR(VLOOKUP(November[[#This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IFERROR(VLOOKUP(November[[#This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IFERROR(VLOOKUP(November[[#This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IFERROR(VLOOKUP(November[[#This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IFERROR(VLOOKUP(November[[#This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IFERROR(VLOOKUP(November[[#This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IFERROR(VLOOKUP(November[[#This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IFERROR(VLOOKUP(November[[#This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IFERROR(VLOOKUP(November[[#This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IFERROR(VLOOKUP(November[[#This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IFERROR(VLOOKUP(November[[#This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IFERROR(VLOOKUP(November[[#This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IFERROR(VLOOKUP(November[[#This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IFERROR(VLOOKUP(November[[#This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IFERROR(VLOOKUP(November[[#This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IFERROR(VLOOKUP(November[[#This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IFERROR(VLOOKUP(November[[#This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IFERROR(VLOOKUP(November[[#This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IFERROR(VLOOKUP(November[[#This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IFERROR(VLOOKUP(November[[#This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IFERROR(VLOOKUP(November[[#This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IFERROR(VLOOKUP(November[[#This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IFERROR(VLOOKUP(November[[#This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IFERROR(VLOOKUP(November[[#This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IFERROR(VLOOKUP(November[[#This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IFERROR(VLOOKUP(November[[#This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IFERROR(VLOOKUP(November[[#This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IFERROR(VLOOKUP(November[[#This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IFERROR(VLOOKUP(November[[#This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IFERROR(VLOOKUP(November[[#This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IFERROR(VLOOKUP(November[[#This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IFERROR(VLOOKUP(November[[#This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IFERROR(VLOOKUP(November[[#This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IFERROR(VLOOKUP(November[[#This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IFERROR(VLOOKUP(November[[#This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IFERROR(VLOOKUP(November[[#This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IFERROR(VLOOKUP(November[[#This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IFERROR(VLOOKUP(November[[#This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IFERROR(VLOOKUP(November[[#This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IFERROR(VLOOKUP(November[[#This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IFERROR(VLOOKUP(November[[#This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IFERROR(VLOOKUP(November[[#This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IFERROR(VLOOKUP(November[[#This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IFERROR(VLOOKUP(November[[#This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IFERROR(VLOOKUP(November[[#This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IFERROR(VLOOKUP(November[[#This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IFERROR(VLOOKUP(November[[#This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IFERROR(VLOOKUP(November[[#This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IFERROR(VLOOKUP(November[[#This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IFERROR(VLOOKUP(November[[#This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IFERROR(VLOOKUP(November[[#This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IFERROR(VLOOKUP(November[[#This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IFERROR(VLOOKUP(November[[#This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IFERROR(VLOOKUP(November[[#This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IFERROR(VLOOKUP(November[[#This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IFERROR(VLOOKUP(November[[#This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IFERROR(VLOOKUP(November[[#This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IFERROR(VLOOKUP(November[[#This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IFERROR(VLOOKUP(November[[#This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IFERROR(VLOOKUP(November[[#This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IFERROR(VLOOKUP(November[[#This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IFERROR(VLOOKUP(November[[#This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IFERROR(VLOOKUP(November[[#This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IFERROR(VLOOKUP(November[[#This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IFERROR(VLOOKUP(November[[#This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IFERROR(VLOOKUP(November[[#This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IFERROR(VLOOKUP(November[[#This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IFERROR(VLOOKUP(November[[#This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IFERROR(VLOOKUP(November[[#This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IFERROR(VLOOKUP(November[[#This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IFERROR(VLOOKUP(November[[#This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IFERROR(VLOOKUP(November[[#This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IFERROR(VLOOKUP(November[[#This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IFERROR(VLOOKUP(November[[#This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IFERROR(VLOOKUP(November[[#This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IFERROR(VLOOKUP(November[[#This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IFERROR(VLOOKUP(November[[#This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IFERROR(VLOOKUP(November[[#This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IFERROR(VLOOKUP(November[[#This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IFERROR(VLOOKUP(November[[#This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IFERROR(VLOOKUP(November[[#This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IFERROR(VLOOKUP(November[[#This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IFERROR(VLOOKUP(November[[#This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IFERROR(VLOOKUP(November[[#This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IFERROR(VLOOKUP(November[[#This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IFERROR(VLOOKUP(November[[#This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IFERROR(VLOOKUP(November[[#This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IFERROR(VLOOKUP(November[[#This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IFERROR(VLOOKUP(November[[#This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IFERROR(VLOOKUP(November[[#This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IFERROR(VLOOKUP(November[[#This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IFERROR(VLOOKUP(November[[#This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IFERROR(VLOOKUP(November[[#This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IFERROR(VLOOKUP(November[[#This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IFERROR(VLOOKUP(November[[#This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IFERROR(VLOOKUP(November[[#This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IFERROR(VLOOKUP(November[[#This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IFERROR(VLOOKUP(November[[#This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IFERROR(VLOOKUP(November[[#This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IFERROR(VLOOKUP(November[[#This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IFERROR(VLOOKUP(November[[#This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IFERROR(VLOOKUP(November[[#This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IFERROR(VLOOKUP(November[[#This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IFERROR(VLOOKUP(November[[#This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IFERROR(VLOOKUP(November[[#This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IFERROR(VLOOKUP(November[[#This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IFERROR(VLOOKUP(November[[#This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IFERROR(VLOOKUP(November[[#This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IFERROR(VLOOKUP(November[[#This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IFERROR(VLOOKUP(November[[#This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IFERROR(VLOOKUP(November[[#This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IFERROR(VLOOKUP(November[[#This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IFERROR(VLOOKUP(November[[#This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IFERROR(VLOOKUP(November[[#This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IFERROR(VLOOKUP(November[[#This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IFERROR(VLOOKUP(November[[#This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IFERROR(VLOOKUP(November[[#This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IFERROR(VLOOKUP(November[[#This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IFERROR(VLOOKUP(November[[#This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IFERROR(VLOOKUP(November[[#This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IFERROR(VLOOKUP(November[[#This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IFERROR(VLOOKUP(November[[#This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IFERROR(VLOOKUP(November[[#This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IFERROR(VLOOKUP(November[[#This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IFERROR(VLOOKUP(November[[#This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IFERROR(VLOOKUP(November[[#This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IFERROR(VLOOKUP(November[[#This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IFERROR(VLOOKUP(November[[#This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IFERROR(VLOOKUP(November[[#This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IFERROR(VLOOKUP(November[[#This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IFERROR(VLOOKUP(November[[#This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IFERROR(VLOOKUP(November[[#This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IFERROR(VLOOKUP(November[[#This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IFERROR(VLOOKUP(November[[#This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IFERROR(VLOOKUP(November[[#This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IFERROR(VLOOKUP(November[[#This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IFERROR(VLOOKUP(November[[#This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IFERROR(VLOOKUP(November[[#This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IFERROR(VLOOKUP(November[[#This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IFERROR(VLOOKUP(November[[#This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IFERROR(VLOOKUP(November[[#This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IFERROR(VLOOKUP(November[[#This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IFERROR(VLOOKUP(November[[#This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IFERROR(VLOOKUP(November[[#This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IFERROR(VLOOKUP(November[[#This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IFERROR(VLOOKUP(November[[#This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IFERROR(VLOOKUP(November[[#This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IFERROR(VLOOKUP(November[[#This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IFERROR(VLOOKUP(November[[#This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IFERROR(VLOOKUP(November[[#This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IFERROR(VLOOKUP(November[[#This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IFERROR(VLOOKUP(November[[#This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IFERROR(VLOOKUP(November[[#This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IFERROR(VLOOKUP(November[[#This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IFERROR(VLOOKUP(November[[#This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IFERROR(VLOOKUP(November[[#This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IFERROR(VLOOKUP(November[[#This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IFERROR(VLOOKUP(November[[#This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IFERROR(VLOOKUP(November[[#This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IFERROR(VLOOKUP(November[[#This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IFERROR(VLOOKUP(November[[#This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IFERROR(VLOOKUP(November[[#This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IFERROR(VLOOKUP(November[[#This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IFERROR(VLOOKUP(November[[#This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IFERROR(VLOOKUP(November[[#This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IFERROR(VLOOKUP(November[[#This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IFERROR(VLOOKUP(November[[#This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IFERROR(VLOOKUP(November[[#This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IFERROR(VLOOKUP(November[[#This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IFERROR(VLOOKUP(November[[#This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IFERROR(VLOOKUP(November[[#This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IFERROR(VLOOKUP(November[[#This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IFERROR(VLOOKUP(November[[#This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IFERROR(VLOOKUP(November[[#This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IFERROR(VLOOKUP(November[[#This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IFERROR(VLOOKUP(November[[#This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IFERROR(VLOOKUP(November[[#This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IFERROR(VLOOKUP(November[[#This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IFERROR(VLOOKUP(November[[#This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IFERROR(VLOOKUP(November[[#This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IFERROR(VLOOKUP(November[[#This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IFERROR(VLOOKUP(November[[#This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IFERROR(VLOOKUP(November[[#This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IFERROR(VLOOKUP(November[[#This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IFERROR(VLOOKUP(November[[#This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IFERROR(VLOOKUP(November[[#This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IFERROR(VLOOKUP(November[[#This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IFERROR(VLOOKUP(November[[#This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IFERROR(VLOOKUP(November[[#This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IFERROR(VLOOKUP(November[[#This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IFERROR(VLOOKUP(November[[#This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IFERROR(VLOOKUP(November[[#This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IFERROR(VLOOKUP(November[[#This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IFERROR(VLOOKUP(November[[#This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IFERROR(VLOOKUP(November[[#This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IFERROR(VLOOKUP(November[[#This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IFERROR(VLOOKUP(November[[#This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IFERROR(VLOOKUP(November[[#This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IFERROR(VLOOKUP(November[[#This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IFERROR(VLOOKUP(November[[#This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IFERROR(VLOOKUP(November[[#This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IFERROR(VLOOKUP(November[[#This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IFERROR(VLOOKUP(November[[#This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IFERROR(VLOOKUP(November[[#This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IFERROR(VLOOKUP(November[[#This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IFERROR(VLOOKUP(November[[#This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IFERROR(VLOOKUP(November[[#This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IFERROR(VLOOKUP(November[[#This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IFERROR(VLOOKUP(November[[#This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IFERROR(VLOOKUP(November[[#This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IFERROR(VLOOKUP(November[[#This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IFERROR(VLOOKUP(November[[#This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IFERROR(VLOOKUP(November[[#This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IFERROR(VLOOKUP(November[[#This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IFERROR(VLOOKUP(November[[#This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IFERROR(VLOOKUP(November[[#This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IFERROR(VLOOKUP(November[[#This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IFERROR(VLOOKUP(November[[#This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IFERROR(VLOOKUP(November[[#This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IFERROR(VLOOKUP(November[[#This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IFERROR(VLOOKUP(November[[#This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IFERROR(VLOOKUP(November[[#This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IFERROR(VLOOKUP(November[[#This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IFERROR(VLOOKUP(November[[#This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IFERROR(VLOOKUP(November[[#This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IFERROR(VLOOKUP(November[[#This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IFERROR(VLOOKUP(November[[#This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IFERROR(VLOOKUP(November[[#This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IFERROR(VLOOKUP(November[[#This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IFERROR(VLOOKUP(November[[#This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IFERROR(VLOOKUP(November[[#This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IFERROR(VLOOKUP(November[[#This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IFERROR(VLOOKUP(November[[#This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IFERROR(VLOOKUP(November[[#This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IFERROR(VLOOKUP(November[[#This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IFERROR(VLOOKUP(November[[#This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IFERROR(VLOOKUP(November[[#This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IFERROR(VLOOKUP(November[[#This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IFERROR(VLOOKUP(November[[#This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IFERROR(VLOOKUP(November[[#This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IFERROR(VLOOKUP(November[[#This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IFERROR(VLOOKUP(November[[#This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IFERROR(VLOOKUP(November[[#This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IFERROR(VLOOKUP(November[[#This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IFERROR(VLOOKUP(November[[#This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IFERROR(VLOOKUP(November[[#This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IFERROR(VLOOKUP(November[[#This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IFERROR(VLOOKUP(November[[#This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IFERROR(VLOOKUP(November[[#This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IFERROR(VLOOKUP(November[[#This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IFERROR(VLOOKUP(November[[#This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IFERROR(VLOOKUP(November[[#This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IFERROR(VLOOKUP(November[[#This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IFERROR(VLOOKUP(November[[#This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IFERROR(VLOOKUP(November[[#This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IFERROR(VLOOKUP(November[[#This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IFERROR(VLOOKUP(November[[#This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IFERROR(VLOOKUP(November[[#This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IFERROR(VLOOKUP(November[[#This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IFERROR(VLOOKUP(November[[#This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IFERROR(VLOOKUP(November[[#This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IFERROR(VLOOKUP(November[[#This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IFERROR(VLOOKUP(November[[#This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IFERROR(VLOOKUP(November[[#This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IFERROR(VLOOKUP(November[[#This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IFERROR(VLOOKUP(November[[#This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IFERROR(VLOOKUP(November[[#This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IFERROR(VLOOKUP(November[[#This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IFERROR(VLOOKUP(November[[#This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IFERROR(VLOOKUP(November[[#This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IFERROR(VLOOKUP(November[[#This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IFERROR(VLOOKUP(November[[#This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IFERROR(VLOOKUP(November[[#This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IFERROR(VLOOKUP(November[[#This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IFERROR(VLOOKUP(November[[#This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IFERROR(VLOOKUP(November[[#This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IFERROR(VLOOKUP(November[[#This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IFERROR(VLOOKUP(November[[#This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IFERROR(VLOOKUP(November[[#This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IFERROR(VLOOKUP(November[[#This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IFERROR(VLOOKUP(November[[#This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IFERROR(VLOOKUP(November[[#This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IFERROR(VLOOKUP(November[[#This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IFERROR(VLOOKUP(November[[#This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IFERROR(VLOOKUP(November[[#This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IFERROR(VLOOKUP(November[[#This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IFERROR(VLOOKUP(November[[#This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IFERROR(VLOOKUP(November[[#This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IFERROR(VLOOKUP(November[[#This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IFERROR(VLOOKUP(November[[#This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IFERROR(VLOOKUP(November[[#This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IFERROR(VLOOKUP(November[[#This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IFERROR(VLOOKUP(November[[#This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IFERROR(VLOOKUP(November[[#This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IFERROR(VLOOKUP(November[[#This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IFERROR(VLOOKUP(November[[#This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IFERROR(VLOOKUP(November[[#This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IFERROR(VLOOKUP(November[[#This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IFERROR(VLOOKUP(November[[#This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IFERROR(VLOOKUP(November[[#This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IFERROR(VLOOKUP(November[[#This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IFERROR(VLOOKUP(November[[#This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IFERROR(VLOOKUP(November[[#This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IFERROR(VLOOKUP(November[[#This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IFERROR(VLOOKUP(November[[#This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IFERROR(VLOOKUP(November[[#This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IFERROR(VLOOKUP(November[[#This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IFERROR(VLOOKUP(November[[#This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IFERROR(VLOOKUP(November[[#This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IFERROR(VLOOKUP(November[[#This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IFERROR(VLOOKUP(November[[#This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IFERROR(VLOOKUP(November[[#This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IFERROR(VLOOKUP(November[[#This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IFERROR(VLOOKUP(November[[#This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IFERROR(VLOOKUP(November[[#This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IFERROR(VLOOKUP(November[[#This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IFERROR(VLOOKUP(November[[#This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IFERROR(VLOOKUP(November[[#This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IFERROR(VLOOKUP(November[[#This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IFERROR(VLOOKUP(November[[#This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IFERROR(VLOOKUP(November[[#This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IFERROR(VLOOKUP(November[[#This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IFERROR(VLOOKUP(November[[#This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IFERROR(VLOOKUP(November[[#This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IFERROR(VLOOKUP(November[[#This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IFERROR(VLOOKUP(November[[#This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IFERROR(VLOOKUP(November[[#This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IFERROR(VLOOKUP(November[[#This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IFERROR(VLOOKUP(November[[#This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IFERROR(VLOOKUP(November[[#This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IFERROR(VLOOKUP(November[[#This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IFERROR(VLOOKUP(November[[#This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IFERROR(VLOOKUP(November[[#This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IFERROR(VLOOKUP(November[[#This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IFERROR(VLOOKUP(November[[#This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IFERROR(VLOOKUP(November[[#This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IFERROR(VLOOKUP(November[[#This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IFERROR(VLOOKUP(November[[#This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IFERROR(VLOOKUP(November[[#This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IFERROR(VLOOKUP(November[[#This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IFERROR(VLOOKUP(November[[#This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IFERROR(VLOOKUP(November[[#This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IFERROR(VLOOKUP(November[[#This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IFERROR(VLOOKUP(November[[#This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IFERROR(VLOOKUP(November[[#This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IFERROR(VLOOKUP(November[[#This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IFERROR(VLOOKUP(November[[#This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IFERROR(VLOOKUP(November[[#This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IFERROR(VLOOKUP(November[[#This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IFERROR(VLOOKUP(November[[#This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IFERROR(VLOOKUP(November[[#This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IFERROR(VLOOKUP(November[[#This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IFERROR(VLOOKUP(November[[#This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IFERROR(VLOOKUP(November[[#This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IFERROR(VLOOKUP(November[[#This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IFERROR(VLOOKUP(November[[#This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IFERROR(VLOOKUP(November[[#This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IFERROR(VLOOKUP(November[[#This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IFERROR(VLOOKUP(November[[#This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IFERROR(VLOOKUP(November[[#This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IFERROR(VLOOKUP(November[[#This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IFERROR(VLOOKUP(November[[#This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IFERROR(VLOOKUP(November[[#This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IFERROR(VLOOKUP(November[[#This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IFERROR(VLOOKUP(November[[#This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IFERROR(VLOOKUP(November[[#This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IFERROR(VLOOKUP(November[[#This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IFERROR(VLOOKUP(November[[#This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IFERROR(VLOOKUP(November[[#This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IFERROR(VLOOKUP(November[[#This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IFERROR(VLOOKUP(November[[#This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IFERROR(VLOOKUP(November[[#This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IFERROR(VLOOKUP(November[[#This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IFERROR(VLOOKUP(November[[#This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IFERROR(VLOOKUP(November[[#This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IFERROR(VLOOKUP(November[[#This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IFERROR(VLOOKUP(November[[#This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IFERROR(VLOOKUP(November[[#This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IFERROR(VLOOKUP(November[[#This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IFERROR(VLOOKUP(November[[#This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IFERROR(VLOOKUP(November[[#This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IFERROR(VLOOKUP(November[[#This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IFERROR(VLOOKUP(November[[#This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IFERROR(VLOOKUP(November[[#This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IFERROR(VLOOKUP(November[[#This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IFERROR(VLOOKUP(November[[#This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IFERROR(VLOOKUP(November[[#This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IFERROR(VLOOKUP(November[[#This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IFERROR(VLOOKUP(November[[#This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IFERROR(VLOOKUP(November[[#This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IFERROR(VLOOKUP(November[[#This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IFERROR(VLOOKUP(November[[#This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IFERROR(VLOOKUP(November[[#This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IFERROR(VLOOKUP(November[[#This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IFERROR(VLOOKUP(November[[#This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IFERROR(VLOOKUP(November[[#This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IFERROR(VLOOKUP(November[[#This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IFERROR(VLOOKUP(November[[#This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IFERROR(VLOOKUP(November[[#This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IFERROR(VLOOKUP(November[[#This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IFERROR(VLOOKUP(November[[#This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IFERROR(VLOOKUP(November[[#This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IFERROR(VLOOKUP(November[[#This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IFERROR(VLOOKUP(November[[#This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IFERROR(VLOOKUP(November[[#This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IFERROR(VLOOKUP(November[[#This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IFERROR(VLOOKUP(November[[#This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IFERROR(VLOOKUP(November[[#This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IFERROR(VLOOKUP(November[[#This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IFERROR(VLOOKUP(November[[#This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IFERROR(VLOOKUP(November[[#This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IFERROR(VLOOKUP(November[[#This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IFERROR(VLOOKUP(November[[#This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IFERROR(VLOOKUP(November[[#This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IFERROR(VLOOKUP(November[[#This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IFERROR(VLOOKUP(November[[#This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IFERROR(VLOOKUP(November[[#This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IFERROR(VLOOKUP(November[[#This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IFERROR(VLOOKUP(November[[#This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IFERROR(VLOOKUP(November[[#This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IFERROR(VLOOKUP(November[[#This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IFERROR(VLOOKUP(November[[#This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IFERROR(VLOOKUP(November[[#This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IFERROR(VLOOKUP(November[[#This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IFERROR(VLOOKUP(November[[#This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IFERROR(VLOOKUP(November[[#This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IFERROR(VLOOKUP(November[[#This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IFERROR(VLOOKUP(November[[#This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IFERROR(VLOOKUP(November[[#This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IFERROR(VLOOKUP(November[[#This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IFERROR(VLOOKUP(November[[#This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IFERROR(VLOOKUP(November[[#This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IFERROR(VLOOKUP(November[[#This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IFERROR(VLOOKUP(November[[#This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IFERROR(VLOOKUP(November[[#This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IFERROR(VLOOKUP(November[[#This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IFERROR(VLOOKUP(November[[#This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IFERROR(VLOOKUP(November[[#This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IFERROR(VLOOKUP(November[[#This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IFERROR(VLOOKUP(November[[#This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IFERROR(VLOOKUP(November[[#This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IFERROR(VLOOKUP(November[[#This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IFERROR(VLOOKUP(November[[#This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IFERROR(VLOOKUP(November[[#This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IFERROR(VLOOKUP(November[[#This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IFERROR(VLOOKUP(November[[#This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IFERROR(VLOOKUP(November[[#This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IFERROR(VLOOKUP(November[[#This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IFERROR(VLOOKUP(November[[#This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IFERROR(VLOOKUP(November[[#This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IFERROR(VLOOKUP(November[[#This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IFERROR(VLOOKUP(November[[#This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IFERROR(VLOOKUP(November[[#This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IFERROR(VLOOKUP(November[[#This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IFERROR(VLOOKUP(November[[#This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IFERROR(VLOOKUP(November[[#This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IFERROR(VLOOKUP(November[[#This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IFERROR(VLOOKUP(November[[#This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IFERROR(VLOOKUP(November[[#This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IFERROR(VLOOKUP(November[[#This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IFERROR(VLOOKUP(November[[#This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IFERROR(VLOOKUP(November[[#This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IFERROR(VLOOKUP(November[[#This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IFERROR(VLOOKUP(November[[#This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IFERROR(VLOOKUP(November[[#This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IFERROR(VLOOKUP(November[[#This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IFERROR(VLOOKUP(November[[#This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IFERROR(VLOOKUP(November[[#This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IFERROR(VLOOKUP(November[[#This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IFERROR(VLOOKUP(November[[#This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IFERROR(VLOOKUP(November[[#This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IFERROR(VLOOKUP(November[[#This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IFERROR(VLOOKUP(November[[#This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IFERROR(VLOOKUP(November[[#This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IFERROR(VLOOKUP(November[[#This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IFERROR(VLOOKUP(November[[#This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IFERROR(VLOOKUP(November[[#This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IFERROR(VLOOKUP(November[[#This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IFERROR(VLOOKUP(November[[#This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IFERROR(VLOOKUP(November[[#This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IFERROR(VLOOKUP(November[[#This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IFERROR(VLOOKUP(November[[#This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IFERROR(VLOOKUP(November[[#This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IFERROR(VLOOKUP(November[[#This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IFERROR(VLOOKUP(November[[#This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IFERROR(VLOOKUP(November[[#This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IFERROR(VLOOKUP(November[[#This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IFERROR(VLOOKUP(November[[#This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IFERROR(VLOOKUP(November[[#This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IFERROR(VLOOKUP(November[[#This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IFERROR(VLOOKUP(November[[#This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IFERROR(VLOOKUP(November[[#This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IFERROR(VLOOKUP(November[[#This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IFERROR(VLOOKUP(November[[#This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IFERROR(VLOOKUP(November[[#This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IFERROR(VLOOKUP(November[[#This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IFERROR(VLOOKUP(November[[#This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IFERROR(VLOOKUP(November[[#This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IFERROR(VLOOKUP(November[[#This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IFERROR(VLOOKUP(November[[#This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IFERROR(VLOOKUP(November[[#This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IFERROR(VLOOKUP(November[[#This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IFERROR(VLOOKUP(November[[#This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IFERROR(VLOOKUP(November[[#This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IFERROR(VLOOKUP(November[[#This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IFERROR(VLOOKUP(November[[#This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IFERROR(VLOOKUP(November[[#This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IFERROR(VLOOKUP(November[[#This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IFERROR(VLOOKUP(November[[#This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IFERROR(VLOOKUP(November[[#This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IFERROR(VLOOKUP(November[[#This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IFERROR(VLOOKUP(November[[#This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IFERROR(VLOOKUP(November[[#This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IFERROR(VLOOKUP(November[[#This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IFERROR(VLOOKUP(November[[#This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IFERROR(VLOOKUP(November[[#This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IFERROR(VLOOKUP(November[[#This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IFERROR(VLOOKUP(November[[#This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IFERROR(VLOOKUP(November[[#This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IFERROR(VLOOKUP(November[[#This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IFERROR(VLOOKUP(November[[#This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IFERROR(VLOOKUP(November[[#This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IFERROR(VLOOKUP(November[[#This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IFERROR(VLOOKUP(November[[#This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IFERROR(VLOOKUP(November[[#This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IFERROR(VLOOKUP(November[[#This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IFERROR(VLOOKUP(November[[#This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IFERROR(VLOOKUP(November[[#This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IFERROR(VLOOKUP(November[[#This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IFERROR(VLOOKUP(November[[#This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IFERROR(VLOOKUP(November[[#This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IFERROR(VLOOKUP(November[[#This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IFERROR(VLOOKUP(November[[#This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IFERROR(VLOOKUP(November[[#This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IFERROR(VLOOKUP(November[[#This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IFERROR(VLOOKUP(November[[#This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IFERROR(VLOOKUP(November[[#This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IFERROR(VLOOKUP(November[[#This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IFERROR(VLOOKUP(November[[#This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IFERROR(VLOOKUP(November[[#This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IFERROR(VLOOKUP(November[[#This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IFERROR(VLOOKUP(November[[#This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IFERROR(VLOOKUP(November[[#This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IFERROR(VLOOKUP(November[[#This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IFERROR(VLOOKUP(November[[#This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IFERROR(VLOOKUP(November[[#This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IFERROR(VLOOKUP(November[[#This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IFERROR(VLOOKUP(November[[#This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IFERROR(VLOOKUP(November[[#This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IFERROR(VLOOKUP(November[[#This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IFERROR(VLOOKUP(November[[#This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IFERROR(VLOOKUP(November[[#This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IFERROR(VLOOKUP(November[[#This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IFERROR(VLOOKUP(November[[#This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IFERROR(VLOOKUP(November[[#This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IFERROR(VLOOKUP(November[[#This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IFERROR(VLOOKUP(November[[#This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IFERROR(VLOOKUP(November[[#This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IFERROR(VLOOKUP(November[[#This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IFERROR(VLOOKUP(November[[#This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IFERROR(VLOOKUP(November[[#This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IFERROR(VLOOKUP(November[[#This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IFERROR(VLOOKUP(November[[#This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IFERROR(VLOOKUP(November[[#This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IFERROR(VLOOKUP(November[[#This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IFERROR(VLOOKUP(November[[#This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IFERROR(VLOOKUP(November[[#This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IFERROR(VLOOKUP(November[[#This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IFERROR(VLOOKUP(November[[#This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IFERROR(VLOOKUP(November[[#This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IFERROR(VLOOKUP(November[[#This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IFERROR(VLOOKUP(November[[#This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IFERROR(VLOOKUP(November[[#This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IFERROR(VLOOKUP(November[[#This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IFERROR(VLOOKUP(November[[#This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IFERROR(VLOOKUP(November[[#This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IFERROR(VLOOKUP(November[[#This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IFERROR(VLOOKUP(November[[#This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IFERROR(VLOOKUP(November[[#This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IFERROR(VLOOKUP(November[[#This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IFERROR(VLOOKUP(November[[#This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IFERROR(VLOOKUP(November[[#This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IFERROR(VLOOKUP(November[[#This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IFERROR(VLOOKUP(November[[#This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IFERROR(VLOOKUP(November[[#This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IFERROR(VLOOKUP(November[[#This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IFERROR(VLOOKUP(November[[#This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IFERROR(VLOOKUP(November[[#This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IFERROR(VLOOKUP(November[[#This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IFERROR(VLOOKUP(November[[#This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IFERROR(VLOOKUP(November[[#This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IFERROR(VLOOKUP(November[[#This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IFERROR(VLOOKUP(November[[#This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IFERROR(VLOOKUP(November[[#This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IFERROR(VLOOKUP(November[[#This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IFERROR(VLOOKUP(November[[#This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IFERROR(VLOOKUP(November[[#This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IFERROR(VLOOKUP(November[[#This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IFERROR(VLOOKUP(November[[#This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IFERROR(VLOOKUP(November[[#This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IFERROR(VLOOKUP(November[[#This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IFERROR(VLOOKUP(November[[#This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IFERROR(VLOOKUP(November[[#This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IFERROR(VLOOKUP(November[[#This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IFERROR(VLOOKUP(November[[#This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IFERROR(VLOOKUP(November[[#This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IFERROR(VLOOKUP(November[[#This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IFERROR(VLOOKUP(November[[#This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IFERROR(VLOOKUP(November[[#This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IFERROR(VLOOKUP(November[[#This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IFERROR(VLOOKUP(November[[#This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IFERROR(VLOOKUP(November[[#This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IFERROR(VLOOKUP(November[[#This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IFERROR(VLOOKUP(November[[#This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IFERROR(VLOOKUP(November[[#This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IFERROR(VLOOKUP(November[[#This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IFERROR(VLOOKUP(November[[#This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IFERROR(VLOOKUP(November[[#This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IFERROR(VLOOKUP(November[[#This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IFERROR(VLOOKUP(November[[#This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IFERROR(VLOOKUP(November[[#This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IFERROR(VLOOKUP(November[[#This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IFERROR(VLOOKUP(November[[#This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IFERROR(VLOOKUP(November[[#This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IFERROR(VLOOKUP(November[[#This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IFERROR(VLOOKUP(November[[#This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IFERROR(VLOOKUP(November[[#This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IFERROR(VLOOKUP(November[[#This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IFERROR(VLOOKUP(November[[#This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IFERROR(VLOOKUP(November[[#This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IFERROR(VLOOKUP(November[[#This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IFERROR(VLOOKUP(November[[#This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IFERROR(VLOOKUP(November[[#This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IFERROR(VLOOKUP(November[[#This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IFERROR(VLOOKUP(November[[#This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IFERROR(VLOOKUP(November[[#This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IFERROR(VLOOKUP(November[[#This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IFERROR(VLOOKUP(November[[#This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IFERROR(VLOOKUP(November[[#This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IFERROR(VLOOKUP(November[[#This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IFERROR(VLOOKUP(November[[#This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IFERROR(VLOOKUP(November[[#This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IFERROR(VLOOKUP(November[[#This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IFERROR(VLOOKUP(November[[#This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IFERROR(VLOOKUP(November[[#This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IFERROR(VLOOKUP(November[[#This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IFERROR(VLOOKUP(November[[#This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IFERROR(VLOOKUP(November[[#This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IFERROR(VLOOKUP(November[[#This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IFERROR(VLOOKUP(November[[#This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IFERROR(VLOOKUP(November[[#This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IFERROR(VLOOKUP(November[[#This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IFERROR(VLOOKUP(November[[#This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IFERROR(VLOOKUP(November[[#This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IFERROR(VLOOKUP(November[[#This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IFERROR(VLOOKUP(November[[#This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IFERROR(VLOOKUP(November[[#This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IFERROR(VLOOKUP(November[[#This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IFERROR(VLOOKUP(November[[#This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IFERROR(VLOOKUP(November[[#This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IFERROR(VLOOKUP(November[[#This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IFERROR(VLOOKUP(November[[#This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IFERROR(VLOOKUP(November[[#This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IFERROR(VLOOKUP(November[[#This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IFERROR(VLOOKUP(November[[#This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IFERROR(VLOOKUP(November[[#This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IFERROR(VLOOKUP(November[[#This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IFERROR(VLOOKUP(November[[#This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IFERROR(VLOOKUP(November[[#This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IFERROR(VLOOKUP(November[[#This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IFERROR(VLOOKUP(November[[#This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IFERROR(VLOOKUP(November[[#This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IFERROR(VLOOKUP(November[[#This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IFERROR(VLOOKUP(November[[#This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IFERROR(VLOOKUP(November[[#This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IFERROR(VLOOKUP(November[[#This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IFERROR(VLOOKUP(November[[#This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IFERROR(VLOOKUP(November[[#This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IFERROR(VLOOKUP(November[[#This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IFERROR(VLOOKUP(November[[#This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IFERROR(VLOOKUP(November[[#This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IFERROR(VLOOKUP(November[[#This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IFERROR(VLOOKUP(November[[#This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IFERROR(VLOOKUP(November[[#This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IFERROR(VLOOKUP(November[[#This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IFERROR(VLOOKUP(November[[#This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IFERROR(VLOOKUP(November[[#This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IFERROR(VLOOKUP(November[[#This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IFERROR(VLOOKUP(November[[#This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IFERROR(VLOOKUP(November[[#This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IFERROR(VLOOKUP(November[[#This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IFERROR(VLOOKUP(November[[#This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IFERROR(VLOOKUP(November[[#This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IFERROR(VLOOKUP(November[[#This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IFERROR(VLOOKUP(November[[#This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IFERROR(VLOOKUP(November[[#This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IFERROR(VLOOKUP(November[[#This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IFERROR(VLOOKUP(November[[#This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IFERROR(VLOOKUP(November[[#This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IFERROR(VLOOKUP(November[[#This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IFERROR(VLOOKUP(November[[#This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IFERROR(VLOOKUP(November[[#This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IFERROR(VLOOKUP(November[[#This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IFERROR(VLOOKUP(November[[#This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IFERROR(VLOOKUP(November[[#This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IFERROR(VLOOKUP(November[[#This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IFERROR(VLOOKUP(November[[#This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IFERROR(VLOOKUP(November[[#This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IFERROR(VLOOKUP(November[[#This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IFERROR(VLOOKUP(November[[#This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IFERROR(VLOOKUP(November[[#This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IFERROR(VLOOKUP(November[[#This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IFERROR(VLOOKUP(November[[#This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IFERROR(VLOOKUP(November[[#This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IFERROR(VLOOKUP(November[[#This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IFERROR(VLOOKUP(November[[#This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IFERROR(VLOOKUP(November[[#This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IFERROR(VLOOKUP(November[[#This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IFERROR(VLOOKUP(November[[#This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IFERROR(VLOOKUP(November[[#This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IFERROR(VLOOKUP(November[[#This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IFERROR(VLOOKUP(November[[#This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IFERROR(VLOOKUP(November[[#This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IFERROR(VLOOKUP(November[[#This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IFERROR(VLOOKUP(November[[#This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IFERROR(VLOOKUP(November[[#This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IFERROR(VLOOKUP(November[[#This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IFERROR(VLOOKUP(November[[#This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IFERROR(VLOOKUP(November[[#This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IFERROR(VLOOKUP(November[[#This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IFERROR(VLOOKUP(November[[#This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IFERROR(VLOOKUP(November[[#This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IFERROR(VLOOKUP(November[[#This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IFERROR(VLOOKUP(November[[#This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IFERROR(VLOOKUP(November[[#This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IFERROR(VLOOKUP(November[[#This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IFERROR(VLOOKUP(November[[#This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IFERROR(VLOOKUP(November[[#This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IFERROR(VLOOKUP(November[[#This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IFERROR(VLOOKUP(November[[#This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IFERROR(VLOOKUP(November[[#This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IFERROR(VLOOKUP(November[[#This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IFERROR(VLOOKUP(November[[#This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IFERROR(VLOOKUP(November[[#This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IFERROR(VLOOKUP(November[[#This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IFERROR(VLOOKUP(November[[#This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IFERROR(VLOOKUP(November[[#This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IFERROR(VLOOKUP(November[[#This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IFERROR(VLOOKUP(November[[#This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IFERROR(VLOOKUP(November[[#This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IFERROR(VLOOKUP(November[[#This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IFERROR(VLOOKUP(November[[#This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IFERROR(VLOOKUP(November[[#This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IFERROR(VLOOKUP(November[[#This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IFERROR(VLOOKUP(November[[#This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IFERROR(VLOOKUP(November[[#This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IFERROR(VLOOKUP(November[[#This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IFERROR(VLOOKUP(November[[#This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IFERROR(VLOOKUP(November[[#This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IFERROR(VLOOKUP(November[[#This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IFERROR(VLOOKUP(November[[#This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IFERROR(VLOOKUP(November[[#This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IFERROR(VLOOKUP(November[[#This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IFERROR(VLOOKUP(November[[#This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IFERROR(VLOOKUP(November[[#This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IFERROR(VLOOKUP(November[[#This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IFERROR(VLOOKUP(November[[#This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IFERROR(VLOOKUP(November[[#This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IFERROR(VLOOKUP(November[[#This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IFERROR(VLOOKUP(November[[#This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IFERROR(VLOOKUP(November[[#This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IFERROR(VLOOKUP(November[[#This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IFERROR(VLOOKUP(November[[#This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IFERROR(VLOOKUP(November[[#This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IFERROR(VLOOKUP(November[[#This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IFERROR(VLOOKUP(November[[#This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IFERROR(VLOOKUP(November[[#This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IFERROR(VLOOKUP(November[[#This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IFERROR(VLOOKUP(November[[#This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IFERROR(VLOOKUP(November[[#This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IFERROR(VLOOKUP(November[[#This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IFERROR(VLOOKUP(November[[#This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IFERROR(VLOOKUP(November[[#This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IFERROR(VLOOKUP(November[[#This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IFERROR(VLOOKUP(November[[#This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IFERROR(VLOOKUP(November[[#This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IFERROR(VLOOKUP(November[[#This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IFERROR(VLOOKUP(November[[#This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IFERROR(VLOOKUP(November[[#This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IFERROR(VLOOKUP(November[[#This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IFERROR(VLOOKUP(November[[#This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IFERROR(VLOOKUP(November[[#This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IFERROR(VLOOKUP(November[[#This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IFERROR(VLOOKUP(November[[#This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IFERROR(VLOOKUP(November[[#This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IFERROR(VLOOKUP(November[[#This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IFERROR(VLOOKUP(November[[#This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IFERROR(VLOOKUP(November[[#This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IFERROR(VLOOKUP(November[[#This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IFERROR(VLOOKUP(November[[#This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IFERROR(VLOOKUP(November[[#This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IFERROR(VLOOKUP(November[[#This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IFERROR(VLOOKUP(November[[#This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IFERROR(VLOOKUP(November[[#This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IFERROR(VLOOKUP(November[[#This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IFERROR(VLOOKUP(November[[#This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IFERROR(VLOOKUP(November[[#This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IFERROR(VLOOKUP(November[[#This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IFERROR(VLOOKUP(November[[#This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IFERROR(VLOOKUP(November[[#This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IFERROR(VLOOKUP(November[[#This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IFERROR(VLOOKUP(November[[#This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IFERROR(VLOOKUP(November[[#This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IFERROR(VLOOKUP(November[[#This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IFERROR(VLOOKUP(November[[#This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IFERROR(VLOOKUP(November[[#This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IFERROR(VLOOKUP(November[[#This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IFERROR(VLOOKUP(November[[#This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IFERROR(VLOOKUP(November[[#This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IFERROR(VLOOKUP(November[[#This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IFERROR(VLOOKUP(November[[#This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IFERROR(VLOOKUP(November[[#This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IFERROR(VLOOKUP(November[[#This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IFERROR(VLOOKUP(November[[#This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IFERROR(VLOOKUP(November[[#This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IFERROR(VLOOKUP(November[[#This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IFERROR(VLOOKUP(November[[#This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IFERROR(VLOOKUP(November[[#This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IFERROR(VLOOKUP(November[[#This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IFERROR(VLOOKUP(November[[#This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IFERROR(VLOOKUP(November[[#This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IFERROR(VLOOKUP(November[[#This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IFERROR(VLOOKUP(November[[#This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IFERROR(VLOOKUP(November[[#This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IFERROR(VLOOKUP(November[[#This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IFERROR(VLOOKUP(November[[#This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IFERROR(VLOOKUP(November[[#This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IFERROR(VLOOKUP(November[[#This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IFERROR(VLOOKUP(November[[#This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IFERROR(VLOOKUP(November[[#This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IFERROR(VLOOKUP(November[[#This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IFERROR(VLOOKUP(November[[#This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IFERROR(VLOOKUP(November[[#This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IFERROR(VLOOKUP(November[[#This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IFERROR(VLOOKUP(November[[#This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IFERROR(VLOOKUP(November[[#This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IFERROR(VLOOKUP(November[[#This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IFERROR(VLOOKUP(November[[#This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IFERROR(VLOOKUP(November[[#This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IFERROR(VLOOKUP(November[[#This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IFERROR(VLOOKUP(November[[#This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IFERROR(VLOOKUP(November[[#This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IFERROR(VLOOKUP(November[[#This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IFERROR(VLOOKUP(November[[#This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IFERROR(VLOOKUP(November[[#This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IFERROR(VLOOKUP(November[[#This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IFERROR(VLOOKUP(November[[#This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IFERROR(VLOOKUP(November[[#This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IFERROR(VLOOKUP(November[[#This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IFERROR(VLOOKUP(November[[#This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IFERROR(VLOOKUP(November[[#This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IFERROR(VLOOKUP(November[[#This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IFERROR(VLOOKUP(November[[#This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IFERROR(VLOOKUP(November[[#This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IFERROR(VLOOKUP(November[[#This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IFERROR(VLOOKUP(November[[#This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IFERROR(VLOOKUP(November[[#This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IFERROR(VLOOKUP(November[[#This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IFERROR(VLOOKUP(November[[#This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IFERROR(VLOOKUP(November[[#This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IFERROR(VLOOKUP(November[[#This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IFERROR(VLOOKUP(November[[#This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IFERROR(VLOOKUP(November[[#This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IFERROR(VLOOKUP(November[[#This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IFERROR(VLOOKUP(November[[#This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IFERROR(VLOOKUP(November[[#This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IFERROR(VLOOKUP(November[[#This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IFERROR(VLOOKUP(November[[#This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IFERROR(VLOOKUP(November[[#This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IFERROR(VLOOKUP(November[[#This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IFERROR(VLOOKUP(November[[#This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IFERROR(VLOOKUP(November[[#This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IFERROR(VLOOKUP(November[[#This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IFERROR(VLOOKUP(November[[#This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IFERROR(VLOOKUP(November[[#This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IFERROR(VLOOKUP(November[[#This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IFERROR(VLOOKUP(November[[#This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IFERROR(VLOOKUP(November[[#This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IFERROR(VLOOKUP(November[[#This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IFERROR(VLOOKUP(November[[#This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IFERROR(VLOOKUP(November[[#This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IFERROR(VLOOKUP(November[[#This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IFERROR(VLOOKUP(November[[#This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IFERROR(VLOOKUP(November[[#This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IFERROR(VLOOKUP(November[[#This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IFERROR(VLOOKUP(November[[#This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IFERROR(VLOOKUP(November[[#This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IFERROR(VLOOKUP(November[[#This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IFERROR(VLOOKUP(November[[#This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IFERROR(VLOOKUP(November[[#This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IFERROR(VLOOKUP(November[[#This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IFERROR(VLOOKUP(November[[#This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IFERROR(VLOOKUP(November[[#This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IFERROR(VLOOKUP(November[[#This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IFERROR(VLOOKUP(November[[#This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IFERROR(VLOOKUP(November[[#This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IFERROR(VLOOKUP(November[[#This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IFERROR(VLOOKUP(November[[#This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IFERROR(VLOOKUP(November[[#This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IFERROR(VLOOKUP(November[[#This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IFERROR(VLOOKUP(November[[#This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IFERROR(VLOOKUP(November[[#This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IFERROR(VLOOKUP(November[[#This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IFERROR(VLOOKUP(November[[#This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IFERROR(VLOOKUP(November[[#This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IFERROR(VLOOKUP(November[[#This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IFERROR(VLOOKUP(November[[#This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IFERROR(VLOOKUP(November[[#This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IFERROR(VLOOKUP(November[[#This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IFERROR(VLOOKUP(November[[#This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IFERROR(VLOOKUP(November[[#This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IFERROR(VLOOKUP(November[[#This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IFERROR(VLOOKUP(November[[#This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IFERROR(VLOOKUP(November[[#This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IFERROR(VLOOKUP(November[[#This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IFERROR(VLOOKUP(November[[#This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IFERROR(VLOOKUP(November[[#This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IFERROR(VLOOKUP(November[[#This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IFERROR(VLOOKUP(November[[#This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IFERROR(VLOOKUP(November[[#This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IFERROR(VLOOKUP(November[[#This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IFERROR(VLOOKUP(November[[#This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IFERROR(VLOOKUP(November[[#This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IFERROR(VLOOKUP(November[[#This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IFERROR(VLOOKUP(November[[#This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IFERROR(VLOOKUP(November[[#This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IFERROR(VLOOKUP(November[[#This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IFERROR(VLOOKUP(November[[#This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IFERROR(VLOOKUP(November[[#This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IFERROR(VLOOKUP(November[[#This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IFERROR(VLOOKUP(November[[#This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IFERROR(VLOOKUP(November[[#This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IFERROR(VLOOKUP(November[[#This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IFERROR(VLOOKUP(November[[#This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IFERROR(VLOOKUP(November[[#This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IFERROR(VLOOKUP(November[[#This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IFERROR(VLOOKUP(November[[#This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IFERROR(VLOOKUP(November[[#This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IFERROR(VLOOKUP(November[[#This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IFERROR(VLOOKUP(November[[#This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IFERROR(VLOOKUP(November[[#This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IFERROR(VLOOKUP(November[[#This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IFERROR(VLOOKUP(November[[#This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IFERROR(VLOOKUP(November[[#This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IFERROR(VLOOKUP(November[[#This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IFERROR(VLOOKUP(November[[#This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IFERROR(VLOOKUP(November[[#This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IFERROR(VLOOKUP(November[[#This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IFERROR(VLOOKUP(November[[#This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IFERROR(VLOOKUP(November[[#This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IFERROR(VLOOKUP(November[[#This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IFERROR(VLOOKUP(November[[#This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IFERROR(VLOOKUP(November[[#This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IFERROR(VLOOKUP(November[[#This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IFERROR(VLOOKUP(November[[#This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IFERROR(VLOOKUP(November[[#This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IFERROR(VLOOKUP(November[[#This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IFERROR(VLOOKUP(November[[#This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IFERROR(VLOOKUP(November[[#This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IFERROR(VLOOKUP(November[[#This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IFERROR(VLOOKUP(November[[#This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IFERROR(VLOOKUP(November[[#This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IFERROR(VLOOKUP(November[[#This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IFERROR(VLOOKUP(November[[#This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IFERROR(VLOOKUP(November[[#This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IFERROR(VLOOKUP(November[[#This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IFERROR(VLOOKUP(November[[#This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IFERROR(VLOOKUP(November[[#This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IFERROR(VLOOKUP(November[[#This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IFERROR(VLOOKUP(November[[#This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IFERROR(VLOOKUP(November[[#This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IFERROR(VLOOKUP(November[[#This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IFERROR(VLOOKUP(November[[#This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IFERROR(VLOOKUP(November[[#This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IFERROR(VLOOKUP(November[[#This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IFERROR(VLOOKUP(November[[#This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IFERROR(VLOOKUP(November[[#This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IFERROR(VLOOKUP(November[[#This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IFERROR(VLOOKUP(November[[#This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IFERROR(VLOOKUP(November[[#This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IFERROR(VLOOKUP(November[[#This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IFERROR(VLOOKUP(November[[#This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IFERROR(VLOOKUP(November[[#This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IFERROR(VLOOKUP(November[[#This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IFERROR(VLOOKUP(November[[#This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IFERROR(VLOOKUP(November[[#This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IFERROR(VLOOKUP(November[[#This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IFERROR(VLOOKUP(November[[#This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IFERROR(VLOOKUP(November[[#This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IFERROR(VLOOKUP(November[[#This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IFERROR(VLOOKUP(November[[#This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IFERROR(VLOOKUP(November[[#This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IFERROR(VLOOKUP(November[[#This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IFERROR(VLOOKUP(November[[#This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IFERROR(VLOOKUP(November[[#This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IFERROR(VLOOKUP(November[[#This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IFERROR(VLOOKUP(November[[#This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IFERROR(VLOOKUP(November[[#This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IFERROR(VLOOKUP(November[[#This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IFERROR(VLOOKUP(November[[#This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IFERROR(VLOOKUP(November[[#This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IFERROR(VLOOKUP(November[[#This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IFERROR(VLOOKUP(November[[#This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IFERROR(VLOOKUP(November[[#This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IFERROR(VLOOKUP(November[[#This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IFERROR(VLOOKUP(November[[#This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IFERROR(VLOOKUP(November[[#This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IFERROR(VLOOKUP(November[[#This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IFERROR(VLOOKUP(November[[#This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IFERROR(VLOOKUP(November[[#This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IFERROR(VLOOKUP(November[[#This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IFERROR(VLOOKUP(November[[#This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IFERROR(VLOOKUP(November[[#This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IFERROR(VLOOKUP(November[[#This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IFERROR(VLOOKUP(November[[#This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IFERROR(VLOOKUP(November[[#This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IFERROR(VLOOKUP(November[[#This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IFERROR(VLOOKUP(November[[#This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IFERROR(VLOOKUP(November[[#This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IFERROR(VLOOKUP(November[[#This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IFERROR(VLOOKUP(November[[#This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IFERROR(VLOOKUP(November[[#This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IFERROR(VLOOKUP(November[[#This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IFERROR(VLOOKUP(November[[#This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IFERROR(VLOOKUP(November[[#This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IFERROR(VLOOKUP(November[[#This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IFERROR(VLOOKUP(November[[#This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IFERROR(VLOOKUP(November[[#This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IFERROR(VLOOKUP(November[[#This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IFERROR(VLOOKUP(November[[#This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IFERROR(VLOOKUP(November[[#This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IFERROR(VLOOKUP(November[[#This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IFERROR(VLOOKUP(November[[#This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IFERROR(VLOOKUP(November[[#This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IFERROR(VLOOKUP(November[[#This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IFERROR(VLOOKUP(November[[#This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IFERROR(VLOOKUP(November[[#This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IFERROR(VLOOKUP(November[[#This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IFERROR(VLOOKUP(November[[#This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IFERROR(VLOOKUP(November[[#This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IFERROR(VLOOKUP(November[[#This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IFERROR(VLOOKUP(November[[#This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IFERROR(VLOOKUP(November[[#This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IFERROR(VLOOKUP(November[[#This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IFERROR(VLOOKUP(November[[#This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IFERROR(VLOOKUP(November[[#This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IFERROR(VLOOKUP(November[[#This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IFERROR(VLOOKUP(November[[#This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IFERROR(VLOOKUP(November[[#This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IFERROR(VLOOKUP(November[[#This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IFERROR(VLOOKUP(November[[#This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IFERROR(VLOOKUP(November[[#This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IFERROR(VLOOKUP(November[[#This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IFERROR(VLOOKUP(November[[#This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IFERROR(VLOOKUP(November[[#This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IFERROR(VLOOKUP(November[[#This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IFERROR(VLOOKUP(November[[#This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IFERROR(VLOOKUP(November[[#This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IFERROR(VLOOKUP(November[[#This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IFERROR(VLOOKUP(November[[#This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IFERROR(VLOOKUP(November[[#This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IFERROR(VLOOKUP(November[[#This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IFERROR(VLOOKUP(November[[#This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IFERROR(VLOOKUP(November[[#This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IFERROR(VLOOKUP(November[[#This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IFERROR(VLOOKUP(November[[#This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IFERROR(VLOOKUP(November[[#This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IFERROR(VLOOKUP(November[[#This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IFERROR(VLOOKUP(November[[#This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IFERROR(VLOOKUP(November[[#This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IFERROR(VLOOKUP(November[[#This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IFERROR(VLOOKUP(November[[#This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IFERROR(VLOOKUP(November[[#This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IFERROR(VLOOKUP(November[[#This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IFERROR(VLOOKUP(November[[#This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IFERROR(VLOOKUP(November[[#This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IFERROR(VLOOKUP(November[[#This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IFERROR(VLOOKUP(November[[#This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IFERROR(VLOOKUP(November[[#This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IFERROR(VLOOKUP(November[[#This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IFERROR(VLOOKUP(November[[#This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IFERROR(VLOOKUP(November[[#This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IFERROR(VLOOKUP(November[[#This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IFERROR(VLOOKUP(November[[#This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IFERROR(VLOOKUP(November[[#This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IFERROR(VLOOKUP(November[[#This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IFERROR(VLOOKUP(November[[#This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IFERROR(VLOOKUP(November[[#This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IFERROR(VLOOKUP(November[[#This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IFERROR(VLOOKUP(November[[#This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IFERROR(VLOOKUP(November[[#This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IFERROR(VLOOKUP(November[[#This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IFERROR(VLOOKUP(November[[#This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IFERROR(VLOOKUP(November[[#This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IFERROR(VLOOKUP(November[[#This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IFERROR(VLOOKUP(November[[#This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IFERROR(VLOOKUP(November[[#This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IFERROR(VLOOKUP(November[[#This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IFERROR(VLOOKUP(November[[#This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IFERROR(VLOOKUP(November[[#This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IFERROR(VLOOKUP(November[[#This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IFERROR(VLOOKUP(November[[#This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IFERROR(VLOOKUP(November[[#This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IFERROR(VLOOKUP(November[[#This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IFERROR(VLOOKUP(November[[#This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IFERROR(VLOOKUP(November[[#This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IFERROR(VLOOKUP(November[[#This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IFERROR(VLOOKUP(November[[#This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IFERROR(VLOOKUP(November[[#This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IFERROR(VLOOKUP(November[[#This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IFERROR(VLOOKUP(November[[#This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IFERROR(VLOOKUP(November[[#This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IFERROR(VLOOKUP(November[[#This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IFERROR(VLOOKUP(November[[#This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IFERROR(VLOOKUP(November[[#This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IFERROR(VLOOKUP(November[[#This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IFERROR(VLOOKUP(November[[#This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IFERROR(VLOOKUP(November[[#This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IFERROR(VLOOKUP(November[[#This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IFERROR(VLOOKUP(November[[#This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IFERROR(VLOOKUP(November[[#This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IFERROR(VLOOKUP(November[[#This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IFERROR(VLOOKUP(November[[#This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IFERROR(VLOOKUP(November[[#This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IFERROR(VLOOKUP(November[[#This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IFERROR(VLOOKUP(November[[#This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IFERROR(VLOOKUP(November[[#This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IFERROR(VLOOKUP(November[[#This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IFERROR(VLOOKUP(November[[#This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IFERROR(VLOOKUP(November[[#This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IFERROR(VLOOKUP(November[[#This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IFERROR(VLOOKUP(November[[#This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IFERROR(VLOOKUP(November[[#This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IFERROR(VLOOKUP(November[[#This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IFERROR(VLOOKUP(November[[#This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IFERROR(VLOOKUP(November[[#This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IFERROR(VLOOKUP(November[[#This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IFERROR(VLOOKUP(November[[#This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IFERROR(VLOOKUP(November[[#This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IFERROR(VLOOKUP(November[[#This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IFERROR(VLOOKUP(November[[#This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IFERROR(VLOOKUP(November[[#This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IFERROR(VLOOKUP(November[[#This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IFERROR(VLOOKUP(November[[#This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IFERROR(VLOOKUP(November[[#This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IFERROR(VLOOKUP(November[[#This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IFERROR(VLOOKUP(November[[#This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IFERROR(VLOOKUP(November[[#This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IFERROR(VLOOKUP(November[[#This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IFERROR(VLOOKUP(November[[#This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IFERROR(VLOOKUP(November[[#This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IFERROR(VLOOKUP(November[[#This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IFERROR(VLOOKUP(November[[#This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IFERROR(VLOOKUP(November[[#This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IFERROR(VLOOKUP(November[[#This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IFERROR(VLOOKUP(November[[#This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IFERROR(VLOOKUP(November[[#This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IFERROR(VLOOKUP(November[[#This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IFERROR(VLOOKUP(November[[#This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IFERROR(VLOOKUP(November[[#This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IFERROR(VLOOKUP(November[[#This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IFERROR(VLOOKUP(November[[#This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IFERROR(VLOOKUP(November[[#This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IFERROR(VLOOKUP(November[[#This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IFERROR(VLOOKUP(November[[#This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IFERROR(VLOOKUP(November[[#This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IFERROR(VLOOKUP(November[[#This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IFERROR(VLOOKUP(November[[#This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IFERROR(VLOOKUP(November[[#This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IFERROR(VLOOKUP(November[[#This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IFERROR(VLOOKUP(November[[#This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IFERROR(VLOOKUP(November[[#This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IFERROR(VLOOKUP(November[[#This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IFERROR(VLOOKUP(November[[#This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IFERROR(VLOOKUP(November[[#This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IFERROR(VLOOKUP(November[[#This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IFERROR(VLOOKUP(November[[#This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IFERROR(VLOOKUP(November[[#This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IFERROR(VLOOKUP(November[[#This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IFERROR(VLOOKUP(November[[#This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IFERROR(VLOOKUP(November[[#This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IFERROR(VLOOKUP(November[[#This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IFERROR(VLOOKUP(November[[#This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IFERROR(VLOOKUP(November[[#This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IFERROR(VLOOKUP(November[[#This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IFERROR(VLOOKUP(November[[#This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IFERROR(VLOOKUP(November[[#This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IFERROR(VLOOKUP(November[[#This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IFERROR(VLOOKUP(November[[#This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IFERROR(VLOOKUP(November[[#This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IFERROR(VLOOKUP(November[[#This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IFERROR(VLOOKUP(November[[#This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IFERROR(VLOOKUP(November[[#This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IFERROR(VLOOKUP(November[[#This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IFERROR(VLOOKUP(November[[#This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IFERROR(VLOOKUP(November[[#This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IFERROR(VLOOKUP(November[[#This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IFERROR(VLOOKUP(November[[#This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IFERROR(VLOOKUP(November[[#This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IFERROR(VLOOKUP(November[[#This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IFERROR(VLOOKUP(November[[#This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IFERROR(VLOOKUP(November[[#This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IFERROR(VLOOKUP(November[[#This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IFERROR(VLOOKUP(November[[#This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IFERROR(VLOOKUP(November[[#This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IFERROR(VLOOKUP(November[[#This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IFERROR(VLOOKUP(November[[#This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IFERROR(VLOOKUP(November[[#This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IFERROR(VLOOKUP(November[[#This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IFERROR(VLOOKUP(November[[#This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IFERROR(VLOOKUP(November[[#This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IFERROR(VLOOKUP(November[[#This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IFERROR(VLOOKUP(November[[#This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IFERROR(VLOOKUP(November[[#This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IFERROR(VLOOKUP(November[[#This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IFERROR(VLOOKUP(November[[#This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IFERROR(VLOOKUP(November[[#This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IFERROR(VLOOKUP(November[[#This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IFERROR(VLOOKUP(November[[#This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IFERROR(VLOOKUP(November[[#This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IFERROR(VLOOKUP(November[[#This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IFERROR(VLOOKUP(November[[#This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IFERROR(VLOOKUP(November[[#This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IFERROR(VLOOKUP(November[[#This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IFERROR(VLOOKUP(November[[#This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IFERROR(VLOOKUP(November[[#This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IFERROR(VLOOKUP(November[[#This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IFERROR(VLOOKUP(November[[#This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IFERROR(VLOOKUP(November[[#This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IFERROR(VLOOKUP(November[[#This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IFERROR(VLOOKUP(November[[#This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IFERROR(VLOOKUP(November[[#This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IFERROR(VLOOKUP(November[[#This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IFERROR(VLOOKUP(November[[#This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IFERROR(VLOOKUP(November[[#This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IFERROR(VLOOKUP(November[[#This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IFERROR(VLOOKUP(November[[#This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IFERROR(VLOOKUP(November[[#This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IFERROR(VLOOKUP(November[[#This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IFERROR(VLOOKUP(November[[#This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IFERROR(VLOOKUP(November[[#This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IFERROR(VLOOKUP(November[[#This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IFERROR(VLOOKUP(November[[#This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IFERROR(VLOOKUP(November[[#This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IFERROR(VLOOKUP(November[[#This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IFERROR(VLOOKUP(November[[#This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IFERROR(VLOOKUP(November[[#This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IFERROR(VLOOKUP(November[[#This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IFERROR(VLOOKUP(November[[#This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IFERROR(VLOOKUP(November[[#This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IFERROR(VLOOKUP(November[[#This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IFERROR(VLOOKUP(November[[#This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IFERROR(VLOOKUP(November[[#This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IFERROR(VLOOKUP(November[[#This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IFERROR(VLOOKUP(November[[#This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IFERROR(VLOOKUP(November[[#This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IFERROR(VLOOKUP(November[[#This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IFERROR(VLOOKUP(November[[#This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IFERROR(VLOOKUP(November[[#This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IFERROR(VLOOKUP(November[[#This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IFERROR(VLOOKUP(November[[#This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IFERROR(VLOOKUP(November[[#This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IFERROR(VLOOKUP(November[[#This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IFERROR(VLOOKUP(November[[#This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IFERROR(VLOOKUP(November[[#This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IFERROR(VLOOKUP(November[[#This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IFERROR(VLOOKUP(November[[#This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IFERROR(VLOOKUP(November[[#This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IFERROR(VLOOKUP(November[[#This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IFERROR(VLOOKUP(November[[#This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IFERROR(VLOOKUP(November[[#This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IFERROR(VLOOKUP(November[[#This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IFERROR(VLOOKUP(November[[#This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IFERROR(VLOOKUP(November[[#This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IFERROR(VLOOKUP(November[[#This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IFERROR(VLOOKUP(November[[#This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IFERROR(VLOOKUP(November[[#This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IFERROR(VLOOKUP(November[[#This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IFERROR(VLOOKUP(November[[#This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IFERROR(VLOOKUP(November[[#This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IFERROR(VLOOKUP(November[[#This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IFERROR(VLOOKUP(November[[#This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IFERROR(VLOOKUP(November[[#This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IFERROR(VLOOKUP(November[[#This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IFERROR(VLOOKUP(November[[#This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IFERROR(VLOOKUP(November[[#This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IFERROR(VLOOKUP(November[[#This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IFERROR(VLOOKUP(November[[#This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IFERROR(VLOOKUP(November[[#This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IFERROR(VLOOKUP(November[[#This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IFERROR(VLOOKUP(November[[#This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IFERROR(VLOOKUP(November[[#This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IFERROR(VLOOKUP(November[[#This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IFERROR(VLOOKUP(November[[#This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IFERROR(VLOOKUP(November[[#This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IFERROR(VLOOKUP(November[[#This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IFERROR(VLOOKUP(November[[#This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IFERROR(VLOOKUP(November[[#This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IFERROR(VLOOKUP(November[[#This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IFERROR(VLOOKUP(November[[#This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IFERROR(VLOOKUP(November[[#This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IFERROR(VLOOKUP(November[[#This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IFERROR(VLOOKUP(November[[#This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IFERROR(VLOOKUP(November[[#This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IFERROR(VLOOKUP(November[[#This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IFERROR(VLOOKUP(November[[#This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IFERROR(VLOOKUP(November[[#This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IFERROR(VLOOKUP(November[[#This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IFERROR(VLOOKUP(November[[#This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IFERROR(VLOOKUP(November[[#This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IFERROR(VLOOKUP(November[[#This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IFERROR(VLOOKUP(November[[#This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IFERROR(VLOOKUP(November[[#This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IFERROR(VLOOKUP(November[[#This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IFERROR(VLOOKUP(November[[#This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IFERROR(VLOOKUP(November[[#This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IFERROR(VLOOKUP(November[[#This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IFERROR(VLOOKUP(November[[#This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IFERROR(VLOOKUP(November[[#This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IFERROR(VLOOKUP(November[[#This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IFERROR(VLOOKUP(November[[#This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IFERROR(VLOOKUP(November[[#This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IFERROR(VLOOKUP(November[[#This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IFERROR(VLOOKUP(November[[#This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IFERROR(VLOOKUP(November[[#This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IFERROR(VLOOKUP(November[[#This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IFERROR(VLOOKUP(November[[#This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IFERROR(VLOOKUP(November[[#This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IFERROR(VLOOKUP(November[[#This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IFERROR(VLOOKUP(November[[#This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IFERROR(VLOOKUP(November[[#This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IFERROR(VLOOKUP(November[[#This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IFERROR(VLOOKUP(November[[#This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IFERROR(VLOOKUP(November[[#This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IFERROR(VLOOKUP(November[[#This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IFERROR(VLOOKUP(November[[#This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IFERROR(VLOOKUP(November[[#This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IFERROR(VLOOKUP(November[[#This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IFERROR(VLOOKUP(November[[#This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IFERROR(VLOOKUP(November[[#This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IFERROR(VLOOKUP(November[[#This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IFERROR(VLOOKUP(November[[#This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IFERROR(VLOOKUP(November[[#This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IFERROR(VLOOKUP(November[[#This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IFERROR(VLOOKUP(November[[#This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IFERROR(VLOOKUP(November[[#This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IFERROR(VLOOKUP(November[[#This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IFERROR(VLOOKUP(November[[#This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IFERROR(VLOOKUP(November[[#This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IFERROR(VLOOKUP(November[[#This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IFERROR(VLOOKUP(November[[#This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IFERROR(VLOOKUP(November[[#This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IFERROR(VLOOKUP(November[[#This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IFERROR(VLOOKUP(November[[#This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IFERROR(VLOOKUP(November[[#This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IFERROR(VLOOKUP(November[[#This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IFERROR(VLOOKUP(November[[#This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IFERROR(VLOOKUP(November[[#This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IFERROR(VLOOKUP(November[[#This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IFERROR(VLOOKUP(November[[#This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IFERROR(VLOOKUP(November[[#This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IFERROR(VLOOKUP(November[[#This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IFERROR(VLOOKUP(November[[#This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IFERROR(VLOOKUP(November[[#This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IFERROR(VLOOKUP(November[[#This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IFERROR(VLOOKUP(November[[#This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IFERROR(VLOOKUP(November[[#This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IFERROR(VLOOKUP(November[[#This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IFERROR(VLOOKUP(November[[#This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IFERROR(VLOOKUP(November[[#This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IFERROR(VLOOKUP(November[[#This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IFERROR(VLOOKUP(November[[#This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IFERROR(VLOOKUP(November[[#This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IFERROR(VLOOKUP(November[[#This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IFERROR(VLOOKUP(November[[#This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IFERROR(VLOOKUP(November[[#This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IFERROR(VLOOKUP(November[[#This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IFERROR(VLOOKUP(November[[#This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IFERROR(VLOOKUP(November[[#This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IFERROR(VLOOKUP(November[[#This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IFERROR(VLOOKUP(November[[#This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IFERROR(VLOOKUP(November[[#This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IFERROR(VLOOKUP(November[[#This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IFERROR(VLOOKUP(November[[#This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IFERROR(VLOOKUP(November[[#This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IFERROR(VLOOKUP(November[[#This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IFERROR(VLOOKUP(November[[#This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IFERROR(VLOOKUP(November[[#This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IFERROR(VLOOKUP(November[[#This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IFERROR(VLOOKUP(November[[#This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IFERROR(VLOOKUP(November[[#This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IFERROR(VLOOKUP(November[[#This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IFERROR(VLOOKUP(November[[#This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IFERROR(VLOOKUP(November[[#This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IFERROR(VLOOKUP(November[[#This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IFERROR(VLOOKUP(November[[#This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IFERROR(VLOOKUP(November[[#This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IFERROR(VLOOKUP(November[[#This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IFERROR(VLOOKUP(November[[#This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IFERROR(VLOOKUP(November[[#This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IFERROR(VLOOKUP(November[[#This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IFERROR(VLOOKUP(November[[#This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IFERROR(VLOOKUP(November[[#This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IFERROR(VLOOKUP(November[[#This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IFERROR(VLOOKUP(November[[#This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IFERROR(VLOOKUP(November[[#This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IFERROR(VLOOKUP(November[[#This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IFERROR(VLOOKUP(November[[#This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IFERROR(VLOOKUP(November[[#This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IFERROR(VLOOKUP(November[[#This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IFERROR(VLOOKUP(November[[#This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IFERROR(VLOOKUP(November[[#This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IFERROR(VLOOKUP(November[[#This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IFERROR(VLOOKUP(November[[#This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IFERROR(VLOOKUP(November[[#This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IFERROR(VLOOKUP(November[[#This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IFERROR(VLOOKUP(November[[#This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IFERROR(VLOOKUP(November[[#This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IFERROR(VLOOKUP(November[[#This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IFERROR(VLOOKUP(November[[#This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IFERROR(VLOOKUP(November[[#This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IFERROR(VLOOKUP(November[[#This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IFERROR(VLOOKUP(November[[#This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IFERROR(VLOOKUP(November[[#This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IFERROR(VLOOKUP(November[[#This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IFERROR(VLOOKUP(November[[#This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IFERROR(VLOOKUP(November[[#This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IFERROR(VLOOKUP(November[[#This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IFERROR(VLOOKUP(November[[#This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IFERROR(VLOOKUP(November[[#This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IFERROR(VLOOKUP(November[[#This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IFERROR(VLOOKUP(November[[#This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IFERROR(VLOOKUP(November[[#This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IFERROR(VLOOKUP(November[[#This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IFERROR(VLOOKUP(November[[#This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IFERROR(VLOOKUP(November[[#This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IFERROR(VLOOKUP(November[[#This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IFERROR(VLOOKUP(November[[#This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IFERROR(VLOOKUP(November[[#This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IFERROR(VLOOKUP(November[[#This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IFERROR(VLOOKUP(November[[#This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IFERROR(VLOOKUP(November[[#This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IFERROR(VLOOKUP(November[[#This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IFERROR(VLOOKUP(November[[#This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IFERROR(VLOOKUP(November[[#This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IFERROR(VLOOKUP(November[[#This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IFERROR(VLOOKUP(November[[#This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IFERROR(VLOOKUP(November[[#This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IFERROR(VLOOKUP(November[[#This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IFERROR(VLOOKUP(November[[#This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IFERROR(VLOOKUP(November[[#This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IFERROR(VLOOKUP(November[[#This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IFERROR(VLOOKUP(November[[#This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IFERROR(VLOOKUP(November[[#This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IFERROR(VLOOKUP(November[[#This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IFERROR(VLOOKUP(November[[#This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IFERROR(VLOOKUP(November[[#This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IFERROR(VLOOKUP(November[[#This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IFERROR(VLOOKUP(November[[#This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IFERROR(VLOOKUP(November[[#This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IFERROR(VLOOKUP(November[[#This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IFERROR(VLOOKUP(November[[#This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IFERROR(VLOOKUP(November[[#This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IFERROR(VLOOKUP(November[[#This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IFERROR(VLOOKUP(November[[#This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IFERROR(VLOOKUP(November[[#This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IFERROR(VLOOKUP(November[[#This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IFERROR(VLOOKUP(November[[#This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IFERROR(VLOOKUP(November[[#This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IFERROR(VLOOKUP(November[[#This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IFERROR(VLOOKUP(November[[#This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IFERROR(VLOOKUP(November[[#This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IFERROR(VLOOKUP(November[[#This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IFERROR(VLOOKUP(November[[#This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IFERROR(VLOOKUP(November[[#This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IFERROR(VLOOKUP(November[[#This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IFERROR(VLOOKUP(November[[#This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IFERROR(VLOOKUP(November[[#This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IFERROR(VLOOKUP(November[[#This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IFERROR(VLOOKUP(November[[#This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IFERROR(VLOOKUP(November[[#This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IFERROR(VLOOKUP(November[[#This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IFERROR(VLOOKUP(November[[#This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IFERROR(VLOOKUP(November[[#This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IFERROR(VLOOKUP(November[[#This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IFERROR(VLOOKUP(November[[#This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IFERROR(VLOOKUP(November[[#This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IFERROR(VLOOKUP(November[[#This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IFERROR(VLOOKUP(November[[#This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IFERROR(VLOOKUP(November[[#This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IFERROR(VLOOKUP(November[[#This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IFERROR(VLOOKUP(November[[#This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IFERROR(VLOOKUP(November[[#This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IFERROR(VLOOKUP(November[[#This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IFERROR(VLOOKUP(November[[#This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IFERROR(VLOOKUP(November[[#This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IFERROR(VLOOKUP(November[[#This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IFERROR(VLOOKUP(November[[#This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IFERROR(VLOOKUP(November[[#This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IFERROR(VLOOKUP(November[[#This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IFERROR(VLOOKUP(November[[#This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IFERROR(VLOOKUP(November[[#This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IFERROR(VLOOKUP(November[[#This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IFERROR(VLOOKUP(November[[#This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IFERROR(VLOOKUP(November[[#This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IFERROR(VLOOKUP(November[[#This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IFERROR(VLOOKUP(November[[#This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IFERROR(VLOOKUP(November[[#This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IFERROR(VLOOKUP(November[[#This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IFERROR(VLOOKUP(November[[#This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IFERROR(VLOOKUP(November[[#This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IFERROR(VLOOKUP(November[[#This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IFERROR(VLOOKUP(November[[#This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IFERROR(VLOOKUP(November[[#This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IFERROR(VLOOKUP(November[[#This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IFERROR(VLOOKUP(November[[#This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IFERROR(VLOOKUP(November[[#This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IFERROR(VLOOKUP(November[[#This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IFERROR(VLOOKUP(November[[#This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IFERROR(VLOOKUP(November[[#This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IFERROR(VLOOKUP(November[[#This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IFERROR(VLOOKUP(November[[#This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IFERROR(VLOOKUP(November[[#This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IFERROR(VLOOKUP(November[[#This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IFERROR(VLOOKUP(November[[#This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IFERROR(VLOOKUP(November[[#This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IFERROR(VLOOKUP(November[[#This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IFERROR(VLOOKUP(November[[#This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IFERROR(VLOOKUP(November[[#This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IFERROR(VLOOKUP(November[[#This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SUBTOTAL(103,November[Location Filled9])</f>
        <v>0</v>
      </c>
    </row>
  </sheetData>
  <sheetProtection algorithmName="SHA-512" hashValue="dAMwmKCniJ8A22LebIAGRb9SD0dzxI13biMyg7DfQ/Vkt3nYpYxwrcEi+zTbnxFT12vIe5Qbl0CD3Sh9+YmU/A==" saltValue="F7/ScUEodtPEZfRzN+x6sg==" spinCount="100000" sheet="1" objects="1" scenarios="1"/>
  <mergeCells count="13">
    <mergeCell ref="AR2:AX2"/>
    <mergeCell ref="BS2:BY2"/>
    <mergeCell ref="BZ2:CF2"/>
    <mergeCell ref="CG2:CM2"/>
    <mergeCell ref="AL1:AQ2"/>
    <mergeCell ref="BM1:BR2"/>
    <mergeCell ref="BF2:BL2"/>
    <mergeCell ref="A1:J2"/>
    <mergeCell ref="K1:AF1"/>
    <mergeCell ref="K2:P2"/>
    <mergeCell ref="Q2:V2"/>
    <mergeCell ref="X2:AD2"/>
    <mergeCell ref="AE2:AK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CL4:CL201 AW4:AW201 BD4:BD201 BA4:BA201 BH4:BH201 BK4:BK201 BU4:BU201 BX4:BX201 CB4:CB201 CE4:CE201 CI4:CI201 AT4:AT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56" t="str">
        <f>IFERROR(VLOOKUP(December[[#This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56" t="str">
        <f>IFERROR(VLOOKUP(December[[#This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56" t="str">
        <f>IFERROR(VLOOKUP(December[[#This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56" t="str">
        <f>IFERROR(VLOOKUP(December[[#This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56" t="str">
        <f>IFERROR(VLOOKUP(December[[#This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56" t="str">
        <f>IFERROR(VLOOKUP(December[[#This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56" t="str">
        <f>IFERROR(VLOOKUP(December[[#This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56" t="str">
        <f>IFERROR(VLOOKUP(December[[#This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56" t="str">
        <f>IFERROR(VLOOKUP(December[[#This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56" t="str">
        <f>IFERROR(VLOOKUP(December[[#This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56" t="str">
        <f>IFERROR(VLOOKUP(December[[#This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56" t="str">
        <f>IFERROR(VLOOKUP(December[[#This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56" t="str">
        <f>IFERROR(VLOOKUP(December[[#This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56" t="str">
        <f>IFERROR(VLOOKUP(December[[#This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56" t="str">
        <f>IFERROR(VLOOKUP(December[[#This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56" t="str">
        <f>IFERROR(VLOOKUP(December[[#This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56" t="str">
        <f>IFERROR(VLOOKUP(December[[#This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56" t="str">
        <f>IFERROR(VLOOKUP(December[[#This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56" t="str">
        <f>IFERROR(VLOOKUP(December[[#This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56" t="str">
        <f>IFERROR(VLOOKUP(December[[#This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56" t="str">
        <f>IFERROR(VLOOKUP(December[[#This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56" t="str">
        <f>IFERROR(VLOOKUP(December[[#This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56" t="str">
        <f>IFERROR(VLOOKUP(December[[#This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56" t="str">
        <f>IFERROR(VLOOKUP(December[[#This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56" t="str">
        <f>IFERROR(VLOOKUP(December[[#This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56" t="str">
        <f>IFERROR(VLOOKUP(December[[#This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56" t="str">
        <f>IFERROR(VLOOKUP(December[[#This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56" t="str">
        <f>IFERROR(VLOOKUP(December[[#This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56" t="str">
        <f>IFERROR(VLOOKUP(December[[#This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56" t="str">
        <f>IFERROR(VLOOKUP(December[[#This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56" t="str">
        <f>IFERROR(VLOOKUP(December[[#This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56" t="str">
        <f>IFERROR(VLOOKUP(December[[#This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56" t="str">
        <f>IFERROR(VLOOKUP(December[[#This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56" t="str">
        <f>IFERROR(VLOOKUP(December[[#This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56" t="str">
        <f>IFERROR(VLOOKUP(December[[#This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56" t="str">
        <f>IFERROR(VLOOKUP(December[[#This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56" t="str">
        <f>IFERROR(VLOOKUP(December[[#This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56" t="str">
        <f>IFERROR(VLOOKUP(December[[#This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56" t="str">
        <f>IFERROR(VLOOKUP(December[[#This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56" t="str">
        <f>IFERROR(VLOOKUP(December[[#This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56" t="str">
        <f>IFERROR(VLOOKUP(December[[#This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56" t="str">
        <f>IFERROR(VLOOKUP(December[[#This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56" t="str">
        <f>IFERROR(VLOOKUP(December[[#This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56" t="str">
        <f>IFERROR(VLOOKUP(December[[#This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56" t="str">
        <f>IFERROR(VLOOKUP(December[[#This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56" t="str">
        <f>IFERROR(VLOOKUP(December[[#This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56" t="str">
        <f>IFERROR(VLOOKUP(December[[#This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56" t="str">
        <f>IFERROR(VLOOKUP(December[[#This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56" t="str">
        <f>IFERROR(VLOOKUP(December[[#This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56" t="str">
        <f>IFERROR(VLOOKUP(December[[#This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56" t="str">
        <f>IFERROR(VLOOKUP(December[[#This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56" t="str">
        <f>IFERROR(VLOOKUP(December[[#This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56" t="str">
        <f>IFERROR(VLOOKUP(December[[#This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56" t="str">
        <f>IFERROR(VLOOKUP(December[[#This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56" t="str">
        <f>IFERROR(VLOOKUP(December[[#This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56" t="str">
        <f>IFERROR(VLOOKUP(December[[#This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56" t="str">
        <f>IFERROR(VLOOKUP(December[[#This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56" t="str">
        <f>IFERROR(VLOOKUP(December[[#This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56" t="str">
        <f>IFERROR(VLOOKUP(December[[#This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56" t="str">
        <f>IFERROR(VLOOKUP(December[[#This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56" t="str">
        <f>IFERROR(VLOOKUP(December[[#This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56" t="str">
        <f>IFERROR(VLOOKUP(December[[#This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56" t="str">
        <f>IFERROR(VLOOKUP(December[[#This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56" t="str">
        <f>IFERROR(VLOOKUP(December[[#This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56" t="str">
        <f>IFERROR(VLOOKUP(December[[#This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56" t="str">
        <f>IFERROR(VLOOKUP(December[[#This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56" t="str">
        <f>IFERROR(VLOOKUP(December[[#This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56" t="str">
        <f>IFERROR(VLOOKUP(December[[#This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56" t="str">
        <f>IFERROR(VLOOKUP(December[[#This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56" t="str">
        <f>IFERROR(VLOOKUP(December[[#This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56" t="str">
        <f>IFERROR(VLOOKUP(December[[#This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56" t="str">
        <f>IFERROR(VLOOKUP(December[[#This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56" t="str">
        <f>IFERROR(VLOOKUP(December[[#This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56" t="str">
        <f>IFERROR(VLOOKUP(December[[#This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56" t="str">
        <f>IFERROR(VLOOKUP(December[[#This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56" t="str">
        <f>IFERROR(VLOOKUP(December[[#This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56" t="str">
        <f>IFERROR(VLOOKUP(December[[#This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56" t="str">
        <f>IFERROR(VLOOKUP(December[[#This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56" t="str">
        <f>IFERROR(VLOOKUP(December[[#This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56" t="str">
        <f>IFERROR(VLOOKUP(December[[#This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56" t="str">
        <f>IFERROR(VLOOKUP(December[[#This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56" t="str">
        <f>IFERROR(VLOOKUP(December[[#This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56" t="str">
        <f>IFERROR(VLOOKUP(December[[#This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56" t="str">
        <f>IFERROR(VLOOKUP(December[[#This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56" t="str">
        <f>IFERROR(VLOOKUP(December[[#This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56" t="str">
        <f>IFERROR(VLOOKUP(December[[#This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56" t="str">
        <f>IFERROR(VLOOKUP(December[[#This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56" t="str">
        <f>IFERROR(VLOOKUP(December[[#This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56" t="str">
        <f>IFERROR(VLOOKUP(December[[#This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56" t="str">
        <f>IFERROR(VLOOKUP(December[[#This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56" t="str">
        <f>IFERROR(VLOOKUP(December[[#This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56" t="str">
        <f>IFERROR(VLOOKUP(December[[#This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56" t="str">
        <f>IFERROR(VLOOKUP(December[[#This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56" t="str">
        <f>IFERROR(VLOOKUP(December[[#This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56" t="str">
        <f>IFERROR(VLOOKUP(December[[#This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56" t="str">
        <f>IFERROR(VLOOKUP(December[[#This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56" t="str">
        <f>IFERROR(VLOOKUP(December[[#This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56" t="str">
        <f>IFERROR(VLOOKUP(December[[#This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56" t="str">
        <f>IFERROR(VLOOKUP(December[[#This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56" t="str">
        <f>IFERROR(VLOOKUP(December[[#This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56" t="str">
        <f>IFERROR(VLOOKUP(December[[#This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56" t="str">
        <f>IFERROR(VLOOKUP(December[[#This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56" t="str">
        <f>IFERROR(VLOOKUP(December[[#This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56" t="str">
        <f>IFERROR(VLOOKUP(December[[#This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56" t="str">
        <f>IFERROR(VLOOKUP(December[[#This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56" t="str">
        <f>IFERROR(VLOOKUP(December[[#This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56" t="str">
        <f>IFERROR(VLOOKUP(December[[#This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56" t="str">
        <f>IFERROR(VLOOKUP(December[[#This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56" t="str">
        <f>IFERROR(VLOOKUP(December[[#This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56" t="str">
        <f>IFERROR(VLOOKUP(December[[#This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56" t="str">
        <f>IFERROR(VLOOKUP(December[[#This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56" t="str">
        <f>IFERROR(VLOOKUP(December[[#This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56" t="str">
        <f>IFERROR(VLOOKUP(December[[#This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56" t="str">
        <f>IFERROR(VLOOKUP(December[[#This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56" t="str">
        <f>IFERROR(VLOOKUP(December[[#This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56" t="str">
        <f>IFERROR(VLOOKUP(December[[#This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56" t="str">
        <f>IFERROR(VLOOKUP(December[[#This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56" t="str">
        <f>IFERROR(VLOOKUP(December[[#This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56" t="str">
        <f>IFERROR(VLOOKUP(December[[#This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56" t="str">
        <f>IFERROR(VLOOKUP(December[[#This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56" t="str">
        <f>IFERROR(VLOOKUP(December[[#This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56" t="str">
        <f>IFERROR(VLOOKUP(December[[#This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56" t="str">
        <f>IFERROR(VLOOKUP(December[[#This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56" t="str">
        <f>IFERROR(VLOOKUP(December[[#This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56" t="str">
        <f>IFERROR(VLOOKUP(December[[#This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56" t="str">
        <f>IFERROR(VLOOKUP(December[[#This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56" t="str">
        <f>IFERROR(VLOOKUP(December[[#This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56" t="str">
        <f>IFERROR(VLOOKUP(December[[#This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56" t="str">
        <f>IFERROR(VLOOKUP(December[[#This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56" t="str">
        <f>IFERROR(VLOOKUP(December[[#This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56" t="str">
        <f>IFERROR(VLOOKUP(December[[#This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56" t="str">
        <f>IFERROR(VLOOKUP(December[[#This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56" t="str">
        <f>IFERROR(VLOOKUP(December[[#This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56" t="str">
        <f>IFERROR(VLOOKUP(December[[#This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56" t="str">
        <f>IFERROR(VLOOKUP(December[[#This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56" t="str">
        <f>IFERROR(VLOOKUP(December[[#This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56" t="str">
        <f>IFERROR(VLOOKUP(December[[#This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56" t="str">
        <f>IFERROR(VLOOKUP(December[[#This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56" t="str">
        <f>IFERROR(VLOOKUP(December[[#This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56" t="str">
        <f>IFERROR(VLOOKUP(December[[#This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56" t="str">
        <f>IFERROR(VLOOKUP(December[[#This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56" t="str">
        <f>IFERROR(VLOOKUP(December[[#This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56" t="str">
        <f>IFERROR(VLOOKUP(December[[#This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56" t="str">
        <f>IFERROR(VLOOKUP(December[[#This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56" t="str">
        <f>IFERROR(VLOOKUP(December[[#This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56" t="str">
        <f>IFERROR(VLOOKUP(December[[#This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56" t="str">
        <f>IFERROR(VLOOKUP(December[[#This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56" t="str">
        <f>IFERROR(VLOOKUP(December[[#This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56" t="str">
        <f>IFERROR(VLOOKUP(December[[#This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56" t="str">
        <f>IFERROR(VLOOKUP(December[[#This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56" t="str">
        <f>IFERROR(VLOOKUP(December[[#This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56" t="str">
        <f>IFERROR(VLOOKUP(December[[#This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56" t="str">
        <f>IFERROR(VLOOKUP(December[[#This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56" t="str">
        <f>IFERROR(VLOOKUP(December[[#This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56" t="str">
        <f>IFERROR(VLOOKUP(December[[#This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56" t="str">
        <f>IFERROR(VLOOKUP(December[[#This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56" t="str">
        <f>IFERROR(VLOOKUP(December[[#This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56" t="str">
        <f>IFERROR(VLOOKUP(December[[#This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56" t="str">
        <f>IFERROR(VLOOKUP(December[[#This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56" t="str">
        <f>IFERROR(VLOOKUP(December[[#This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56" t="str">
        <f>IFERROR(VLOOKUP(December[[#This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56" t="str">
        <f>IFERROR(VLOOKUP(December[[#This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56" t="str">
        <f>IFERROR(VLOOKUP(December[[#This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56" t="str">
        <f>IFERROR(VLOOKUP(December[[#This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56" t="str">
        <f>IFERROR(VLOOKUP(December[[#This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56" t="str">
        <f>IFERROR(VLOOKUP(December[[#This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56" t="str">
        <f>IFERROR(VLOOKUP(December[[#This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56" t="str">
        <f>IFERROR(VLOOKUP(December[[#This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56" t="str">
        <f>IFERROR(VLOOKUP(December[[#This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56" t="str">
        <f>IFERROR(VLOOKUP(December[[#This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56" t="str">
        <f>IFERROR(VLOOKUP(December[[#This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56" t="str">
        <f>IFERROR(VLOOKUP(December[[#This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56" t="str">
        <f>IFERROR(VLOOKUP(December[[#This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56" t="str">
        <f>IFERROR(VLOOKUP(December[[#This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56" t="str">
        <f>IFERROR(VLOOKUP(December[[#This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56" t="str">
        <f>IFERROR(VLOOKUP(December[[#This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56" t="str">
        <f>IFERROR(VLOOKUP(December[[#This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56" t="str">
        <f>IFERROR(VLOOKUP(December[[#This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56" t="str">
        <f>IFERROR(VLOOKUP(December[[#This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56" t="str">
        <f>IFERROR(VLOOKUP(December[[#This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56" t="str">
        <f>IFERROR(VLOOKUP(December[[#This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56" t="str">
        <f>IFERROR(VLOOKUP(December[[#This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56" t="str">
        <f>IFERROR(VLOOKUP(December[[#This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56" t="str">
        <f>IFERROR(VLOOKUP(December[[#This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56" t="str">
        <f>IFERROR(VLOOKUP(December[[#This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56" t="str">
        <f>IFERROR(VLOOKUP(December[[#This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56" t="str">
        <f>IFERROR(VLOOKUP(December[[#This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56" t="str">
        <f>IFERROR(VLOOKUP(December[[#This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56" t="str">
        <f>IFERROR(VLOOKUP(December[[#This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56" t="str">
        <f>IFERROR(VLOOKUP(December[[#This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56" t="str">
        <f>IFERROR(VLOOKUP(December[[#This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56" t="str">
        <f>IFERROR(VLOOKUP(December[[#This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56" t="str">
        <f>IFERROR(VLOOKUP(December[[#This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56" t="str">
        <f>IFERROR(VLOOKUP(December[[#This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56" t="str">
        <f>IFERROR(VLOOKUP(December[[#This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56" t="str">
        <f>IFERROR(VLOOKUP(December[[#This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56" t="str">
        <f>IFERROR(VLOOKUP(December[[#This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56" t="str">
        <f>IFERROR(VLOOKUP(December[[#This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56" t="str">
        <f>IFERROR(VLOOKUP(December[[#This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56" t="str">
        <f>IFERROR(VLOOKUP(December[[#This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56" t="str">
        <f>IFERROR(VLOOKUP(December[[#This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56" t="str">
        <f>IFERROR(VLOOKUP(December[[#This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56" t="str">
        <f>IFERROR(VLOOKUP(December[[#This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56" t="str">
        <f>IFERROR(VLOOKUP(December[[#This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56" t="str">
        <f>IFERROR(VLOOKUP(December[[#This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56" t="str">
        <f>IFERROR(VLOOKUP(December[[#This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56" t="str">
        <f>IFERROR(VLOOKUP(December[[#This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56" t="str">
        <f>IFERROR(VLOOKUP(December[[#This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56" t="str">
        <f>IFERROR(VLOOKUP(December[[#This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56" t="str">
        <f>IFERROR(VLOOKUP(December[[#This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56" t="str">
        <f>IFERROR(VLOOKUP(December[[#This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56" t="str">
        <f>IFERROR(VLOOKUP(December[[#This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56" t="str">
        <f>IFERROR(VLOOKUP(December[[#This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56" t="str">
        <f>IFERROR(VLOOKUP(December[[#This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56" t="str">
        <f>IFERROR(VLOOKUP(December[[#This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56" t="str">
        <f>IFERROR(VLOOKUP(December[[#This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56" t="str">
        <f>IFERROR(VLOOKUP(December[[#This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56" t="str">
        <f>IFERROR(VLOOKUP(December[[#This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56" t="str">
        <f>IFERROR(VLOOKUP(December[[#This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56" t="str">
        <f>IFERROR(VLOOKUP(December[[#This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56" t="str">
        <f>IFERROR(VLOOKUP(December[[#This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56" t="str">
        <f>IFERROR(VLOOKUP(December[[#This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56" t="str">
        <f>IFERROR(VLOOKUP(December[[#This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56" t="str">
        <f>IFERROR(VLOOKUP(December[[#This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56" t="str">
        <f>IFERROR(VLOOKUP(December[[#This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56" t="str">
        <f>IFERROR(VLOOKUP(December[[#This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56" t="str">
        <f>IFERROR(VLOOKUP(December[[#This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56" t="str">
        <f>IFERROR(VLOOKUP(December[[#This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56" t="str">
        <f>IFERROR(VLOOKUP(December[[#This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56" t="str">
        <f>IFERROR(VLOOKUP(December[[#This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56" t="str">
        <f>IFERROR(VLOOKUP(December[[#This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56" t="str">
        <f>IFERROR(VLOOKUP(December[[#This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56" t="str">
        <f>IFERROR(VLOOKUP(December[[#This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56" t="str">
        <f>IFERROR(VLOOKUP(December[[#This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56" t="str">
        <f>IFERROR(VLOOKUP(December[[#This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56" t="str">
        <f>IFERROR(VLOOKUP(December[[#This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56" t="str">
        <f>IFERROR(VLOOKUP(December[[#This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56" t="str">
        <f>IFERROR(VLOOKUP(December[[#This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56" t="str">
        <f>IFERROR(VLOOKUP(December[[#This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56" t="str">
        <f>IFERROR(VLOOKUP(December[[#This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56" t="str">
        <f>IFERROR(VLOOKUP(December[[#This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56" t="str">
        <f>IFERROR(VLOOKUP(December[[#This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56" t="str">
        <f>IFERROR(VLOOKUP(December[[#This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56" t="str">
        <f>IFERROR(VLOOKUP(December[[#This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56" t="str">
        <f>IFERROR(VLOOKUP(December[[#This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56" t="str">
        <f>IFERROR(VLOOKUP(December[[#This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56" t="str">
        <f>IFERROR(VLOOKUP(December[[#This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56" t="str">
        <f>IFERROR(VLOOKUP(December[[#This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56" t="str">
        <f>IFERROR(VLOOKUP(December[[#This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56" t="str">
        <f>IFERROR(VLOOKUP(December[[#This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56" t="str">
        <f>IFERROR(VLOOKUP(December[[#This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56" t="str">
        <f>IFERROR(VLOOKUP(December[[#This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56" t="str">
        <f>IFERROR(VLOOKUP(December[[#This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56" t="str">
        <f>IFERROR(VLOOKUP(December[[#This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56" t="str">
        <f>IFERROR(VLOOKUP(December[[#This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56" t="str">
        <f>IFERROR(VLOOKUP(December[[#This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56" t="str">
        <f>IFERROR(VLOOKUP(December[[#This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56" t="str">
        <f>IFERROR(VLOOKUP(December[[#This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56" t="str">
        <f>IFERROR(VLOOKUP(December[[#This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56" t="str">
        <f>IFERROR(VLOOKUP(December[[#This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56" t="str">
        <f>IFERROR(VLOOKUP(December[[#This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56" t="str">
        <f>IFERROR(VLOOKUP(December[[#This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56" t="str">
        <f>IFERROR(VLOOKUP(December[[#This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56" t="str">
        <f>IFERROR(VLOOKUP(December[[#This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56" t="str">
        <f>IFERROR(VLOOKUP(December[[#This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56" t="str">
        <f>IFERROR(VLOOKUP(December[[#This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56" t="str">
        <f>IFERROR(VLOOKUP(December[[#This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56" t="str">
        <f>IFERROR(VLOOKUP(December[[#This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56" t="str">
        <f>IFERROR(VLOOKUP(December[[#This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56" t="str">
        <f>IFERROR(VLOOKUP(December[[#This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56" t="str">
        <f>IFERROR(VLOOKUP(December[[#This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56" t="str">
        <f>IFERROR(VLOOKUP(December[[#This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56" t="str">
        <f>IFERROR(VLOOKUP(December[[#This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56" t="str">
        <f>IFERROR(VLOOKUP(December[[#This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56" t="str">
        <f>IFERROR(VLOOKUP(December[[#This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56" t="str">
        <f>IFERROR(VLOOKUP(December[[#This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56" t="str">
        <f>IFERROR(VLOOKUP(December[[#This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56" t="str">
        <f>IFERROR(VLOOKUP(December[[#This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56" t="str">
        <f>IFERROR(VLOOKUP(December[[#This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56" t="str">
        <f>IFERROR(VLOOKUP(December[[#This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56" t="str">
        <f>IFERROR(VLOOKUP(December[[#This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56" t="str">
        <f>IFERROR(VLOOKUP(December[[#This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56" t="str">
        <f>IFERROR(VLOOKUP(December[[#This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56" t="str">
        <f>IFERROR(VLOOKUP(December[[#This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56" t="str">
        <f>IFERROR(VLOOKUP(December[[#This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56" t="str">
        <f>IFERROR(VLOOKUP(December[[#This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56" t="str">
        <f>IFERROR(VLOOKUP(December[[#This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56" t="str">
        <f>IFERROR(VLOOKUP(December[[#This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56" t="str">
        <f>IFERROR(VLOOKUP(December[[#This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56" t="str">
        <f>IFERROR(VLOOKUP(December[[#This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56" t="str">
        <f>IFERROR(VLOOKUP(December[[#This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56" t="str">
        <f>IFERROR(VLOOKUP(December[[#This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56" t="str">
        <f>IFERROR(VLOOKUP(December[[#This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56" t="str">
        <f>IFERROR(VLOOKUP(December[[#This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56" t="str">
        <f>IFERROR(VLOOKUP(December[[#This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56" t="str">
        <f>IFERROR(VLOOKUP(December[[#This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56" t="str">
        <f>IFERROR(VLOOKUP(December[[#This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56" t="str">
        <f>IFERROR(VLOOKUP(December[[#This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56" t="str">
        <f>IFERROR(VLOOKUP(December[[#This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56" t="str">
        <f>IFERROR(VLOOKUP(December[[#This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56" t="str">
        <f>IFERROR(VLOOKUP(December[[#This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56" t="str">
        <f>IFERROR(VLOOKUP(December[[#This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56" t="str">
        <f>IFERROR(VLOOKUP(December[[#This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56" t="str">
        <f>IFERROR(VLOOKUP(December[[#This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56" t="str">
        <f>IFERROR(VLOOKUP(December[[#This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56" t="str">
        <f>IFERROR(VLOOKUP(December[[#This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56" t="str">
        <f>IFERROR(VLOOKUP(December[[#This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56" t="str">
        <f>IFERROR(VLOOKUP(December[[#This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56" t="str">
        <f>IFERROR(VLOOKUP(December[[#This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56" t="str">
        <f>IFERROR(VLOOKUP(December[[#This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56" t="str">
        <f>IFERROR(VLOOKUP(December[[#This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56" t="str">
        <f>IFERROR(VLOOKUP(December[[#This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56" t="str">
        <f>IFERROR(VLOOKUP(December[[#This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56" t="str">
        <f>IFERROR(VLOOKUP(December[[#This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56" t="str">
        <f>IFERROR(VLOOKUP(December[[#This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56" t="str">
        <f>IFERROR(VLOOKUP(December[[#This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56" t="str">
        <f>IFERROR(VLOOKUP(December[[#This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56" t="str">
        <f>IFERROR(VLOOKUP(December[[#This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56" t="str">
        <f>IFERROR(VLOOKUP(December[[#This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56" t="str">
        <f>IFERROR(VLOOKUP(December[[#This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56" t="str">
        <f>IFERROR(VLOOKUP(December[[#This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56" t="str">
        <f>IFERROR(VLOOKUP(December[[#This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56" t="str">
        <f>IFERROR(VLOOKUP(December[[#This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56" t="str">
        <f>IFERROR(VLOOKUP(December[[#This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56" t="str">
        <f>IFERROR(VLOOKUP(December[[#This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56" t="str">
        <f>IFERROR(VLOOKUP(December[[#This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56" t="str">
        <f>IFERROR(VLOOKUP(December[[#This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56" t="str">
        <f>IFERROR(VLOOKUP(December[[#This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56" t="str">
        <f>IFERROR(VLOOKUP(December[[#This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56" t="str">
        <f>IFERROR(VLOOKUP(December[[#This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56" t="str">
        <f>IFERROR(VLOOKUP(December[[#This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56" t="str">
        <f>IFERROR(VLOOKUP(December[[#This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56" t="str">
        <f>IFERROR(VLOOKUP(December[[#This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56" t="str">
        <f>IFERROR(VLOOKUP(December[[#This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56" t="str">
        <f>IFERROR(VLOOKUP(December[[#This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56" t="str">
        <f>IFERROR(VLOOKUP(December[[#This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56" t="str">
        <f>IFERROR(VLOOKUP(December[[#This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56" t="str">
        <f>IFERROR(VLOOKUP(December[[#This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56" t="str">
        <f>IFERROR(VLOOKUP(December[[#This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56" t="str">
        <f>IFERROR(VLOOKUP(December[[#This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56" t="str">
        <f>IFERROR(VLOOKUP(December[[#This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56" t="str">
        <f>IFERROR(VLOOKUP(December[[#This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56" t="str">
        <f>IFERROR(VLOOKUP(December[[#This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56" t="str">
        <f>IFERROR(VLOOKUP(December[[#This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56" t="str">
        <f>IFERROR(VLOOKUP(December[[#This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56" t="str">
        <f>IFERROR(VLOOKUP(December[[#This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56" t="str">
        <f>IFERROR(VLOOKUP(December[[#This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56" t="str">
        <f>IFERROR(VLOOKUP(December[[#This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56" t="str">
        <f>IFERROR(VLOOKUP(December[[#This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56" t="str">
        <f>IFERROR(VLOOKUP(December[[#This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56" t="str">
        <f>IFERROR(VLOOKUP(December[[#This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56" t="str">
        <f>IFERROR(VLOOKUP(December[[#This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56" t="str">
        <f>IFERROR(VLOOKUP(December[[#This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56" t="str">
        <f>IFERROR(VLOOKUP(December[[#This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56" t="str">
        <f>IFERROR(VLOOKUP(December[[#This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56" t="str">
        <f>IFERROR(VLOOKUP(December[[#This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56" t="str">
        <f>IFERROR(VLOOKUP(December[[#This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56" t="str">
        <f>IFERROR(VLOOKUP(December[[#This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56" t="str">
        <f>IFERROR(VLOOKUP(December[[#This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56" t="str">
        <f>IFERROR(VLOOKUP(December[[#This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56" t="str">
        <f>IFERROR(VLOOKUP(December[[#This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56" t="str">
        <f>IFERROR(VLOOKUP(December[[#This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56" t="str">
        <f>IFERROR(VLOOKUP(December[[#This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56" t="str">
        <f>IFERROR(VLOOKUP(December[[#This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56" t="str">
        <f>IFERROR(VLOOKUP(December[[#This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56" t="str">
        <f>IFERROR(VLOOKUP(December[[#This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56" t="str">
        <f>IFERROR(VLOOKUP(December[[#This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56" t="str">
        <f>IFERROR(VLOOKUP(December[[#This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56" t="str">
        <f>IFERROR(VLOOKUP(December[[#This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56" t="str">
        <f>IFERROR(VLOOKUP(December[[#This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56" t="str">
        <f>IFERROR(VLOOKUP(December[[#This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56" t="str">
        <f>IFERROR(VLOOKUP(December[[#This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56" t="str">
        <f>IFERROR(VLOOKUP(December[[#This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56" t="str">
        <f>IFERROR(VLOOKUP(December[[#This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56" t="str">
        <f>IFERROR(VLOOKUP(December[[#This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56" t="str">
        <f>IFERROR(VLOOKUP(December[[#This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56" t="str">
        <f>IFERROR(VLOOKUP(December[[#This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56" t="str">
        <f>IFERROR(VLOOKUP(December[[#This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56" t="str">
        <f>IFERROR(VLOOKUP(December[[#This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56" t="str">
        <f>IFERROR(VLOOKUP(December[[#This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56" t="str">
        <f>IFERROR(VLOOKUP(December[[#This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56" t="str">
        <f>IFERROR(VLOOKUP(December[[#This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56" t="str">
        <f>IFERROR(VLOOKUP(December[[#This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56" t="str">
        <f>IFERROR(VLOOKUP(December[[#This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56" t="str">
        <f>IFERROR(VLOOKUP(December[[#This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56" t="str">
        <f>IFERROR(VLOOKUP(December[[#This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56" t="str">
        <f>IFERROR(VLOOKUP(December[[#This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56" t="str">
        <f>IFERROR(VLOOKUP(December[[#This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56" t="str">
        <f>IFERROR(VLOOKUP(December[[#This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56" t="str">
        <f>IFERROR(VLOOKUP(December[[#This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56" t="str">
        <f>IFERROR(VLOOKUP(December[[#This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56" t="str">
        <f>IFERROR(VLOOKUP(December[[#This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56" t="str">
        <f>IFERROR(VLOOKUP(December[[#This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56" t="str">
        <f>IFERROR(VLOOKUP(December[[#This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56" t="str">
        <f>IFERROR(VLOOKUP(December[[#This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56" t="str">
        <f>IFERROR(VLOOKUP(December[[#This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56" t="str">
        <f>IFERROR(VLOOKUP(December[[#This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56" t="str">
        <f>IFERROR(VLOOKUP(December[[#This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56" t="str">
        <f>IFERROR(VLOOKUP(December[[#This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56" t="str">
        <f>IFERROR(VLOOKUP(December[[#This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56" t="str">
        <f>IFERROR(VLOOKUP(December[[#This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56" t="str">
        <f>IFERROR(VLOOKUP(December[[#This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56" t="str">
        <f>IFERROR(VLOOKUP(December[[#This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56" t="str">
        <f>IFERROR(VLOOKUP(December[[#This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56" t="str">
        <f>IFERROR(VLOOKUP(December[[#This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56" t="str">
        <f>IFERROR(VLOOKUP(December[[#This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56" t="str">
        <f>IFERROR(VLOOKUP(December[[#This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56" t="str">
        <f>IFERROR(VLOOKUP(December[[#This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56" t="str">
        <f>IFERROR(VLOOKUP(December[[#This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56" t="str">
        <f>IFERROR(VLOOKUP(December[[#This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56" t="str">
        <f>IFERROR(VLOOKUP(December[[#This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56" t="str">
        <f>IFERROR(VLOOKUP(December[[#This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56" t="str">
        <f>IFERROR(VLOOKUP(December[[#This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56" t="str">
        <f>IFERROR(VLOOKUP(December[[#This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56" t="str">
        <f>IFERROR(VLOOKUP(December[[#This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56" t="str">
        <f>IFERROR(VLOOKUP(December[[#This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56" t="str">
        <f>IFERROR(VLOOKUP(December[[#This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56" t="str">
        <f>IFERROR(VLOOKUP(December[[#This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56" t="str">
        <f>IFERROR(VLOOKUP(December[[#This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56" t="str">
        <f>IFERROR(VLOOKUP(December[[#This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56" t="str">
        <f>IFERROR(VLOOKUP(December[[#This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56" t="str">
        <f>IFERROR(VLOOKUP(December[[#This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56" t="str">
        <f>IFERROR(VLOOKUP(December[[#This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56" t="str">
        <f>IFERROR(VLOOKUP(December[[#This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56" t="str">
        <f>IFERROR(VLOOKUP(December[[#This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56" t="str">
        <f>IFERROR(VLOOKUP(December[[#This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56" t="str">
        <f>IFERROR(VLOOKUP(December[[#This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56" t="str">
        <f>IFERROR(VLOOKUP(December[[#This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56" t="str">
        <f>IFERROR(VLOOKUP(December[[#This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56" t="str">
        <f>IFERROR(VLOOKUP(December[[#This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56" t="str">
        <f>IFERROR(VLOOKUP(December[[#This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56" t="str">
        <f>IFERROR(VLOOKUP(December[[#This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56" t="str">
        <f>IFERROR(VLOOKUP(December[[#This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56" t="str">
        <f>IFERROR(VLOOKUP(December[[#This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56" t="str">
        <f>IFERROR(VLOOKUP(December[[#This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56" t="str">
        <f>IFERROR(VLOOKUP(December[[#This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56" t="str">
        <f>IFERROR(VLOOKUP(December[[#This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56" t="str">
        <f>IFERROR(VLOOKUP(December[[#This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56" t="str">
        <f>IFERROR(VLOOKUP(December[[#This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56" t="str">
        <f>IFERROR(VLOOKUP(December[[#This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56" t="str">
        <f>IFERROR(VLOOKUP(December[[#This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56" t="str">
        <f>IFERROR(VLOOKUP(December[[#This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56" t="str">
        <f>IFERROR(VLOOKUP(December[[#This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56" t="str">
        <f>IFERROR(VLOOKUP(December[[#This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56" t="str">
        <f>IFERROR(VLOOKUP(December[[#This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56" t="str">
        <f>IFERROR(VLOOKUP(December[[#This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56" t="str">
        <f>IFERROR(VLOOKUP(December[[#This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56" t="str">
        <f>IFERROR(VLOOKUP(December[[#This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56" t="str">
        <f>IFERROR(VLOOKUP(December[[#This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56" t="str">
        <f>IFERROR(VLOOKUP(December[[#This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56" t="str">
        <f>IFERROR(VLOOKUP(December[[#This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56" t="str">
        <f>IFERROR(VLOOKUP(December[[#This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56" t="str">
        <f>IFERROR(VLOOKUP(December[[#This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56" t="str">
        <f>IFERROR(VLOOKUP(December[[#This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56" t="str">
        <f>IFERROR(VLOOKUP(December[[#This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56" t="str">
        <f>IFERROR(VLOOKUP(December[[#This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56" t="str">
        <f>IFERROR(VLOOKUP(December[[#This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56" t="str">
        <f>IFERROR(VLOOKUP(December[[#This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56" t="str">
        <f>IFERROR(VLOOKUP(December[[#This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56" t="str">
        <f>IFERROR(VLOOKUP(December[[#This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56" t="str">
        <f>IFERROR(VLOOKUP(December[[#This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56" t="str">
        <f>IFERROR(VLOOKUP(December[[#This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56" t="str">
        <f>IFERROR(VLOOKUP(December[[#This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56" t="str">
        <f>IFERROR(VLOOKUP(December[[#This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56" t="str">
        <f>IFERROR(VLOOKUP(December[[#This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56" t="str">
        <f>IFERROR(VLOOKUP(December[[#This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56" t="str">
        <f>IFERROR(VLOOKUP(December[[#This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56" t="str">
        <f>IFERROR(VLOOKUP(December[[#This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56" t="str">
        <f>IFERROR(VLOOKUP(December[[#This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56" t="str">
        <f>IFERROR(VLOOKUP(December[[#This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56" t="str">
        <f>IFERROR(VLOOKUP(December[[#This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56" t="str">
        <f>IFERROR(VLOOKUP(December[[#This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56" t="str">
        <f>IFERROR(VLOOKUP(December[[#This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56" t="str">
        <f>IFERROR(VLOOKUP(December[[#This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56" t="str">
        <f>IFERROR(VLOOKUP(December[[#This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56" t="str">
        <f>IFERROR(VLOOKUP(December[[#This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56" t="str">
        <f>IFERROR(VLOOKUP(December[[#This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56" t="str">
        <f>IFERROR(VLOOKUP(December[[#This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56" t="str">
        <f>IFERROR(VLOOKUP(December[[#This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56" t="str">
        <f>IFERROR(VLOOKUP(December[[#This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56" t="str">
        <f>IFERROR(VLOOKUP(December[[#This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56" t="str">
        <f>IFERROR(VLOOKUP(December[[#This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56" t="str">
        <f>IFERROR(VLOOKUP(December[[#This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56" t="str">
        <f>IFERROR(VLOOKUP(December[[#This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56" t="str">
        <f>IFERROR(VLOOKUP(December[[#This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56" t="str">
        <f>IFERROR(VLOOKUP(December[[#This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56" t="str">
        <f>IFERROR(VLOOKUP(December[[#This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56" t="str">
        <f>IFERROR(VLOOKUP(December[[#This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56" t="str">
        <f>IFERROR(VLOOKUP(December[[#This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56" t="str">
        <f>IFERROR(VLOOKUP(December[[#This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56" t="str">
        <f>IFERROR(VLOOKUP(December[[#This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56" t="str">
        <f>IFERROR(VLOOKUP(December[[#This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56" t="str">
        <f>IFERROR(VLOOKUP(December[[#This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56" t="str">
        <f>IFERROR(VLOOKUP(December[[#This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56" t="str">
        <f>IFERROR(VLOOKUP(December[[#This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56" t="str">
        <f>IFERROR(VLOOKUP(December[[#This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56" t="str">
        <f>IFERROR(VLOOKUP(December[[#This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56" t="str">
        <f>IFERROR(VLOOKUP(December[[#This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56" t="str">
        <f>IFERROR(VLOOKUP(December[[#This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56" t="str">
        <f>IFERROR(VLOOKUP(December[[#This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56" t="str">
        <f>IFERROR(VLOOKUP(December[[#This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56" t="str">
        <f>IFERROR(VLOOKUP(December[[#This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56" t="str">
        <f>IFERROR(VLOOKUP(December[[#This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56" t="str">
        <f>IFERROR(VLOOKUP(December[[#This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56" t="str">
        <f>IFERROR(VLOOKUP(December[[#This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56" t="str">
        <f>IFERROR(VLOOKUP(December[[#This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56" t="str">
        <f>IFERROR(VLOOKUP(December[[#This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56" t="str">
        <f>IFERROR(VLOOKUP(December[[#This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56" t="str">
        <f>IFERROR(VLOOKUP(December[[#This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56" t="str">
        <f>IFERROR(VLOOKUP(December[[#This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56" t="str">
        <f>IFERROR(VLOOKUP(December[[#This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56" t="str">
        <f>IFERROR(VLOOKUP(December[[#This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56" t="str">
        <f>IFERROR(VLOOKUP(December[[#This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56" t="str">
        <f>IFERROR(VLOOKUP(December[[#This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56" t="str">
        <f>IFERROR(VLOOKUP(December[[#This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56" t="str">
        <f>IFERROR(VLOOKUP(December[[#This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56" t="str">
        <f>IFERROR(VLOOKUP(December[[#This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56" t="str">
        <f>IFERROR(VLOOKUP(December[[#This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56" t="str">
        <f>IFERROR(VLOOKUP(December[[#This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56" t="str">
        <f>IFERROR(VLOOKUP(December[[#This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56" t="str">
        <f>IFERROR(VLOOKUP(December[[#This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56" t="str">
        <f>IFERROR(VLOOKUP(December[[#This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56" t="str">
        <f>IFERROR(VLOOKUP(December[[#This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56" t="str">
        <f>IFERROR(VLOOKUP(December[[#This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56" t="str">
        <f>IFERROR(VLOOKUP(December[[#This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56" t="str">
        <f>IFERROR(VLOOKUP(December[[#This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56" t="str">
        <f>IFERROR(VLOOKUP(December[[#This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56" t="str">
        <f>IFERROR(VLOOKUP(December[[#This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56" t="str">
        <f>IFERROR(VLOOKUP(December[[#This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56" t="str">
        <f>IFERROR(VLOOKUP(December[[#This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56" t="str">
        <f>IFERROR(VLOOKUP(December[[#This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56" t="str">
        <f>IFERROR(VLOOKUP(December[[#This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56" t="str">
        <f>IFERROR(VLOOKUP(December[[#This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56" t="str">
        <f>IFERROR(VLOOKUP(December[[#This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56" t="str">
        <f>IFERROR(VLOOKUP(December[[#This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56" t="str">
        <f>IFERROR(VLOOKUP(December[[#This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56" t="str">
        <f>IFERROR(VLOOKUP(December[[#This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56" t="str">
        <f>IFERROR(VLOOKUP(December[[#This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56" t="str">
        <f>IFERROR(VLOOKUP(December[[#This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56" t="str">
        <f>IFERROR(VLOOKUP(December[[#This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56" t="str">
        <f>IFERROR(VLOOKUP(December[[#This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56" t="str">
        <f>IFERROR(VLOOKUP(December[[#This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56" t="str">
        <f>IFERROR(VLOOKUP(December[[#This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56" t="str">
        <f>IFERROR(VLOOKUP(December[[#This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56" t="str">
        <f>IFERROR(VLOOKUP(December[[#This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56" t="str">
        <f>IFERROR(VLOOKUP(December[[#This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56" t="str">
        <f>IFERROR(VLOOKUP(December[[#This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56" t="str">
        <f>IFERROR(VLOOKUP(December[[#This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56" t="str">
        <f>IFERROR(VLOOKUP(December[[#This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56" t="str">
        <f>IFERROR(VLOOKUP(December[[#This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56" t="str">
        <f>IFERROR(VLOOKUP(December[[#This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56" t="str">
        <f>IFERROR(VLOOKUP(December[[#This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56" t="str">
        <f>IFERROR(VLOOKUP(December[[#This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56" t="str">
        <f>IFERROR(VLOOKUP(December[[#This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56" t="str">
        <f>IFERROR(VLOOKUP(December[[#This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56" t="str">
        <f>IFERROR(VLOOKUP(December[[#This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56" t="str">
        <f>IFERROR(VLOOKUP(December[[#This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56" t="str">
        <f>IFERROR(VLOOKUP(December[[#This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56" t="str">
        <f>IFERROR(VLOOKUP(December[[#This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56" t="str">
        <f>IFERROR(VLOOKUP(December[[#This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56" t="str">
        <f>IFERROR(VLOOKUP(December[[#This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56" t="str">
        <f>IFERROR(VLOOKUP(December[[#This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56" t="str">
        <f>IFERROR(VLOOKUP(December[[#This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56" t="str">
        <f>IFERROR(VLOOKUP(December[[#This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56" t="str">
        <f>IFERROR(VLOOKUP(December[[#This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56" t="str">
        <f>IFERROR(VLOOKUP(December[[#This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56" t="str">
        <f>IFERROR(VLOOKUP(December[[#This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56" t="str">
        <f>IFERROR(VLOOKUP(December[[#This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56" t="str">
        <f>IFERROR(VLOOKUP(December[[#This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56" t="str">
        <f>IFERROR(VLOOKUP(December[[#This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56" t="str">
        <f>IFERROR(VLOOKUP(December[[#This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56" t="str">
        <f>IFERROR(VLOOKUP(December[[#This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56" t="str">
        <f>IFERROR(VLOOKUP(December[[#This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56" t="str">
        <f>IFERROR(VLOOKUP(December[[#This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56" t="str">
        <f>IFERROR(VLOOKUP(December[[#This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56" t="str">
        <f>IFERROR(VLOOKUP(December[[#This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56" t="str">
        <f>IFERROR(VLOOKUP(December[[#This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56" t="str">
        <f>IFERROR(VLOOKUP(December[[#This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56" t="str">
        <f>IFERROR(VLOOKUP(December[[#This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56" t="str">
        <f>IFERROR(VLOOKUP(December[[#This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56" t="str">
        <f>IFERROR(VLOOKUP(December[[#This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56" t="str">
        <f>IFERROR(VLOOKUP(December[[#This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56" t="str">
        <f>IFERROR(VLOOKUP(December[[#This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56" t="str">
        <f>IFERROR(VLOOKUP(December[[#This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56" t="str">
        <f>IFERROR(VLOOKUP(December[[#This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56" t="str">
        <f>IFERROR(VLOOKUP(December[[#This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56" t="str">
        <f>IFERROR(VLOOKUP(December[[#This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56" t="str">
        <f>IFERROR(VLOOKUP(December[[#This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56" t="str">
        <f>IFERROR(VLOOKUP(December[[#This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56" t="str">
        <f>IFERROR(VLOOKUP(December[[#This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56" t="str">
        <f>IFERROR(VLOOKUP(December[[#This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56" t="str">
        <f>IFERROR(VLOOKUP(December[[#This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56" t="str">
        <f>IFERROR(VLOOKUP(December[[#This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56" t="str">
        <f>IFERROR(VLOOKUP(December[[#This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56" t="str">
        <f>IFERROR(VLOOKUP(December[[#This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56" t="str">
        <f>IFERROR(VLOOKUP(December[[#This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56" t="str">
        <f>IFERROR(VLOOKUP(December[[#This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56" t="str">
        <f>IFERROR(VLOOKUP(December[[#This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56" t="str">
        <f>IFERROR(VLOOKUP(December[[#This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56" t="str">
        <f>IFERROR(VLOOKUP(December[[#This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56" t="str">
        <f>IFERROR(VLOOKUP(December[[#This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56" t="str">
        <f>IFERROR(VLOOKUP(December[[#This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56" t="str">
        <f>IFERROR(VLOOKUP(December[[#This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56" t="str">
        <f>IFERROR(VLOOKUP(December[[#This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56" t="str">
        <f>IFERROR(VLOOKUP(December[[#This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56" t="str">
        <f>IFERROR(VLOOKUP(December[[#This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56" t="str">
        <f>IFERROR(VLOOKUP(December[[#This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56" t="str">
        <f>IFERROR(VLOOKUP(December[[#This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56" t="str">
        <f>IFERROR(VLOOKUP(December[[#This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56" t="str">
        <f>IFERROR(VLOOKUP(December[[#This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56" t="str">
        <f>IFERROR(VLOOKUP(December[[#This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56" t="str">
        <f>IFERROR(VLOOKUP(December[[#This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56" t="str">
        <f>IFERROR(VLOOKUP(December[[#This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56" t="str">
        <f>IFERROR(VLOOKUP(December[[#This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56" t="str">
        <f>IFERROR(VLOOKUP(December[[#This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56" t="str">
        <f>IFERROR(VLOOKUP(December[[#This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56" t="str">
        <f>IFERROR(VLOOKUP(December[[#This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56" t="str">
        <f>IFERROR(VLOOKUP(December[[#This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56" t="str">
        <f>IFERROR(VLOOKUP(December[[#This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56" t="str">
        <f>IFERROR(VLOOKUP(December[[#This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56" t="str">
        <f>IFERROR(VLOOKUP(December[[#This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56" t="str">
        <f>IFERROR(VLOOKUP(December[[#This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56" t="str">
        <f>IFERROR(VLOOKUP(December[[#This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56" t="str">
        <f>IFERROR(VLOOKUP(December[[#This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56" t="str">
        <f>IFERROR(VLOOKUP(December[[#This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56" t="str">
        <f>IFERROR(VLOOKUP(December[[#This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56" t="str">
        <f>IFERROR(VLOOKUP(December[[#This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56" t="str">
        <f>IFERROR(VLOOKUP(December[[#This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56" t="str">
        <f>IFERROR(VLOOKUP(December[[#This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56" t="str">
        <f>IFERROR(VLOOKUP(December[[#This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56" t="str">
        <f>IFERROR(VLOOKUP(December[[#This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56" t="str">
        <f>IFERROR(VLOOKUP(December[[#This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56" t="str">
        <f>IFERROR(VLOOKUP(December[[#This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56" t="str">
        <f>IFERROR(VLOOKUP(December[[#This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56" t="str">
        <f>IFERROR(VLOOKUP(December[[#This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56" t="str">
        <f>IFERROR(VLOOKUP(December[[#This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56" t="str">
        <f>IFERROR(VLOOKUP(December[[#This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56" t="str">
        <f>IFERROR(VLOOKUP(December[[#This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56" t="str">
        <f>IFERROR(VLOOKUP(December[[#This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56" t="str">
        <f>IFERROR(VLOOKUP(December[[#This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56" t="str">
        <f>IFERROR(VLOOKUP(December[[#This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56" t="str">
        <f>IFERROR(VLOOKUP(December[[#This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56" t="str">
        <f>IFERROR(VLOOKUP(December[[#This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56" t="str">
        <f>IFERROR(VLOOKUP(December[[#This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56" t="str">
        <f>IFERROR(VLOOKUP(December[[#This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56" t="str">
        <f>IFERROR(VLOOKUP(December[[#This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56" t="str">
        <f>IFERROR(VLOOKUP(December[[#This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56" t="str">
        <f>IFERROR(VLOOKUP(December[[#This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56" t="str">
        <f>IFERROR(VLOOKUP(December[[#This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56" t="str">
        <f>IFERROR(VLOOKUP(December[[#This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56" t="str">
        <f>IFERROR(VLOOKUP(December[[#This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56" t="str">
        <f>IFERROR(VLOOKUP(December[[#This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56" t="str">
        <f>IFERROR(VLOOKUP(December[[#This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56" t="str">
        <f>IFERROR(VLOOKUP(December[[#This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56" t="str">
        <f>IFERROR(VLOOKUP(December[[#This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56" t="str">
        <f>IFERROR(VLOOKUP(December[[#This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56" t="str">
        <f>IFERROR(VLOOKUP(December[[#This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56" t="str">
        <f>IFERROR(VLOOKUP(December[[#This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56" t="str">
        <f>IFERROR(VLOOKUP(December[[#This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56" t="str">
        <f>IFERROR(VLOOKUP(December[[#This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56" t="str">
        <f>IFERROR(VLOOKUP(December[[#This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56" t="str">
        <f>IFERROR(VLOOKUP(December[[#This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56" t="str">
        <f>IFERROR(VLOOKUP(December[[#This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56" t="str">
        <f>IFERROR(VLOOKUP(December[[#This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56" t="str">
        <f>IFERROR(VLOOKUP(December[[#This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56" t="str">
        <f>IFERROR(VLOOKUP(December[[#This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56" t="str">
        <f>IFERROR(VLOOKUP(December[[#This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56" t="str">
        <f>IFERROR(VLOOKUP(December[[#This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56" t="str">
        <f>IFERROR(VLOOKUP(December[[#This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56" t="str">
        <f>IFERROR(VLOOKUP(December[[#This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56" t="str">
        <f>IFERROR(VLOOKUP(December[[#This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56" t="str">
        <f>IFERROR(VLOOKUP(December[[#This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56" t="str">
        <f>IFERROR(VLOOKUP(December[[#This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56" t="str">
        <f>IFERROR(VLOOKUP(December[[#This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56" t="str">
        <f>IFERROR(VLOOKUP(December[[#This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56" t="str">
        <f>IFERROR(VLOOKUP(December[[#This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56" t="str">
        <f>IFERROR(VLOOKUP(December[[#This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56" t="str">
        <f>IFERROR(VLOOKUP(December[[#This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56" t="str">
        <f>IFERROR(VLOOKUP(December[[#This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56" t="str">
        <f>IFERROR(VLOOKUP(December[[#This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56" t="str">
        <f>IFERROR(VLOOKUP(December[[#This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56" t="str">
        <f>IFERROR(VLOOKUP(December[[#This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56" t="str">
        <f>IFERROR(VLOOKUP(December[[#This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56" t="str">
        <f>IFERROR(VLOOKUP(December[[#This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56" t="str">
        <f>IFERROR(VLOOKUP(December[[#This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56" t="str">
        <f>IFERROR(VLOOKUP(December[[#This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56" t="str">
        <f>IFERROR(VLOOKUP(December[[#This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56" t="str">
        <f>IFERROR(VLOOKUP(December[[#This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56" t="str">
        <f>IFERROR(VLOOKUP(December[[#This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56" t="str">
        <f>IFERROR(VLOOKUP(December[[#This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56" t="str">
        <f>IFERROR(VLOOKUP(December[[#This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56" t="str">
        <f>IFERROR(VLOOKUP(December[[#This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56" t="str">
        <f>IFERROR(VLOOKUP(December[[#This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56" t="str">
        <f>IFERROR(VLOOKUP(December[[#This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56" t="str">
        <f>IFERROR(VLOOKUP(December[[#This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56" t="str">
        <f>IFERROR(VLOOKUP(December[[#This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56" t="str">
        <f>IFERROR(VLOOKUP(December[[#This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56" t="str">
        <f>IFERROR(VLOOKUP(December[[#This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56" t="str">
        <f>IFERROR(VLOOKUP(December[[#This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56" t="str">
        <f>IFERROR(VLOOKUP(December[[#This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56" t="str">
        <f>IFERROR(VLOOKUP(December[[#This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56" t="str">
        <f>IFERROR(VLOOKUP(December[[#This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56" t="str">
        <f>IFERROR(VLOOKUP(December[[#This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56" t="str">
        <f>IFERROR(VLOOKUP(December[[#This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56" t="str">
        <f>IFERROR(VLOOKUP(December[[#This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56" t="str">
        <f>IFERROR(VLOOKUP(December[[#This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56" t="str">
        <f>IFERROR(VLOOKUP(December[[#This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56" t="str">
        <f>IFERROR(VLOOKUP(December[[#This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56" t="str">
        <f>IFERROR(VLOOKUP(December[[#This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56" t="str">
        <f>IFERROR(VLOOKUP(December[[#This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56" t="str">
        <f>IFERROR(VLOOKUP(December[[#This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56" t="str">
        <f>IFERROR(VLOOKUP(December[[#This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56" t="str">
        <f>IFERROR(VLOOKUP(December[[#This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56" t="str">
        <f>IFERROR(VLOOKUP(December[[#This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56" t="str">
        <f>IFERROR(VLOOKUP(December[[#This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56" t="str">
        <f>IFERROR(VLOOKUP(December[[#This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56" t="str">
        <f>IFERROR(VLOOKUP(December[[#This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56" t="str">
        <f>IFERROR(VLOOKUP(December[[#This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56" t="str">
        <f>IFERROR(VLOOKUP(December[[#This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56" t="str">
        <f>IFERROR(VLOOKUP(December[[#This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56" t="str">
        <f>IFERROR(VLOOKUP(December[[#This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56" t="str">
        <f>IFERROR(VLOOKUP(December[[#This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56" t="str">
        <f>IFERROR(VLOOKUP(December[[#This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56" t="str">
        <f>IFERROR(VLOOKUP(December[[#This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56" t="str">
        <f>IFERROR(VLOOKUP(December[[#This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56" t="str">
        <f>IFERROR(VLOOKUP(December[[#This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56" t="str">
        <f>IFERROR(VLOOKUP(December[[#This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56" t="str">
        <f>IFERROR(VLOOKUP(December[[#This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56" t="str">
        <f>IFERROR(VLOOKUP(December[[#This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56" t="str">
        <f>IFERROR(VLOOKUP(December[[#This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56" t="str">
        <f>IFERROR(VLOOKUP(December[[#This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56" t="str">
        <f>IFERROR(VLOOKUP(December[[#This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56" t="str">
        <f>IFERROR(VLOOKUP(December[[#This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56" t="str">
        <f>IFERROR(VLOOKUP(December[[#This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56" t="str">
        <f>IFERROR(VLOOKUP(December[[#This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56" t="str">
        <f>IFERROR(VLOOKUP(December[[#This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56" t="str">
        <f>IFERROR(VLOOKUP(December[[#This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56" t="str">
        <f>IFERROR(VLOOKUP(December[[#This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56" t="str">
        <f>IFERROR(VLOOKUP(December[[#This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56" t="str">
        <f>IFERROR(VLOOKUP(December[[#This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56" t="str">
        <f>IFERROR(VLOOKUP(December[[#This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56" t="str">
        <f>IFERROR(VLOOKUP(December[[#This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56" t="str">
        <f>IFERROR(VLOOKUP(December[[#This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56" t="str">
        <f>IFERROR(VLOOKUP(December[[#This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56" t="str">
        <f>IFERROR(VLOOKUP(December[[#This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56" t="str">
        <f>IFERROR(VLOOKUP(December[[#This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56" t="str">
        <f>IFERROR(VLOOKUP(December[[#This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56" t="str">
        <f>IFERROR(VLOOKUP(December[[#This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56" t="str">
        <f>IFERROR(VLOOKUP(December[[#This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56" t="str">
        <f>IFERROR(VLOOKUP(December[[#This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56" t="str">
        <f>IFERROR(VLOOKUP(December[[#This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56" t="str">
        <f>IFERROR(VLOOKUP(December[[#This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56" t="str">
        <f>IFERROR(VLOOKUP(December[[#This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56" t="str">
        <f>IFERROR(VLOOKUP(December[[#This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56" t="str">
        <f>IFERROR(VLOOKUP(December[[#This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56" t="str">
        <f>IFERROR(VLOOKUP(December[[#This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56" t="str">
        <f>IFERROR(VLOOKUP(December[[#This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56" t="str">
        <f>IFERROR(VLOOKUP(December[[#This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56" t="str">
        <f>IFERROR(VLOOKUP(December[[#This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56" t="str">
        <f>IFERROR(VLOOKUP(December[[#This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56" t="str">
        <f>IFERROR(VLOOKUP(December[[#This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56" t="str">
        <f>IFERROR(VLOOKUP(December[[#This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56" t="str">
        <f>IFERROR(VLOOKUP(December[[#This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56" t="str">
        <f>IFERROR(VLOOKUP(December[[#This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56" t="str">
        <f>IFERROR(VLOOKUP(December[[#This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56" t="str">
        <f>IFERROR(VLOOKUP(December[[#This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56" t="str">
        <f>IFERROR(VLOOKUP(December[[#This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56" t="str">
        <f>IFERROR(VLOOKUP(December[[#This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56" t="str">
        <f>IFERROR(VLOOKUP(December[[#This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56" t="str">
        <f>IFERROR(VLOOKUP(December[[#This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56" t="str">
        <f>IFERROR(VLOOKUP(December[[#This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56" t="str">
        <f>IFERROR(VLOOKUP(December[[#This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56" t="str">
        <f>IFERROR(VLOOKUP(December[[#This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56" t="str">
        <f>IFERROR(VLOOKUP(December[[#This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56" t="str">
        <f>IFERROR(VLOOKUP(December[[#This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56" t="str">
        <f>IFERROR(VLOOKUP(December[[#This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56" t="str">
        <f>IFERROR(VLOOKUP(December[[#This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56" t="str">
        <f>IFERROR(VLOOKUP(December[[#This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56" t="str">
        <f>IFERROR(VLOOKUP(December[[#This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56" t="str">
        <f>IFERROR(VLOOKUP(December[[#This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56" t="str">
        <f>IFERROR(VLOOKUP(December[[#This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56" t="str">
        <f>IFERROR(VLOOKUP(December[[#This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56" t="str">
        <f>IFERROR(VLOOKUP(December[[#This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56" t="str">
        <f>IFERROR(VLOOKUP(December[[#This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56" t="str">
        <f>IFERROR(VLOOKUP(December[[#This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56" t="str">
        <f>IFERROR(VLOOKUP(December[[#This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56" t="str">
        <f>IFERROR(VLOOKUP(December[[#This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56" t="str">
        <f>IFERROR(VLOOKUP(December[[#This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56" t="str">
        <f>IFERROR(VLOOKUP(December[[#This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56" t="str">
        <f>IFERROR(VLOOKUP(December[[#This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56" t="str">
        <f>IFERROR(VLOOKUP(December[[#This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56" t="str">
        <f>IFERROR(VLOOKUP(December[[#This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56" t="str">
        <f>IFERROR(VLOOKUP(December[[#This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56" t="str">
        <f>IFERROR(VLOOKUP(December[[#This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56" t="str">
        <f>IFERROR(VLOOKUP(December[[#This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56" t="str">
        <f>IFERROR(VLOOKUP(December[[#This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56" t="str">
        <f>IFERROR(VLOOKUP(December[[#This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56" t="str">
        <f>IFERROR(VLOOKUP(December[[#This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56" t="str">
        <f>IFERROR(VLOOKUP(December[[#This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56" t="str">
        <f>IFERROR(VLOOKUP(December[[#This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56" t="str">
        <f>IFERROR(VLOOKUP(December[[#This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56" t="str">
        <f>IFERROR(VLOOKUP(December[[#This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56" t="str">
        <f>IFERROR(VLOOKUP(December[[#This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56" t="str">
        <f>IFERROR(VLOOKUP(December[[#This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56" t="str">
        <f>IFERROR(VLOOKUP(December[[#This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56" t="str">
        <f>IFERROR(VLOOKUP(December[[#This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56" t="str">
        <f>IFERROR(VLOOKUP(December[[#This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56" t="str">
        <f>IFERROR(VLOOKUP(December[[#This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56" t="str">
        <f>IFERROR(VLOOKUP(December[[#This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56" t="str">
        <f>IFERROR(VLOOKUP(December[[#This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56" t="str">
        <f>IFERROR(VLOOKUP(December[[#This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56" t="str">
        <f>IFERROR(VLOOKUP(December[[#This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56" t="str">
        <f>IFERROR(VLOOKUP(December[[#This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56" t="str">
        <f>IFERROR(VLOOKUP(December[[#This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56" t="str">
        <f>IFERROR(VLOOKUP(December[[#This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56" t="str">
        <f>IFERROR(VLOOKUP(December[[#This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56" t="str">
        <f>IFERROR(VLOOKUP(December[[#This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56" t="str">
        <f>IFERROR(VLOOKUP(December[[#This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56" t="str">
        <f>IFERROR(VLOOKUP(December[[#This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56" t="str">
        <f>IFERROR(VLOOKUP(December[[#This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56" t="str">
        <f>IFERROR(VLOOKUP(December[[#This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56" t="str">
        <f>IFERROR(VLOOKUP(December[[#This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56" t="str">
        <f>IFERROR(VLOOKUP(December[[#This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56" t="str">
        <f>IFERROR(VLOOKUP(December[[#This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56" t="str">
        <f>IFERROR(VLOOKUP(December[[#This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56" t="str">
        <f>IFERROR(VLOOKUP(December[[#This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56" t="str">
        <f>IFERROR(VLOOKUP(December[[#This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56" t="str">
        <f>IFERROR(VLOOKUP(December[[#This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56" t="str">
        <f>IFERROR(VLOOKUP(December[[#This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56" t="str">
        <f>IFERROR(VLOOKUP(December[[#This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56" t="str">
        <f>IFERROR(VLOOKUP(December[[#This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56" t="str">
        <f>IFERROR(VLOOKUP(December[[#This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56" t="str">
        <f>IFERROR(VLOOKUP(December[[#This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56" t="str">
        <f>IFERROR(VLOOKUP(December[[#This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56" t="str">
        <f>IFERROR(VLOOKUP(December[[#This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56" t="str">
        <f>IFERROR(VLOOKUP(December[[#This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56" t="str">
        <f>IFERROR(VLOOKUP(December[[#This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56" t="str">
        <f>IFERROR(VLOOKUP(December[[#This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56" t="str">
        <f>IFERROR(VLOOKUP(December[[#This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56" t="str">
        <f>IFERROR(VLOOKUP(December[[#This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56" t="str">
        <f>IFERROR(VLOOKUP(December[[#This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56" t="str">
        <f>IFERROR(VLOOKUP(December[[#This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56" t="str">
        <f>IFERROR(VLOOKUP(December[[#This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56" t="str">
        <f>IFERROR(VLOOKUP(December[[#This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56" t="str">
        <f>IFERROR(VLOOKUP(December[[#This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56" t="str">
        <f>IFERROR(VLOOKUP(December[[#This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56" t="str">
        <f>IFERROR(VLOOKUP(December[[#This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56" t="str">
        <f>IFERROR(VLOOKUP(December[[#This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56" t="str">
        <f>IFERROR(VLOOKUP(December[[#This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56" t="str">
        <f>IFERROR(VLOOKUP(December[[#This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56" t="str">
        <f>IFERROR(VLOOKUP(December[[#This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56" t="str">
        <f>IFERROR(VLOOKUP(December[[#This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56" t="str">
        <f>IFERROR(VLOOKUP(December[[#This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56" t="str">
        <f>IFERROR(VLOOKUP(December[[#This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56" t="str">
        <f>IFERROR(VLOOKUP(December[[#This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56" t="str">
        <f>IFERROR(VLOOKUP(December[[#This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56" t="str">
        <f>IFERROR(VLOOKUP(December[[#This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56" t="str">
        <f>IFERROR(VLOOKUP(December[[#This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56" t="str">
        <f>IFERROR(VLOOKUP(December[[#This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56" t="str">
        <f>IFERROR(VLOOKUP(December[[#This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56" t="str">
        <f>IFERROR(VLOOKUP(December[[#This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56" t="str">
        <f>IFERROR(VLOOKUP(December[[#This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56" t="str">
        <f>IFERROR(VLOOKUP(December[[#This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56" t="str">
        <f>IFERROR(VLOOKUP(December[[#This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56" t="str">
        <f>IFERROR(VLOOKUP(December[[#This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56" t="str">
        <f>IFERROR(VLOOKUP(December[[#This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56" t="str">
        <f>IFERROR(VLOOKUP(December[[#This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56" t="str">
        <f>IFERROR(VLOOKUP(December[[#This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56" t="str">
        <f>IFERROR(VLOOKUP(December[[#This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56" t="str">
        <f>IFERROR(VLOOKUP(December[[#This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56" t="str">
        <f>IFERROR(VLOOKUP(December[[#This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56" t="str">
        <f>IFERROR(VLOOKUP(December[[#This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56" t="str">
        <f>IFERROR(VLOOKUP(December[[#This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56" t="str">
        <f>IFERROR(VLOOKUP(December[[#This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56" t="str">
        <f>IFERROR(VLOOKUP(December[[#This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56" t="str">
        <f>IFERROR(VLOOKUP(December[[#This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56" t="str">
        <f>IFERROR(VLOOKUP(December[[#This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56" t="str">
        <f>IFERROR(VLOOKUP(December[[#This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56" t="str">
        <f>IFERROR(VLOOKUP(December[[#This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56" t="str">
        <f>IFERROR(VLOOKUP(December[[#This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56" t="str">
        <f>IFERROR(VLOOKUP(December[[#This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56" t="str">
        <f>IFERROR(VLOOKUP(December[[#This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56" t="str">
        <f>IFERROR(VLOOKUP(December[[#This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56" t="str">
        <f>IFERROR(VLOOKUP(December[[#This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56" t="str">
        <f>IFERROR(VLOOKUP(December[[#This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56" t="str">
        <f>IFERROR(VLOOKUP(December[[#This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56" t="str">
        <f>IFERROR(VLOOKUP(December[[#This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56" t="str">
        <f>IFERROR(VLOOKUP(December[[#This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56" t="str">
        <f>IFERROR(VLOOKUP(December[[#This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56" t="str">
        <f>IFERROR(VLOOKUP(December[[#This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56" t="str">
        <f>IFERROR(VLOOKUP(December[[#This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56" t="str">
        <f>IFERROR(VLOOKUP(December[[#This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56" t="str">
        <f>IFERROR(VLOOKUP(December[[#This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56" t="str">
        <f>IFERROR(VLOOKUP(December[[#This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56" t="str">
        <f>IFERROR(VLOOKUP(December[[#This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56" t="str">
        <f>IFERROR(VLOOKUP(December[[#This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56" t="str">
        <f>IFERROR(VLOOKUP(December[[#This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56" t="str">
        <f>IFERROR(VLOOKUP(December[[#This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56" t="str">
        <f>IFERROR(VLOOKUP(December[[#This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56" t="str">
        <f>IFERROR(VLOOKUP(December[[#This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56" t="str">
        <f>IFERROR(VLOOKUP(December[[#This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56" t="str">
        <f>IFERROR(VLOOKUP(December[[#This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56" t="str">
        <f>IFERROR(VLOOKUP(December[[#This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56" t="str">
        <f>IFERROR(VLOOKUP(December[[#This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56" t="str">
        <f>IFERROR(VLOOKUP(December[[#This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56" t="str">
        <f>IFERROR(VLOOKUP(December[[#This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56" t="str">
        <f>IFERROR(VLOOKUP(December[[#This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56" t="str">
        <f>IFERROR(VLOOKUP(December[[#This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56" t="str">
        <f>IFERROR(VLOOKUP(December[[#This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56" t="str">
        <f>IFERROR(VLOOKUP(December[[#This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56" t="str">
        <f>IFERROR(VLOOKUP(December[[#This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56" t="str">
        <f>IFERROR(VLOOKUP(December[[#This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56" t="str">
        <f>IFERROR(VLOOKUP(December[[#This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56" t="str">
        <f>IFERROR(VLOOKUP(December[[#This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56" t="str">
        <f>IFERROR(VLOOKUP(December[[#This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56" t="str">
        <f>IFERROR(VLOOKUP(December[[#This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56" t="str">
        <f>IFERROR(VLOOKUP(December[[#This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56" t="str">
        <f>IFERROR(VLOOKUP(December[[#This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56" t="str">
        <f>IFERROR(VLOOKUP(December[[#This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56" t="str">
        <f>IFERROR(VLOOKUP(December[[#This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56" t="str">
        <f>IFERROR(VLOOKUP(December[[#This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56" t="str">
        <f>IFERROR(VLOOKUP(December[[#This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56" t="str">
        <f>IFERROR(VLOOKUP(December[[#This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56" t="str">
        <f>IFERROR(VLOOKUP(December[[#This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56" t="str">
        <f>IFERROR(VLOOKUP(December[[#This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56" t="str">
        <f>IFERROR(VLOOKUP(December[[#This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56" t="str">
        <f>IFERROR(VLOOKUP(December[[#This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56" t="str">
        <f>IFERROR(VLOOKUP(December[[#This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56" t="str">
        <f>IFERROR(VLOOKUP(December[[#This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56" t="str">
        <f>IFERROR(VLOOKUP(December[[#This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56" t="str">
        <f>IFERROR(VLOOKUP(December[[#This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56" t="str">
        <f>IFERROR(VLOOKUP(December[[#This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56" t="str">
        <f>IFERROR(VLOOKUP(December[[#This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56" t="str">
        <f>IFERROR(VLOOKUP(December[[#This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56" t="str">
        <f>IFERROR(VLOOKUP(December[[#This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56" t="str">
        <f>IFERROR(VLOOKUP(December[[#This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56" t="str">
        <f>IFERROR(VLOOKUP(December[[#This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56" t="str">
        <f>IFERROR(VLOOKUP(December[[#This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56" t="str">
        <f>IFERROR(VLOOKUP(December[[#This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56" t="str">
        <f>IFERROR(VLOOKUP(December[[#This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56" t="str">
        <f>IFERROR(VLOOKUP(December[[#This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56" t="str">
        <f>IFERROR(VLOOKUP(December[[#This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56" t="str">
        <f>IFERROR(VLOOKUP(December[[#This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56" t="str">
        <f>IFERROR(VLOOKUP(December[[#This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56" t="str">
        <f>IFERROR(VLOOKUP(December[[#This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56" t="str">
        <f>IFERROR(VLOOKUP(December[[#This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56" t="str">
        <f>IFERROR(VLOOKUP(December[[#This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56" t="str">
        <f>IFERROR(VLOOKUP(December[[#This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56" t="str">
        <f>IFERROR(VLOOKUP(December[[#This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56" t="str">
        <f>IFERROR(VLOOKUP(December[[#This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56" t="str">
        <f>IFERROR(VLOOKUP(December[[#This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56" t="str">
        <f>IFERROR(VLOOKUP(December[[#This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56" t="str">
        <f>IFERROR(VLOOKUP(December[[#This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56" t="str">
        <f>IFERROR(VLOOKUP(December[[#This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56" t="str">
        <f>IFERROR(VLOOKUP(December[[#This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56" t="str">
        <f>IFERROR(VLOOKUP(December[[#This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56" t="str">
        <f>IFERROR(VLOOKUP(December[[#This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56" t="str">
        <f>IFERROR(VLOOKUP(December[[#This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56" t="str">
        <f>IFERROR(VLOOKUP(December[[#This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56" t="str">
        <f>IFERROR(VLOOKUP(December[[#This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56" t="str">
        <f>IFERROR(VLOOKUP(December[[#This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56" t="str">
        <f>IFERROR(VLOOKUP(December[[#This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56" t="str">
        <f>IFERROR(VLOOKUP(December[[#This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56" t="str">
        <f>IFERROR(VLOOKUP(December[[#This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56" t="str">
        <f>IFERROR(VLOOKUP(December[[#This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56" t="str">
        <f>IFERROR(VLOOKUP(December[[#This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56" t="str">
        <f>IFERROR(VLOOKUP(December[[#This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56" t="str">
        <f>IFERROR(VLOOKUP(December[[#This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56" t="str">
        <f>IFERROR(VLOOKUP(December[[#This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56" t="str">
        <f>IFERROR(VLOOKUP(December[[#This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56" t="str">
        <f>IFERROR(VLOOKUP(December[[#This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56" t="str">
        <f>IFERROR(VLOOKUP(December[[#This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56" t="str">
        <f>IFERROR(VLOOKUP(December[[#This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56" t="str">
        <f>IFERROR(VLOOKUP(December[[#This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56" t="str">
        <f>IFERROR(VLOOKUP(December[[#This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56" t="str">
        <f>IFERROR(VLOOKUP(December[[#This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56" t="str">
        <f>IFERROR(VLOOKUP(December[[#This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56" t="str">
        <f>IFERROR(VLOOKUP(December[[#This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56" t="str">
        <f>IFERROR(VLOOKUP(December[[#This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56" t="str">
        <f>IFERROR(VLOOKUP(December[[#This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56" t="str">
        <f>IFERROR(VLOOKUP(December[[#This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56" t="str">
        <f>IFERROR(VLOOKUP(December[[#This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56" t="str">
        <f>IFERROR(VLOOKUP(December[[#This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56" t="str">
        <f>IFERROR(VLOOKUP(December[[#This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56" t="str">
        <f>IFERROR(VLOOKUP(December[[#This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56" t="str">
        <f>IFERROR(VLOOKUP(December[[#This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56" t="str">
        <f>IFERROR(VLOOKUP(December[[#This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56" t="str">
        <f>IFERROR(VLOOKUP(December[[#This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56" t="str">
        <f>IFERROR(VLOOKUP(December[[#This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56" t="str">
        <f>IFERROR(VLOOKUP(December[[#This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56" t="str">
        <f>IFERROR(VLOOKUP(December[[#This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56" t="str">
        <f>IFERROR(VLOOKUP(December[[#This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56" t="str">
        <f>IFERROR(VLOOKUP(December[[#This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56" t="str">
        <f>IFERROR(VLOOKUP(December[[#This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56" t="str">
        <f>IFERROR(VLOOKUP(December[[#This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56" t="str">
        <f>IFERROR(VLOOKUP(December[[#This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56" t="str">
        <f>IFERROR(VLOOKUP(December[[#This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56" t="str">
        <f>IFERROR(VLOOKUP(December[[#This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56" t="str">
        <f>IFERROR(VLOOKUP(December[[#This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56" t="str">
        <f>IFERROR(VLOOKUP(December[[#This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56" t="str">
        <f>IFERROR(VLOOKUP(December[[#This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56" t="str">
        <f>IFERROR(VLOOKUP(December[[#This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56" t="str">
        <f>IFERROR(VLOOKUP(December[[#This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56" t="str">
        <f>IFERROR(VLOOKUP(December[[#This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56" t="str">
        <f>IFERROR(VLOOKUP(December[[#This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56" t="str">
        <f>IFERROR(VLOOKUP(December[[#This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56" t="str">
        <f>IFERROR(VLOOKUP(December[[#This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56" t="str">
        <f>IFERROR(VLOOKUP(December[[#This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56" t="str">
        <f>IFERROR(VLOOKUP(December[[#This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56" t="str">
        <f>IFERROR(VLOOKUP(December[[#This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56" t="str">
        <f>IFERROR(VLOOKUP(December[[#This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56" t="str">
        <f>IFERROR(VLOOKUP(December[[#This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56" t="str">
        <f>IFERROR(VLOOKUP(December[[#This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56" t="str">
        <f>IFERROR(VLOOKUP(December[[#This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56" t="str">
        <f>IFERROR(VLOOKUP(December[[#This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56" t="str">
        <f>IFERROR(VLOOKUP(December[[#This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56" t="str">
        <f>IFERROR(VLOOKUP(December[[#This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56" t="str">
        <f>IFERROR(VLOOKUP(December[[#This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56" t="str">
        <f>IFERROR(VLOOKUP(December[[#This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56" t="str">
        <f>IFERROR(VLOOKUP(December[[#This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56" t="str">
        <f>IFERROR(VLOOKUP(December[[#This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56" t="str">
        <f>IFERROR(VLOOKUP(December[[#This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56" t="str">
        <f>IFERROR(VLOOKUP(December[[#This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56" t="str">
        <f>IFERROR(VLOOKUP(December[[#This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56" t="str">
        <f>IFERROR(VLOOKUP(December[[#This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56" t="str">
        <f>IFERROR(VLOOKUP(December[[#This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56" t="str">
        <f>IFERROR(VLOOKUP(December[[#This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56" t="str">
        <f>IFERROR(VLOOKUP(December[[#This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56" t="str">
        <f>IFERROR(VLOOKUP(December[[#This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56" t="str">
        <f>IFERROR(VLOOKUP(December[[#This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56" t="str">
        <f>IFERROR(VLOOKUP(December[[#This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56" t="str">
        <f>IFERROR(VLOOKUP(December[[#This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56" t="str">
        <f>IFERROR(VLOOKUP(December[[#This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56" t="str">
        <f>IFERROR(VLOOKUP(December[[#This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56" t="str">
        <f>IFERROR(VLOOKUP(December[[#This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56" t="str">
        <f>IFERROR(VLOOKUP(December[[#This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56" t="str">
        <f>IFERROR(VLOOKUP(December[[#This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56" t="str">
        <f>IFERROR(VLOOKUP(December[[#This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56" t="str">
        <f>IFERROR(VLOOKUP(December[[#This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56" t="str">
        <f>IFERROR(VLOOKUP(December[[#This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56" t="str">
        <f>IFERROR(VLOOKUP(December[[#This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56" t="str">
        <f>IFERROR(VLOOKUP(December[[#This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56" t="str">
        <f>IFERROR(VLOOKUP(December[[#This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56" t="str">
        <f>IFERROR(VLOOKUP(December[[#This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56" t="str">
        <f>IFERROR(VLOOKUP(December[[#This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56" t="str">
        <f>IFERROR(VLOOKUP(December[[#This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56" t="str">
        <f>IFERROR(VLOOKUP(December[[#This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56" t="str">
        <f>IFERROR(VLOOKUP(December[[#This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56" t="str">
        <f>IFERROR(VLOOKUP(December[[#This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56" t="str">
        <f>IFERROR(VLOOKUP(December[[#This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56" t="str">
        <f>IFERROR(VLOOKUP(December[[#This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56" t="str">
        <f>IFERROR(VLOOKUP(December[[#This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56" t="str">
        <f>IFERROR(VLOOKUP(December[[#This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56" t="str">
        <f>IFERROR(VLOOKUP(December[[#This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56" t="str">
        <f>IFERROR(VLOOKUP(December[[#This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56" t="str">
        <f>IFERROR(VLOOKUP(December[[#This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56" t="str">
        <f>IFERROR(VLOOKUP(December[[#This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56" t="str">
        <f>IFERROR(VLOOKUP(December[[#This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56" t="str">
        <f>IFERROR(VLOOKUP(December[[#This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56" t="str">
        <f>IFERROR(VLOOKUP(December[[#This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56" t="str">
        <f>IFERROR(VLOOKUP(December[[#This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56" t="str">
        <f>IFERROR(VLOOKUP(December[[#This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56" t="str">
        <f>IFERROR(VLOOKUP(December[[#This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56" t="str">
        <f>IFERROR(VLOOKUP(December[[#This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56" t="str">
        <f>IFERROR(VLOOKUP(December[[#This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56" t="str">
        <f>IFERROR(VLOOKUP(December[[#This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56" t="str">
        <f>IFERROR(VLOOKUP(December[[#This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56" t="str">
        <f>IFERROR(VLOOKUP(December[[#This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56" t="str">
        <f>IFERROR(VLOOKUP(December[[#This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56" t="str">
        <f>IFERROR(VLOOKUP(December[[#This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56" t="str">
        <f>IFERROR(VLOOKUP(December[[#This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56" t="str">
        <f>IFERROR(VLOOKUP(December[[#This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56" t="str">
        <f>IFERROR(VLOOKUP(December[[#This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56" t="str">
        <f>IFERROR(VLOOKUP(December[[#This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56" t="str">
        <f>IFERROR(VLOOKUP(December[[#This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56" t="str">
        <f>IFERROR(VLOOKUP(December[[#This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56" t="str">
        <f>IFERROR(VLOOKUP(December[[#This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56" t="str">
        <f>IFERROR(VLOOKUP(December[[#This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56" t="str">
        <f>IFERROR(VLOOKUP(December[[#This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56" t="str">
        <f>IFERROR(VLOOKUP(December[[#This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56" t="str">
        <f>IFERROR(VLOOKUP(December[[#This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56" t="str">
        <f>IFERROR(VLOOKUP(December[[#This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56" t="str">
        <f>IFERROR(VLOOKUP(December[[#This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56" t="str">
        <f>IFERROR(VLOOKUP(December[[#This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56" t="str">
        <f>IFERROR(VLOOKUP(December[[#This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56" t="str">
        <f>IFERROR(VLOOKUP(December[[#This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56" t="str">
        <f>IFERROR(VLOOKUP(December[[#This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56" t="str">
        <f>IFERROR(VLOOKUP(December[[#This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56" t="str">
        <f>IFERROR(VLOOKUP(December[[#This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56" t="str">
        <f>IFERROR(VLOOKUP(December[[#This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56" t="str">
        <f>IFERROR(VLOOKUP(December[[#This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56" t="str">
        <f>IFERROR(VLOOKUP(December[[#This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56" t="str">
        <f>IFERROR(VLOOKUP(December[[#This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56" t="str">
        <f>IFERROR(VLOOKUP(December[[#This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56" t="str">
        <f>IFERROR(VLOOKUP(December[[#This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56" t="str">
        <f>IFERROR(VLOOKUP(December[[#This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56" t="str">
        <f>IFERROR(VLOOKUP(December[[#This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56" t="str">
        <f>IFERROR(VLOOKUP(December[[#This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56" t="str">
        <f>IFERROR(VLOOKUP(December[[#This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56" t="str">
        <f>IFERROR(VLOOKUP(December[[#This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56" t="str">
        <f>IFERROR(VLOOKUP(December[[#This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56" t="str">
        <f>IFERROR(VLOOKUP(December[[#This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56" t="str">
        <f>IFERROR(VLOOKUP(December[[#This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56" t="str">
        <f>IFERROR(VLOOKUP(December[[#This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56" t="str">
        <f>IFERROR(VLOOKUP(December[[#This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56" t="str">
        <f>IFERROR(VLOOKUP(December[[#This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56" t="str">
        <f>IFERROR(VLOOKUP(December[[#This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56" t="str">
        <f>IFERROR(VLOOKUP(December[[#This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56" t="str">
        <f>IFERROR(VLOOKUP(December[[#This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56" t="str">
        <f>IFERROR(VLOOKUP(December[[#This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56" t="str">
        <f>IFERROR(VLOOKUP(December[[#This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56" t="str">
        <f>IFERROR(VLOOKUP(December[[#This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56" t="str">
        <f>IFERROR(VLOOKUP(December[[#This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56" t="str">
        <f>IFERROR(VLOOKUP(December[[#This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56" t="str">
        <f>IFERROR(VLOOKUP(December[[#This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56" t="str">
        <f>IFERROR(VLOOKUP(December[[#This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56" t="str">
        <f>IFERROR(VLOOKUP(December[[#This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56" t="str">
        <f>IFERROR(VLOOKUP(December[[#This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56" t="str">
        <f>IFERROR(VLOOKUP(December[[#This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56" t="str">
        <f>IFERROR(VLOOKUP(December[[#This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56" t="str">
        <f>IFERROR(VLOOKUP(December[[#This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56" t="str">
        <f>IFERROR(VLOOKUP(December[[#This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56" t="str">
        <f>IFERROR(VLOOKUP(December[[#This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56" t="str">
        <f>IFERROR(VLOOKUP(December[[#This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56" t="str">
        <f>IFERROR(VLOOKUP(December[[#This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56" t="str">
        <f>IFERROR(VLOOKUP(December[[#This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56" t="str">
        <f>IFERROR(VLOOKUP(December[[#This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56" t="str">
        <f>IFERROR(VLOOKUP(December[[#This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56" t="str">
        <f>IFERROR(VLOOKUP(December[[#This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56" t="str">
        <f>IFERROR(VLOOKUP(December[[#This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56" t="str">
        <f>IFERROR(VLOOKUP(December[[#This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56" t="str">
        <f>IFERROR(VLOOKUP(December[[#This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56" t="str">
        <f>IFERROR(VLOOKUP(December[[#This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56" t="str">
        <f>IFERROR(VLOOKUP(December[[#This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56" t="str">
        <f>IFERROR(VLOOKUP(December[[#This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56" t="str">
        <f>IFERROR(VLOOKUP(December[[#This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56" t="str">
        <f>IFERROR(VLOOKUP(December[[#This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56" t="str">
        <f>IFERROR(VLOOKUP(December[[#This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56" t="str">
        <f>IFERROR(VLOOKUP(December[[#This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56" t="str">
        <f>IFERROR(VLOOKUP(December[[#This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56" t="str">
        <f>IFERROR(VLOOKUP(December[[#This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56" t="str">
        <f>IFERROR(VLOOKUP(December[[#This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56" t="str">
        <f>IFERROR(VLOOKUP(December[[#This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56" t="str">
        <f>IFERROR(VLOOKUP(December[[#This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56" t="str">
        <f>IFERROR(VLOOKUP(December[[#This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56" t="str">
        <f>IFERROR(VLOOKUP(December[[#This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56" t="str">
        <f>IFERROR(VLOOKUP(December[[#This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56" t="str">
        <f>IFERROR(VLOOKUP(December[[#This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56" t="str">
        <f>IFERROR(VLOOKUP(December[[#This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56" t="str">
        <f>IFERROR(VLOOKUP(December[[#This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56" t="str">
        <f>IFERROR(VLOOKUP(December[[#This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56" t="str">
        <f>IFERROR(VLOOKUP(December[[#This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56" t="str">
        <f>IFERROR(VLOOKUP(December[[#This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56" t="str">
        <f>IFERROR(VLOOKUP(December[[#This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56" t="str">
        <f>IFERROR(VLOOKUP(December[[#This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56" t="str">
        <f>IFERROR(VLOOKUP(December[[#This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56" t="str">
        <f>IFERROR(VLOOKUP(December[[#This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56" t="str">
        <f>IFERROR(VLOOKUP(December[[#This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56" t="str">
        <f>IFERROR(VLOOKUP(December[[#This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56" t="str">
        <f>IFERROR(VLOOKUP(December[[#This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56" t="str">
        <f>IFERROR(VLOOKUP(December[[#This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56" t="str">
        <f>IFERROR(VLOOKUP(December[[#This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56" t="str">
        <f>IFERROR(VLOOKUP(December[[#This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56" t="str">
        <f>IFERROR(VLOOKUP(December[[#This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56" t="str">
        <f>IFERROR(VLOOKUP(December[[#This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56" t="str">
        <f>IFERROR(VLOOKUP(December[[#This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56" t="str">
        <f>IFERROR(VLOOKUP(December[[#This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56" t="str">
        <f>IFERROR(VLOOKUP(December[[#This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56" t="str">
        <f>IFERROR(VLOOKUP(December[[#This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56" t="str">
        <f>IFERROR(VLOOKUP(December[[#This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56" t="str">
        <f>IFERROR(VLOOKUP(December[[#This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56" t="str">
        <f>IFERROR(VLOOKUP(December[[#This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56" t="str">
        <f>IFERROR(VLOOKUP(December[[#This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56" t="str">
        <f>IFERROR(VLOOKUP(December[[#This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56" t="str">
        <f>IFERROR(VLOOKUP(December[[#This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56" t="str">
        <f>IFERROR(VLOOKUP(December[[#This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56" t="str">
        <f>IFERROR(VLOOKUP(December[[#This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56" t="str">
        <f>IFERROR(VLOOKUP(December[[#This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56" t="str">
        <f>IFERROR(VLOOKUP(December[[#This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56" t="str">
        <f>IFERROR(VLOOKUP(December[[#This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56" t="str">
        <f>IFERROR(VLOOKUP(December[[#This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56" t="str">
        <f>IFERROR(VLOOKUP(December[[#This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56" t="str">
        <f>IFERROR(VLOOKUP(December[[#This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56" t="str">
        <f>IFERROR(VLOOKUP(December[[#This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56" t="str">
        <f>IFERROR(VLOOKUP(December[[#This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56" t="str">
        <f>IFERROR(VLOOKUP(December[[#This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56" t="str">
        <f>IFERROR(VLOOKUP(December[[#This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56" t="str">
        <f>IFERROR(VLOOKUP(December[[#This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56" t="str">
        <f>IFERROR(VLOOKUP(December[[#This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56" t="str">
        <f>IFERROR(VLOOKUP(December[[#This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56" t="str">
        <f>IFERROR(VLOOKUP(December[[#This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56" t="str">
        <f>IFERROR(VLOOKUP(December[[#This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56" t="str">
        <f>IFERROR(VLOOKUP(December[[#This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56" t="str">
        <f>IFERROR(VLOOKUP(December[[#This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56" t="str">
        <f>IFERROR(VLOOKUP(December[[#This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56" t="str">
        <f>IFERROR(VLOOKUP(December[[#This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56" t="str">
        <f>IFERROR(VLOOKUP(December[[#This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56" t="str">
        <f>IFERROR(VLOOKUP(December[[#This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56" t="str">
        <f>IFERROR(VLOOKUP(December[[#This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56" t="str">
        <f>IFERROR(VLOOKUP(December[[#This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56" t="str">
        <f>IFERROR(VLOOKUP(December[[#This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56" t="str">
        <f>IFERROR(VLOOKUP(December[[#This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56" t="str">
        <f>IFERROR(VLOOKUP(December[[#This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56" t="str">
        <f>IFERROR(VLOOKUP(December[[#This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56" t="str">
        <f>IFERROR(VLOOKUP(December[[#This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56" t="str">
        <f>IFERROR(VLOOKUP(December[[#This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56" t="str">
        <f>IFERROR(VLOOKUP(December[[#This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56" t="str">
        <f>IFERROR(VLOOKUP(December[[#This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56" t="str">
        <f>IFERROR(VLOOKUP(December[[#This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56" t="str">
        <f>IFERROR(VLOOKUP(December[[#This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56" t="str">
        <f>IFERROR(VLOOKUP(December[[#This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56" t="str">
        <f>IFERROR(VLOOKUP(December[[#This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56" t="str">
        <f>IFERROR(VLOOKUP(December[[#This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56" t="str">
        <f>IFERROR(VLOOKUP(December[[#This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56" t="str">
        <f>IFERROR(VLOOKUP(December[[#This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56" t="str">
        <f>IFERROR(VLOOKUP(December[[#This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56" t="str">
        <f>IFERROR(VLOOKUP(December[[#This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56" t="str">
        <f>IFERROR(VLOOKUP(December[[#This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56" t="str">
        <f>IFERROR(VLOOKUP(December[[#This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56" t="str">
        <f>IFERROR(VLOOKUP(December[[#This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56" t="str">
        <f>IFERROR(VLOOKUP(December[[#This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56" t="str">
        <f>IFERROR(VLOOKUP(December[[#This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56" t="str">
        <f>IFERROR(VLOOKUP(December[[#This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56" t="str">
        <f>IFERROR(VLOOKUP(December[[#This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56" t="str">
        <f>IFERROR(VLOOKUP(December[[#This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56" t="str">
        <f>IFERROR(VLOOKUP(December[[#This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56" t="str">
        <f>IFERROR(VLOOKUP(December[[#This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56" t="str">
        <f>IFERROR(VLOOKUP(December[[#This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56" t="str">
        <f>IFERROR(VLOOKUP(December[[#This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56" t="str">
        <f>IFERROR(VLOOKUP(December[[#This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56" t="str">
        <f>IFERROR(VLOOKUP(December[[#This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56" t="str">
        <f>IFERROR(VLOOKUP(December[[#This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56" t="str">
        <f>IFERROR(VLOOKUP(December[[#This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56" t="str">
        <f>IFERROR(VLOOKUP(December[[#This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56" t="str">
        <f>IFERROR(VLOOKUP(December[[#This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56" t="str">
        <f>IFERROR(VLOOKUP(December[[#This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56" t="str">
        <f>IFERROR(VLOOKUP(December[[#This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56" t="str">
        <f>IFERROR(VLOOKUP(December[[#This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56" t="str">
        <f>IFERROR(VLOOKUP(December[[#This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56" t="str">
        <f>IFERROR(VLOOKUP(December[[#This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56" t="str">
        <f>IFERROR(VLOOKUP(December[[#This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56" t="str">
        <f>IFERROR(VLOOKUP(December[[#This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56" t="str">
        <f>IFERROR(VLOOKUP(December[[#This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56" t="str">
        <f>IFERROR(VLOOKUP(December[[#This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56" t="str">
        <f>IFERROR(VLOOKUP(December[[#This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56" t="str">
        <f>IFERROR(VLOOKUP(December[[#This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56" t="str">
        <f>IFERROR(VLOOKUP(December[[#This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56" t="str">
        <f>IFERROR(VLOOKUP(December[[#This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56" t="str">
        <f>IFERROR(VLOOKUP(December[[#This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56" t="str">
        <f>IFERROR(VLOOKUP(December[[#This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56" t="str">
        <f>IFERROR(VLOOKUP(December[[#This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56" t="str">
        <f>IFERROR(VLOOKUP(December[[#This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56" t="str">
        <f>IFERROR(VLOOKUP(December[[#This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56" t="str">
        <f>IFERROR(VLOOKUP(December[[#This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56" t="str">
        <f>IFERROR(VLOOKUP(December[[#This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56" t="str">
        <f>IFERROR(VLOOKUP(December[[#This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56" t="str">
        <f>IFERROR(VLOOKUP(December[[#This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56" t="str">
        <f>IFERROR(VLOOKUP(December[[#This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56" t="str">
        <f>IFERROR(VLOOKUP(December[[#This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56" t="str">
        <f>IFERROR(VLOOKUP(December[[#This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56" t="str">
        <f>IFERROR(VLOOKUP(December[[#This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56" t="str">
        <f>IFERROR(VLOOKUP(December[[#This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56" t="str">
        <f>IFERROR(VLOOKUP(December[[#This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56" t="str">
        <f>IFERROR(VLOOKUP(December[[#This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56" t="str">
        <f>IFERROR(VLOOKUP(December[[#This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56" t="str">
        <f>IFERROR(VLOOKUP(December[[#This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56" t="str">
        <f>IFERROR(VLOOKUP(December[[#This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56" t="str">
        <f>IFERROR(VLOOKUP(December[[#This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56" t="str">
        <f>IFERROR(VLOOKUP(December[[#This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56" t="str">
        <f>IFERROR(VLOOKUP(December[[#This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56" t="str">
        <f>IFERROR(VLOOKUP(December[[#This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56" t="str">
        <f>IFERROR(VLOOKUP(December[[#This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56" t="str">
        <f>IFERROR(VLOOKUP(December[[#This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56" t="str">
        <f>IFERROR(VLOOKUP(December[[#This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56" t="str">
        <f>IFERROR(VLOOKUP(December[[#This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56" t="str">
        <f>IFERROR(VLOOKUP(December[[#This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56" t="str">
        <f>IFERROR(VLOOKUP(December[[#This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56" t="str">
        <f>IFERROR(VLOOKUP(December[[#This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56" t="str">
        <f>IFERROR(VLOOKUP(December[[#This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56" t="str">
        <f>IFERROR(VLOOKUP(December[[#This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56" t="str">
        <f>IFERROR(VLOOKUP(December[[#This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56" t="str">
        <f>IFERROR(VLOOKUP(December[[#This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56" t="str">
        <f>IFERROR(VLOOKUP(December[[#This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56" t="str">
        <f>IFERROR(VLOOKUP(December[[#This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56" t="str">
        <f>IFERROR(VLOOKUP(December[[#This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56" t="str">
        <f>IFERROR(VLOOKUP(December[[#This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56" t="str">
        <f>IFERROR(VLOOKUP(December[[#This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56" t="str">
        <f>IFERROR(VLOOKUP(December[[#This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56" t="str">
        <f>IFERROR(VLOOKUP(December[[#This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56" t="str">
        <f>IFERROR(VLOOKUP(December[[#This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56" t="str">
        <f>IFERROR(VLOOKUP(December[[#This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56" t="str">
        <f>IFERROR(VLOOKUP(December[[#This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56" t="str">
        <f>IFERROR(VLOOKUP(December[[#This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56" t="str">
        <f>IFERROR(VLOOKUP(December[[#This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56" t="str">
        <f>IFERROR(VLOOKUP(December[[#This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56" t="str">
        <f>IFERROR(VLOOKUP(December[[#This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56" t="str">
        <f>IFERROR(VLOOKUP(December[[#This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56" t="str">
        <f>IFERROR(VLOOKUP(December[[#This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56" t="str">
        <f>IFERROR(VLOOKUP(December[[#This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56" t="str">
        <f>IFERROR(VLOOKUP(December[[#This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56" t="str">
        <f>IFERROR(VLOOKUP(December[[#This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56" t="str">
        <f>IFERROR(VLOOKUP(December[[#This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56" t="str">
        <f>IFERROR(VLOOKUP(December[[#This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56" t="str">
        <f>IFERROR(VLOOKUP(December[[#This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56" t="str">
        <f>IFERROR(VLOOKUP(December[[#This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56" t="str">
        <f>IFERROR(VLOOKUP(December[[#This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56" t="str">
        <f>IFERROR(VLOOKUP(December[[#This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56" t="str">
        <f>IFERROR(VLOOKUP(December[[#This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56" t="str">
        <f>IFERROR(VLOOKUP(December[[#This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56" t="str">
        <f>IFERROR(VLOOKUP(December[[#This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56" t="str">
        <f>IFERROR(VLOOKUP(December[[#This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56" t="str">
        <f>IFERROR(VLOOKUP(December[[#This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56" t="str">
        <f>IFERROR(VLOOKUP(December[[#This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56" t="str">
        <f>IFERROR(VLOOKUP(December[[#This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56" t="str">
        <f>IFERROR(VLOOKUP(December[[#This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56" t="str">
        <f>IFERROR(VLOOKUP(December[[#This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56" t="str">
        <f>IFERROR(VLOOKUP(December[[#This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56" t="str">
        <f>IFERROR(VLOOKUP(December[[#This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56" t="str">
        <f>IFERROR(VLOOKUP(December[[#This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56" t="str">
        <f>IFERROR(VLOOKUP(December[[#This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56" t="str">
        <f>IFERROR(VLOOKUP(December[[#This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56" t="str">
        <f>IFERROR(VLOOKUP(December[[#This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56" t="str">
        <f>IFERROR(VLOOKUP(December[[#This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56" t="str">
        <f>IFERROR(VLOOKUP(December[[#This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56" t="str">
        <f>IFERROR(VLOOKUP(December[[#This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56" t="str">
        <f>IFERROR(VLOOKUP(December[[#This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56" t="str">
        <f>IFERROR(VLOOKUP(December[[#This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56" t="str">
        <f>IFERROR(VLOOKUP(December[[#This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56" t="str">
        <f>IFERROR(VLOOKUP(December[[#This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56" t="str">
        <f>IFERROR(VLOOKUP(December[[#This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56" t="str">
        <f>IFERROR(VLOOKUP(December[[#This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56" t="str">
        <f>IFERROR(VLOOKUP(December[[#This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56" t="str">
        <f>IFERROR(VLOOKUP(December[[#This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56" t="str">
        <f>IFERROR(VLOOKUP(December[[#This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56" t="str">
        <f>IFERROR(VLOOKUP(December[[#This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56" t="str">
        <f>IFERROR(VLOOKUP(December[[#This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56" t="str">
        <f>IFERROR(VLOOKUP(December[[#This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56" t="str">
        <f>IFERROR(VLOOKUP(December[[#This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56" t="str">
        <f>IFERROR(VLOOKUP(December[[#This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56" t="str">
        <f>IFERROR(VLOOKUP(December[[#This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56" t="str">
        <f>IFERROR(VLOOKUP(December[[#This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56" t="str">
        <f>IFERROR(VLOOKUP(December[[#This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56" t="str">
        <f>IFERROR(VLOOKUP(December[[#This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56" t="str">
        <f>IFERROR(VLOOKUP(December[[#This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56" t="str">
        <f>IFERROR(VLOOKUP(December[[#This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56" t="str">
        <f>IFERROR(VLOOKUP(December[[#This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56" t="str">
        <f>IFERROR(VLOOKUP(December[[#This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56" t="str">
        <f>IFERROR(VLOOKUP(December[[#This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56" t="str">
        <f>IFERROR(VLOOKUP(December[[#This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56" t="str">
        <f>IFERROR(VLOOKUP(December[[#This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56" t="str">
        <f>IFERROR(VLOOKUP(December[[#This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56" t="str">
        <f>IFERROR(VLOOKUP(December[[#This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56" t="str">
        <f>IFERROR(VLOOKUP(December[[#This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56" t="str">
        <f>IFERROR(VLOOKUP(December[[#This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56" t="str">
        <f>IFERROR(VLOOKUP(December[[#This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56" t="str">
        <f>IFERROR(VLOOKUP(December[[#This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56" t="str">
        <f>IFERROR(VLOOKUP(December[[#This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56" t="str">
        <f>IFERROR(VLOOKUP(December[[#This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56" t="str">
        <f>IFERROR(VLOOKUP(December[[#This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56" t="str">
        <f>IFERROR(VLOOKUP(December[[#This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56" t="str">
        <f>IFERROR(VLOOKUP(December[[#This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56" t="str">
        <f>IFERROR(VLOOKUP(December[[#This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56" t="str">
        <f>IFERROR(VLOOKUP(December[[#This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56" t="str">
        <f>IFERROR(VLOOKUP(December[[#This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56" t="str">
        <f>IFERROR(VLOOKUP(December[[#This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56" t="str">
        <f>IFERROR(VLOOKUP(December[[#This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56" t="str">
        <f>IFERROR(VLOOKUP(December[[#This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56" t="str">
        <f>IFERROR(VLOOKUP(December[[#This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56" t="str">
        <f>IFERROR(VLOOKUP(December[[#This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56" t="str">
        <f>IFERROR(VLOOKUP(December[[#This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56" t="str">
        <f>IFERROR(VLOOKUP(December[[#This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56" t="str">
        <f>IFERROR(VLOOKUP(December[[#This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56" t="str">
        <f>IFERROR(VLOOKUP(December[[#This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56" t="str">
        <f>IFERROR(VLOOKUP(December[[#This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56" t="str">
        <f>IFERROR(VLOOKUP(December[[#This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56" t="str">
        <f>IFERROR(VLOOKUP(December[[#This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56" t="str">
        <f>IFERROR(VLOOKUP(December[[#This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56" t="str">
        <f>IFERROR(VLOOKUP(December[[#This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56" t="str">
        <f>IFERROR(VLOOKUP(December[[#This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56" t="str">
        <f>IFERROR(VLOOKUP(December[[#This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56" t="str">
        <f>IFERROR(VLOOKUP(December[[#This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56" t="str">
        <f>IFERROR(VLOOKUP(December[[#This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56" t="str">
        <f>IFERROR(VLOOKUP(December[[#This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56" t="str">
        <f>IFERROR(VLOOKUP(December[[#This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56" t="str">
        <f>IFERROR(VLOOKUP(December[[#This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56" t="str">
        <f>IFERROR(VLOOKUP(December[[#This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56" t="str">
        <f>IFERROR(VLOOKUP(December[[#This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56" t="str">
        <f>IFERROR(VLOOKUP(December[[#This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56" t="str">
        <f>IFERROR(VLOOKUP(December[[#This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56" t="str">
        <f>IFERROR(VLOOKUP(December[[#This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56" t="str">
        <f>IFERROR(VLOOKUP(December[[#This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56" t="str">
        <f>IFERROR(VLOOKUP(December[[#This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56" t="str">
        <f>IFERROR(VLOOKUP(December[[#This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56" t="str">
        <f>IFERROR(VLOOKUP(December[[#This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56" t="str">
        <f>IFERROR(VLOOKUP(December[[#This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56" t="str">
        <f>IFERROR(VLOOKUP(December[[#This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56" t="str">
        <f>IFERROR(VLOOKUP(December[[#This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56" t="str">
        <f>IFERROR(VLOOKUP(December[[#This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56" t="str">
        <f>IFERROR(VLOOKUP(December[[#This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56" t="str">
        <f>IFERROR(VLOOKUP(December[[#This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56" t="str">
        <f>IFERROR(VLOOKUP(December[[#This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56" t="str">
        <f>IFERROR(VLOOKUP(December[[#This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56" t="str">
        <f>IFERROR(VLOOKUP(December[[#This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56" t="str">
        <f>IFERROR(VLOOKUP(December[[#This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56" t="str">
        <f>IFERROR(VLOOKUP(December[[#This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56" t="str">
        <f>IFERROR(VLOOKUP(December[[#This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56" t="str">
        <f>IFERROR(VLOOKUP(December[[#This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56" t="str">
        <f>IFERROR(VLOOKUP(December[[#This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56" t="str">
        <f>IFERROR(VLOOKUP(December[[#This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56" t="str">
        <f>IFERROR(VLOOKUP(December[[#This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56" t="str">
        <f>IFERROR(VLOOKUP(December[[#This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56" t="str">
        <f>IFERROR(VLOOKUP(December[[#This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56" t="str">
        <f>IFERROR(VLOOKUP(December[[#This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56" t="str">
        <f>IFERROR(VLOOKUP(December[[#This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56" t="str">
        <f>IFERROR(VLOOKUP(December[[#This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56" t="str">
        <f>IFERROR(VLOOKUP(December[[#This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56" t="str">
        <f>IFERROR(VLOOKUP(December[[#This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56" t="str">
        <f>IFERROR(VLOOKUP(December[[#This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56" t="str">
        <f>IFERROR(VLOOKUP(December[[#This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56" t="str">
        <f>IFERROR(VLOOKUP(December[[#This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56" t="str">
        <f>IFERROR(VLOOKUP(December[[#This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56" t="str">
        <f>IFERROR(VLOOKUP(December[[#This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56" t="str">
        <f>IFERROR(VLOOKUP(December[[#This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56" t="str">
        <f>IFERROR(VLOOKUP(December[[#This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56" t="str">
        <f>IFERROR(VLOOKUP(December[[#This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56" t="str">
        <f>IFERROR(VLOOKUP(December[[#This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56" t="str">
        <f>IFERROR(VLOOKUP(December[[#This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56" t="str">
        <f>IFERROR(VLOOKUP(December[[#This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56" t="str">
        <f>IFERROR(VLOOKUP(December[[#This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56" t="str">
        <f>IFERROR(VLOOKUP(December[[#This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56" t="str">
        <f>IFERROR(VLOOKUP(December[[#This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56" t="str">
        <f>IFERROR(VLOOKUP(December[[#This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56" t="str">
        <f>IFERROR(VLOOKUP(December[[#This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56" t="str">
        <f>IFERROR(VLOOKUP(December[[#This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56" t="str">
        <f>IFERROR(VLOOKUP(December[[#This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56" t="str">
        <f>IFERROR(VLOOKUP(December[[#This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56" t="str">
        <f>IFERROR(VLOOKUP(December[[#This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56" t="str">
        <f>IFERROR(VLOOKUP(December[[#This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56" t="str">
        <f>IFERROR(VLOOKUP(December[[#This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56" t="str">
        <f>IFERROR(VLOOKUP(December[[#This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56" t="str">
        <f>IFERROR(VLOOKUP(December[[#This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56" t="str">
        <f>IFERROR(VLOOKUP(December[[#This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56" t="str">
        <f>IFERROR(VLOOKUP(December[[#This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56" t="str">
        <f>IFERROR(VLOOKUP(December[[#This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56" t="str">
        <f>IFERROR(VLOOKUP(December[[#This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56" t="str">
        <f>IFERROR(VLOOKUP(December[[#This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56" t="str">
        <f>IFERROR(VLOOKUP(December[[#This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56" t="str">
        <f>IFERROR(VLOOKUP(December[[#This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56" t="str">
        <f>IFERROR(VLOOKUP(December[[#This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56" t="str">
        <f>IFERROR(VLOOKUP(December[[#This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56" t="str">
        <f>IFERROR(VLOOKUP(December[[#This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56" t="str">
        <f>IFERROR(VLOOKUP(December[[#This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56" t="str">
        <f>IFERROR(VLOOKUP(December[[#This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56" t="str">
        <f>IFERROR(VLOOKUP(December[[#This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56" t="str">
        <f>IFERROR(VLOOKUP(December[[#This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56" t="str">
        <f>IFERROR(VLOOKUP(December[[#This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56" t="str">
        <f>IFERROR(VLOOKUP(December[[#This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56" t="str">
        <f>IFERROR(VLOOKUP(December[[#This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56" t="str">
        <f>IFERROR(VLOOKUP(December[[#This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56" t="str">
        <f>IFERROR(VLOOKUP(December[[#This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56" t="str">
        <f>IFERROR(VLOOKUP(December[[#This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56" t="str">
        <f>IFERROR(VLOOKUP(December[[#This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56" t="str">
        <f>IFERROR(VLOOKUP(December[[#This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56" t="str">
        <f>IFERROR(VLOOKUP(December[[#This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56" t="str">
        <f>IFERROR(VLOOKUP(December[[#This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56" t="str">
        <f>IFERROR(VLOOKUP(December[[#This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56" t="str">
        <f>IFERROR(VLOOKUP(December[[#This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56" t="str">
        <f>IFERROR(VLOOKUP(December[[#This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56" t="str">
        <f>IFERROR(VLOOKUP(December[[#This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56" t="str">
        <f>IFERROR(VLOOKUP(December[[#This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56" t="str">
        <f>IFERROR(VLOOKUP(December[[#This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56" t="str">
        <f>IFERROR(VLOOKUP(December[[#This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56" t="str">
        <f>IFERROR(VLOOKUP(December[[#This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56" t="str">
        <f>IFERROR(VLOOKUP(December[[#This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56" t="str">
        <f>IFERROR(VLOOKUP(December[[#This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56" t="str">
        <f>IFERROR(VLOOKUP(December[[#This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56" t="str">
        <f>IFERROR(VLOOKUP(December[[#This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56" t="str">
        <f>IFERROR(VLOOKUP(December[[#This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56" t="str">
        <f>IFERROR(VLOOKUP(December[[#This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56" t="str">
        <f>IFERROR(VLOOKUP(December[[#This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56" t="str">
        <f>IFERROR(VLOOKUP(December[[#This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56" t="str">
        <f>IFERROR(VLOOKUP(December[[#This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56" t="str">
        <f>IFERROR(VLOOKUP(December[[#This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56" t="str">
        <f>IFERROR(VLOOKUP(December[[#This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56" t="str">
        <f>IFERROR(VLOOKUP(December[[#This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56" t="str">
        <f>IFERROR(VLOOKUP(December[[#This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56" t="str">
        <f>IFERROR(VLOOKUP(December[[#This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56" t="str">
        <f>IFERROR(VLOOKUP(December[[#This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56" t="str">
        <f>IFERROR(VLOOKUP(December[[#This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56" t="str">
        <f>IFERROR(VLOOKUP(December[[#This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56" t="str">
        <f>IFERROR(VLOOKUP(December[[#This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56" t="str">
        <f>IFERROR(VLOOKUP(December[[#This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56" t="str">
        <f>IFERROR(VLOOKUP(December[[#This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56" t="str">
        <f>IFERROR(VLOOKUP(December[[#This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56" t="str">
        <f>IFERROR(VLOOKUP(December[[#This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56" t="str">
        <f>IFERROR(VLOOKUP(December[[#This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56" t="str">
        <f>IFERROR(VLOOKUP(December[[#This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56" t="str">
        <f>IFERROR(VLOOKUP(December[[#This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56" t="str">
        <f>IFERROR(VLOOKUP(December[[#This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56" t="str">
        <f>IFERROR(VLOOKUP(December[[#This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56" t="str">
        <f>IFERROR(VLOOKUP(December[[#This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56" t="str">
        <f>IFERROR(VLOOKUP(December[[#This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56" t="str">
        <f>IFERROR(VLOOKUP(December[[#This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56" t="str">
        <f>IFERROR(VLOOKUP(December[[#This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56" t="str">
        <f>IFERROR(VLOOKUP(December[[#This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56" t="str">
        <f>IFERROR(VLOOKUP(December[[#This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56" t="str">
        <f>IFERROR(VLOOKUP(December[[#This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56" t="str">
        <f>IFERROR(VLOOKUP(December[[#This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56" t="str">
        <f>IFERROR(VLOOKUP(December[[#This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56" t="str">
        <f>IFERROR(VLOOKUP(December[[#This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56" t="str">
        <f>IFERROR(VLOOKUP(December[[#This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56" t="str">
        <f>IFERROR(VLOOKUP(December[[#This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56" t="str">
        <f>IFERROR(VLOOKUP(December[[#This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56" t="str">
        <f>IFERROR(VLOOKUP(December[[#This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56" t="str">
        <f>IFERROR(VLOOKUP(December[[#This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56" t="str">
        <f>IFERROR(VLOOKUP(December[[#This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56" t="str">
        <f>IFERROR(VLOOKUP(December[[#This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56" t="str">
        <f>IFERROR(VLOOKUP(December[[#This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56" t="str">
        <f>IFERROR(VLOOKUP(December[[#This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56" t="str">
        <f>IFERROR(VLOOKUP(December[[#This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56" t="str">
        <f>IFERROR(VLOOKUP(December[[#This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56" t="str">
        <f>IFERROR(VLOOKUP(December[[#This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56" t="str">
        <f>IFERROR(VLOOKUP(December[[#This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56" t="str">
        <f>IFERROR(VLOOKUP(December[[#This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56" t="str">
        <f>IFERROR(VLOOKUP(December[[#This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56" t="str">
        <f>IFERROR(VLOOKUP(December[[#This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56" t="str">
        <f>IFERROR(VLOOKUP(December[[#This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56" t="str">
        <f>IFERROR(VLOOKUP(December[[#This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56" t="str">
        <f>IFERROR(VLOOKUP(December[[#This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56" t="str">
        <f>IFERROR(VLOOKUP(December[[#This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56" t="str">
        <f>IFERROR(VLOOKUP(December[[#This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56" t="str">
        <f>IFERROR(VLOOKUP(December[[#This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56" t="str">
        <f>IFERROR(VLOOKUP(December[[#This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56" t="str">
        <f>IFERROR(VLOOKUP(December[[#This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56" t="str">
        <f>IFERROR(VLOOKUP(December[[#This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56" t="str">
        <f>IFERROR(VLOOKUP(December[[#This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56" t="str">
        <f>IFERROR(VLOOKUP(December[[#This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56" t="str">
        <f>IFERROR(VLOOKUP(December[[#This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56" t="str">
        <f>IFERROR(VLOOKUP(December[[#This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56" t="str">
        <f>IFERROR(VLOOKUP(December[[#This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56" t="str">
        <f>IFERROR(VLOOKUP(December[[#This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56" t="str">
        <f>IFERROR(VLOOKUP(December[[#This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56" t="str">
        <f>IFERROR(VLOOKUP(December[[#This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56" t="str">
        <f>IFERROR(VLOOKUP(December[[#This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56" t="str">
        <f>IFERROR(VLOOKUP(December[[#This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56" t="str">
        <f>IFERROR(VLOOKUP(December[[#This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56" t="str">
        <f>IFERROR(VLOOKUP(December[[#This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56" t="str">
        <f>IFERROR(VLOOKUP(December[[#This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56" t="str">
        <f>IFERROR(VLOOKUP(December[[#This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56" t="str">
        <f>IFERROR(VLOOKUP(December[[#This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56" t="str">
        <f>IFERROR(VLOOKUP(December[[#This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56" t="str">
        <f>IFERROR(VLOOKUP(December[[#This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56" t="str">
        <f>IFERROR(VLOOKUP(December[[#This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56" t="str">
        <f>IFERROR(VLOOKUP(December[[#This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56" t="str">
        <f>IFERROR(VLOOKUP(December[[#This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56" t="str">
        <f>IFERROR(VLOOKUP(December[[#This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56" t="str">
        <f>IFERROR(VLOOKUP(December[[#This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56" t="str">
        <f>IFERROR(VLOOKUP(December[[#This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56" t="str">
        <f>IFERROR(VLOOKUP(December[[#This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56" t="str">
        <f>IFERROR(VLOOKUP(December[[#This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56" t="str">
        <f>IFERROR(VLOOKUP(December[[#This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56" t="str">
        <f>IFERROR(VLOOKUP(December[[#This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56" t="str">
        <f>IFERROR(VLOOKUP(December[[#This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56" t="str">
        <f>IFERROR(VLOOKUP(December[[#This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56" t="str">
        <f>IFERROR(VLOOKUP(December[[#This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56" t="str">
        <f>IFERROR(VLOOKUP(December[[#This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56" t="str">
        <f>IFERROR(VLOOKUP(December[[#This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56" t="str">
        <f>IFERROR(VLOOKUP(December[[#This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56" t="str">
        <f>IFERROR(VLOOKUP(December[[#This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56" t="str">
        <f>IFERROR(VLOOKUP(December[[#This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56" t="str">
        <f>IFERROR(VLOOKUP(December[[#This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56" t="str">
        <f>IFERROR(VLOOKUP(December[[#This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56" t="str">
        <f>IFERROR(VLOOKUP(December[[#This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56" t="str">
        <f>IFERROR(VLOOKUP(December[[#This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56" t="str">
        <f>IFERROR(VLOOKUP(December[[#This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56" t="str">
        <f>IFERROR(VLOOKUP(December[[#This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56" t="str">
        <f>IFERROR(VLOOKUP(December[[#This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56" t="str">
        <f>IFERROR(VLOOKUP(December[[#This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56" t="str">
        <f>IFERROR(VLOOKUP(December[[#This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56" t="str">
        <f>IFERROR(VLOOKUP(December[[#This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56" t="str">
        <f>IFERROR(VLOOKUP(December[[#This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56" t="str">
        <f>IFERROR(VLOOKUP(December[[#This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56" t="str">
        <f>IFERROR(VLOOKUP(December[[#This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56" t="str">
        <f>IFERROR(VLOOKUP(December[[#This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56" t="str">
        <f>IFERROR(VLOOKUP(December[[#This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56" t="str">
        <f>IFERROR(VLOOKUP(December[[#This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56" t="str">
        <f>IFERROR(VLOOKUP(December[[#This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56" t="str">
        <f>IFERROR(VLOOKUP(December[[#This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56" t="str">
        <f>IFERROR(VLOOKUP(December[[#This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56" t="str">
        <f>IFERROR(VLOOKUP(December[[#This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56" t="str">
        <f>IFERROR(VLOOKUP(December[[#This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56" t="str">
        <f>IFERROR(VLOOKUP(December[[#This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56" t="str">
        <f>IFERROR(VLOOKUP(December[[#This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56" t="str">
        <f>IFERROR(VLOOKUP(December[[#This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56" t="str">
        <f>IFERROR(VLOOKUP(December[[#This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56" t="str">
        <f>IFERROR(VLOOKUP(December[[#This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56" t="str">
        <f>IFERROR(VLOOKUP(December[[#This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56" t="str">
        <f>IFERROR(VLOOKUP(December[[#This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56" t="str">
        <f>IFERROR(VLOOKUP(December[[#This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56" t="str">
        <f>IFERROR(VLOOKUP(December[[#This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56" t="str">
        <f>IFERROR(VLOOKUP(December[[#This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56" t="str">
        <f>IFERROR(VLOOKUP(December[[#This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56" t="str">
        <f>IFERROR(VLOOKUP(December[[#This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56" t="str">
        <f>IFERROR(VLOOKUP(December[[#This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56" t="str">
        <f>IFERROR(VLOOKUP(December[[#This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56" t="str">
        <f>IFERROR(VLOOKUP(December[[#This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56" t="str">
        <f>IFERROR(VLOOKUP(December[[#This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56" t="str">
        <f>IFERROR(VLOOKUP(December[[#This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56" t="str">
        <f>IFERROR(VLOOKUP(December[[#This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56" t="str">
        <f>IFERROR(VLOOKUP(December[[#This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56" t="str">
        <f>IFERROR(VLOOKUP(December[[#This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56" t="str">
        <f>IFERROR(VLOOKUP(December[[#This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56" t="str">
        <f>IFERROR(VLOOKUP(December[[#This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56" t="str">
        <f>IFERROR(VLOOKUP(December[[#This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56" t="str">
        <f>IFERROR(VLOOKUP(December[[#This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56" t="str">
        <f>IFERROR(VLOOKUP(December[[#This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56" t="str">
        <f>IFERROR(VLOOKUP(December[[#This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56" t="str">
        <f>IFERROR(VLOOKUP(December[[#This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56" t="str">
        <f>IFERROR(VLOOKUP(December[[#This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56" t="str">
        <f>IFERROR(VLOOKUP(December[[#This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56" t="str">
        <f>IFERROR(VLOOKUP(December[[#This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56" t="str">
        <f>IFERROR(VLOOKUP(December[[#This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56" t="str">
        <f>IFERROR(VLOOKUP(December[[#This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56" t="str">
        <f>IFERROR(VLOOKUP(December[[#This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56" t="str">
        <f>IFERROR(VLOOKUP(December[[#This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56" t="str">
        <f>IFERROR(VLOOKUP(December[[#This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56" t="str">
        <f>IFERROR(VLOOKUP(December[[#This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56" t="str">
        <f>IFERROR(VLOOKUP(December[[#This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56" t="str">
        <f>IFERROR(VLOOKUP(December[[#This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56" t="str">
        <f>IFERROR(VLOOKUP(December[[#This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56" t="str">
        <f>IFERROR(VLOOKUP(December[[#This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56" t="str">
        <f>IFERROR(VLOOKUP(December[[#This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56" t="str">
        <f>IFERROR(VLOOKUP(December[[#This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56" t="str">
        <f>IFERROR(VLOOKUP(December[[#This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56" t="str">
        <f>IFERROR(VLOOKUP(December[[#This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56" t="str">
        <f>IFERROR(VLOOKUP(December[[#This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56" t="str">
        <f>IFERROR(VLOOKUP(December[[#This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56" t="str">
        <f>IFERROR(VLOOKUP(December[[#This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56" t="str">
        <f>IFERROR(VLOOKUP(December[[#This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56" t="str">
        <f>IFERROR(VLOOKUP(December[[#This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56" t="str">
        <f>IFERROR(VLOOKUP(December[[#This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56" t="str">
        <f>IFERROR(VLOOKUP(December[[#This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56" t="str">
        <f>IFERROR(VLOOKUP(December[[#This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56" t="str">
        <f>IFERROR(VLOOKUP(December[[#This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56" t="str">
        <f>IFERROR(VLOOKUP(December[[#This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56" t="str">
        <f>IFERROR(VLOOKUP(December[[#This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56" t="str">
        <f>IFERROR(VLOOKUP(December[[#This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56" t="str">
        <f>IFERROR(VLOOKUP(December[[#This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56" t="str">
        <f>IFERROR(VLOOKUP(December[[#This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56" t="str">
        <f>IFERROR(VLOOKUP(December[[#This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56" t="str">
        <f>IFERROR(VLOOKUP(December[[#This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56" t="str">
        <f>IFERROR(VLOOKUP(December[[#This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56" t="str">
        <f>IFERROR(VLOOKUP(December[[#This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56" t="str">
        <f>IFERROR(VLOOKUP(December[[#This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56" t="str">
        <f>IFERROR(VLOOKUP(December[[#This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56" t="str">
        <f>IFERROR(VLOOKUP(December[[#This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56" t="str">
        <f>IFERROR(VLOOKUP(December[[#This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56" t="str">
        <f>IFERROR(VLOOKUP(December[[#This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56" t="str">
        <f>IFERROR(VLOOKUP(December[[#This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56" t="str">
        <f>IFERROR(VLOOKUP(December[[#This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56" t="str">
        <f>IFERROR(VLOOKUP(December[[#This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56" t="str">
        <f>IFERROR(VLOOKUP(December[[#This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56" t="str">
        <f>IFERROR(VLOOKUP(December[[#This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56" t="str">
        <f>IFERROR(VLOOKUP(December[[#This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56" t="str">
        <f>IFERROR(VLOOKUP(December[[#This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56" t="str">
        <f>IFERROR(VLOOKUP(December[[#This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56" t="str">
        <f>IFERROR(VLOOKUP(December[[#This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56" t="str">
        <f>IFERROR(VLOOKUP(December[[#This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56" t="str">
        <f>IFERROR(VLOOKUP(December[[#This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56" t="str">
        <f>IFERROR(VLOOKUP(December[[#This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56" t="str">
        <f>IFERROR(VLOOKUP(December[[#This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56" t="str">
        <f>IFERROR(VLOOKUP(December[[#This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56" t="str">
        <f>IFERROR(VLOOKUP(December[[#This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56" t="str">
        <f>IFERROR(VLOOKUP(December[[#This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56" t="str">
        <f>IFERROR(VLOOKUP(December[[#This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56" t="str">
        <f>IFERROR(VLOOKUP(December[[#This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56" t="str">
        <f>IFERROR(VLOOKUP(December[[#This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56" t="str">
        <f>IFERROR(VLOOKUP(December[[#This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56" t="str">
        <f>IFERROR(VLOOKUP(December[[#This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56" t="str">
        <f>IFERROR(VLOOKUP(December[[#This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56" t="str">
        <f>IFERROR(VLOOKUP(December[[#This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56" t="str">
        <f>IFERROR(VLOOKUP(December[[#This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56" t="str">
        <f>IFERROR(VLOOKUP(December[[#This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56" t="str">
        <f>IFERROR(VLOOKUP(December[[#This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56" t="str">
        <f>IFERROR(VLOOKUP(December[[#This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56" t="str">
        <f>IFERROR(VLOOKUP(December[[#This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56" t="str">
        <f>IFERROR(VLOOKUP(December[[#This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56" t="str">
        <f>IFERROR(VLOOKUP(December[[#This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56" t="str">
        <f>IFERROR(VLOOKUP(December[[#This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56" t="str">
        <f>IFERROR(VLOOKUP(December[[#This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56" t="str">
        <f>IFERROR(VLOOKUP(December[[#This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56" t="str">
        <f>IFERROR(VLOOKUP(December[[#This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56" t="str">
        <f>IFERROR(VLOOKUP(December[[#This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56" t="str">
        <f>IFERROR(VLOOKUP(December[[#This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56" t="str">
        <f>IFERROR(VLOOKUP(December[[#This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56" t="str">
        <f>IFERROR(VLOOKUP(December[[#This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56" t="str">
        <f>IFERROR(VLOOKUP(December[[#This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56" t="str">
        <f>IFERROR(VLOOKUP(December[[#This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56" t="str">
        <f>IFERROR(VLOOKUP(December[[#This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56" t="str">
        <f>IFERROR(VLOOKUP(December[[#This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56" t="str">
        <f>IFERROR(VLOOKUP(December[[#This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56" t="str">
        <f>IFERROR(VLOOKUP(December[[#This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56" t="str">
        <f>IFERROR(VLOOKUP(December[[#This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56" t="str">
        <f>IFERROR(VLOOKUP(December[[#This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56" t="str">
        <f>IFERROR(VLOOKUP(December[[#This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56" t="str">
        <f>IFERROR(VLOOKUP(December[[#This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56" t="str">
        <f>IFERROR(VLOOKUP(December[[#This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56" t="str">
        <f>IFERROR(VLOOKUP(December[[#This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56" t="str">
        <f>IFERROR(VLOOKUP(December[[#This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56" t="str">
        <f>IFERROR(VLOOKUP(December[[#This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56" t="str">
        <f>IFERROR(VLOOKUP(December[[#This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56" t="str">
        <f>IFERROR(VLOOKUP(December[[#This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56" t="str">
        <f>IFERROR(VLOOKUP(December[[#This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56" t="str">
        <f>IFERROR(VLOOKUP(December[[#This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56" t="str">
        <f>IFERROR(VLOOKUP(December[[#This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56" t="str">
        <f>IFERROR(VLOOKUP(December[[#This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56" t="str">
        <f>IFERROR(VLOOKUP(December[[#This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56" t="str">
        <f>IFERROR(VLOOKUP(December[[#This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56" t="str">
        <f>IFERROR(VLOOKUP(December[[#This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56" t="str">
        <f>IFERROR(VLOOKUP(December[[#This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56" t="str">
        <f>IFERROR(VLOOKUP(December[[#This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56" t="str">
        <f>IFERROR(VLOOKUP(December[[#This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56" t="str">
        <f>IFERROR(VLOOKUP(December[[#This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56" t="str">
        <f>IFERROR(VLOOKUP(December[[#This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56" t="str">
        <f>IFERROR(VLOOKUP(December[[#This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56" t="str">
        <f>IFERROR(VLOOKUP(December[[#This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56" t="str">
        <f>IFERROR(VLOOKUP(December[[#This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56" t="str">
        <f>IFERROR(VLOOKUP(December[[#This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56" t="str">
        <f>IFERROR(VLOOKUP(December[[#This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56" t="str">
        <f>IFERROR(VLOOKUP(December[[#This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56" t="str">
        <f>IFERROR(VLOOKUP(December[[#This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56" t="str">
        <f>IFERROR(VLOOKUP(December[[#This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56" t="str">
        <f>IFERROR(VLOOKUP(December[[#This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56" t="str">
        <f>IFERROR(VLOOKUP(December[[#This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56" t="str">
        <f>IFERROR(VLOOKUP(December[[#This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56" t="str">
        <f>IFERROR(VLOOKUP(December[[#This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56" t="str">
        <f>IFERROR(VLOOKUP(December[[#This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56" t="str">
        <f>IFERROR(VLOOKUP(December[[#This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56" t="str">
        <f>IFERROR(VLOOKUP(December[[#This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56" t="str">
        <f>IFERROR(VLOOKUP(December[[#This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56" t="str">
        <f>IFERROR(VLOOKUP(December[[#This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56" t="str">
        <f>IFERROR(VLOOKUP(December[[#This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56" t="str">
        <f>IFERROR(VLOOKUP(December[[#This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56" t="str">
        <f>IFERROR(VLOOKUP(December[[#This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56" t="str">
        <f>IFERROR(VLOOKUP(December[[#This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56" t="str">
        <f>IFERROR(VLOOKUP(December[[#This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56" t="str">
        <f>IFERROR(VLOOKUP(December[[#This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56" t="str">
        <f>IFERROR(VLOOKUP(December[[#This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56" t="str">
        <f>IFERROR(VLOOKUP(December[[#This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56" t="str">
        <f>IFERROR(VLOOKUP(December[[#This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56" t="str">
        <f>IFERROR(VLOOKUP(December[[#This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56" t="str">
        <f>IFERROR(VLOOKUP(December[[#This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56" t="str">
        <f>IFERROR(VLOOKUP(December[[#This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56" t="str">
        <f>IFERROR(VLOOKUP(December[[#This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56" t="str">
        <f>IFERROR(VLOOKUP(December[[#This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56" t="str">
        <f>IFERROR(VLOOKUP(December[[#This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56" t="str">
        <f>IFERROR(VLOOKUP(December[[#This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56" t="str">
        <f>IFERROR(VLOOKUP(December[[#This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56" t="str">
        <f>IFERROR(VLOOKUP(December[[#This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56" t="str">
        <f>IFERROR(VLOOKUP(December[[#This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56" t="str">
        <f>IFERROR(VLOOKUP(December[[#This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56" t="str">
        <f>IFERROR(VLOOKUP(December[[#This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56" t="str">
        <f>IFERROR(VLOOKUP(December[[#This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56" t="str">
        <f>IFERROR(VLOOKUP(December[[#This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56" t="str">
        <f>IFERROR(VLOOKUP(December[[#This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56" t="str">
        <f>IFERROR(VLOOKUP(December[[#This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56" t="str">
        <f>IFERROR(VLOOKUP(December[[#This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56" t="str">
        <f>IFERROR(VLOOKUP(December[[#This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56" t="str">
        <f>IFERROR(VLOOKUP(December[[#This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56" t="str">
        <f>IFERROR(VLOOKUP(December[[#This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56" t="str">
        <f>IFERROR(VLOOKUP(December[[#This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56" t="str">
        <f>IFERROR(VLOOKUP(December[[#This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56" t="str">
        <f>IFERROR(VLOOKUP(December[[#This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56" t="str">
        <f>IFERROR(VLOOKUP(December[[#This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56" t="str">
        <f>IFERROR(VLOOKUP(December[[#This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56" t="str">
        <f>IFERROR(VLOOKUP(December[[#This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56" t="str">
        <f>IFERROR(VLOOKUP(December[[#This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56" t="str">
        <f>IFERROR(VLOOKUP(December[[#This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56" t="str">
        <f>IFERROR(VLOOKUP(December[[#This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56" t="str">
        <f>IFERROR(VLOOKUP(December[[#This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56" t="str">
        <f>IFERROR(VLOOKUP(December[[#This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56" t="str">
        <f>IFERROR(VLOOKUP(December[[#This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57">
        <f>SUBTOTAL(103,December[Location Filled9])</f>
        <v>0</v>
      </c>
    </row>
  </sheetData>
  <sheetProtection algorithmName="SHA-512" hashValue="ynKcprTKCPgvHCdEm6Dx+xGGcAMoSpnJAWb+ny6/IlfuyxrZt9dycrcGxQaOPdMcknsXeQiYmBAjaycnzhllHQ==" saltValue="0Bp2TZhofItlifZ4EOinoQ==" spinCount="100000" sheet="1" objects="1" scenarios="1"/>
  <mergeCells count="13">
    <mergeCell ref="BS2:BY2"/>
    <mergeCell ref="BZ2:CF2"/>
    <mergeCell ref="CG2:CM2"/>
    <mergeCell ref="A1:J2"/>
    <mergeCell ref="K1:AF1"/>
    <mergeCell ref="AL1:AQ2"/>
    <mergeCell ref="BM1:BR2"/>
    <mergeCell ref="K2:P2"/>
    <mergeCell ref="Q2:V2"/>
    <mergeCell ref="X2:AD2"/>
    <mergeCell ref="AE2:AK2"/>
    <mergeCell ref="AR2:AX2"/>
    <mergeCell ref="BF2:BL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opLeftCell="B2" workbookViewId="0">
      <selection activeCell="G9" sqref="G4:G9"/>
    </sheetView>
  </sheetViews>
  <sheetFormatPr defaultColWidth="10.6640625" defaultRowHeight="15.5"/>
  <cols>
    <col min="4" max="4" width="16" customWidth="1"/>
    <col min="5" max="5" width="12.83203125" customWidth="1"/>
    <col min="6" max="6" width="13" customWidth="1"/>
    <col min="7" max="7" width="16.5" customWidth="1"/>
    <col min="9" max="9" width="26.6640625" customWidth="1"/>
    <col min="10" max="10" width="35.1640625" customWidth="1"/>
    <col min="11" max="11" width="16.5" customWidth="1"/>
    <col min="12" max="12" width="22.5" customWidth="1"/>
    <col min="14" max="14" width="19.83203125" customWidth="1"/>
    <col min="15" max="15" width="45" customWidth="1"/>
    <col min="16" max="16" width="39.33203125" customWidth="1"/>
    <col min="17" max="17" width="40.83203125" customWidth="1"/>
    <col min="18" max="18" width="34.5" customWidth="1"/>
    <col min="19" max="19" width="38.1640625" customWidth="1"/>
    <col min="21" max="21" width="12" customWidth="1"/>
    <col min="24" max="24" width="19.83203125" customWidth="1"/>
  </cols>
  <sheetData>
    <row r="1" spans="1:24" ht="18.5">
      <c r="A1" s="74" t="s">
        <v>234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18.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3" t="s">
        <v>151</v>
      </c>
      <c r="M2" s="73"/>
      <c r="N2" s="73"/>
      <c r="O2" s="73"/>
      <c r="P2" s="73"/>
      <c r="Q2" s="73"/>
      <c r="R2" s="4"/>
      <c r="S2" s="4"/>
      <c r="T2" s="4" t="s">
        <v>152</v>
      </c>
      <c r="U2" s="4"/>
      <c r="V2" s="4"/>
      <c r="W2" s="4"/>
      <c r="X2" s="4"/>
    </row>
    <row r="3" spans="1:24" ht="77.5">
      <c r="A3" s="1" t="s">
        <v>4</v>
      </c>
      <c r="B3" s="1" t="s">
        <v>217</v>
      </c>
      <c r="C3" s="1" t="s">
        <v>5</v>
      </c>
      <c r="D3" s="1" t="s">
        <v>6</v>
      </c>
      <c r="E3" s="1" t="s">
        <v>0</v>
      </c>
      <c r="F3" s="1" t="s">
        <v>111</v>
      </c>
      <c r="G3" s="1" t="s">
        <v>1</v>
      </c>
      <c r="H3" s="1" t="s">
        <v>150</v>
      </c>
      <c r="I3" s="1" t="s">
        <v>2</v>
      </c>
      <c r="J3" s="1" t="s">
        <v>7</v>
      </c>
      <c r="K3" s="1" t="s">
        <v>112</v>
      </c>
      <c r="L3" s="1" t="s">
        <v>82</v>
      </c>
      <c r="M3" s="1" t="s">
        <v>113</v>
      </c>
      <c r="N3" s="1" t="s">
        <v>83</v>
      </c>
      <c r="O3" s="1" t="s">
        <v>114</v>
      </c>
      <c r="P3" s="1" t="s">
        <v>115</v>
      </c>
      <c r="Q3" s="1" t="s">
        <v>116</v>
      </c>
      <c r="R3" s="5" t="s">
        <v>8</v>
      </c>
      <c r="S3" s="5" t="s">
        <v>3</v>
      </c>
      <c r="T3" s="1" t="s">
        <v>84</v>
      </c>
      <c r="U3" s="1" t="s">
        <v>65</v>
      </c>
      <c r="V3" s="1" t="s">
        <v>85</v>
      </c>
      <c r="W3" s="1" t="s">
        <v>9</v>
      </c>
      <c r="X3" s="1" t="s">
        <v>236</v>
      </c>
    </row>
    <row r="4" spans="1:24">
      <c r="A4" s="2" t="s">
        <v>10</v>
      </c>
      <c r="B4" s="2" t="s">
        <v>11</v>
      </c>
      <c r="C4" s="2" t="s">
        <v>11</v>
      </c>
      <c r="D4" s="2" t="s">
        <v>12</v>
      </c>
      <c r="E4" s="2" t="s">
        <v>16</v>
      </c>
      <c r="F4" s="2" t="s">
        <v>117</v>
      </c>
      <c r="G4" s="2" t="s">
        <v>18</v>
      </c>
      <c r="H4" s="2" t="s">
        <v>11</v>
      </c>
      <c r="I4" s="2" t="s">
        <v>22</v>
      </c>
      <c r="J4" s="2">
        <v>1</v>
      </c>
      <c r="K4" s="2" t="s">
        <v>11</v>
      </c>
      <c r="L4" s="2" t="s">
        <v>90</v>
      </c>
      <c r="M4" s="2" t="s">
        <v>118</v>
      </c>
      <c r="N4" s="2" t="s">
        <v>87</v>
      </c>
      <c r="O4" s="2">
        <v>1</v>
      </c>
      <c r="P4" s="3" t="s">
        <v>22</v>
      </c>
      <c r="Q4" s="3" t="s">
        <v>22</v>
      </c>
      <c r="R4" s="6" t="s">
        <v>25</v>
      </c>
      <c r="S4" t="s">
        <v>52</v>
      </c>
      <c r="T4" s="2" t="s">
        <v>66</v>
      </c>
      <c r="U4" s="2" t="s">
        <v>88</v>
      </c>
      <c r="V4" s="2" t="s">
        <v>121</v>
      </c>
      <c r="W4" s="2" t="s">
        <v>24</v>
      </c>
      <c r="X4" s="2" t="s">
        <v>237</v>
      </c>
    </row>
    <row r="5" spans="1:24">
      <c r="A5" s="2"/>
      <c r="B5" s="2"/>
      <c r="C5" s="2"/>
      <c r="D5" s="2" t="s">
        <v>13</v>
      </c>
      <c r="E5" s="2" t="s">
        <v>17</v>
      </c>
      <c r="F5" s="2" t="s">
        <v>245</v>
      </c>
      <c r="G5" s="2" t="s">
        <v>19</v>
      </c>
      <c r="H5" s="2"/>
      <c r="I5" s="2" t="s">
        <v>23</v>
      </c>
      <c r="J5" s="2">
        <v>2</v>
      </c>
      <c r="K5" s="2"/>
      <c r="L5" s="2" t="s">
        <v>86</v>
      </c>
      <c r="M5" s="2"/>
      <c r="N5" s="2" t="s">
        <v>91</v>
      </c>
      <c r="O5" s="2">
        <v>2</v>
      </c>
      <c r="P5" s="2" t="s">
        <v>23</v>
      </c>
      <c r="Q5" s="2" t="s">
        <v>23</v>
      </c>
      <c r="R5" s="6" t="s">
        <v>26</v>
      </c>
      <c r="S5" t="s">
        <v>53</v>
      </c>
      <c r="T5" s="2"/>
      <c r="U5" s="2" t="s">
        <v>92</v>
      </c>
      <c r="V5" s="2" t="s">
        <v>96</v>
      </c>
      <c r="W5" s="2"/>
      <c r="X5" s="2" t="s">
        <v>273</v>
      </c>
    </row>
    <row r="6" spans="1:24" ht="31">
      <c r="A6" s="2"/>
      <c r="B6" s="2"/>
      <c r="C6" s="2"/>
      <c r="D6" s="2"/>
      <c r="E6" s="2" t="s">
        <v>14</v>
      </c>
      <c r="F6" s="2" t="s">
        <v>246</v>
      </c>
      <c r="G6" s="2" t="s">
        <v>20</v>
      </c>
      <c r="H6" s="2"/>
      <c r="I6" s="2" t="s">
        <v>274</v>
      </c>
      <c r="J6" s="2">
        <v>3</v>
      </c>
      <c r="K6" s="2"/>
      <c r="L6" s="2" t="s">
        <v>102</v>
      </c>
      <c r="M6" s="2"/>
      <c r="N6" s="2" t="s">
        <v>94</v>
      </c>
      <c r="O6" s="2">
        <v>3</v>
      </c>
      <c r="P6" s="2"/>
      <c r="Q6" s="2"/>
      <c r="R6" s="6" t="s">
        <v>267</v>
      </c>
      <c r="S6" t="s">
        <v>119</v>
      </c>
      <c r="T6" s="2"/>
      <c r="U6" s="2" t="s">
        <v>95</v>
      </c>
      <c r="V6" s="2" t="s">
        <v>89</v>
      </c>
      <c r="W6" s="2"/>
      <c r="X6" s="2"/>
    </row>
    <row r="7" spans="1:24">
      <c r="A7" s="2"/>
      <c r="B7" s="2"/>
      <c r="C7" s="2"/>
      <c r="D7" s="2"/>
      <c r="E7" s="2" t="s">
        <v>15</v>
      </c>
      <c r="F7" s="2" t="s">
        <v>247</v>
      </c>
      <c r="G7" s="2" t="s">
        <v>149</v>
      </c>
      <c r="H7" s="2"/>
      <c r="I7" s="2"/>
      <c r="J7" s="2">
        <v>4</v>
      </c>
      <c r="K7" s="2"/>
      <c r="L7" s="2" t="s">
        <v>272</v>
      </c>
      <c r="M7" s="2"/>
      <c r="N7" s="2" t="s">
        <v>21</v>
      </c>
      <c r="O7" s="2"/>
      <c r="P7" s="2"/>
      <c r="Q7" s="2"/>
      <c r="R7" s="6" t="s">
        <v>27</v>
      </c>
      <c r="S7" t="s">
        <v>53</v>
      </c>
      <c r="T7" s="2"/>
      <c r="U7" s="2" t="s">
        <v>120</v>
      </c>
      <c r="V7" s="2" t="s">
        <v>93</v>
      </c>
      <c r="W7" s="2"/>
      <c r="X7" s="2"/>
    </row>
    <row r="8" spans="1:24">
      <c r="A8" s="2"/>
      <c r="B8" s="2"/>
      <c r="C8" s="2"/>
      <c r="D8" s="2"/>
      <c r="E8" s="2"/>
      <c r="F8" s="2" t="s">
        <v>248</v>
      </c>
      <c r="G8" s="2" t="s">
        <v>320</v>
      </c>
      <c r="H8" s="2"/>
      <c r="I8" s="2"/>
      <c r="J8" s="2">
        <v>5</v>
      </c>
      <c r="K8" s="2"/>
      <c r="L8" s="2" t="s">
        <v>249</v>
      </c>
      <c r="M8" s="2"/>
      <c r="N8" s="2" t="s">
        <v>100</v>
      </c>
      <c r="O8" s="2"/>
      <c r="P8" s="2"/>
      <c r="Q8" s="2"/>
      <c r="R8" s="6" t="s">
        <v>266</v>
      </c>
      <c r="S8" t="s">
        <v>119</v>
      </c>
      <c r="T8" s="2"/>
      <c r="U8" s="2" t="s">
        <v>275</v>
      </c>
      <c r="V8" s="2" t="s">
        <v>98</v>
      </c>
      <c r="W8" s="2"/>
      <c r="X8" s="2"/>
    </row>
    <row r="9" spans="1:24">
      <c r="A9" s="2"/>
      <c r="B9" s="2"/>
      <c r="C9" s="2"/>
      <c r="D9" s="2"/>
      <c r="E9" s="2"/>
      <c r="F9" s="2" t="s">
        <v>123</v>
      </c>
      <c r="G9" s="2" t="s">
        <v>21</v>
      </c>
      <c r="H9" s="2"/>
      <c r="I9" s="2"/>
      <c r="J9" s="2">
        <v>6</v>
      </c>
      <c r="K9" s="2"/>
      <c r="L9" s="2" t="s">
        <v>250</v>
      </c>
      <c r="M9" s="2"/>
      <c r="N9" s="2"/>
      <c r="O9" s="2"/>
      <c r="P9" s="2"/>
      <c r="Q9" s="2"/>
      <c r="R9" s="6" t="s">
        <v>28</v>
      </c>
      <c r="S9" t="s">
        <v>54</v>
      </c>
      <c r="T9" s="2"/>
      <c r="U9" s="2" t="s">
        <v>122</v>
      </c>
      <c r="V9" s="2" t="s">
        <v>21</v>
      </c>
      <c r="W9" s="2"/>
      <c r="X9" s="2"/>
    </row>
    <row r="10" spans="1:24">
      <c r="A10" s="2"/>
      <c r="B10" s="2"/>
      <c r="C10" s="2"/>
      <c r="D10" s="2"/>
      <c r="E10" s="2"/>
      <c r="F10" s="2"/>
      <c r="G10" s="2"/>
      <c r="H10" s="2"/>
      <c r="I10" s="2"/>
      <c r="J10" s="2">
        <v>7</v>
      </c>
      <c r="K10" s="2"/>
      <c r="L10" s="2" t="s">
        <v>251</v>
      </c>
      <c r="M10" s="2"/>
      <c r="N10" s="2"/>
      <c r="O10" s="2"/>
      <c r="P10" s="2"/>
      <c r="Q10" s="2"/>
      <c r="R10" s="6" t="s">
        <v>124</v>
      </c>
      <c r="S10" t="s">
        <v>125</v>
      </c>
      <c r="T10" s="2"/>
      <c r="U10" s="2" t="s">
        <v>21</v>
      </c>
      <c r="V10" s="2"/>
      <c r="W10" s="2"/>
      <c r="X10" s="2"/>
    </row>
    <row r="11" spans="1:24">
      <c r="A11" s="2"/>
      <c r="B11" s="2"/>
      <c r="C11" s="2"/>
      <c r="D11" s="2"/>
      <c r="E11" s="2"/>
      <c r="F11" s="2"/>
      <c r="G11" s="2"/>
      <c r="H11" s="2"/>
      <c r="I11" s="2"/>
      <c r="J11" s="2">
        <v>8</v>
      </c>
      <c r="K11" s="2"/>
      <c r="L11" s="2" t="s">
        <v>319</v>
      </c>
      <c r="M11" s="2"/>
      <c r="N11" s="2"/>
      <c r="O11" s="2"/>
      <c r="P11" s="2"/>
      <c r="Q11" s="2"/>
      <c r="R11" s="6" t="s">
        <v>29</v>
      </c>
      <c r="S11" t="s">
        <v>55</v>
      </c>
      <c r="T11" s="2"/>
      <c r="U11" s="2" t="s">
        <v>126</v>
      </c>
      <c r="V11" s="2"/>
      <c r="W11" s="2"/>
      <c r="X11" s="2"/>
    </row>
    <row r="12" spans="1:24">
      <c r="A12" s="2"/>
      <c r="B12" s="2"/>
      <c r="C12" s="2"/>
      <c r="D12" s="2"/>
      <c r="E12" s="2"/>
      <c r="F12" s="2"/>
      <c r="G12" s="2"/>
      <c r="H12" s="2"/>
      <c r="I12" s="2"/>
      <c r="J12" s="2">
        <v>9</v>
      </c>
      <c r="K12" s="2"/>
      <c r="L12" s="2" t="s">
        <v>99</v>
      </c>
      <c r="M12" s="2"/>
      <c r="N12" s="2"/>
      <c r="O12" s="2"/>
      <c r="P12" s="2"/>
      <c r="Q12" s="2"/>
      <c r="R12" s="6" t="s">
        <v>30</v>
      </c>
      <c r="S12" t="s">
        <v>55</v>
      </c>
      <c r="T12" s="2"/>
      <c r="U12" s="2"/>
      <c r="V12" s="2"/>
      <c r="W12" s="2"/>
      <c r="X12" s="2"/>
    </row>
    <row r="13" spans="1:24">
      <c r="A13" s="2"/>
      <c r="B13" s="2"/>
      <c r="C13" s="2"/>
      <c r="D13" s="2"/>
      <c r="E13" s="2"/>
      <c r="G13" s="2"/>
      <c r="H13" s="2"/>
      <c r="I13" s="2"/>
      <c r="J13" s="2"/>
      <c r="K13" s="2"/>
      <c r="L13" s="2" t="s">
        <v>97</v>
      </c>
      <c r="M13" s="2"/>
      <c r="N13" s="2"/>
      <c r="O13" s="2"/>
      <c r="P13" s="2"/>
      <c r="Q13" s="2"/>
      <c r="R13" s="6" t="s">
        <v>31</v>
      </c>
      <c r="S13" t="s">
        <v>55</v>
      </c>
      <c r="T13" s="2"/>
      <c r="U13" s="2"/>
      <c r="V13" s="2"/>
      <c r="W13" s="2"/>
      <c r="X13" s="2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 t="s">
        <v>305</v>
      </c>
      <c r="M14" s="2"/>
      <c r="N14" s="2"/>
      <c r="O14" s="2"/>
      <c r="P14" s="2"/>
      <c r="Q14" s="2"/>
      <c r="R14" s="6" t="s">
        <v>32</v>
      </c>
      <c r="S14" t="s">
        <v>55</v>
      </c>
      <c r="T14" s="2"/>
      <c r="U14" s="2"/>
      <c r="V14" s="2"/>
      <c r="W14" s="2"/>
      <c r="X14" s="2"/>
    </row>
    <row r="15" spans="1:24">
      <c r="A15" s="2"/>
      <c r="B15" s="2"/>
      <c r="C15" s="2"/>
      <c r="D15" s="2"/>
      <c r="E15" s="2"/>
      <c r="F15" s="2"/>
      <c r="G15" s="2"/>
      <c r="H15" s="2"/>
      <c r="I15" s="2"/>
      <c r="J15" s="11" t="s">
        <v>235</v>
      </c>
      <c r="K15" s="2"/>
      <c r="L15" s="2" t="s">
        <v>306</v>
      </c>
      <c r="M15" s="2"/>
      <c r="N15" s="2"/>
      <c r="O15" s="2"/>
      <c r="P15" s="2"/>
      <c r="Q15" s="2"/>
      <c r="R15" s="6" t="s">
        <v>268</v>
      </c>
      <c r="S15" t="s">
        <v>55</v>
      </c>
      <c r="T15" s="2"/>
      <c r="U15" s="2"/>
      <c r="V15" s="2"/>
      <c r="W15" s="2"/>
      <c r="X15" s="2"/>
    </row>
    <row r="16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 t="s">
        <v>303</v>
      </c>
      <c r="M16" s="2"/>
      <c r="N16" s="2"/>
      <c r="O16" s="2"/>
      <c r="P16" s="2"/>
      <c r="Q16" s="2"/>
      <c r="R16" s="6" t="s">
        <v>269</v>
      </c>
      <c r="S16" t="s">
        <v>55</v>
      </c>
      <c r="T16" s="2"/>
      <c r="U16" s="2"/>
      <c r="V16" s="2"/>
      <c r="W16" s="2"/>
      <c r="X16" s="2"/>
    </row>
    <row r="17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 t="s">
        <v>304</v>
      </c>
      <c r="M17" s="2"/>
      <c r="N17" s="2"/>
      <c r="O17" s="2"/>
      <c r="P17" s="2"/>
      <c r="Q17" s="2"/>
      <c r="R17" s="6" t="s">
        <v>33</v>
      </c>
      <c r="S17" t="s">
        <v>55</v>
      </c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 t="s">
        <v>101</v>
      </c>
      <c r="M18" s="2"/>
      <c r="N18" s="2"/>
      <c r="O18" s="2"/>
      <c r="P18" s="2"/>
      <c r="Q18" s="2"/>
      <c r="R18" s="6" t="s">
        <v>127</v>
      </c>
      <c r="S18" t="s">
        <v>55</v>
      </c>
      <c r="T18" s="2"/>
      <c r="U18" s="2"/>
      <c r="V18" s="2"/>
      <c r="W18" s="2"/>
      <c r="X18" s="2"/>
    </row>
    <row r="19" spans="1:24" ht="3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 t="s">
        <v>21</v>
      </c>
      <c r="M19" s="2"/>
      <c r="N19" s="2"/>
      <c r="O19" s="2"/>
      <c r="P19" s="2"/>
      <c r="Q19" s="2"/>
      <c r="R19" s="6" t="s">
        <v>128</v>
      </c>
      <c r="S19" t="s">
        <v>55</v>
      </c>
      <c r="T19" s="2"/>
      <c r="U19" s="2"/>
      <c r="V19" s="2"/>
      <c r="W19" s="2"/>
      <c r="X19" s="2"/>
    </row>
    <row r="20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100</v>
      </c>
      <c r="M20" s="2"/>
      <c r="N20" s="2"/>
      <c r="O20" s="2"/>
      <c r="P20" s="2"/>
      <c r="Q20" s="2"/>
      <c r="R20" s="6" t="s">
        <v>34</v>
      </c>
      <c r="S20" t="s">
        <v>55</v>
      </c>
      <c r="T20" s="2"/>
      <c r="U20" s="2"/>
      <c r="V20" s="2"/>
      <c r="W20" s="2"/>
      <c r="X20" s="2"/>
    </row>
    <row r="21" spans="1:2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 t="s">
        <v>64</v>
      </c>
      <c r="M21" s="2"/>
      <c r="N21" s="2"/>
      <c r="O21" s="2"/>
      <c r="P21" s="2"/>
      <c r="Q21" s="2"/>
      <c r="R21" s="6" t="s">
        <v>35</v>
      </c>
      <c r="S21" t="s">
        <v>55</v>
      </c>
      <c r="T21" s="2"/>
      <c r="U21" s="2"/>
      <c r="V21" s="2"/>
      <c r="W21" s="2"/>
      <c r="X21" s="2"/>
    </row>
    <row r="22" spans="1:2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6" t="s">
        <v>36</v>
      </c>
      <c r="S22" t="s">
        <v>56</v>
      </c>
      <c r="T22" s="2"/>
      <c r="U22" s="2"/>
      <c r="V22" s="2"/>
      <c r="W22" s="2"/>
      <c r="X22" s="2"/>
    </row>
    <row r="23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6" t="s">
        <v>129</v>
      </c>
      <c r="S23" t="s">
        <v>61</v>
      </c>
      <c r="T23" s="2"/>
      <c r="U23" s="2"/>
      <c r="V23" s="2"/>
      <c r="W23" s="2"/>
      <c r="X23" s="2"/>
    </row>
    <row r="24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6" t="s">
        <v>264</v>
      </c>
      <c r="S24" t="s">
        <v>57</v>
      </c>
      <c r="T24" s="2"/>
      <c r="U24" s="2"/>
      <c r="V24" s="2"/>
      <c r="W24" s="2"/>
      <c r="X24" s="2"/>
    </row>
    <row r="25" spans="1:2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6" t="s">
        <v>37</v>
      </c>
      <c r="S25" t="s">
        <v>54</v>
      </c>
      <c r="T25" s="2"/>
      <c r="U25" s="2"/>
      <c r="V25" s="2"/>
      <c r="W25" s="2"/>
      <c r="X25" s="2"/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6" t="s">
        <v>38</v>
      </c>
      <c r="S26" t="s">
        <v>58</v>
      </c>
      <c r="T26" s="2"/>
      <c r="U26" s="2"/>
      <c r="V26" s="2"/>
      <c r="W26" s="2"/>
      <c r="X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6" t="s">
        <v>292</v>
      </c>
      <c r="S27" t="s">
        <v>59</v>
      </c>
      <c r="T27" s="2"/>
      <c r="U27" s="2"/>
      <c r="V27" s="2"/>
      <c r="W27" s="2"/>
      <c r="X27" s="2"/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6" t="s">
        <v>39</v>
      </c>
      <c r="S28" t="s">
        <v>61</v>
      </c>
      <c r="T28" s="2"/>
      <c r="U28" s="2"/>
      <c r="V28" s="2"/>
      <c r="W28" s="2"/>
      <c r="X28" s="2"/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" t="s">
        <v>130</v>
      </c>
      <c r="S29" t="s">
        <v>57</v>
      </c>
      <c r="T29" s="2"/>
      <c r="U29" s="2"/>
      <c r="V29" s="2"/>
      <c r="W29" s="2"/>
      <c r="X29" s="2"/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6" t="s">
        <v>40</v>
      </c>
      <c r="S30" t="s">
        <v>54</v>
      </c>
      <c r="T30" s="2"/>
      <c r="U30" s="2"/>
      <c r="V30" s="2"/>
      <c r="W30" s="2"/>
      <c r="X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6" t="s">
        <v>252</v>
      </c>
      <c r="S31" t="s">
        <v>56</v>
      </c>
      <c r="T31" s="2"/>
      <c r="U31" s="2"/>
      <c r="V31" s="2"/>
      <c r="W31" s="2"/>
      <c r="X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6" t="s">
        <v>280</v>
      </c>
      <c r="S32" t="s">
        <v>281</v>
      </c>
      <c r="T32" s="2"/>
      <c r="U32" s="2"/>
      <c r="V32" s="2"/>
      <c r="W32" s="2"/>
      <c r="X32" s="2"/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" t="s">
        <v>41</v>
      </c>
      <c r="S33" t="s">
        <v>52</v>
      </c>
      <c r="T33" s="2"/>
      <c r="U33" s="2"/>
      <c r="V33" s="2"/>
      <c r="W33" s="2"/>
      <c r="X33" s="2"/>
    </row>
    <row r="34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" t="s">
        <v>42</v>
      </c>
      <c r="S34" t="s">
        <v>283</v>
      </c>
      <c r="T34" s="2"/>
      <c r="U34" s="2"/>
      <c r="V34" s="2"/>
      <c r="W34" s="2"/>
      <c r="X34" s="2"/>
    </row>
    <row r="35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6" t="s">
        <v>131</v>
      </c>
      <c r="S35" t="s">
        <v>58</v>
      </c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6" t="s">
        <v>289</v>
      </c>
      <c r="S36" s="16" t="s">
        <v>290</v>
      </c>
      <c r="T36" s="2"/>
      <c r="U36" s="2"/>
      <c r="V36" s="2"/>
      <c r="W36" s="2"/>
      <c r="X36" s="2"/>
    </row>
    <row r="37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6" t="s">
        <v>270</v>
      </c>
      <c r="S37" t="s">
        <v>57</v>
      </c>
      <c r="T37" s="2"/>
      <c r="U37" s="2"/>
      <c r="V37" s="2"/>
      <c r="W37" s="2"/>
      <c r="X37" s="2"/>
    </row>
    <row r="38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6" t="s">
        <v>282</v>
      </c>
      <c r="S38" t="s">
        <v>284</v>
      </c>
      <c r="T38" s="2"/>
      <c r="U38" s="2"/>
      <c r="V38" s="2"/>
      <c r="W38" s="2"/>
      <c r="X38" s="2"/>
    </row>
    <row r="39" spans="1:24" ht="18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6" t="s">
        <v>43</v>
      </c>
      <c r="S39" t="s">
        <v>62</v>
      </c>
      <c r="T39" s="14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6" t="s">
        <v>44</v>
      </c>
      <c r="S40" t="s">
        <v>61</v>
      </c>
      <c r="T40" s="2"/>
      <c r="U40" s="2"/>
      <c r="V40" s="2"/>
      <c r="W40" s="2"/>
      <c r="X40" s="2"/>
    </row>
    <row r="41" spans="1:2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6" t="s">
        <v>276</v>
      </c>
      <c r="S41" t="s">
        <v>98</v>
      </c>
      <c r="T41" s="2" t="s">
        <v>277</v>
      </c>
      <c r="U41" s="2"/>
      <c r="V41" s="2"/>
      <c r="W41" s="2"/>
      <c r="X41" s="2"/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6" t="s">
        <v>132</v>
      </c>
      <c r="S42" t="s">
        <v>52</v>
      </c>
      <c r="T42" s="13"/>
      <c r="U42" s="2"/>
      <c r="V42" s="2"/>
      <c r="W42" s="2"/>
      <c r="X42" s="2"/>
    </row>
    <row r="43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6" t="s">
        <v>45</v>
      </c>
      <c r="S43" t="s">
        <v>63</v>
      </c>
      <c r="T43" s="13"/>
      <c r="U43" s="2"/>
      <c r="V43" s="2"/>
      <c r="W43" s="2"/>
      <c r="X43" s="2"/>
    </row>
    <row r="44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6" t="s">
        <v>133</v>
      </c>
      <c r="S44" t="s">
        <v>57</v>
      </c>
      <c r="T44" s="13"/>
      <c r="U44" s="2"/>
      <c r="V44" s="2"/>
      <c r="W44" s="2"/>
      <c r="X44" s="2"/>
    </row>
    <row r="45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6" t="s">
        <v>278</v>
      </c>
      <c r="S45" t="s">
        <v>279</v>
      </c>
      <c r="T45" s="13"/>
      <c r="U45" s="2"/>
      <c r="V45" s="2"/>
      <c r="W45" s="2"/>
      <c r="X45" s="2"/>
    </row>
    <row r="46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6" t="s">
        <v>335</v>
      </c>
      <c r="S46" t="s">
        <v>265</v>
      </c>
      <c r="T46" s="13" t="s">
        <v>56</v>
      </c>
      <c r="U46" s="2"/>
      <c r="V46" s="2"/>
      <c r="W46" s="2"/>
      <c r="X46" s="2"/>
    </row>
    <row r="47" spans="1:24" ht="3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6" t="s">
        <v>336</v>
      </c>
      <c r="S47" t="s">
        <v>265</v>
      </c>
      <c r="T47" s="13" t="s">
        <v>52</v>
      </c>
      <c r="U47" s="2"/>
      <c r="V47" s="2"/>
      <c r="W47" s="2"/>
      <c r="X47" s="2"/>
    </row>
    <row r="48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6" t="s">
        <v>337</v>
      </c>
      <c r="S48" t="s">
        <v>265</v>
      </c>
      <c r="T48" s="13" t="s">
        <v>57</v>
      </c>
      <c r="U48" s="2"/>
      <c r="V48" s="2"/>
      <c r="W48" s="2"/>
      <c r="X48" s="2"/>
    </row>
    <row r="49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6" t="s">
        <v>338</v>
      </c>
      <c r="S49" t="s">
        <v>265</v>
      </c>
      <c r="T49" s="13" t="s">
        <v>57</v>
      </c>
      <c r="U49" s="2"/>
      <c r="V49" s="2"/>
      <c r="W49" s="2"/>
      <c r="X49" s="2"/>
    </row>
    <row r="50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6" t="s">
        <v>339</v>
      </c>
      <c r="S50" t="s">
        <v>265</v>
      </c>
      <c r="T50" s="13" t="s">
        <v>59</v>
      </c>
      <c r="U50" s="2"/>
      <c r="V50" s="2"/>
      <c r="W50" s="2"/>
      <c r="X50" s="2"/>
    </row>
    <row r="5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" t="s">
        <v>340</v>
      </c>
      <c r="S51" t="s">
        <v>265</v>
      </c>
      <c r="T51" s="13" t="s">
        <v>52</v>
      </c>
      <c r="U51" s="2"/>
      <c r="V51" s="2"/>
      <c r="W51" s="2"/>
      <c r="X51" s="2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6" t="s">
        <v>271</v>
      </c>
      <c r="S52" t="s">
        <v>57</v>
      </c>
      <c r="T52" s="2"/>
      <c r="U52" s="2"/>
      <c r="V52" s="2"/>
      <c r="W52" s="2"/>
      <c r="X52" s="2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6" t="s">
        <v>134</v>
      </c>
      <c r="S53" t="s">
        <v>61</v>
      </c>
      <c r="T53" s="2"/>
      <c r="U53" s="2"/>
      <c r="V53" s="2"/>
      <c r="W53" s="2"/>
      <c r="X53" s="2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6" t="s">
        <v>135</v>
      </c>
      <c r="S54" t="s">
        <v>136</v>
      </c>
      <c r="T54" s="2"/>
      <c r="U54" s="2"/>
      <c r="V54" s="2"/>
      <c r="W54" s="2"/>
      <c r="X54" s="2"/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6" t="s">
        <v>46</v>
      </c>
      <c r="S55" t="s">
        <v>53</v>
      </c>
      <c r="T55" s="2"/>
      <c r="U55" s="2"/>
      <c r="V55" s="2"/>
      <c r="W55" s="2"/>
      <c r="X55" s="2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6" t="s">
        <v>287</v>
      </c>
      <c r="S56" t="s">
        <v>137</v>
      </c>
      <c r="T56" s="2"/>
      <c r="U56" s="2"/>
      <c r="V56" s="2"/>
      <c r="W56" s="2"/>
      <c r="X56" s="2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6" t="s">
        <v>47</v>
      </c>
      <c r="S57" t="s">
        <v>59</v>
      </c>
      <c r="T57" s="2"/>
      <c r="U57" s="2"/>
      <c r="V57" s="2"/>
      <c r="W57" s="2"/>
      <c r="X57" s="2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6" t="s">
        <v>138</v>
      </c>
      <c r="S58" t="s">
        <v>57</v>
      </c>
      <c r="T58" s="2"/>
      <c r="U58" s="2"/>
      <c r="V58" s="2"/>
      <c r="W58" s="2"/>
      <c r="X58" s="2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6" t="s">
        <v>48</v>
      </c>
      <c r="S59" t="s">
        <v>48</v>
      </c>
      <c r="T59" s="2"/>
      <c r="U59" s="2"/>
      <c r="V59" s="2"/>
      <c r="W59" s="2"/>
      <c r="X59" s="2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6" t="s">
        <v>139</v>
      </c>
      <c r="S60" t="s">
        <v>140</v>
      </c>
      <c r="T60" s="2"/>
      <c r="U60" s="2"/>
      <c r="V60" s="2"/>
      <c r="W60" s="2"/>
      <c r="X60" s="2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6" t="s">
        <v>141</v>
      </c>
      <c r="S61" t="s">
        <v>142</v>
      </c>
      <c r="T61" s="2"/>
      <c r="U61" s="2"/>
      <c r="V61" s="2"/>
      <c r="W61" s="2"/>
      <c r="X61" s="2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6" t="s">
        <v>49</v>
      </c>
      <c r="S62" t="s">
        <v>142</v>
      </c>
      <c r="T62" s="2"/>
      <c r="U62" s="2"/>
      <c r="V62" s="2"/>
      <c r="W62" s="2"/>
      <c r="X62" s="2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6" t="s">
        <v>143</v>
      </c>
      <c r="S63" t="s">
        <v>140</v>
      </c>
      <c r="T63" s="2"/>
      <c r="U63" s="2"/>
      <c r="V63" s="2"/>
      <c r="W63" s="2"/>
      <c r="X63" s="2"/>
    </row>
    <row r="64" spans="1:24">
      <c r="G64" s="2"/>
      <c r="I64" s="2"/>
      <c r="L64" s="2"/>
      <c r="R64" s="6" t="s">
        <v>144</v>
      </c>
      <c r="S64" t="s">
        <v>142</v>
      </c>
      <c r="U64" s="2"/>
      <c r="V64" s="2"/>
    </row>
    <row r="65" spans="12:19">
      <c r="L65" s="2"/>
      <c r="R65" s="6" t="s">
        <v>145</v>
      </c>
      <c r="S65" t="s">
        <v>140</v>
      </c>
    </row>
    <row r="66" spans="12:19">
      <c r="L66" s="2"/>
      <c r="R66" s="6" t="s">
        <v>291</v>
      </c>
      <c r="S66" t="s">
        <v>60</v>
      </c>
    </row>
    <row r="67" spans="12:19">
      <c r="L67" s="2"/>
      <c r="R67" s="6" t="s">
        <v>50</v>
      </c>
      <c r="S67" t="s">
        <v>61</v>
      </c>
    </row>
    <row r="68" spans="12:19">
      <c r="L68" s="2"/>
      <c r="R68" s="6" t="s">
        <v>285</v>
      </c>
      <c r="S68" s="15" t="s">
        <v>286</v>
      </c>
    </row>
    <row r="69" spans="12:19">
      <c r="L69" s="2"/>
      <c r="R69" s="6" t="s">
        <v>146</v>
      </c>
      <c r="S69" t="s">
        <v>52</v>
      </c>
    </row>
    <row r="70" spans="12:19">
      <c r="L70" s="2"/>
      <c r="R70" s="6" t="s">
        <v>147</v>
      </c>
      <c r="S70" t="s">
        <v>54</v>
      </c>
    </row>
    <row r="71" spans="12:19">
      <c r="R71" s="6" t="s">
        <v>148</v>
      </c>
      <c r="S71" t="s">
        <v>54</v>
      </c>
    </row>
    <row r="72" spans="12:19">
      <c r="R72" s="6" t="s">
        <v>51</v>
      </c>
      <c r="S72" t="s">
        <v>60</v>
      </c>
    </row>
    <row r="73" spans="12:19">
      <c r="R73" s="6" t="s">
        <v>21</v>
      </c>
      <c r="S73" t="s">
        <v>21</v>
      </c>
    </row>
  </sheetData>
  <mergeCells count="3">
    <mergeCell ref="L1:X1"/>
    <mergeCell ref="L2:Q2"/>
    <mergeCell ref="A1:K2"/>
  </mergeCells>
  <pageMargins left="0.7" right="0.7" top="0.75" bottom="0.75" header="0.3" footer="0.3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6640625" defaultRowHeight="15.5"/>
  <cols>
    <col min="1" max="1" width="47" customWidth="1"/>
    <col min="2" max="2" width="60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2"/>
  <sheetViews>
    <sheetView showGridLines="0" workbookViewId="0">
      <selection activeCell="C22" sqref="C22"/>
    </sheetView>
  </sheetViews>
  <sheetFormatPr defaultColWidth="10.83203125" defaultRowHeight="15.5"/>
  <cols>
    <col min="1" max="1" width="10.83203125" style="24"/>
    <col min="2" max="2" width="20.5" style="24" customWidth="1"/>
    <col min="3" max="3" width="30.33203125" style="24" customWidth="1"/>
    <col min="4" max="16384" width="10.83203125" style="24"/>
  </cols>
  <sheetData>
    <row r="3" spans="2:3" ht="23.5">
      <c r="B3" s="23"/>
    </row>
    <row r="8" spans="2:3">
      <c r="B8" s="58" t="s">
        <v>80</v>
      </c>
      <c r="C8" s="59"/>
    </row>
    <row r="9" spans="2:3">
      <c r="B9" s="25" t="s">
        <v>67</v>
      </c>
      <c r="C9" s="26" t="s">
        <v>81</v>
      </c>
    </row>
    <row r="10" spans="2:3">
      <c r="B10" s="27" t="s">
        <v>68</v>
      </c>
      <c r="C10" s="28">
        <v>10</v>
      </c>
    </row>
    <row r="11" spans="2:3">
      <c r="B11" s="27" t="s">
        <v>69</v>
      </c>
      <c r="C11" s="28">
        <v>10</v>
      </c>
    </row>
    <row r="12" spans="2:3">
      <c r="B12" s="27" t="s">
        <v>70</v>
      </c>
      <c r="C12" s="28">
        <v>10</v>
      </c>
    </row>
    <row r="13" spans="2:3">
      <c r="B13" s="27" t="s">
        <v>71</v>
      </c>
      <c r="C13" s="28">
        <v>10</v>
      </c>
    </row>
    <row r="14" spans="2:3">
      <c r="B14" s="27" t="s">
        <v>72</v>
      </c>
      <c r="C14" s="28">
        <v>10</v>
      </c>
    </row>
    <row r="15" spans="2:3">
      <c r="B15" s="27" t="s">
        <v>73</v>
      </c>
      <c r="C15" s="28">
        <v>10</v>
      </c>
    </row>
    <row r="16" spans="2:3">
      <c r="B16" s="27" t="s">
        <v>74</v>
      </c>
      <c r="C16" s="28">
        <v>10</v>
      </c>
    </row>
    <row r="17" spans="2:3">
      <c r="B17" s="27" t="s">
        <v>75</v>
      </c>
      <c r="C17" s="28">
        <v>10</v>
      </c>
    </row>
    <row r="18" spans="2:3">
      <c r="B18" s="27" t="s">
        <v>76</v>
      </c>
      <c r="C18" s="28">
        <v>10</v>
      </c>
    </row>
    <row r="19" spans="2:3">
      <c r="B19" s="27" t="s">
        <v>77</v>
      </c>
      <c r="C19" s="28">
        <v>10</v>
      </c>
    </row>
    <row r="20" spans="2:3">
      <c r="B20" s="27" t="s">
        <v>78</v>
      </c>
      <c r="C20" s="28">
        <v>10</v>
      </c>
    </row>
    <row r="21" spans="2:3">
      <c r="B21" s="29" t="s">
        <v>79</v>
      </c>
      <c r="C21" s="30">
        <v>10</v>
      </c>
    </row>
    <row r="22" spans="2:3">
      <c r="B22" s="29" t="s">
        <v>239</v>
      </c>
      <c r="C22" s="20">
        <f>SUM(Total_Patients[Patients Seen per Month])</f>
        <v>120</v>
      </c>
    </row>
  </sheetData>
  <sheetProtection algorithmName="SHA-512" hashValue="gUhSMxY3tksNcF90TeziBMqoNaNgvKg7oX5MaLx776UyoI4AaA7FC0iert7xANvuLQnRJhxcvYhjXynx6c/PMA==" saltValue="36CNMHiufw+QiXioixY1kw==" spinCount="100000" sheet="1" objects="1" scenarios="1"/>
  <mergeCells count="1">
    <mergeCell ref="B8:C8"/>
  </mergeCells>
  <phoneticPr fontId="5" type="noConversion"/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zoomScale="82" workbookViewId="0">
      <selection activeCell="T178" sqref="T178"/>
    </sheetView>
  </sheetViews>
  <sheetFormatPr defaultColWidth="10.6640625" defaultRowHeight="15.5"/>
  <cols>
    <col min="2" max="2" width="19.33203125" customWidth="1"/>
    <col min="3" max="3" width="28.1640625" customWidth="1"/>
  </cols>
  <sheetData>
    <row r="2" spans="2:3" ht="42" customHeight="1">
      <c r="B2" s="12" t="s">
        <v>238</v>
      </c>
      <c r="C2" s="19" t="s">
        <v>318</v>
      </c>
    </row>
    <row r="3" spans="2:3" ht="18.5">
      <c r="B3" s="18" t="s">
        <v>68</v>
      </c>
      <c r="C3" s="17">
        <f>IFERROR(Calculations!E2/Calculations!B2*100, " ")</f>
        <v>0</v>
      </c>
    </row>
    <row r="4" spans="2:3" ht="18.5">
      <c r="B4" s="18" t="s">
        <v>69</v>
      </c>
      <c r="C4" s="17">
        <f>IFERROR(Calculations!E3/Calculations!B3*100, " ")</f>
        <v>0</v>
      </c>
    </row>
    <row r="5" spans="2:3" ht="18.5">
      <c r="B5" s="18" t="s">
        <v>70</v>
      </c>
      <c r="C5" s="17">
        <f>IFERROR(Calculations!E4/Calculations!B4*100, " ")</f>
        <v>0</v>
      </c>
    </row>
    <row r="6" spans="2:3" ht="18.5">
      <c r="B6" s="18" t="s">
        <v>71</v>
      </c>
      <c r="C6" s="17">
        <f>IFERROR(Calculations!E5/Calculations!B5*100, " ")</f>
        <v>0</v>
      </c>
    </row>
    <row r="7" spans="2:3" ht="18.5">
      <c r="B7" s="18" t="s">
        <v>72</v>
      </c>
      <c r="C7" s="17">
        <f>IFERROR(Calculations!E6/Calculations!B6*100, " ")</f>
        <v>0</v>
      </c>
    </row>
    <row r="8" spans="2:3" ht="18.5">
      <c r="B8" s="18" t="s">
        <v>73</v>
      </c>
      <c r="C8" s="17">
        <f>IFERROR(Calculations!E7/Calculations!B7*100, " ")</f>
        <v>0</v>
      </c>
    </row>
    <row r="9" spans="2:3" ht="18.5">
      <c r="B9" s="18" t="s">
        <v>74</v>
      </c>
      <c r="C9" s="17">
        <f>IFERROR(Calculations!E8/Calculations!B8*100, " ")</f>
        <v>0</v>
      </c>
    </row>
    <row r="10" spans="2:3" ht="18.5">
      <c r="B10" s="18" t="s">
        <v>75</v>
      </c>
      <c r="C10" s="17">
        <f>IFERROR(Calculations!E9/Calculations!B9*100, " ")</f>
        <v>0</v>
      </c>
    </row>
    <row r="11" spans="2:3" ht="18.5">
      <c r="B11" s="18" t="s">
        <v>76</v>
      </c>
      <c r="C11" s="17">
        <f>IFERROR(Calculations!E10/Calculations!B10*100, " ")</f>
        <v>0</v>
      </c>
    </row>
    <row r="12" spans="2:3" ht="18.5">
      <c r="B12" s="18" t="s">
        <v>77</v>
      </c>
      <c r="C12" s="17">
        <f>IFERROR(Calculations!E11/Calculations!B11*100, " ")</f>
        <v>0</v>
      </c>
    </row>
    <row r="13" spans="2:3" ht="18.5">
      <c r="B13" s="18" t="s">
        <v>78</v>
      </c>
      <c r="C13" s="17">
        <f>IFERROR(Calculations!E12/Calculations!B12*100, " ")</f>
        <v>0</v>
      </c>
    </row>
    <row r="14" spans="2:3" ht="18.5">
      <c r="B14" s="18" t="s">
        <v>79</v>
      </c>
      <c r="C14" s="17">
        <f>IFERROR(Calculations!E13/Calculations!B13*100, " ")</f>
        <v>0</v>
      </c>
    </row>
    <row r="15" spans="2:3" ht="18.5">
      <c r="B15" s="18" t="s">
        <v>239</v>
      </c>
      <c r="C15" s="17">
        <f>IFERROR(Calculations!E14/Calculations!B14*100, " ")</f>
        <v>0</v>
      </c>
    </row>
  </sheetData>
  <sheetProtection algorithmName="SHA-512" hashValue="SsSc/W5ZKYkn7g5lE5bX5atAsh4hEOn2en2rGjjCgA5id+MuPJfNTHamdU9JdKlLrUMlUtG4dhj25HKupyemxg==" saltValue="5Xt/eUgwcGawsP7Pr83V6A==" spinCount="100000" sheet="1" objects="1" scenarios="1"/>
  <phoneticPr fontId="5" type="noConversion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5"/>
  <sheetViews>
    <sheetView topLeftCell="B9" zoomScale="84" workbookViewId="0">
      <selection activeCell="O24" sqref="O24"/>
    </sheetView>
  </sheetViews>
  <sheetFormatPr defaultColWidth="10.83203125" defaultRowHeight="15.5"/>
  <cols>
    <col min="1" max="1" width="16.5" style="21" customWidth="1"/>
    <col min="2" max="2" width="19.33203125" style="21" customWidth="1"/>
    <col min="3" max="3" width="19" style="21" customWidth="1"/>
    <col min="4" max="16384" width="10.83203125" style="21"/>
  </cols>
  <sheetData>
    <row r="1" spans="1:22">
      <c r="A1" s="21" t="s">
        <v>240</v>
      </c>
      <c r="D1" s="21" t="s">
        <v>243</v>
      </c>
      <c r="G1" s="21" t="s">
        <v>244</v>
      </c>
      <c r="I1" s="21" t="s">
        <v>293</v>
      </c>
      <c r="T1" s="21" t="s">
        <v>307</v>
      </c>
    </row>
    <row r="2" spans="1:22">
      <c r="A2" s="21" t="s">
        <v>68</v>
      </c>
      <c r="B2" s="21">
        <f>'Total Patients'!C10</f>
        <v>10</v>
      </c>
      <c r="D2" s="21" t="s">
        <v>68</v>
      </c>
      <c r="E2" s="21">
        <f>COUNTIF(January[Patient Prescribed Antibiotic (Y/N/WW)], "Yes")</f>
        <v>0</v>
      </c>
      <c r="G2" s="21">
        <f>COUNTIF(January[Patient Prescribed Antibiotic (Y/N/WW)], "No")</f>
        <v>0</v>
      </c>
      <c r="I2" s="21">
        <f>COUNTIF(January[Patient Prescribed Antibiotic (Y/N/WW)], "Watchful Waiting")</f>
        <v>0</v>
      </c>
      <c r="U2" s="21" t="s">
        <v>102</v>
      </c>
      <c r="V2" s="21" t="s">
        <v>308</v>
      </c>
    </row>
    <row r="3" spans="1:22">
      <c r="A3" s="21" t="s">
        <v>69</v>
      </c>
      <c r="B3" s="21">
        <f>'Total Patients'!C11</f>
        <v>10</v>
      </c>
      <c r="D3" s="21" t="s">
        <v>69</v>
      </c>
      <c r="E3" s="21">
        <f>COUNTIF(February[Patient Prescribed Antibiotic (Y/N/WW)], "Yes")</f>
        <v>0</v>
      </c>
      <c r="G3" s="21">
        <f>COUNTIF(February[Patient Prescribed Antibiotic (Y/N/WW)], "No")</f>
        <v>0</v>
      </c>
      <c r="I3" s="21">
        <f>COUNTIF(February[Patient Prescribed Antibiotic (Y/N/WW)], "Watchful Waiting")</f>
        <v>0</v>
      </c>
      <c r="T3" s="21" t="s">
        <v>68</v>
      </c>
      <c r="U3" s="21">
        <f>COUNTIFS(January[Patient Prescribed Antibiotic (Y/N/WW)], "Watchful Waiting", January[Disease/Infection Type], "Gastrointestinal Disease")+COUNTIFS(January[Patient Prescribed Antibiotic (Y/N/WW)], "Watchful Waiting", January[Disease/Infection Type2], "Gastrointestinal Disease")+COUNTIFS(January[Patient Prescribed Antibiotic (Y/N/WW)], "Watchful Waiting", January[Disease/Infection Type3], "Gastrointestinal Disease")</f>
        <v>0</v>
      </c>
      <c r="V3" s="21">
        <f>COUNTIFS(January[Patient Prescribed Antibiotic (Y/N/WW)], "Watchful Waiting", January[Disease/Infection Type], "Upper Respiratory Tract Disease")+COUNTIFS(January[Patient Prescribed Antibiotic (Y/N/WW)], "Watchful Waiting", January[Disease/Infection Type2], "Upper Respiratory Tract Disease")+COUNTIFS(January[Patient Prescribed Antibiotic (Y/N/WW)], "Watchful Waiting", January[Disease/Infection Type3], "Upper Respiratory Tract Disease")</f>
        <v>0</v>
      </c>
    </row>
    <row r="4" spans="1:22">
      <c r="A4" s="21" t="s">
        <v>70</v>
      </c>
      <c r="B4" s="21">
        <f>'Total Patients'!C12</f>
        <v>10</v>
      </c>
      <c r="D4" s="21" t="s">
        <v>70</v>
      </c>
      <c r="E4" s="21">
        <f>COUNTIF(March[Patient Prescribed Antibiotic (Y/N/WW)], "Yes")</f>
        <v>0</v>
      </c>
      <c r="G4" s="21">
        <f>COUNTIF(March[Patient Prescribed Antibiotic (Y/N/WW)], "No")</f>
        <v>0</v>
      </c>
      <c r="I4" s="21">
        <f>COUNTIF(March[Patient Prescribed Antibiotic (Y/N/WW)], "Watchful Waiting")</f>
        <v>0</v>
      </c>
      <c r="T4" s="21" t="s">
        <v>69</v>
      </c>
      <c r="U4" s="21">
        <f>COUNTIFS(February[Patient Prescribed Antibiotic (Y/N/WW)], "Watchful Waiting", February[Disease/Infection Type], "Gastrointestinal Disease")+COUNTIFS(February[Patient Prescribed Antibiotic (Y/N/WW)], "Watchful Waiting", February[Disease/Infection Type2], "Gastrointestinal Disease")+COUNTIFS(February[Patient Prescribed Antibiotic (Y/N/WW)], "Watchful Waiting", February[Disease/Infection Type3], "Gastrointestinal Disease")</f>
        <v>0</v>
      </c>
      <c r="V4" s="21">
        <f>COUNTIFS(February[Patient Prescribed Antibiotic (Y/N/WW)], "Watchful Waiting", February[Disease/Infection Type], "Upper Respiratory Tract Disease")+COUNTIFS(February[Patient Prescribed Antibiotic (Y/N/WW)], "Watchful Waiting", February[Disease/Infection Type2], "Upper Respiratory Tract Disease")+COUNTIFS(February[Patient Prescribed Antibiotic (Y/N/WW)], "Watchful Waiting", February[Disease/Infection Type3], "Upper Respiratory Tract Disease")</f>
        <v>0</v>
      </c>
    </row>
    <row r="5" spans="1:22">
      <c r="A5" s="21" t="s">
        <v>71</v>
      </c>
      <c r="B5" s="21">
        <f>'Total Patients'!C13</f>
        <v>10</v>
      </c>
      <c r="D5" s="21" t="s">
        <v>71</v>
      </c>
      <c r="E5" s="21">
        <f>COUNTIF(April[Patient Prescribed Antibiotic (Y/N/WW)], "Yes")</f>
        <v>0</v>
      </c>
      <c r="G5" s="21">
        <f>COUNTIF(April[Patient Prescribed Antibiotic (Y/N/WW)], "No")</f>
        <v>0</v>
      </c>
      <c r="I5" s="21">
        <f>COUNTIF(April[Patient Prescribed Antibiotic (Y/N/WW)], "Watchful Waiting")</f>
        <v>0</v>
      </c>
      <c r="T5" s="21" t="s">
        <v>70</v>
      </c>
      <c r="U5" s="21">
        <f>COUNTIFS(March[Patient Prescribed Antibiotic (Y/N/WW)], "Watchful Waiting", March[Disease/Infection Type], "Gastrointestinal Disease")+COUNTIFS(March[Patient Prescribed Antibiotic (Y/N/WW)], "Watchful Waiting", March[Disease/Infection Type2], "Gastrointestinal Disease")+COUNTIFS(March[Patient Prescribed Antibiotic (Y/N/WW)], "Watchful Waiting", March[Disease/Infection Type3], "Gastrointestinal Disease")</f>
        <v>0</v>
      </c>
      <c r="V5" s="21">
        <f>COUNTIFS(March[Patient Prescribed Antibiotic (Y/N/WW)], "Watchful Waiting", March[Disease/Infection Type], "Upper Respiratory Tract Disease")+COUNTIFS(March[Patient Prescribed Antibiotic (Y/N/WW)], "Watchful Waiting", March[Disease/Infection Type2], "Upper Respiratory Tract Disease")+COUNTIFS(March[Patient Prescribed Antibiotic (Y/N/WW)], "Watchful Waiting", March[Disease/Infection Type3], "Upper Respiratory Tract Disease")</f>
        <v>0</v>
      </c>
    </row>
    <row r="6" spans="1:22">
      <c r="A6" s="21" t="s">
        <v>72</v>
      </c>
      <c r="B6" s="21">
        <f>'Total Patients'!C14</f>
        <v>10</v>
      </c>
      <c r="D6" s="21" t="s">
        <v>72</v>
      </c>
      <c r="E6" s="21">
        <f>COUNTIF(May[Patient Prescribed Antibiotic (Y/N/WW)], "Yes")</f>
        <v>0</v>
      </c>
      <c r="G6" s="21">
        <f>COUNTIF(May[Patient Prescribed Antibiotic (Y/N/WW)], "No")</f>
        <v>0</v>
      </c>
      <c r="I6" s="21">
        <f>COUNTIF(May[Patient Prescribed Antibiotic (Y/N/WW)], "Watchful Waiting")</f>
        <v>0</v>
      </c>
      <c r="T6" s="21" t="s">
        <v>71</v>
      </c>
      <c r="U6" s="21">
        <f>COUNTIFS(April[Patient Prescribed Antibiotic (Y/N/WW)], "Watchful Waiting", April[Disease/Infection Type], "Gastrointestinal Disease")+COUNTIFS(April[Patient Prescribed Antibiotic (Y/N/WW)], "Watchful Waiting", April[Disease/Infection Type2], "Gastrointestinal Disease")+COUNTIFS(April[Patient Prescribed Antibiotic (Y/N/WW)], "Watchful Waiting", April[Disease/Infection Type3], "Gastrointestinal Disease")</f>
        <v>0</v>
      </c>
      <c r="V6" s="21">
        <f>COUNTIFS(April[Patient Prescribed Antibiotic (Y/N/WW)], "Watchful Waiting", April[Disease/Infection Type], "Upper Respiratory Tract Disease")+COUNTIFS(April[Patient Prescribed Antibiotic (Y/N/WW)], "Watchful Waiting", April[Disease/Infection Type2], "Upper Respiratory Tract Disease")+COUNTIFS(April[Patient Prescribed Antibiotic (Y/N/WW)], "Watchful Waiting", April[Disease/Infection Type3], "Upper Respiratory Tract Disease")</f>
        <v>0</v>
      </c>
    </row>
    <row r="7" spans="1:22">
      <c r="A7" s="21" t="s">
        <v>73</v>
      </c>
      <c r="B7" s="21">
        <f>'Total Patients'!C15</f>
        <v>10</v>
      </c>
      <c r="D7" s="21" t="s">
        <v>73</v>
      </c>
      <c r="E7" s="21">
        <f>COUNTIF(June[Patient Prescribed Antibiotic (Y/N/WW)], "Yes")</f>
        <v>0</v>
      </c>
      <c r="G7" s="21">
        <f>COUNTIF(June[Patient Prescribed Antibiotic (Y/N/WW)], "No")</f>
        <v>0</v>
      </c>
      <c r="I7" s="21">
        <f>COUNTIF(June[Patient Prescribed Antibiotic (Y/N/WW)], "Watchful Waiting")</f>
        <v>0</v>
      </c>
      <c r="L7" s="21" t="s">
        <v>243</v>
      </c>
      <c r="M7" s="21">
        <f>E14</f>
        <v>0</v>
      </c>
      <c r="T7" s="21" t="s">
        <v>72</v>
      </c>
      <c r="U7" s="21">
        <f>COUNTIFS(May[Patient Prescribed Antibiotic (Y/N/WW)], "Watchful Waiting", May[Disease/Infection Type], "Gastrointestinal Disease")+COUNTIFS(May[Patient Prescribed Antibiotic (Y/N/WW)], "Watchful Waiting", May[Disease/Infection Type2], "Gastrointestinal Disease")+COUNTIFS(May[Patient Prescribed Antibiotic (Y/N/WW)], "Watchful Waiting", May[Disease/Infection Type3], "Gastrointestinal Disease")</f>
        <v>0</v>
      </c>
      <c r="V7" s="21">
        <f>COUNTIFS(May[Patient Prescribed Antibiotic (Y/N/WW)], "Watchful Waiting", May[Disease/Infection Type], "Upper Respiratory Tract Disease")+COUNTIFS(May[Patient Prescribed Antibiotic (Y/N/WW)], "Watchful Waiting", May[Disease/Infection Type2], "Upper Respiratory Tract Disease")+COUNTIFS(May[Patient Prescribed Antibiotic (Y/N/WW)], "Watchful Waiting", May[Disease/Infection Type3], "Upper Respiratory Tract Disease")</f>
        <v>0</v>
      </c>
    </row>
    <row r="8" spans="1:22">
      <c r="A8" s="21" t="s">
        <v>74</v>
      </c>
      <c r="B8" s="21">
        <f>'Total Patients'!C16</f>
        <v>10</v>
      </c>
      <c r="D8" s="21" t="s">
        <v>74</v>
      </c>
      <c r="E8" s="21">
        <f>COUNTIF(July[Patient Prescribed Antibiotic (Y/N/WW)], "Yes")</f>
        <v>0</v>
      </c>
      <c r="G8" s="21">
        <f>COUNTIF(July[Patient Prescribed Antibiotic (Y/N/WW)], "No")</f>
        <v>0</v>
      </c>
      <c r="I8" s="21">
        <f>COUNTIF(July[Patient Prescribed Antibiotic (Y/N/WW)], "Watchful Waiting")</f>
        <v>0</v>
      </c>
      <c r="L8" s="21" t="s">
        <v>322</v>
      </c>
      <c r="M8" s="21">
        <f>B14</f>
        <v>120</v>
      </c>
      <c r="T8" s="21" t="s">
        <v>73</v>
      </c>
      <c r="U8" s="21">
        <f>COUNTIFS(June[Patient Prescribed Antibiotic (Y/N/WW)], "Watchful Waiting", June[Disease/Infection Type], "Gastrointestinal Disease")+COUNTIFS(June[Patient Prescribed Antibiotic (Y/N/WW)], "Watchful Waiting", June[Disease/Infection Type2], "Gastrointestinal Disease")+COUNTIFS(June[Patient Prescribed Antibiotic (Y/N/WW)], "Watchful Waiting", June[Disease/Infection Type3], "Gastrointestinal Disease")</f>
        <v>0</v>
      </c>
      <c r="V8" s="21">
        <f>COUNTIFS(June[Patient Prescribed Antibiotic (Y/N/WW)], "Watchful Waiting", June[Disease/Infection Type], "Upper Respiratory Tract Disease")+COUNTIFS(June[Patient Prescribed Antibiotic (Y/N/WW)], "Watchful Waiting", June[Disease/Infection Type2], "Upper Respiratory Tract Disease")+COUNTIFS(June[Patient Prescribed Antibiotic (Y/N/WW)], "Watchful Waiting", June[Disease/Infection Type3], "Upper Respiratory Tract Disease")</f>
        <v>0</v>
      </c>
    </row>
    <row r="9" spans="1:22">
      <c r="A9" s="21" t="s">
        <v>75</v>
      </c>
      <c r="B9" s="21">
        <f>'Total Patients'!C17</f>
        <v>10</v>
      </c>
      <c r="D9" s="21" t="s">
        <v>75</v>
      </c>
      <c r="E9" s="21">
        <f>COUNTIF(August[Patient Prescribed Antibiotic (Y/N/WW)], "Yes")</f>
        <v>0</v>
      </c>
      <c r="G9" s="21">
        <f>COUNTIF(August[Patient Prescribed Antibiotic (Y/N/WW)], "No")</f>
        <v>0</v>
      </c>
      <c r="I9" s="21">
        <f>COUNTIF(August[Patient Prescribed Antibiotic (Y/N/WW)], "Watchful Waiting")</f>
        <v>0</v>
      </c>
      <c r="M9" s="33">
        <f>(M7/M8)</f>
        <v>0</v>
      </c>
      <c r="T9" s="21" t="s">
        <v>74</v>
      </c>
      <c r="U9" s="21">
        <f>COUNTIFS(July[Patient Prescribed Antibiotic (Y/N/WW)], "Watchful Waiting", July[Disease/Infection Type], "Gastrointestinal Disease")+COUNTIFS(July[Patient Prescribed Antibiotic (Y/N/WW)], "Watchful Waiting", July[Disease/Infection Type2], "Gastrointestinal Disease")+COUNTIFS(July[Patient Prescribed Antibiotic (Y/N/WW)], "Watchful Waiting", July[Disease/Infection Type3], "Gastrointestinal Disease")</f>
        <v>0</v>
      </c>
      <c r="V9" s="21">
        <f>COUNTIFS(July[Patient Prescribed Antibiotic (Y/N/WW)], "Watchful Waiting", July[Disease/Infection Type], "Upper Respiratory Tract Disease")+COUNTIFS(July[Patient Prescribed Antibiotic (Y/N/WW)], "Watchful Waiting", July[Disease/Infection Type2], "Upper Respiratory Tract Disease")+COUNTIFS(July[Patient Prescribed Antibiotic (Y/N/WW)], "Watchful Waiting", July[Disease/Infection Type3], "Upper Respiratory Tract Disease")</f>
        <v>0</v>
      </c>
    </row>
    <row r="10" spans="1:22">
      <c r="A10" s="21" t="s">
        <v>76</v>
      </c>
      <c r="B10" s="21">
        <f>'Total Patients'!C18</f>
        <v>10</v>
      </c>
      <c r="D10" s="21" t="s">
        <v>76</v>
      </c>
      <c r="E10" s="21">
        <f>COUNTIF(September[Patient Prescribed Antibiotic (Y/N/WW)], "Yes")</f>
        <v>0</v>
      </c>
      <c r="G10" s="21">
        <f>COUNTIF(September[Patient Prescribed Antibiotic (Y/N/WW)], "No")</f>
        <v>0</v>
      </c>
      <c r="I10" s="21">
        <f>COUNTIF(September[Patient Prescribed Antibiotic (Y/N/WW)], "Watchful Waiting")</f>
        <v>0</v>
      </c>
      <c r="M10" s="34">
        <f>1-M9</f>
        <v>1</v>
      </c>
      <c r="T10" s="21" t="s">
        <v>75</v>
      </c>
      <c r="U10" s="21">
        <f>COUNTIFS(August[Patient Prescribed Antibiotic (Y/N/WW)], "Watchful Waiting", August[Disease/Infection Type], "Gastrointestinal Disease")+COUNTIFS(August[Patient Prescribed Antibiotic (Y/N/WW)], "Watchful Waiting", August[Disease/Infection Type2], "Gastrointestinal Disease")+COUNTIFS(August[Patient Prescribed Antibiotic (Y/N/WW)], "Watchful Waiting", August[Disease/Infection Type3], "Gastrointestinal Disease")</f>
        <v>0</v>
      </c>
      <c r="V10" s="21">
        <f>COUNTIFS(August[Patient Prescribed Antibiotic (Y/N/WW)], "Watchful Waiting", August[Disease/Infection Type], "Upper Respiratory Tract Disease")+COUNTIFS(August[Patient Prescribed Antibiotic (Y/N/WW)], "Watchful Waiting", August[Disease/Infection Type2], "Upper Respiratory Tract Disease")+COUNTIFS(August[Patient Prescribed Antibiotic (Y/N/WW)], "Watchful Waiting", August[Disease/Infection Type3], "Upper Respiratory Tract Disease")</f>
        <v>0</v>
      </c>
    </row>
    <row r="11" spans="1:22">
      <c r="A11" s="21" t="s">
        <v>77</v>
      </c>
      <c r="B11" s="21">
        <f>'Total Patients'!C19</f>
        <v>10</v>
      </c>
      <c r="D11" s="21" t="s">
        <v>77</v>
      </c>
      <c r="E11" s="21">
        <f>COUNTIF(October[Patient Prescribed Antibiotic (Y/N/WW)], "Yes")</f>
        <v>0</v>
      </c>
      <c r="G11" s="21">
        <f>COUNTIF(October[Patient Prescribed Antibiotic (Y/N/WW)], "No")</f>
        <v>0</v>
      </c>
      <c r="I11" s="21">
        <f>COUNTIF(October[Patient Prescribed Antibiotic (Y/N/WW)], "Watchful Waiting")</f>
        <v>0</v>
      </c>
      <c r="T11" s="21" t="s">
        <v>76</v>
      </c>
      <c r="U11" s="21">
        <f>COUNTIFS(September[Patient Prescribed Antibiotic (Y/N/WW)], "Watchful Waiting", September[Disease/Infection Type], "Gastrointestinal Disease")+COUNTIFS(September[Patient Prescribed Antibiotic (Y/N/WW)], "Watchful Waiting", September[Disease/Infection Type2], "Gastrointestinal Disease")+COUNTIFS(September[Patient Prescribed Antibiotic (Y/N/WW)], "Watchful Waiting", September[Disease/Infection Type3], "Gastrointestinal Disease")</f>
        <v>0</v>
      </c>
      <c r="V11" s="21">
        <f>COUNTIFS(September[Patient Prescribed Antibiotic (Y/N/WW)], "Watchful Waiting", September[Disease/Infection Type], "Upper Respiratory Tract Disease")+COUNTIFS(September[Patient Prescribed Antibiotic (Y/N/WW)], "Watchful Waiting", September[Disease/Infection Type2], "Upper Respiratory Tract Disease")+COUNTIFS(September[Patient Prescribed Antibiotic (Y/N/WW)], "Watchful Waiting", September[Disease/Infection Type3], "Upper Respiratory Tract Disease")</f>
        <v>0</v>
      </c>
    </row>
    <row r="12" spans="1:22">
      <c r="A12" s="21" t="s">
        <v>78</v>
      </c>
      <c r="B12" s="21">
        <f>'Total Patients'!C20</f>
        <v>10</v>
      </c>
      <c r="D12" s="21" t="s">
        <v>78</v>
      </c>
      <c r="E12" s="21">
        <f>COUNTIF(November[Patient Prescribed Antibiotic (Y/N/WW)], "Yes")</f>
        <v>0</v>
      </c>
      <c r="G12" s="21">
        <f>COUNTIF(November[Patient Prescribed Antibiotic (Y/N/WW)], "No")</f>
        <v>0</v>
      </c>
      <c r="I12" s="21">
        <f>COUNTIF(November[Patient Prescribed Antibiotic (Y/N/WW)], "Watchful Waiting")</f>
        <v>0</v>
      </c>
      <c r="T12" s="21" t="s">
        <v>77</v>
      </c>
      <c r="U12" s="21">
        <f>COUNTIFS(October[Patient Prescribed Antibiotic (Y/N/WW)], "Watchful Waiting", October[Disease/Infection Type], "Gastrointestinal Disease")+COUNTIFS(October[Patient Prescribed Antibiotic (Y/N/WW)], "Watchful Waiting", October[Disease/Infection Type2], "Gastrointestinal Disease")+COUNTIFS(October[Patient Prescribed Antibiotic (Y/N/WW)], "Watchful Waiting", October[Disease/Infection Type3], "Gastrointestinal Disease")</f>
        <v>0</v>
      </c>
      <c r="V12" s="21">
        <f>COUNTIFS(October[Patient Prescribed Antibiotic (Y/N/WW)], "Watchful Waiting", October[Disease/Infection Type], "Upper Respiratory Tract Disease")+COUNTIFS(October[Patient Prescribed Antibiotic (Y/N/WW)], "Watchful Waiting", October[Disease/Infection Type2], "Upper Respiratory Tract Disease")+COUNTIFS(October[Patient Prescribed Antibiotic (Y/N/WW)], "Watchful Waiting", October[Disease/Infection Type3], "Upper Respiratory Tract Disease")</f>
        <v>0</v>
      </c>
    </row>
    <row r="13" spans="1:22">
      <c r="A13" s="21" t="s">
        <v>241</v>
      </c>
      <c r="B13" s="21">
        <f>'Total Patients'!C21</f>
        <v>10</v>
      </c>
      <c r="D13" s="21" t="s">
        <v>79</v>
      </c>
      <c r="E13" s="21">
        <f>COUNTIF(December[Patient Prescribed Antibiotic (Y/N/WW)], "Yes")</f>
        <v>0</v>
      </c>
      <c r="G13" s="21">
        <f>COUNTIF(December[Patient Prescribed Antibiotic (Y/N/WW)], "No")</f>
        <v>0</v>
      </c>
      <c r="I13" s="21">
        <f>COUNTIF(December[Patient Prescribed Antibiotic (Y/N/WW)], "Watchful Waiting")</f>
        <v>0</v>
      </c>
      <c r="T13" s="21" t="s">
        <v>78</v>
      </c>
      <c r="U13" s="21">
        <f>COUNTIFS(November[Patient Prescribed Antibiotic (Y/N/WW)], "Watchful Waiting", November[Disease/Infection Type], "Gastrointestinal Disease")+COUNTIFS(November[Patient Prescribed Antibiotic (Y/N/WW)], "Watchful Waiting", November[Disease/Infection Type2], "Gastrointestinal Disease")+COUNTIFS(November[Patient Prescribed Antibiotic (Y/N/WW)], "Watchful Waiting", November[Disease/Infection Type3], "Gastrointestinal Disease")</f>
        <v>0</v>
      </c>
      <c r="V13" s="21">
        <f>COUNTIFS(November[Patient Prescribed Antibiotic (Y/N/WW)], "Watchful Waiting", November[Disease/Infection Type], "Upper Respiratory Tract Disease")+COUNTIFS(November[Patient Prescribed Antibiotic (Y/N/WW)], "Watchful Waiting", November[Disease/Infection Type2], "Upper Respiratory Tract Disease")+COUNTIFS(November[Patient Prescribed Antibiotic (Y/N/WW)], "Watchful Waiting", November[Disease/Infection Type3], "Upper Respiratory Tract Disease")</f>
        <v>0</v>
      </c>
    </row>
    <row r="14" spans="1:22">
      <c r="A14" s="21" t="s">
        <v>242</v>
      </c>
      <c r="B14" s="21">
        <f>SUM(B2:B13)</f>
        <v>120</v>
      </c>
      <c r="D14" s="21" t="s">
        <v>243</v>
      </c>
      <c r="E14" s="21">
        <f>SUM(E2:E13)</f>
        <v>0</v>
      </c>
      <c r="G14" s="21">
        <f>SUM(G2:G13)</f>
        <v>0</v>
      </c>
      <c r="I14" s="21">
        <f>SUM(I2:I13)</f>
        <v>0</v>
      </c>
      <c r="T14" s="21" t="s">
        <v>79</v>
      </c>
      <c r="U14" s="21">
        <f>COUNTIFS(December[Patient Prescribed Antibiotic (Y/N/WW)], "Watchful Waiting", December[Disease/Infection Type], "Gastrointestinal Disease")+COUNTIFS(December[Patient Prescribed Antibiotic (Y/N/WW)], "Watchful Waiting", December[Disease/Infection Type2], "Gastrointestinal Disease")+COUNTIFS(December[Patient Prescribed Antibiotic (Y/N/WW)], "Watchful Waiting", December[Disease/Infection Type3], "Gastrointestinal Disease")</f>
        <v>0</v>
      </c>
      <c r="V14" s="21">
        <f>COUNTIFS(December[Patient Prescribed Antibiotic (Y/N/WW)], "Watchful Waiting", December[Disease/Infection Type], "Upper Respiratory Tract Disease")+COUNTIFS(December[Patient Prescribed Antibiotic (Y/N/WW)], "Watchful Waiting", December[Disease/Infection Type2], "Upper Respiratory Tract Disease")+COUNTIFS(December[Patient Prescribed Antibiotic (Y/N/WW)], "Watchful Waiting", December[Disease/Infection Type3], "Upper Respiratory Tract Disease")</f>
        <v>0</v>
      </c>
    </row>
    <row r="15" spans="1:22">
      <c r="T15" s="21" t="s">
        <v>239</v>
      </c>
      <c r="U15" s="21">
        <f>SUM(U3:U14)</f>
        <v>0</v>
      </c>
      <c r="V15" s="21">
        <f>SUM(V3:V14)</f>
        <v>0</v>
      </c>
    </row>
    <row r="16" spans="1:22">
      <c r="U16" s="21" t="s">
        <v>102</v>
      </c>
      <c r="V16" s="21" t="s">
        <v>305</v>
      </c>
    </row>
    <row r="18" spans="1:16">
      <c r="A18" s="35" t="s">
        <v>258</v>
      </c>
      <c r="B18" s="21" t="s">
        <v>68</v>
      </c>
      <c r="C18" s="21" t="s">
        <v>69</v>
      </c>
      <c r="D18" s="21" t="s">
        <v>70</v>
      </c>
      <c r="E18" s="21" t="s">
        <v>71</v>
      </c>
      <c r="F18" s="21" t="s">
        <v>72</v>
      </c>
      <c r="G18" s="21" t="s">
        <v>73</v>
      </c>
      <c r="H18" s="21" t="s">
        <v>74</v>
      </c>
      <c r="I18" s="21" t="s">
        <v>75</v>
      </c>
      <c r="J18" s="21" t="s">
        <v>76</v>
      </c>
      <c r="K18" s="21" t="s">
        <v>77</v>
      </c>
      <c r="L18" s="21" t="s">
        <v>78</v>
      </c>
      <c r="M18" s="21" t="s">
        <v>79</v>
      </c>
      <c r="N18" s="21" t="s">
        <v>239</v>
      </c>
      <c r="O18" s="21" t="s">
        <v>261</v>
      </c>
      <c r="P18" s="21" t="s">
        <v>260</v>
      </c>
    </row>
    <row r="19" spans="1:16">
      <c r="A19" s="21" t="s">
        <v>90</v>
      </c>
      <c r="B19" s="21">
        <f>SUMIF(January[Disease/Infection Type], "Dental Disease",January[[Number of Antibiotics Prescribed for this Condition ]])+SUMIF(January[Disease/Infection Type2], "Dental Disease",January[Number of Antibiotics Prescribed for this Condition2])+SUMIF(January[Disease/Infection Type3], "Dental Disease",January[Number of Antibiotics Prescribed for this Condition3])</f>
        <v>0</v>
      </c>
      <c r="C19" s="21">
        <f>SUMIF(February[Disease/Infection Type], "Dental Disease",February[[Number of Antibiotics Prescribed for this Condition ]])+SUMIF(February[Disease/Infection Type2], "Dental Disease",February[Number of Antibiotics Prescribed for this Condition2])+SUMIF(February[Disease/Infection Type3], "Dental Disease",February[Number of Antibiotics Prescribed for this Condition3])</f>
        <v>0</v>
      </c>
      <c r="D19" s="21">
        <f>SUMIF(March[Disease/Infection Type], "Dental Disease",March[[Number of Antibiotics Prescribed for this Condition ]])+SUMIF(March[Disease/Infection Type2], "Dental Disease",March[Number of Antibiotics Prescribed for this Condition2])+SUMIF(March[Disease/Infection Type3], "Dental Disease",March[Number of Antibiotics Prescribed for this Condition3])</f>
        <v>0</v>
      </c>
      <c r="E19" s="21">
        <f>SUMIF(April[Disease/Infection Type], "Dental Disease",April[[Number of Antibiotics Prescribed for this Condition ]])+SUMIF(April[Disease/Infection Type2], "Dental Disease",April[Number of Antibiotics Prescribed for this Condition2])+SUMIF(April[Disease/Infection Type3], "Dental Disease",April[Number of Antibiotics Prescribed for this Condition3])</f>
        <v>0</v>
      </c>
      <c r="F19" s="21">
        <f>SUMIF(May[Disease/Infection Type], "Dental Disease",May[[Number of Antibiotics Prescribed for this Condition ]])+SUMIF(May[Disease/Infection Type2], "Dental Disease",May[Number of Antibiotics Prescribed for this Condition2])+SUMIF(May[Disease/Infection Type3], "Dental Disease",May[Number of Antibiotics Prescribed for this Condition3])</f>
        <v>0</v>
      </c>
      <c r="G19" s="21">
        <f>SUMIF(June[Disease/Infection Type], "Dental Disease",June[[Number of Antibiotics Prescribed for this Condition ]])+SUMIF(June[Disease/Infection Type2], "Dental Disease",June[Number of Antibiotics Prescribed for this Condition2])+SUMIF(June[Disease/Infection Type3], "Dental Disease",June[Number of Antibiotics Prescribed for this Condition3])</f>
        <v>0</v>
      </c>
      <c r="H19" s="21">
        <f>SUMIF(July[Disease/Infection Type], "Dental Disease",July[[Number of Antibiotics Prescribed for this Condition ]])+SUMIF(July[Disease/Infection Type2], "Dental Disease",July[Number of Antibiotics Prescribed for this Condition2])+SUMIF(July[Disease/Infection Type3], "Dental Disease",July[Number of Antibiotics Prescribed for this Condition3])</f>
        <v>0</v>
      </c>
      <c r="I19" s="21">
        <f>SUMIF(August[Disease/Infection Type], "Dental Disease",August[[Number of Antibiotics Prescribed for this Condition ]])+SUMIF(August[Disease/Infection Type2], "Dental Disease",August[Number of Antibiotics Prescribed for this Condition2])+SUMIF(August[Disease/Infection Type3], "Dental Disease",August[Number of Antibiotics Prescribed for this Condition3])</f>
        <v>0</v>
      </c>
      <c r="J19" s="21">
        <f>SUMIF(September[Disease/Infection Type], "Dental Disease",September[[Number of Antibiotics Prescribed for this Condition ]])+SUMIF(September[Disease/Infection Type2], "Dental Disease",September[Number of Antibiotics Prescribed for this Condition2])+SUMIF(September[Disease/Infection Type3], "Dental Disease",September[Number of Antibiotics Prescribed for this Condition3])</f>
        <v>0</v>
      </c>
      <c r="K19" s="21">
        <f>SUMIF(October[Disease/Infection Type], "Dental Disease",October[[Number of Antibiotics Prescribed for this Condition ]])+SUMIF(October[Disease/Infection Type2], "Dental Disease",October[Number of Antibiotics Prescribed for this Condition2])+SUMIF(October[Disease/Infection Type3], "Dental Disease",October[Number of Antibiotics Prescribed for this Condition3])</f>
        <v>0</v>
      </c>
      <c r="L19" s="21">
        <f>SUMIF(November[Disease/Infection Type], "Dental Disease",November[[Number of Antibiotics Prescribed for this Condition ]])+SUMIF(November[Disease/Infection Type2], "Dental Disease",November[Number of Antibiotics Prescribed for this Condition2])+SUMIF(November[Disease/Infection Type3], "Dental Disease",November[Number of Antibiotics Prescribed for this Condition3])</f>
        <v>0</v>
      </c>
      <c r="M19" s="21">
        <f>SUMIF(December[Disease/Infection Type], "Dental Disease",December[[Number of Antibiotics Prescribed for this Condition ]])+SUMIF(December[Disease/Infection Type2], "Dental Disease",December[Number of Antibiotics Prescribed for this Condition2])+SUMIF(December[Disease/Infection Type3], "Dental Disease",December[Number of Antibiotics Prescribed for this Condition3])</f>
        <v>0</v>
      </c>
      <c r="N19" s="21">
        <f>SUM(B19:M19)</f>
        <v>0</v>
      </c>
      <c r="O19" s="21" t="e">
        <f>(N19/N37)*100</f>
        <v>#DIV/0!</v>
      </c>
      <c r="P19" s="21" t="s">
        <v>323</v>
      </c>
    </row>
    <row r="20" spans="1:16">
      <c r="A20" s="21" t="s">
        <v>86</v>
      </c>
      <c r="B20" s="21">
        <f>SUMIF(January[Disease/Infection Type], "Dermatologic Disease",January[[Number of Antibiotics Prescribed for this Condition ]])+SUMIF(January[Disease/Infection Type2], "Dermatologic Disease",January[Number of Antibiotics Prescribed for this Condition2])+SUMIF(January[Disease/Infection Type3], "Dermatologic Disease",January[Number of Antibiotics Prescribed for this Condition3])</f>
        <v>0</v>
      </c>
      <c r="C20" s="21">
        <f>SUMIF(February[Disease/Infection Type], "Dermatologic Disease",February[[Number of Antibiotics Prescribed for this Condition ]])+SUMIF(February[Disease/Infection Type2], "Dermatologic Disease",February[Number of Antibiotics Prescribed for this Condition2])+SUMIF(February[Disease/Infection Type3], "Dermatologic Disease",February[Number of Antibiotics Prescribed for this Condition3])</f>
        <v>0</v>
      </c>
      <c r="D20" s="21">
        <f>SUMIF(March[Disease/Infection Type], "Dermatologic Disease",March[[Number of Antibiotics Prescribed for this Condition ]])+SUMIF(March[Disease/Infection Type2], "Dermatologic Disease",March[Number of Antibiotics Prescribed for this Condition2])+SUMIF(March[Disease/Infection Type3], "Dermatologic Disease",March[Number of Antibiotics Prescribed for this Condition3])</f>
        <v>0</v>
      </c>
      <c r="E20" s="21">
        <f>SUMIF(April[Disease/Infection Type], "Dermatologic Disease",April[[Number of Antibiotics Prescribed for this Condition ]])+SUMIF(April[Disease/Infection Type2], "Dermatologic Disease",April[Number of Antibiotics Prescribed for this Condition2])+SUMIF(April[Disease/Infection Type3], "Dermatologic Disease",April[Number of Antibiotics Prescribed for this Condition3])</f>
        <v>0</v>
      </c>
      <c r="F20" s="21">
        <f>SUMIF(May[Disease/Infection Type], "Dermatologic Disease",May[[Number of Antibiotics Prescribed for this Condition ]])+SUMIF(May[Disease/Infection Type2], "Dermatologic Disease",May[Number of Antibiotics Prescribed for this Condition2])+SUMIF(May[Disease/Infection Type3], "Dermatologic Disease",May[Number of Antibiotics Prescribed for this Condition3])</f>
        <v>0</v>
      </c>
      <c r="G20" s="21">
        <f>SUMIF(June[Disease/Infection Type], "Dermatologic Disease",June[[Number of Antibiotics Prescribed for this Condition ]])+SUMIF(June[Disease/Infection Type2], "Dermatologic Disease",June[Number of Antibiotics Prescribed for this Condition2])+SUMIF(June[Disease/Infection Type3], "Dermatologic Disease",June[Number of Antibiotics Prescribed for this Condition3])</f>
        <v>0</v>
      </c>
      <c r="H20" s="21">
        <f>SUMIF(July[Disease/Infection Type], "Dermatologic Disease",July[[Number of Antibiotics Prescribed for this Condition ]])+SUMIF(July[Disease/Infection Type2], "Dermatologic Disease",July[Number of Antibiotics Prescribed for this Condition2])+SUMIF(July[Disease/Infection Type3], "Dermatologic Disease",July[Number of Antibiotics Prescribed for this Condition3])</f>
        <v>0</v>
      </c>
      <c r="I20" s="21">
        <f>SUMIF(August[Disease/Infection Type], "Dermatologic Disease",August[[Number of Antibiotics Prescribed for this Condition ]])+SUMIF(August[Disease/Infection Type2], "Dermatologic Disease",August[Number of Antibiotics Prescribed for this Condition2])+SUMIF(August[Disease/Infection Type3], "Dermatologic Disease",August[Number of Antibiotics Prescribed for this Condition3])</f>
        <v>0</v>
      </c>
      <c r="J20" s="21">
        <f>SUMIF(September[Disease/Infection Type], "Dermatologic Disease",September[[Number of Antibiotics Prescribed for this Condition ]])+SUMIF(September[Disease/Infection Type2], "Dermatologic Disease",September[Number of Antibiotics Prescribed for this Condition2])+SUMIF(September[Disease/Infection Type3], "Dermatologic Disease",September[Number of Antibiotics Prescribed for this Condition3])</f>
        <v>0</v>
      </c>
      <c r="K20" s="21">
        <f>SUMIF(October[Disease/Infection Type], "Dermatologic Disease",October[[Number of Antibiotics Prescribed for this Condition ]])+SUMIF(October[Disease/Infection Type2], "Dermatologic Disease",October[Number of Antibiotics Prescribed for this Condition2])+SUMIF(October[Disease/Infection Type3], "Dermatologic Disease",October[Number of Antibiotics Prescribed for this Condition3])</f>
        <v>0</v>
      </c>
      <c r="L20" s="21">
        <f>SUMIF(November[Disease/Infection Type], "Dermatologic Disease",November[[Number of Antibiotics Prescribed for this Condition ]])+SUMIF(November[Disease/Infection Type2], "Dermatologic Disease",November[Number of Antibiotics Prescribed for this Condition2])+SUMIF(November[Disease/Infection Type3], "Dermatologic Disease",November[Number of Antibiotics Prescribed for this Condition3])</f>
        <v>0</v>
      </c>
      <c r="M20" s="21">
        <f>SUMIF(December[Disease/Infection Type], "Dermatologic Disease",December[[Number of Antibiotics Prescribed for this Condition ]])+SUMIF(December[Disease/Infection Type2], "Dermatologic Disease",December[Number of Antibiotics Prescribed for this Condition2])+SUMIF(December[Disease/Infection Type3], "Dermatologic Disease",December[Number of Antibiotics Prescribed for this Condition3])</f>
        <v>0</v>
      </c>
      <c r="N20" s="21">
        <f t="shared" ref="N20:N36" si="0">SUM(B20:M20)</f>
        <v>0</v>
      </c>
      <c r="O20" s="21" t="e">
        <f>(N20/N37)*100</f>
        <v>#DIV/0!</v>
      </c>
      <c r="P20" s="21" t="s">
        <v>324</v>
      </c>
    </row>
    <row r="21" spans="1:16">
      <c r="A21" s="21" t="s">
        <v>102</v>
      </c>
      <c r="B21" s="21">
        <f>SUMIF(January[Disease/Infection Type], "Gastrointestinal Disease",January[[Number of Antibiotics Prescribed for this Condition ]])+SUMIF(January[Disease/Infection Type2], "Gastrointestinal Disease",January[Number of Antibiotics Prescribed for this Condition2])+SUMIF(January[Disease/Infection Type3], "Gastrointestinal Disease",January[Number of Antibiotics Prescribed for this Condition3])</f>
        <v>0</v>
      </c>
      <c r="C21" s="21">
        <f>SUMIF(February[Disease/Infection Type], "Gastrointestinal Disease",February[[Number of Antibiotics Prescribed for this Condition ]])+SUMIF(February[Disease/Infection Type2], "Gastrointestinal Disease",February[Number of Antibiotics Prescribed for this Condition2])+SUMIF(February[Disease/Infection Type3], "Gastrointestinal Disease",February[Number of Antibiotics Prescribed for this Condition3])</f>
        <v>0</v>
      </c>
      <c r="D21" s="21">
        <f>SUMIF(March[Disease/Infection Type], "Gastrointestinal Disease",March[[Number of Antibiotics Prescribed for this Condition ]])+SUMIF(March[Disease/Infection Type2], "Gastrointestinal Disease",March[Number of Antibiotics Prescribed for this Condition2])+SUMIF(March[Disease/Infection Type3], "Gastrointestinal Disease",March[Number of Antibiotics Prescribed for this Condition3])</f>
        <v>0</v>
      </c>
      <c r="E21" s="21">
        <f>SUMIF(April[Disease/Infection Type], "Gastrointestinal Disease",April[[Number of Antibiotics Prescribed for this Condition ]])+SUMIF(April[Disease/Infection Type2], "Gastrointestinal Disease",April[Number of Antibiotics Prescribed for this Condition2])+SUMIF(April[Disease/Infection Type3], "Gastrointestinal Disease",April[Number of Antibiotics Prescribed for this Condition3])</f>
        <v>0</v>
      </c>
      <c r="F21" s="21">
        <f>SUMIF(May[Disease/Infection Type], "Gastrointestinal Disease",May[[Number of Antibiotics Prescribed for this Condition ]])+SUMIF(May[Disease/Infection Type2], "Gastrointestinal Disease",May[Number of Antibiotics Prescribed for this Condition2])+SUMIF(May[Disease/Infection Type3], "Gastrointestinal Disease",May[Number of Antibiotics Prescribed for this Condition3])</f>
        <v>0</v>
      </c>
      <c r="G21" s="21">
        <f>SUMIF(June[Disease/Infection Type], "Gastrointestinal Disease",June[[Number of Antibiotics Prescribed for this Condition ]])+SUMIF(June[Disease/Infection Type2], "Gastrointestinal Disease",June[Number of Antibiotics Prescribed for this Condition2])+SUMIF(June[Disease/Infection Type3], "Gastrointestinal Disease",June[Number of Antibiotics Prescribed for this Condition3])</f>
        <v>0</v>
      </c>
      <c r="H21" s="21">
        <f>SUMIF(July[Disease/Infection Type], "Gastrointestinal Disease",July[[Number of Antibiotics Prescribed for this Condition ]])+SUMIF(July[Disease/Infection Type2], "Gastrointestinal Disease",July[Number of Antibiotics Prescribed for this Condition2])+SUMIF(July[Disease/Infection Type3], "Gastrointestinal Disease",July[Number of Antibiotics Prescribed for this Condition3])</f>
        <v>0</v>
      </c>
      <c r="I21" s="21">
        <f>SUMIF(August[Disease/Infection Type], "Gastrointestinal Disease",August[[Number of Antibiotics Prescribed for this Condition ]])+SUMIF(August[Disease/Infection Type2], "Gastrointestinal Disease",August[Number of Antibiotics Prescribed for this Condition2])+SUMIF(August[Disease/Infection Type3], "Gastrointestinal Disease",August[Number of Antibiotics Prescribed for this Condition3])</f>
        <v>0</v>
      </c>
      <c r="J21" s="21">
        <f>SUMIF(September[Disease/Infection Type], "Gastrointestinal Disease",September[[Number of Antibiotics Prescribed for this Condition ]])+SUMIF(September[Disease/Infection Type2], "Gastrointestinal Disease",September[Number of Antibiotics Prescribed for this Condition2])+SUMIF(September[Disease/Infection Type3], "Gastrointestinal Disease",September[Number of Antibiotics Prescribed for this Condition3])</f>
        <v>0</v>
      </c>
      <c r="K21" s="21">
        <f>SUMIF(October[Disease/Infection Type], "Gastrointestinal Disease",October[[Number of Antibiotics Prescribed for this Condition ]])+SUMIF(October[Disease/Infection Type2], "Gastrointestinal Disease",October[Number of Antibiotics Prescribed for this Condition2])+SUMIF(October[Disease/Infection Type3], "Gastrointestinal Disease",October[Number of Antibiotics Prescribed for this Condition3])</f>
        <v>0</v>
      </c>
      <c r="L21" s="21">
        <f>SUMIF(November[Disease/Infection Type], "Gastrointestinal Disease",November[[Number of Antibiotics Prescribed for this Condition ]])+SUMIF(November[Disease/Infection Type2], "Gastrointestinal Disease",November[Number of Antibiotics Prescribed for this Condition2])+SUMIF(November[Disease/Infection Type3], "Gastrointestinal Disease",November[Number of Antibiotics Prescribed for this Condition3])</f>
        <v>0</v>
      </c>
      <c r="M21" s="21">
        <f>SUMIF(December[Disease/Infection Type], "Gastrointestinal Disease",December[[Number of Antibiotics Prescribed for this Condition ]])+SUMIF(December[Disease/Infection Type2], "Gastrointestinal Disease",December[Number of Antibiotics Prescribed for this Condition2])+SUMIF(December[Disease/Infection Type3], "Gastrointestinal Disease",December[Number of Antibiotics Prescribed for this Condition3])</f>
        <v>0</v>
      </c>
      <c r="N21" s="21">
        <f t="shared" si="0"/>
        <v>0</v>
      </c>
      <c r="O21" s="21" t="e">
        <f>(N21/N37)*100</f>
        <v>#DIV/0!</v>
      </c>
      <c r="P21" s="21" t="s">
        <v>325</v>
      </c>
    </row>
    <row r="22" spans="1:16">
      <c r="A22" s="21" t="s">
        <v>272</v>
      </c>
      <c r="B22" s="21">
        <f>SUMIF(January[Disease/Infection Type], "Hepatic Disease",January[[Number of Antibiotics Prescribed for this Condition ]])+SUMIF(January[Disease/Infection Type2], "Hepatic Disease",January[Number of Antibiotics Prescribed for this Condition2])+SUMIF(January[Disease/Infection Type3], "Hepatic Disease",January[Number of Antibiotics Prescribed for this Condition3])</f>
        <v>0</v>
      </c>
      <c r="C22" s="21">
        <f>SUMIF(February[Disease/Infection Type], "Hepatic Disease",February[[Number of Antibiotics Prescribed for this Condition ]])+SUMIF(February[Disease/Infection Type2], "Hepatic Disease",February[Number of Antibiotics Prescribed for this Condition2])+SUMIF(February[Disease/Infection Type3], "Hepatic Disease",February[Number of Antibiotics Prescribed for this Condition3])</f>
        <v>0</v>
      </c>
      <c r="D22" s="21">
        <f>SUMIF(March[Disease/Infection Type], "Hepatic Disease",March[[Number of Antibiotics Prescribed for this Condition ]])+SUMIF(March[Disease/Infection Type2], "Hepatic Disease",March[Number of Antibiotics Prescribed for this Condition2])+SUMIF(March[Disease/Infection Type3], "Hepatic Disease",March[Number of Antibiotics Prescribed for this Condition3])</f>
        <v>0</v>
      </c>
      <c r="E22" s="21">
        <f>SUMIF(April[Disease/Infection Type], "Hepatic Disease",April[[Number of Antibiotics Prescribed for this Condition ]])+SUMIF(April[Disease/Infection Type2], "Hepatic Disease",April[Number of Antibiotics Prescribed for this Condition2])+SUMIF(April[Disease/Infection Type3], "Hepatic Disease",April[Number of Antibiotics Prescribed for this Condition3])</f>
        <v>0</v>
      </c>
      <c r="F22" s="21">
        <f>SUMIF(May[Disease/Infection Type], "Hepatic Disease",May[[Number of Antibiotics Prescribed for this Condition ]])+SUMIF(May[Disease/Infection Type2], "Hepatic Disease",May[Number of Antibiotics Prescribed for this Condition2])+SUMIF(May[Disease/Infection Type3], "Hepatic Disease",May[Number of Antibiotics Prescribed for this Condition3])</f>
        <v>0</v>
      </c>
      <c r="G22" s="21">
        <f>SUMIF(June[Disease/Infection Type], "Hepatic Disease",June[[Number of Antibiotics Prescribed for this Condition ]])+SUMIF(June[Disease/Infection Type2], "Hepatic Disease",June[Number of Antibiotics Prescribed for this Condition2])+SUMIF(June[Disease/Infection Type3], "Hepatic Disease",June[Number of Antibiotics Prescribed for this Condition3])</f>
        <v>0</v>
      </c>
      <c r="H22" s="21">
        <f>SUMIF(July[Disease/Infection Type], "Hepatic Disease",July[[Number of Antibiotics Prescribed for this Condition ]])+SUMIF(July[Disease/Infection Type2], "Hepatic Disease",July[Number of Antibiotics Prescribed for this Condition2])+SUMIF(July[Disease/Infection Type3], "Hepatic Disease",July[Number of Antibiotics Prescribed for this Condition3])</f>
        <v>0</v>
      </c>
      <c r="I22" s="21">
        <f>SUMIF(August[Disease/Infection Type], "Hepatic Disease",August[[Number of Antibiotics Prescribed for this Condition ]])+SUMIF(August[Disease/Infection Type2], "Hepatic Disease",August[Number of Antibiotics Prescribed for this Condition2])+SUMIF(August[Disease/Infection Type3], "Hepatic Disease",August[Number of Antibiotics Prescribed for this Condition3])</f>
        <v>0</v>
      </c>
      <c r="J22" s="21">
        <f>SUMIF(September[Disease/Infection Type], "Hepatic Disease",September[[Number of Antibiotics Prescribed for this Condition ]])+SUMIF(September[Disease/Infection Type2], "Hepatic Disease",September[Number of Antibiotics Prescribed for this Condition2])+SUMIF(September[Disease/Infection Type3], "Hepatic Disease",September[Number of Antibiotics Prescribed for this Condition3])</f>
        <v>0</v>
      </c>
      <c r="K22" s="21">
        <f>SUMIF(October[Disease/Infection Type], "Hepatic Disease",October[[Number of Antibiotics Prescribed for this Condition ]])+SUMIF(October[Disease/Infection Type2], "Hepatic Disease",October[Number of Antibiotics Prescribed for this Condition2])+SUMIF(October[Disease/Infection Type3], "Hepatic Disease",October[Number of Antibiotics Prescribed for this Condition3])</f>
        <v>0</v>
      </c>
      <c r="L22" s="21">
        <f>SUMIF(November[Disease/Infection Type], "Hepatic Disease",November[[Number of Antibiotics Prescribed for this Condition ]])+SUMIF(November[Disease/Infection Type2], "Hepatic Disease",November[Number of Antibiotics Prescribed for this Condition2])+SUMIF(November[Disease/Infection Type3], "Hepatic Disease",November[Number of Antibiotics Prescribed for this Condition3])</f>
        <v>0</v>
      </c>
      <c r="M22" s="21">
        <f>SUMIF(December[Disease/Infection Type], "Hepatic Disease",December[[Number of Antibiotics Prescribed for this Condition ]])+SUMIF(December[Disease/Infection Type2], "Hepatic Disease",December[Number of Antibiotics Prescribed for this Condition2])+SUMIF(December[Disease/Infection Type3], "Hepatic Disease",December[Number of Antibiotics Prescribed for this Condition3])</f>
        <v>0</v>
      </c>
      <c r="N22" s="21">
        <f>SUM(B22:M22)</f>
        <v>0</v>
      </c>
      <c r="O22" s="21" t="e">
        <f>(N22/N37)*100</f>
        <v>#DIV/0!</v>
      </c>
      <c r="P22" s="21" t="s">
        <v>326</v>
      </c>
    </row>
    <row r="23" spans="1:16">
      <c r="A23" s="21" t="s">
        <v>249</v>
      </c>
      <c r="B23" s="21">
        <f>SUMIF(January[Disease/Infection Type], "Leptospirosis",January[[Number of Antibiotics Prescribed for this Condition ]])+SUMIF(January[Disease/Infection Type2], "Leptospirosis",January[Number of Antibiotics Prescribed for this Condition2])+SUMIF(January[Disease/Infection Type3], "Leptospirosis",January[Number of Antibiotics Prescribed for this Condition3])</f>
        <v>0</v>
      </c>
      <c r="C23" s="21">
        <f>SUMIF(February[Disease/Infection Type], "Leptospirosis",February[[Number of Antibiotics Prescribed for this Condition ]])+SUMIF(February[Disease/Infection Type2], "Leptospirosis",February[Number of Antibiotics Prescribed for this Condition2])+SUMIF(February[Disease/Infection Type3], "Leptospirosis",February[Number of Antibiotics Prescribed for this Condition3])</f>
        <v>0</v>
      </c>
      <c r="D23" s="21">
        <f>SUMIF(March[Disease/Infection Type], "Leptospirosis",March[[Number of Antibiotics Prescribed for this Condition ]])+SUMIF(March[Disease/Infection Type2], "Leptospirosis",March[Number of Antibiotics Prescribed for this Condition2])+SUMIF(March[Disease/Infection Type3], "Leptospirosis",March[Number of Antibiotics Prescribed for this Condition3])</f>
        <v>0</v>
      </c>
      <c r="E23" s="21">
        <f>SUMIF(April[Disease/Infection Type], "Leptospirosis",April[[Number of Antibiotics Prescribed for this Condition ]])+SUMIF(April[Disease/Infection Type2], "Leptospirosis",April[Number of Antibiotics Prescribed for this Condition2])+SUMIF(April[Disease/Infection Type3], "Leptospirosis",April[Number of Antibiotics Prescribed for this Condition3])</f>
        <v>0</v>
      </c>
      <c r="F23" s="21">
        <f>SUMIF(May[Disease/Infection Type], "Leptospirosis",May[[Number of Antibiotics Prescribed for this Condition ]])+SUMIF(May[Disease/Infection Type2], "Leptospirosis",May[Number of Antibiotics Prescribed for this Condition2])+SUMIF(May[Disease/Infection Type3], "Leptospirosis",May[Number of Antibiotics Prescribed for this Condition3])</f>
        <v>0</v>
      </c>
      <c r="G23" s="21">
        <f>SUMIF(June[Disease/Infection Type], "Leptospirosis",June[[Number of Antibiotics Prescribed for this Condition ]])+SUMIF(June[Disease/Infection Type2], "Leptospirosis",June[Number of Antibiotics Prescribed for this Condition2])+SUMIF(June[Disease/Infection Type3], "Leptospirosis",June[Number of Antibiotics Prescribed for this Condition3])</f>
        <v>0</v>
      </c>
      <c r="H23" s="21">
        <f>SUMIF(July[Disease/Infection Type], "Leptospirosis",July[[Number of Antibiotics Prescribed for this Condition ]])+SUMIF(July[Disease/Infection Type2], "Leptospirosis",July[Number of Antibiotics Prescribed for this Condition2])+SUMIF(July[Disease/Infection Type3], "Leptospirosis",July[Number of Antibiotics Prescribed for this Condition3])</f>
        <v>0</v>
      </c>
      <c r="I23" s="21">
        <f>SUMIF(August[Disease/Infection Type], "Leptospirosis",August[[Number of Antibiotics Prescribed for this Condition ]])+SUMIF(August[Disease/Infection Type2], "Leptospirosis",August[Number of Antibiotics Prescribed for this Condition2])+SUMIF(August[Disease/Infection Type3], "Leptospirosis",August[Number of Antibiotics Prescribed for this Condition3])</f>
        <v>0</v>
      </c>
      <c r="J23" s="21">
        <f>SUMIF(September[Disease/Infection Type], "Leptospirosis",September[[Number of Antibiotics Prescribed for this Condition ]])+SUMIF(September[Disease/Infection Type2], "Leptospirosis",September[Number of Antibiotics Prescribed for this Condition2])+SUMIF(September[Disease/Infection Type3], "Leptospirosis",September[Number of Antibiotics Prescribed for this Condition3])</f>
        <v>0</v>
      </c>
      <c r="K23" s="21">
        <f>SUMIF(October[Disease/Infection Type], "Leptospirosis",October[[Number of Antibiotics Prescribed for this Condition ]])+SUMIF(October[Disease/Infection Type2], "Leptospirosis",October[Number of Antibiotics Prescribed for this Condition2])+SUMIF(October[Disease/Infection Type3], "Leptospirosis",October[Number of Antibiotics Prescribed for this Condition3])</f>
        <v>0</v>
      </c>
      <c r="L23" s="21">
        <f>SUMIF(November[Disease/Infection Type], "Leptospirosis",November[[Number of Antibiotics Prescribed for this Condition ]])+SUMIF(November[Disease/Infection Type2], "Leptospirosis",November[Number of Antibiotics Prescribed for this Condition2])+SUMIF(November[Disease/Infection Type3], "Leptospirosis",November[Number of Antibiotics Prescribed for this Condition3])</f>
        <v>0</v>
      </c>
      <c r="M23" s="21">
        <f>SUMIF(December[Disease/Infection Type], "Leptospirosis",December[[Number of Antibiotics Prescribed for this Condition ]])+SUMIF(December[Disease/Infection Type2], "Leptospirosis",December[Number of Antibiotics Prescribed for this Condition2])+SUMIF(December[Disease/Infection Type3], "Leptospirosis",December[Number of Antibiotics Prescribed for this Condition3])</f>
        <v>0</v>
      </c>
      <c r="N23" s="21">
        <f t="shared" ref="N23" si="1">SUM(B23:M23)</f>
        <v>0</v>
      </c>
      <c r="O23" s="21" t="e">
        <f>(N23/N37)*100</f>
        <v>#DIV/0!</v>
      </c>
      <c r="P23" s="21" t="s">
        <v>249</v>
      </c>
    </row>
    <row r="24" spans="1:16">
      <c r="A24" s="21" t="s">
        <v>250</v>
      </c>
      <c r="B24" s="21">
        <f>SUMIF(January[Disease/Infection Type], "Neurological Disease",January[[Number of Antibiotics Prescribed for this Condition ]])+SUMIF(January[Disease/Infection Type2], "Neurological Disease",January[Number of Antibiotics Prescribed for this Condition2])+SUMIF(January[Disease/Infection Type3], "Neurological Disease",January[Number of Antibiotics Prescribed for this Condition3])</f>
        <v>0</v>
      </c>
      <c r="C24" s="21">
        <f>SUMIF(February[Disease/Infection Type], "Neurological Disease",February[[Number of Antibiotics Prescribed for this Condition ]])+SUMIF(February[Disease/Infection Type2], "Neurological Disease",February[Number of Antibiotics Prescribed for this Condition2])+SUMIF(February[Disease/Infection Type3], "Neurological Disease",February[Number of Antibiotics Prescribed for this Condition3])</f>
        <v>0</v>
      </c>
      <c r="D24" s="21">
        <f>SUMIF(March[Disease/Infection Type], "Neurological Disease",March[[Number of Antibiotics Prescribed for this Condition ]])+SUMIF(March[Disease/Infection Type2], "Neurological Disease",March[Number of Antibiotics Prescribed for this Condition2])+SUMIF(March[Disease/Infection Type3], "Neurological Disease",March[Number of Antibiotics Prescribed for this Condition3])</f>
        <v>0</v>
      </c>
      <c r="E24" s="21">
        <f>SUMIF(April[Disease/Infection Type], "Neurological Disease",April[[Number of Antibiotics Prescribed for this Condition ]])+SUMIF(April[Disease/Infection Type2], "Neurological Disease",April[Number of Antibiotics Prescribed for this Condition2])+SUMIF(April[Disease/Infection Type3], "Neurological Disease",April[Number of Antibiotics Prescribed for this Condition3])</f>
        <v>0</v>
      </c>
      <c r="F24" s="21">
        <f>SUMIF(May[Disease/Infection Type], "Neurological Disease",May[[Number of Antibiotics Prescribed for this Condition ]])+SUMIF(May[Disease/Infection Type2], "Neurological Disease",May[Number of Antibiotics Prescribed for this Condition2])+SUMIF(May[Disease/Infection Type3], "Neurological Disease",May[Number of Antibiotics Prescribed for this Condition3])</f>
        <v>0</v>
      </c>
      <c r="G24" s="21">
        <f>SUMIF(June[Disease/Infection Type], "Neurological Disease",June[[Number of Antibiotics Prescribed for this Condition ]])+SUMIF(June[Disease/Infection Type2], "Neurological Disease",June[Number of Antibiotics Prescribed for this Condition2])+SUMIF(June[Disease/Infection Type3], "Neurological Disease",June[Number of Antibiotics Prescribed for this Condition3])</f>
        <v>0</v>
      </c>
      <c r="H24" s="21">
        <f>SUMIF(July[Disease/Infection Type], "Neurological Disease",July[[Number of Antibiotics Prescribed for this Condition ]])+SUMIF(July[Disease/Infection Type2], "Neurological Disease",July[Number of Antibiotics Prescribed for this Condition2])+SUMIF(July[Disease/Infection Type3], "Neurological Disease",July[Number of Antibiotics Prescribed for this Condition3])</f>
        <v>0</v>
      </c>
      <c r="I24" s="21">
        <f>SUMIF(August[Disease/Infection Type], "Neurological Disease",August[[Number of Antibiotics Prescribed for this Condition ]])+SUMIF(August[Disease/Infection Type2], "Neurological Disease",August[Number of Antibiotics Prescribed for this Condition2])+SUMIF(August[Disease/Infection Type3], "Neurological Disease",August[Number of Antibiotics Prescribed for this Condition3])</f>
        <v>0</v>
      </c>
      <c r="J24" s="21">
        <f>SUMIF(September[Disease/Infection Type], "Neurological Disease",September[[Number of Antibiotics Prescribed for this Condition ]])+SUMIF(September[Disease/Infection Type2], "Neurological Disease",September[Number of Antibiotics Prescribed for this Condition2])+SUMIF(September[Disease/Infection Type3], "Neurological Disease",September[Number of Antibiotics Prescribed for this Condition3])</f>
        <v>0</v>
      </c>
      <c r="K24" s="21">
        <f>SUMIF(October[Disease/Infection Type], "Neurological Disease",October[[Number of Antibiotics Prescribed for this Condition ]])+SUMIF(October[Disease/Infection Type2], "Neurological Disease",October[Number of Antibiotics Prescribed for this Condition2])+SUMIF(October[Disease/Infection Type3], "Neurological Disease",October[Number of Antibiotics Prescribed for this Condition3])</f>
        <v>0</v>
      </c>
      <c r="L24" s="21">
        <f>SUMIF(November[Disease/Infection Type], "Neurological Disease",November[[Number of Antibiotics Prescribed for this Condition ]])+SUMIF(November[Disease/Infection Type2], "Neurological Disease",November[Number of Antibiotics Prescribed for this Condition2])+SUMIF(November[Disease/Infection Type3], "Neurological Disease",November[Number of Antibiotics Prescribed for this Condition3])</f>
        <v>0</v>
      </c>
      <c r="M24" s="21">
        <f>SUMIF(December[Disease/Infection Type], "Neurological Disease",December[[Number of Antibiotics Prescribed for this Condition ]])+SUMIF(December[Disease/Infection Type2], "Neurological Disease",December[Number of Antibiotics Prescribed for this Condition2])+SUMIF(December[Disease/Infection Type3], "Neurological Disease",December[Number of Antibiotics Prescribed for this Condition3])</f>
        <v>0</v>
      </c>
      <c r="N24" s="21">
        <f t="shared" si="0"/>
        <v>0</v>
      </c>
      <c r="O24" s="21" t="e">
        <f>(N24/N37)*100</f>
        <v>#DIV/0!</v>
      </c>
      <c r="P24" s="21" t="s">
        <v>327</v>
      </c>
    </row>
    <row r="25" spans="1:16">
      <c r="A25" s="21" t="s">
        <v>251</v>
      </c>
      <c r="B25" s="21">
        <f>SUMIF(January[Disease/Infection Type], "Ocular Disease",January[[Number of Antibiotics Prescribed for this Condition ]])+SUMIF(January[Disease/Infection Type2], "Ocular Disease",January[Number of Antibiotics Prescribed for this Condition2])+SUMIF(January[Disease/Infection Type3], "Ocular Disease",January[Number of Antibiotics Prescribed for this Condition3])</f>
        <v>0</v>
      </c>
      <c r="C25" s="21">
        <f>SUMIF(February[Disease/Infection Type], "Ocular Disease",February[[Number of Antibiotics Prescribed for this Condition ]])+SUMIF(February[Disease/Infection Type2], "Ocular Disease",February[Number of Antibiotics Prescribed for this Condition2])+SUMIF(February[Disease/Infection Type3], "Ocular Disease",February[Number of Antibiotics Prescribed for this Condition3])</f>
        <v>0</v>
      </c>
      <c r="D25" s="21">
        <f>SUMIF(March[Disease/Infection Type], "Ocular Disease",March[[Number of Antibiotics Prescribed for this Condition ]])+SUMIF(March[Disease/Infection Type2], "Ocular Disease",March[Number of Antibiotics Prescribed for this Condition2])+SUMIF(March[Disease/Infection Type3], "Ocular Disease",March[Number of Antibiotics Prescribed for this Condition3])</f>
        <v>0</v>
      </c>
      <c r="E25" s="21">
        <f>SUMIF(April[Disease/Infection Type], "Ocular Disease",April[[Number of Antibiotics Prescribed for this Condition ]])+SUMIF(April[Disease/Infection Type2], "Ocular Disease",April[Number of Antibiotics Prescribed for this Condition2])+SUMIF(April[Disease/Infection Type3], "Ocular Disease",April[Number of Antibiotics Prescribed for this Condition3])</f>
        <v>0</v>
      </c>
      <c r="F25" s="21">
        <f>SUMIF(May[Disease/Infection Type], "Ocular Disease",May[[Number of Antibiotics Prescribed for this Condition ]])+SUMIF(May[Disease/Infection Type2], "Ocular Disease",May[Number of Antibiotics Prescribed for this Condition2])+SUMIF(May[Disease/Infection Type3], "Ocular Disease",May[Number of Antibiotics Prescribed for this Condition3])</f>
        <v>0</v>
      </c>
      <c r="G25" s="21">
        <f>SUMIF(June[Disease/Infection Type], "Ocular Disease",June[[Number of Antibiotics Prescribed for this Condition ]])+SUMIF(June[Disease/Infection Type2], "Ocular Disease",June[Number of Antibiotics Prescribed for this Condition2])+SUMIF(June[Disease/Infection Type3], "Ocular Disease",June[Number of Antibiotics Prescribed for this Condition3])</f>
        <v>0</v>
      </c>
      <c r="H25" s="21">
        <f>SUMIF(July[Disease/Infection Type], "Ocular Disease",July[[Number of Antibiotics Prescribed for this Condition ]])+SUMIF(July[Disease/Infection Type2], "Ocular Disease",July[Number of Antibiotics Prescribed for this Condition2])+SUMIF(July[Disease/Infection Type3], "Ocular Disease",July[Number of Antibiotics Prescribed for this Condition3])</f>
        <v>0</v>
      </c>
      <c r="I25" s="21">
        <f>SUMIF(August[Disease/Infection Type], "Ocular Disease",August[[Number of Antibiotics Prescribed for this Condition ]])+SUMIF(August[Disease/Infection Type2], "Ocular Disease",August[Number of Antibiotics Prescribed for this Condition2])+SUMIF(August[Disease/Infection Type3], "Ocular Disease",August[Number of Antibiotics Prescribed for this Condition3])</f>
        <v>0</v>
      </c>
      <c r="J25" s="21">
        <f>SUMIF(September[Disease/Infection Type], "Ocular Disease",September[[Number of Antibiotics Prescribed for this Condition ]])+SUMIF(September[Disease/Infection Type2], "Ocular Disease",September[Number of Antibiotics Prescribed for this Condition2])+SUMIF(September[Disease/Infection Type3], "Ocular Disease",September[Number of Antibiotics Prescribed for this Condition3])</f>
        <v>0</v>
      </c>
      <c r="K25" s="21">
        <f>SUMIF(October[Disease/Infection Type], "Ocular Disease",October[[Number of Antibiotics Prescribed for this Condition ]])+SUMIF(October[Disease/Infection Type2], "Ocular Disease",October[Number of Antibiotics Prescribed for this Condition2])+SUMIF(October[Disease/Infection Type3], "Ocular Disease",October[Number of Antibiotics Prescribed for this Condition3])</f>
        <v>0</v>
      </c>
      <c r="L25" s="21">
        <f>SUMIF(November[Disease/Infection Type], "Ocular Disease",November[[Number of Antibiotics Prescribed for this Condition ]])+SUMIF(November[Disease/Infection Type2], "Ocular Disease",November[Number of Antibiotics Prescribed for this Condition2])+SUMIF(November[Disease/Infection Type3], "Ocular Disease",November[Number of Antibiotics Prescribed for this Condition3])</f>
        <v>0</v>
      </c>
      <c r="M25" s="21">
        <f>SUMIF(December[Disease/Infection Type], "Ocular Disease",December[[Number of Antibiotics Prescribed for this Condition ]])+SUMIF(December[Disease/Infection Type2], "Ocular Disease",December[Number of Antibiotics Prescribed for this Condition2])+SUMIF(December[Disease/Infection Type3], "Ocular Disease",December[Number of Antibiotics Prescribed for this Condition3])</f>
        <v>0</v>
      </c>
      <c r="N25" s="21">
        <f t="shared" si="0"/>
        <v>0</v>
      </c>
      <c r="O25" s="21" t="e">
        <f>(N25/N37)*100</f>
        <v>#DIV/0!</v>
      </c>
      <c r="P25" s="21" t="s">
        <v>328</v>
      </c>
    </row>
    <row r="26" spans="1:16">
      <c r="A26" s="21" t="s">
        <v>319</v>
      </c>
      <c r="B26" s="21">
        <f>SUMIF(January[Disease/Infection Type], "Otic Disease",January[[Number of Antibiotics Prescribed for this Condition ]])+SUMIF(January[Disease/Infection Type2], "Otic Disease",January[Number of Antibiotics Prescribed for this Condition2])+SUMIF(January[Disease/Infection Type3], "Otic Disease",January[Number of Antibiotics Prescribed for this Condition3])</f>
        <v>0</v>
      </c>
      <c r="C26" s="21">
        <f>SUMIF(February[Disease/Infection Type], "Otic Disease",February[[Number of Antibiotics Prescribed for this Condition ]])+SUMIF(February[Disease/Infection Type2], "Otic Disease",February[Number of Antibiotics Prescribed for this Condition2])+SUMIF(February[Disease/Infection Type3], "Otic Disease",February[Number of Antibiotics Prescribed for this Condition3])</f>
        <v>0</v>
      </c>
      <c r="D26" s="21">
        <f>SUMIF(March[Disease/Infection Type], "Otic Disease",March[[Number of Antibiotics Prescribed for this Condition ]])+SUMIF(March[Disease/Infection Type2], "Otic Disease",March[Number of Antibiotics Prescribed for this Condition2])+SUMIF(March[Disease/Infection Type3], "Otic Disease",March[Number of Antibiotics Prescribed for this Condition3])</f>
        <v>0</v>
      </c>
      <c r="E26" s="21">
        <f>SUMIF(April[Disease/Infection Type], "Otic Disease",April[[Number of Antibiotics Prescribed for this Condition ]])+SUMIF(April[Disease/Infection Type2], "Otic Disease",April[Number of Antibiotics Prescribed for this Condition2])+SUMIF(April[Disease/Infection Type3], "Otic Disease",April[Number of Antibiotics Prescribed for this Condition3])</f>
        <v>0</v>
      </c>
      <c r="F26" s="21">
        <f>SUMIF(May[Disease/Infection Type], "Otic Disease",May[[Number of Antibiotics Prescribed for this Condition ]])+SUMIF(May[Disease/Infection Type2], "Otic Disease",May[Number of Antibiotics Prescribed for this Condition2])+SUMIF(May[Disease/Infection Type3], "Otic Disease",May[Number of Antibiotics Prescribed for this Condition3])</f>
        <v>0</v>
      </c>
      <c r="G26" s="21">
        <f>SUMIF(June[Disease/Infection Type], "Otic Disease",June[[Number of Antibiotics Prescribed for this Condition ]])+SUMIF(June[Disease/Infection Type2], "Otic Disease",June[Number of Antibiotics Prescribed for this Condition2])+SUMIF(June[Disease/Infection Type3], "Otic Disease",June[Number of Antibiotics Prescribed for this Condition3])</f>
        <v>0</v>
      </c>
      <c r="H26" s="21">
        <f>SUMIF(July[Disease/Infection Type], "Otic Disease",July[[Number of Antibiotics Prescribed for this Condition ]])+SUMIF(July[Disease/Infection Type2], "Otic Disease",July[Number of Antibiotics Prescribed for this Condition2])+SUMIF(July[Disease/Infection Type3], "Otic Disease",July[Number of Antibiotics Prescribed for this Condition3])</f>
        <v>0</v>
      </c>
      <c r="I26" s="21">
        <f>SUMIF(August[Disease/Infection Type], "Otic Disease",August[[Number of Antibiotics Prescribed for this Condition ]])+SUMIF(August[Disease/Infection Type2], "Otic Disease",August[Number of Antibiotics Prescribed for this Condition2])+SUMIF(August[Disease/Infection Type3], "Otic Disease",August[Number of Antibiotics Prescribed for this Condition3])</f>
        <v>0</v>
      </c>
      <c r="J26" s="21">
        <f>SUMIF(September[Disease/Infection Type], "Otic Disease",September[[Number of Antibiotics Prescribed for this Condition ]])+SUMIF(September[Disease/Infection Type2], "Otic Disease",September[Number of Antibiotics Prescribed for this Condition2])+SUMIF(September[Disease/Infection Type3], "Otic Disease",September[Number of Antibiotics Prescribed for this Condition3])</f>
        <v>0</v>
      </c>
      <c r="K26" s="21">
        <f>SUMIF(October[Disease/Infection Type], "Otic Disease",October[[Number of Antibiotics Prescribed for this Condition ]])+SUMIF(October[Disease/Infection Type2], "Otic Disease",October[Number of Antibiotics Prescribed for this Condition2])+SUMIF(October[Disease/Infection Type3], "Otic Disease",October[Number of Antibiotics Prescribed for this Condition3])</f>
        <v>0</v>
      </c>
      <c r="L26" s="21">
        <f>SUMIF(November[Disease/Infection Type], "Otic Disease",November[[Number of Antibiotics Prescribed for this Condition ]])+SUMIF(November[Disease/Infection Type2], "Otic Disease",November[Number of Antibiotics Prescribed for this Condition2])+SUMIF(November[Disease/Infection Type3], "Otic Disease",November[Number of Antibiotics Prescribed for this Condition3])</f>
        <v>0</v>
      </c>
      <c r="M26" s="21">
        <f>SUMIF(December[Disease/Infection Type], "Otic Disease",December[[Number of Antibiotics Prescribed for this Condition ]])+SUMIF(December[Disease/Infection Type2], "Otic Disease",December[Number of Antibiotics Prescribed for this Condition2])+SUMIF(December[Disease/Infection Type3], "Otic Disease",December[Number of Antibiotics Prescribed for this Condition3])</f>
        <v>0</v>
      </c>
      <c r="N26" s="21">
        <f>SUM(B26:M26)</f>
        <v>0</v>
      </c>
      <c r="O26" s="21" t="e">
        <f>(N26/N37)*100</f>
        <v>#DIV/0!</v>
      </c>
      <c r="P26" s="21" t="s">
        <v>265</v>
      </c>
    </row>
    <row r="27" spans="1:16">
      <c r="A27" s="21" t="s">
        <v>99</v>
      </c>
      <c r="B27" s="21">
        <f>SUMIF(January[Disease/Infection Type], "Peri-operative",January[[Number of Antibiotics Prescribed for this Condition ]])+SUMIF(January[Disease/Infection Type2], "Peri-operative",January[Number of Antibiotics Prescribed for this Condition2])+SUMIF(January[Disease/Infection Type3], "Peri-operative",January[Number of Antibiotics Prescribed for this Condition3])</f>
        <v>0</v>
      </c>
      <c r="C27" s="21">
        <f>SUMIF(February[Disease/Infection Type], "Peri-operative",February[[Number of Antibiotics Prescribed for this Condition ]])+SUMIF(February[Disease/Infection Type2], "Peri-operative",February[Number of Antibiotics Prescribed for this Condition2])+SUMIF(February[Disease/Infection Type3], "Peri-operative",February[Number of Antibiotics Prescribed for this Condition3])</f>
        <v>0</v>
      </c>
      <c r="D27" s="21">
        <f>SUMIF(March[Disease/Infection Type], "Peri-operative",March[[Number of Antibiotics Prescribed for this Condition ]])+SUMIF(March[Disease/Infection Type2], "Peri-operative",March[Number of Antibiotics Prescribed for this Condition2])+SUMIF(March[Disease/Infection Type3], "Peri-operative",March[Number of Antibiotics Prescribed for this Condition3])</f>
        <v>0</v>
      </c>
      <c r="E27" s="21">
        <f>SUMIF(April[Disease/Infection Type], "Peri-operative",April[[Number of Antibiotics Prescribed for this Condition ]])+SUMIF(April[Disease/Infection Type2], "Peri-operative",April[Number of Antibiotics Prescribed for this Condition2])+SUMIF(April[Disease/Infection Type3], "Peri-operative",April[Number of Antibiotics Prescribed for this Condition3])</f>
        <v>0</v>
      </c>
      <c r="F27" s="21">
        <f>SUMIF(May[Disease/Infection Type], "Peri-operative",May[[Number of Antibiotics Prescribed for this Condition ]])+SUMIF(May[Disease/Infection Type2], "Peri-operative",May[Number of Antibiotics Prescribed for this Condition2])+SUMIF(May[Disease/Infection Type3], "Peri-operative",May[Number of Antibiotics Prescribed for this Condition3])</f>
        <v>0</v>
      </c>
      <c r="G27" s="21">
        <f>SUMIF(June[Disease/Infection Type], "Peri-operative",June[[Number of Antibiotics Prescribed for this Condition ]])+SUMIF(June[Disease/Infection Type2], "Peri-operative",June[Number of Antibiotics Prescribed for this Condition2])+SUMIF(June[Disease/Infection Type3], "Peri-operative",June[Number of Antibiotics Prescribed for this Condition3])</f>
        <v>0</v>
      </c>
      <c r="H27" s="21">
        <f>SUMIF(July[Disease/Infection Type], "Peri-operative",July[[Number of Antibiotics Prescribed for this Condition ]])+SUMIF(July[Disease/Infection Type2], "Peri-operative",July[Number of Antibiotics Prescribed for this Condition2])+SUMIF(July[Disease/Infection Type3], "Peri-operative",July[Number of Antibiotics Prescribed for this Condition3])</f>
        <v>0</v>
      </c>
      <c r="I27" s="21">
        <f>SUMIF(August[Disease/Infection Type], "Peri-operative",August[[Number of Antibiotics Prescribed for this Condition ]])+SUMIF(August[Disease/Infection Type2], "Peri-operative",August[Number of Antibiotics Prescribed for this Condition2])+SUMIF(August[Disease/Infection Type3], "Peri-operative",August[Number of Antibiotics Prescribed for this Condition3])</f>
        <v>0</v>
      </c>
      <c r="J27" s="21">
        <f>SUMIF(September[Disease/Infection Type], "Peri-operative",September[[Number of Antibiotics Prescribed for this Condition ]])+SUMIF(September[Disease/Infection Type2], "Peri-operative",September[Number of Antibiotics Prescribed for this Condition2])+SUMIF(September[Disease/Infection Type3], "Peri-operative",September[Number of Antibiotics Prescribed for this Condition3])</f>
        <v>0</v>
      </c>
      <c r="K27" s="21">
        <f>SUMIF(October[Disease/Infection Type], "Peri-operative",October[[Number of Antibiotics Prescribed for this Condition ]])+SUMIF(October[Disease/Infection Type2], "Peri-operative",October[Number of Antibiotics Prescribed for this Condition2])+SUMIF(October[Disease/Infection Type3], "Peri-operative",October[Number of Antibiotics Prescribed for this Condition3])</f>
        <v>0</v>
      </c>
      <c r="L27" s="21">
        <f>SUMIF(November[Disease/Infection Type], "Peri-operative",November[[Number of Antibiotics Prescribed for this Condition ]])+SUMIF(November[Disease/Infection Type2], "Peri-operative",November[Number of Antibiotics Prescribed for this Condition2])+SUMIF(November[Disease/Infection Type3], "Peri-operative",November[Number of Antibiotics Prescribed for this Condition3])</f>
        <v>0</v>
      </c>
      <c r="M27" s="21">
        <f>SUMIF(December[Disease/Infection Type], "Peri-operative",December[[Number of Antibiotics Prescribed for this Condition ]])+SUMIF(December[Disease/Infection Type2], "Peri-operative",December[Number of Antibiotics Prescribed for this Condition2])+SUMIF(December[Disease/Infection Type3], "Peri-operative",December[Number of Antibiotics Prescribed for this Condition3])</f>
        <v>0</v>
      </c>
      <c r="N27" s="21">
        <f t="shared" si="0"/>
        <v>0</v>
      </c>
      <c r="O27" s="21" t="e">
        <f>(N27/N37)*100</f>
        <v>#DIV/0!</v>
      </c>
      <c r="P27" s="21" t="s">
        <v>99</v>
      </c>
    </row>
    <row r="28" spans="1:16">
      <c r="A28" s="21" t="s">
        <v>97</v>
      </c>
      <c r="B28" s="21">
        <f>SUMIF(January[Disease/Infection Type], "Reproductive Disease",January[[Number of Antibiotics Prescribed for this Condition ]])+SUMIF(January[Disease/Infection Type2], "Reproductive Disease",January[Number of Antibiotics Prescribed for this Condition2])+SUMIF(January[Disease/Infection Type3], "Reproductive Disease",January[Number of Antibiotics Prescribed for this Condition3])</f>
        <v>0</v>
      </c>
      <c r="C28" s="21">
        <f>SUMIF(February[Disease/Infection Type], "Reproductive Disease",February[[Number of Antibiotics Prescribed for this Condition ]])+SUMIF(February[Disease/Infection Type2], "Reproductive Disease",February[Number of Antibiotics Prescribed for this Condition2])+SUMIF(February[Disease/Infection Type3], "Reproductive Disease",February[Number of Antibiotics Prescribed for this Condition3])</f>
        <v>0</v>
      </c>
      <c r="D28" s="21">
        <f>SUMIF(March[Disease/Infection Type], "Reproductive Disease",March[[Number of Antibiotics Prescribed for this Condition ]])+SUMIF(March[Disease/Infection Type2], "Reproductive Disease",March[Number of Antibiotics Prescribed for this Condition2])+SUMIF(March[Disease/Infection Type3], "Reproductive Disease",March[Number of Antibiotics Prescribed for this Condition3])</f>
        <v>0</v>
      </c>
      <c r="E28" s="21">
        <f>SUMIF(April[Disease/Infection Type], "Reproductive Disease",April[[Number of Antibiotics Prescribed for this Condition ]])+SUMIF(April[Disease/Infection Type2], "Reproductive Disease",April[Number of Antibiotics Prescribed for this Condition2])+SUMIF(April[Disease/Infection Type3], "Reproductive Disease",April[Number of Antibiotics Prescribed for this Condition3])</f>
        <v>0</v>
      </c>
      <c r="F28" s="21">
        <f>SUMIF(May[Disease/Infection Type], "Reproductive Disease",May[[Number of Antibiotics Prescribed for this Condition ]])+SUMIF(May[Disease/Infection Type2], "Reproductive Disease",May[Number of Antibiotics Prescribed for this Condition2])+SUMIF(May[Disease/Infection Type3], "Reproductive Disease",May[Number of Antibiotics Prescribed for this Condition3])</f>
        <v>0</v>
      </c>
      <c r="G28" s="21">
        <f>SUMIF(June[Disease/Infection Type], "Reproductive Disease",June[[Number of Antibiotics Prescribed for this Condition ]])+SUMIF(June[Disease/Infection Type2], "Reproductive Disease",June[Number of Antibiotics Prescribed for this Condition2])+SUMIF(June[Disease/Infection Type3], "Reproductive Disease",June[Number of Antibiotics Prescribed for this Condition3])</f>
        <v>0</v>
      </c>
      <c r="H28" s="21">
        <f>SUMIF(July[Disease/Infection Type], "Reproductive Disease",July[[Number of Antibiotics Prescribed for this Condition ]])+SUMIF(July[Disease/Infection Type2], "Reproductive Disease",July[Number of Antibiotics Prescribed for this Condition2])+SUMIF(July[Disease/Infection Type3], "Reproductive Disease",July[Number of Antibiotics Prescribed for this Condition3])</f>
        <v>0</v>
      </c>
      <c r="I28" s="21">
        <f>SUMIF(August[Disease/Infection Type], "Reproductive Disease",August[[Number of Antibiotics Prescribed for this Condition ]])+SUMIF(August[Disease/Infection Type2], "Reproductive Disease",August[Number of Antibiotics Prescribed for this Condition2])+SUMIF(August[Disease/Infection Type3], "Reproductive Disease",August[Number of Antibiotics Prescribed for this Condition3])</f>
        <v>0</v>
      </c>
      <c r="J28" s="21">
        <f>SUMIF(September[Disease/Infection Type], "Reproductive Disease",September[[Number of Antibiotics Prescribed for this Condition ]])+SUMIF(September[Disease/Infection Type2], "Reproductive Disease",September[Number of Antibiotics Prescribed for this Condition2])+SUMIF(September[Disease/Infection Type3], "Reproductive Disease",September[Number of Antibiotics Prescribed for this Condition3])</f>
        <v>0</v>
      </c>
      <c r="K28" s="21">
        <f>SUMIF(October[Disease/Infection Type], "Reproductive Disease",October[[Number of Antibiotics Prescribed for this Condition ]])+SUMIF(October[Disease/Infection Type2], "Reproductive Disease",October[Number of Antibiotics Prescribed for this Condition2])+SUMIF(October[Disease/Infection Type3], "Reproductive Disease",October[Number of Antibiotics Prescribed for this Condition3])</f>
        <v>0</v>
      </c>
      <c r="L28" s="21">
        <f>SUMIF(November[Disease/Infection Type], "Reproductive Disease",November[[Number of Antibiotics Prescribed for this Condition ]])+SUMIF(November[Disease/Infection Type2], "Reproductive Disease",November[Number of Antibiotics Prescribed for this Condition2])+SUMIF(November[Disease/Infection Type3], "Reproductive Disease",November[Number of Antibiotics Prescribed for this Condition3])</f>
        <v>0</v>
      </c>
      <c r="M28" s="21">
        <f>SUMIF(December[Disease/Infection Type], "Reproductive Disease",December[[Number of Antibiotics Prescribed for this Condition ]])+SUMIF(December[Disease/Infection Type2], "Reproductive Disease",December[Number of Antibiotics Prescribed for this Condition2])+SUMIF(December[Disease/Infection Type3], "Reproductive Disease",December[Number of Antibiotics Prescribed for this Condition3])</f>
        <v>0</v>
      </c>
      <c r="N28" s="21">
        <f t="shared" si="0"/>
        <v>0</v>
      </c>
      <c r="O28" s="21" t="e">
        <f>(N28/N37)*100</f>
        <v>#DIV/0!</v>
      </c>
      <c r="P28" s="21" t="s">
        <v>329</v>
      </c>
    </row>
    <row r="29" spans="1:16">
      <c r="A29" s="21" t="s">
        <v>305</v>
      </c>
      <c r="B29" s="21">
        <f>SUMIF(January[Disease/Infection Type], "Upper Respiratory Tract Disease",January[[Number of Antibiotics Prescribed for this Condition ]])+SUMIF(January[Disease/Infection Type2], "Upper Respiratory Tract Disease",January[Number of Antibiotics Prescribed for this Condition2])+SUMIF(January[Disease/Infection Type3], "Upper Respiratory Tract Disease",January[Number of Antibiotics Prescribed for this Condition3])</f>
        <v>0</v>
      </c>
      <c r="C29" s="21">
        <f>SUMIF(February[Disease/Infection Type], "Upper Respiratory Tract Disease",February[[Number of Antibiotics Prescribed for this Condition ]])+SUMIF(February[Disease/Infection Type2], "Upper Respiratory Tract Disease",February[Number of Antibiotics Prescribed for this Condition2])+SUMIF(February[Disease/Infection Type3], "Upper Respiratory Tract Disease",February[Number of Antibiotics Prescribed for this Condition3])</f>
        <v>0</v>
      </c>
      <c r="D29" s="21">
        <f>SUMIF(March[Disease/Infection Type], "Upper Respiratory Tract Disease",March[[Number of Antibiotics Prescribed for this Condition ]])+SUMIF(March[Disease/Infection Type2], "Upper Respiratory Tract Disease",March[Number of Antibiotics Prescribed for this Condition2])+SUMIF(March[Disease/Infection Type3], "Upper Respiratory Tract Disease",March[Number of Antibiotics Prescribed for this Condition3])</f>
        <v>0</v>
      </c>
      <c r="E29" s="21">
        <f>SUMIF(April[Disease/Infection Type], "Upper Respiratory Tract Disease",April[[Number of Antibiotics Prescribed for this Condition ]])+SUMIF(April[Disease/Infection Type2], "Upper Respiratory Tract Disease",April[Number of Antibiotics Prescribed for this Condition2])+SUMIF(April[Disease/Infection Type3], "Upper Respiratory Tract Disease",April[Number of Antibiotics Prescribed for this Condition3])</f>
        <v>0</v>
      </c>
      <c r="F29" s="21">
        <f>SUMIF(May[Disease/Infection Type], "Upper Respiratory Tract Disease",May[[Number of Antibiotics Prescribed for this Condition ]])+SUMIF(May[Disease/Infection Type2], "Upper Respiratory Tract Disease",May[Number of Antibiotics Prescribed for this Condition2])+SUMIF(May[Disease/Infection Type3], "Upper Respiratory Tract Disease",May[Number of Antibiotics Prescribed for this Condition3])</f>
        <v>0</v>
      </c>
      <c r="G29" s="21">
        <f>SUMIF(June[Disease/Infection Type], "Upper Respiratory Tract Disease",June[[Number of Antibiotics Prescribed for this Condition ]])+SUMIF(June[Disease/Infection Type2], "Upper Respiratory Tract Disease",June[Number of Antibiotics Prescribed for this Condition2])+SUMIF(June[Disease/Infection Type3], "Upper Respiratory Tract Disease",June[Number of Antibiotics Prescribed for this Condition3])</f>
        <v>0</v>
      </c>
      <c r="H29" s="21">
        <f>SUMIF(July[Disease/Infection Type], "Upper Respiratory Tract Disease",July[[Number of Antibiotics Prescribed for this Condition ]])+SUMIF(July[Disease/Infection Type2], "Upper Respiratory Tract Disease",July[Number of Antibiotics Prescribed for this Condition2])+SUMIF(July[Disease/Infection Type3], "Upper Respiratory Tract Disease",July[Number of Antibiotics Prescribed for this Condition3])</f>
        <v>0</v>
      </c>
      <c r="I29" s="21">
        <f>SUMIF(August[Disease/Infection Type], "Upper Respiratory Tract Disease",August[[Number of Antibiotics Prescribed for this Condition ]])+SUMIF(August[Disease/Infection Type2], "Upper Respiratory Tract Disease",August[Number of Antibiotics Prescribed for this Condition2])+SUMIF(August[Disease/Infection Type3], "Upper Respiratory Tract Disease",August[Number of Antibiotics Prescribed for this Condition3])</f>
        <v>0</v>
      </c>
      <c r="J29" s="21">
        <f>SUMIF(September[Disease/Infection Type], "Upper Respiratory Tract Disease",September[[Number of Antibiotics Prescribed for this Condition ]])+SUMIF(September[Disease/Infection Type2], "Upper Respiratory Tract Disease",September[Number of Antibiotics Prescribed for this Condition2])+SUMIF(September[Disease/Infection Type3], "Upper Respiratory Tract Disease",September[Number of Antibiotics Prescribed for this Condition3])</f>
        <v>0</v>
      </c>
      <c r="K29" s="21">
        <f>SUMIF(October[Disease/Infection Type], "Upper Respiratory Tract Disease",October[[Number of Antibiotics Prescribed for this Condition ]])+SUMIF(October[Disease/Infection Type2], "Upper Respiratory Tract Disease",October[Number of Antibiotics Prescribed for this Condition2])+SUMIF(October[Disease/Infection Type3], "Upper Respiratory Tract Disease",October[Number of Antibiotics Prescribed for this Condition3])</f>
        <v>0</v>
      </c>
      <c r="L29" s="21">
        <f>SUMIF(November[Disease/Infection Type], "Upper Respiratory Tract Disease",November[[Number of Antibiotics Prescribed for this Condition ]])+SUMIF(November[Disease/Infection Type2], "Upper Respiratory Tract Disease",November[Number of Antibiotics Prescribed for this Condition2])+SUMIF(November[Disease/Infection Type3], "Upper Respiratory Tract Disease",November[Number of Antibiotics Prescribed for this Condition3])</f>
        <v>0</v>
      </c>
      <c r="M29" s="21">
        <f>SUMIF(December[Disease/Infection Type], "Upper Respiratory Tract Disease",December[[Number of Antibiotics Prescribed for this Condition ]])+SUMIF(December[Disease/Infection Type2], "Upper Respiratory Tract Disease",December[Number of Antibiotics Prescribed for this Condition2])+SUMIF(December[Disease/Infection Type3], "Upper Respiratory Tract Disease",December[Number of Antibiotics Prescribed for this Condition3])</f>
        <v>0</v>
      </c>
      <c r="N29" s="21">
        <f>SUM(B29:M29)</f>
        <v>0</v>
      </c>
      <c r="O29" s="21" t="e">
        <f>(N29/N37)*100</f>
        <v>#DIV/0!</v>
      </c>
      <c r="P29" s="21" t="s">
        <v>330</v>
      </c>
    </row>
    <row r="30" spans="1:16">
      <c r="A30" s="21" t="s">
        <v>306</v>
      </c>
      <c r="B30" s="21">
        <f>SUMIF(January[Disease/Infection Type], "Lower Respiratory Tract Disease",January[[Number of Antibiotics Prescribed for this Condition ]])+SUMIF(January[Disease/Infection Type2], "Lower Respiratory Tract Disease",January[Number of Antibiotics Prescribed for this Condition2])+SUMIF(January[Disease/Infection Type3], "Lower Respiratory Tract Disease",January[Number of Antibiotics Prescribed for this Condition3])</f>
        <v>0</v>
      </c>
      <c r="C30" s="21">
        <f>SUMIF(February[Disease/Infection Type], "Lower Respiratory Tract Disease",February[[Number of Antibiotics Prescribed for this Condition ]])+SUMIF(February[Disease/Infection Type2], "Lower Respiratory Tract Disease",February[Number of Antibiotics Prescribed for this Condition2])+SUMIF(February[Disease/Infection Type3], "Lower Respiratory Tract Disease",February[Number of Antibiotics Prescribed for this Condition3])</f>
        <v>0</v>
      </c>
      <c r="D30" s="21">
        <f>SUMIF(March[Disease/Infection Type], "Lower Respiratory Tract Disease",March[[Number of Antibiotics Prescribed for this Condition ]])+SUMIF(March[Disease/Infection Type2], "Lower Respiratory Tract Disease",March[Number of Antibiotics Prescribed for this Condition2])+SUMIF(March[Disease/Infection Type3], "Lower Respiratory Tract Disease",March[Number of Antibiotics Prescribed for this Condition3])</f>
        <v>0</v>
      </c>
      <c r="E30" s="21">
        <f>SUMIF(April[Disease/Infection Type], "Lower Respiratory Tract Disease",April[[Number of Antibiotics Prescribed for this Condition ]])+SUMIF(April[Disease/Infection Type2], "Lower Respiratory Tract Disease",April[Number of Antibiotics Prescribed for this Condition2])+SUMIF(April[Disease/Infection Type3], "Lower Respiratory Tract Disease",April[Number of Antibiotics Prescribed for this Condition3])</f>
        <v>0</v>
      </c>
      <c r="F30" s="21">
        <f>SUMIF(May[Disease/Infection Type], "Lower Respiratory Tract Disease",May[[Number of Antibiotics Prescribed for this Condition ]])+SUMIF(May[Disease/Infection Type2], "Lower Respiratory Tract Disease",May[Number of Antibiotics Prescribed for this Condition2])+SUMIF(May[Disease/Infection Type3], "Lower Respiratory Tract Disease",May[Number of Antibiotics Prescribed for this Condition3])</f>
        <v>0</v>
      </c>
      <c r="G30" s="21">
        <f>SUMIF(June[Disease/Infection Type], "Lower Respiratory Tract Disease",June[[Number of Antibiotics Prescribed for this Condition ]])+SUMIF(June[Disease/Infection Type2], "Lower Respiratory Tract Disease",June[Number of Antibiotics Prescribed for this Condition2])+SUMIF(June[Disease/Infection Type3], "Lower Respiratory Tract Disease",June[Number of Antibiotics Prescribed for this Condition3])</f>
        <v>0</v>
      </c>
      <c r="H30" s="21">
        <f>SUMIF(July[Disease/Infection Type], "Lower Respiratory Tract Disease",July[[Number of Antibiotics Prescribed for this Condition ]])+SUMIF(July[Disease/Infection Type2], "Lower Respiratory Tract Disease",July[Number of Antibiotics Prescribed for this Condition2])+SUMIF(July[Disease/Infection Type3], "Lower Respiratory Tract Disease",July[Number of Antibiotics Prescribed for this Condition3])</f>
        <v>0</v>
      </c>
      <c r="I30" s="21">
        <f>SUMIF(August[Disease/Infection Type], "Lower Respiratory Tract Disease",August[[Number of Antibiotics Prescribed for this Condition ]])+SUMIF(August[Disease/Infection Type2], "Lower Respiratory Tract Disease",August[Number of Antibiotics Prescribed for this Condition2])+SUMIF(August[Disease/Infection Type3], "Lower Respiratory Tract Disease",August[Number of Antibiotics Prescribed for this Condition3])</f>
        <v>0</v>
      </c>
      <c r="J30" s="21">
        <f>SUMIF(September[Disease/Infection Type], "Lower Respiratory Tract Disease",September[[Number of Antibiotics Prescribed for this Condition ]])+SUMIF(September[Disease/Infection Type2], "Lower Respiratory Tract Disease",September[Number of Antibiotics Prescribed for this Condition2])+SUMIF(September[Disease/Infection Type3], "Lower Respiratory Tract Disease",September[Number of Antibiotics Prescribed for this Condition3])</f>
        <v>0</v>
      </c>
      <c r="K30" s="21">
        <f>SUMIF(October[Disease/Infection Type], "Lower Respiratory Tract Disease",October[[Number of Antibiotics Prescribed for this Condition ]])+SUMIF(October[Disease/Infection Type2], "Lower Respiratory Tract Disease",October[Number of Antibiotics Prescribed for this Condition2])+SUMIF(October[Disease/Infection Type3], "Lower Respiratory Tract Disease",October[Number of Antibiotics Prescribed for this Condition3])</f>
        <v>0</v>
      </c>
      <c r="L30" s="21">
        <f>SUMIF(November[Disease/Infection Type], "Lower Respiratory Tract Disease",November[[Number of Antibiotics Prescribed for this Condition ]])+SUMIF(November[Disease/Infection Type2], "Lower Respiratory Tract Disease",November[Number of Antibiotics Prescribed for this Condition2])+SUMIF(November[Disease/Infection Type3], "Lower Respiratory Tract Disease",November[Number of Antibiotics Prescribed for this Condition3])</f>
        <v>0</v>
      </c>
      <c r="M30" s="21">
        <f>SUMIF(December[Disease/Infection Type], "Lower Respiratory Tract Disease",December[[Number of Antibiotics Prescribed for this Condition ]])+SUMIF(December[Disease/Infection Type2], "Lower Respiratory Tract Disease",December[Number of Antibiotics Prescribed for this Condition2])+SUMIF(December[Disease/Infection Type3], "Lower Respiratory Tract Disease",December[Number of Antibiotics Prescribed for this Condition3])</f>
        <v>0</v>
      </c>
      <c r="N30" s="21">
        <f t="shared" si="0"/>
        <v>0</v>
      </c>
      <c r="O30" s="21" t="e">
        <f>(N30/N37)*100</f>
        <v>#DIV/0!</v>
      </c>
      <c r="P30" s="21" t="s">
        <v>331</v>
      </c>
    </row>
    <row r="31" spans="1:16">
      <c r="A31" s="21" t="s">
        <v>303</v>
      </c>
      <c r="B31" s="21">
        <f>SUMIF(January[Disease/Infection Type], "Upper Urinary Tract Disease",January[[Number of Antibiotics Prescribed for this Condition ]])+SUMIF(January[Disease/Infection Type2], "Upper Urinary Tract Disease",January[Number of Antibiotics Prescribed for this Condition2])+SUMIF(January[Disease/Infection Type3], "Upper Urinary Tract Disease",January[Number of Antibiotics Prescribed for this Condition3])</f>
        <v>0</v>
      </c>
      <c r="C31" s="21">
        <f>SUMIF(February[Disease/Infection Type], "Upper Urinary Tract Disease",February[[Number of Antibiotics Prescribed for this Condition ]])+SUMIF(February[Disease/Infection Type2], "Upper Urinary Tract Disease",February[Number of Antibiotics Prescribed for this Condition2])+SUMIF(February[Disease/Infection Type3], "Upper Urinary Tract Disease",February[Number of Antibiotics Prescribed for this Condition3])</f>
        <v>0</v>
      </c>
      <c r="D31" s="21">
        <f>SUMIF(March[Disease/Infection Type], "Upper Urinary Tract Disease",March[[Number of Antibiotics Prescribed for this Condition ]])+SUMIF(March[Disease/Infection Type2], "Upper Urinary Tract Disease",March[Number of Antibiotics Prescribed for this Condition2])+SUMIF(March[Disease/Infection Type3], "Upper Urinary Tract Disease",March[Number of Antibiotics Prescribed for this Condition3])</f>
        <v>0</v>
      </c>
      <c r="E31" s="21">
        <f>SUMIF(April[Disease/Infection Type], "Upper Urinary Tract Disease",April[[Number of Antibiotics Prescribed for this Condition ]])+SUMIF(April[Disease/Infection Type2], "Upper Urinary Tract Disease",April[Number of Antibiotics Prescribed for this Condition2])+SUMIF(April[Disease/Infection Type3], "Upper Urinary Tract Disease",April[Number of Antibiotics Prescribed for this Condition3])</f>
        <v>0</v>
      </c>
      <c r="F31" s="21">
        <f>SUMIF(May[Disease/Infection Type], "Upper Urinary Tract Disease",May[[Number of Antibiotics Prescribed for this Condition ]])+SUMIF(May[Disease/Infection Type2], "Upper Urinary Tract Disease",May[Number of Antibiotics Prescribed for this Condition2])+SUMIF(May[Disease/Infection Type3], "Upper Urinary Tract Disease",May[Number of Antibiotics Prescribed for this Condition3])</f>
        <v>0</v>
      </c>
      <c r="G31" s="21">
        <f>SUMIF(June[Disease/Infection Type], "Upper Urinary Tract Disease",June[[Number of Antibiotics Prescribed for this Condition ]])+SUMIF(June[Disease/Infection Type2], "Upper Urinary Tract Disease",June[Number of Antibiotics Prescribed for this Condition2])+SUMIF(June[Disease/Infection Type3], "Upper Urinary Tract Disease",June[Number of Antibiotics Prescribed for this Condition3])</f>
        <v>0</v>
      </c>
      <c r="H31" s="21">
        <f>SUMIF(July[Disease/Infection Type], "Upper Urinary Tract Disease",July[[Number of Antibiotics Prescribed for this Condition ]])+SUMIF(July[Disease/Infection Type2], "Upper Urinary Tract Disease",July[Number of Antibiotics Prescribed for this Condition2])+SUMIF(July[Disease/Infection Type3], "Upper Urinary Tract Disease",July[Number of Antibiotics Prescribed for this Condition3])</f>
        <v>0</v>
      </c>
      <c r="I31" s="21">
        <f>SUMIF(August[Disease/Infection Type], "Upper Urinary Tract Disease",August[[Number of Antibiotics Prescribed for this Condition ]])+SUMIF(August[Disease/Infection Type2], "Upper Urinary Tract Disease",August[Number of Antibiotics Prescribed for this Condition2])+SUMIF(August[Disease/Infection Type3], "Upper Urinary Tract Disease",August[Number of Antibiotics Prescribed for this Condition3])</f>
        <v>0</v>
      </c>
      <c r="J31" s="21">
        <f>SUMIF(September[Disease/Infection Type], "Upper Urinary Tract Disease",September[[Number of Antibiotics Prescribed for this Condition ]])+SUMIF(September[Disease/Infection Type2], "Upper Urinary Tract Disease",September[Number of Antibiotics Prescribed for this Condition2])+SUMIF(September[Disease/Infection Type3], "Upper Urinary Tract Disease",September[Number of Antibiotics Prescribed for this Condition3])</f>
        <v>0</v>
      </c>
      <c r="K31" s="21">
        <f>SUMIF(October[Disease/Infection Type], "Upper Urinary Tract Disease",October[[Number of Antibiotics Prescribed for this Condition ]])+SUMIF(October[Disease/Infection Type2], "Upper Urinary Tract Disease",October[Number of Antibiotics Prescribed for this Condition2])+SUMIF(October[Disease/Infection Type3], "Upper Urinary Tract Disease",October[Number of Antibiotics Prescribed for this Condition3])</f>
        <v>0</v>
      </c>
      <c r="L31" s="21">
        <f>SUMIF(November[Disease/Infection Type], "Upper Urinary Tract Disease",November[[Number of Antibiotics Prescribed for this Condition ]])+SUMIF(November[Disease/Infection Type2], "Upper Urinary Tract Disease",November[Number of Antibiotics Prescribed for this Condition2])+SUMIF(November[Disease/Infection Type3], "Upper Urinary Tract Disease",November[Number of Antibiotics Prescribed for this Condition3])</f>
        <v>0</v>
      </c>
      <c r="M31" s="21">
        <f>SUMIF(December[Disease/Infection Type], "Upper Urinary Tract Disease",December[[Number of Antibiotics Prescribed for this Condition ]])+SUMIF(December[Disease/Infection Type2], "Upper Urinary Tract Disease",December[Number of Antibiotics Prescribed for this Condition2])+SUMIF(December[Disease/Infection Type3], "Upper Urinary Tract Disease",December[Number of Antibiotics Prescribed for this Condition3])</f>
        <v>0</v>
      </c>
      <c r="N31" s="21">
        <f t="shared" si="0"/>
        <v>0</v>
      </c>
      <c r="O31" s="21" t="e">
        <f>(N31/N37)*100</f>
        <v>#DIV/0!</v>
      </c>
      <c r="P31" s="21" t="s">
        <v>332</v>
      </c>
    </row>
    <row r="32" spans="1:16">
      <c r="A32" s="21" t="s">
        <v>304</v>
      </c>
      <c r="B32" s="21">
        <f>SUMIF(January[Disease/Infection Type], "Lower Urinary Tract Disease",January[[Number of Antibiotics Prescribed for this Condition ]])+SUMIF(January[Disease/Infection Type2], "Lower Urinary Tract Disease",January[Number of Antibiotics Prescribed for this Condition2])+SUMIF(January[Disease/Infection Type3], "Lower Urinary Tract Disease",January[Number of Antibiotics Prescribed for this Condition3])</f>
        <v>0</v>
      </c>
      <c r="C32" s="21">
        <f>SUMIF(February[Disease/Infection Type], "Lower Urinary Tract Disease",February[[Number of Antibiotics Prescribed for this Condition ]])+SUMIF(February[Disease/Infection Type2], "Lower Urinary Tract Disease",February[Number of Antibiotics Prescribed for this Condition2])+SUMIF(February[Disease/Infection Type3], "Lower Urinary Tract Disease",February[Number of Antibiotics Prescribed for this Condition3])</f>
        <v>0</v>
      </c>
      <c r="D32" s="21">
        <f>SUMIF(March[Disease/Infection Type], "Lower Urinary Tract Disease",March[[Number of Antibiotics Prescribed for this Condition ]])+SUMIF(March[Disease/Infection Type2], "Lower Urinary Tract Disease",March[Number of Antibiotics Prescribed for this Condition2])+SUMIF(March[Disease/Infection Type3], "Lower Urinary Tract Disease",March[Number of Antibiotics Prescribed for this Condition3])</f>
        <v>0</v>
      </c>
      <c r="E32" s="21">
        <f>SUMIF(April[Disease/Infection Type], "Lower Urinary Tract Disease",April[[Number of Antibiotics Prescribed for this Condition ]])+SUMIF(April[Disease/Infection Type2], "Lower Urinary Tract Disease",April[Number of Antibiotics Prescribed for this Condition2])+SUMIF(April[Disease/Infection Type3], "Lower Urinary Tract Disease",April[Number of Antibiotics Prescribed for this Condition3])</f>
        <v>0</v>
      </c>
      <c r="F32" s="21">
        <f>SUMIF(May[Disease/Infection Type], "Lower Urinary Tract Disease",May[[Number of Antibiotics Prescribed for this Condition ]])+SUMIF(May[Disease/Infection Type2], "Lower Urinary Tract Disease",May[Number of Antibiotics Prescribed for this Condition2])+SUMIF(May[Disease/Infection Type3], "Lower Urinary Tract Disease",May[Number of Antibiotics Prescribed for this Condition3])</f>
        <v>0</v>
      </c>
      <c r="G32" s="21">
        <f>SUMIF(June[Disease/Infection Type], "Lower Urinary Tract Disease",June[[Number of Antibiotics Prescribed for this Condition ]])+SUMIF(June[Disease/Infection Type2], "Lower Urinary Tract Disease",June[Number of Antibiotics Prescribed for this Condition2])+SUMIF(June[Disease/Infection Type3], "Lower Urinary Tract Disease",June[Number of Antibiotics Prescribed for this Condition3])</f>
        <v>0</v>
      </c>
      <c r="H32" s="21">
        <f>SUMIF(July[Disease/Infection Type], "Lower Urinary Tract Disease",July[[Number of Antibiotics Prescribed for this Condition ]])+SUMIF(July[Disease/Infection Type2], "Lower Urinary Tract Disease",July[Number of Antibiotics Prescribed for this Condition2])+SUMIF(July[Disease/Infection Type3], "Lower Urinary Tract Disease",July[Number of Antibiotics Prescribed for this Condition3])</f>
        <v>0</v>
      </c>
      <c r="I32" s="21">
        <f>SUMIF(August[Disease/Infection Type], "Lower Urinary Tract Disease",August[[Number of Antibiotics Prescribed for this Condition ]])+SUMIF(August[Disease/Infection Type2], "Lower Urinary Tract Disease",August[Number of Antibiotics Prescribed for this Condition2])+SUMIF(August[Disease/Infection Type3], "Lower Urinary Tract Disease",August[Number of Antibiotics Prescribed for this Condition3])</f>
        <v>0</v>
      </c>
      <c r="J32" s="21">
        <f>SUMIF(September[Disease/Infection Type], "Lower Urinary Tract Disease",September[[Number of Antibiotics Prescribed for this Condition ]])+SUMIF(September[Disease/Infection Type2], "Lower Urinary Tract Disease",September[Number of Antibiotics Prescribed for this Condition2])+SUMIF(September[Disease/Infection Type3], "Lower Urinary Tract Disease",September[Number of Antibiotics Prescribed for this Condition3])</f>
        <v>0</v>
      </c>
      <c r="K32" s="21">
        <f>SUMIF(October[Disease/Infection Type], "Lower Urinary Tract Disease",October[[Number of Antibiotics Prescribed for this Condition ]])+SUMIF(October[Disease/Infection Type2], "Lower Urinary Tract Disease",October[Number of Antibiotics Prescribed for this Condition2])+SUMIF(October[Disease/Infection Type3], "Lower Urinary Tract Disease",October[Number of Antibiotics Prescribed for this Condition3])</f>
        <v>0</v>
      </c>
      <c r="L32" s="21">
        <f>SUMIF(November[Disease/Infection Type], "Lower Urinary Tract Disease",November[[Number of Antibiotics Prescribed for this Condition ]])+SUMIF(November[Disease/Infection Type2], "Lower Urinary Tract Disease",November[Number of Antibiotics Prescribed for this Condition2])+SUMIF(November[Disease/Infection Type3], "Lower Urinary Tract Disease",November[Number of Antibiotics Prescribed for this Condition3])</f>
        <v>0</v>
      </c>
      <c r="M32" s="21">
        <f>SUMIF(December[Disease/Infection Type], "Lower Urinary Tract Disease",December[[Number of Antibiotics Prescribed for this Condition ]])+SUMIF(December[Disease/Infection Type2], "Lower Urinary Tract Disease",December[Number of Antibiotics Prescribed for this Condition2])+SUMIF(December[Disease/Infection Type3], "Lower Urinary Tract Disease",December[Number of Antibiotics Prescribed for this Condition3])</f>
        <v>0</v>
      </c>
      <c r="N32" s="21">
        <f>SUM(B32:M32)</f>
        <v>0</v>
      </c>
      <c r="O32" s="21" t="e">
        <f>(N32/N37)*100</f>
        <v>#DIV/0!</v>
      </c>
      <c r="P32" s="21" t="s">
        <v>333</v>
      </c>
    </row>
    <row r="33" spans="1:16">
      <c r="A33" s="21" t="s">
        <v>101</v>
      </c>
      <c r="B33" s="21">
        <f>SUMIF(January[Disease/Infection Type], "Vector-borne Disease",January[[Number of Antibiotics Prescribed for this Condition ]])+SUMIF(January[Disease/Infection Type2], "Vector-borne Disease",January[Number of Antibiotics Prescribed for this Condition2])+SUMIF(January[Disease/Infection Type3], "Vector-borne Disease",January[Number of Antibiotics Prescribed for this Condition3])</f>
        <v>0</v>
      </c>
      <c r="C33" s="21">
        <f>SUMIF(February[Disease/Infection Type], "Vector-borne Disease",February[[Number of Antibiotics Prescribed for this Condition ]])+SUMIF(February[Disease/Infection Type2], "Vector-borne Disease",February[Number of Antibiotics Prescribed for this Condition2])+SUMIF(February[Disease/Infection Type3], "Vector-borne Disease",February[Number of Antibiotics Prescribed for this Condition3])</f>
        <v>0</v>
      </c>
      <c r="D33" s="21">
        <f>SUMIF(March[Disease/Infection Type], "Vector-borne Disease",March[[Number of Antibiotics Prescribed for this Condition ]])+SUMIF(March[Disease/Infection Type2], "Vector-borne Disease",March[Number of Antibiotics Prescribed for this Condition2])+SUMIF(March[Disease/Infection Type3], "Vector-borne Disease",March[Number of Antibiotics Prescribed for this Condition3])</f>
        <v>0</v>
      </c>
      <c r="E33" s="21">
        <f>SUMIF(April[Disease/Infection Type], "Vector-borne Disease",April[[Number of Antibiotics Prescribed for this Condition ]])+SUMIF(April[Disease/Infection Type2], "Vector-borne Disease",April[Number of Antibiotics Prescribed for this Condition2])+SUMIF(April[Disease/Infection Type3], "Vector-borne Disease",April[Number of Antibiotics Prescribed for this Condition3])</f>
        <v>0</v>
      </c>
      <c r="F33" s="21">
        <f>SUMIF(May[Disease/Infection Type], "Vector-borne Disease",May[[Number of Antibiotics Prescribed for this Condition ]])+SUMIF(May[Disease/Infection Type2], "Vector-borne Disease",May[Number of Antibiotics Prescribed for this Condition2])+SUMIF(May[Disease/Infection Type3], "Vector-borne Disease",May[Number of Antibiotics Prescribed for this Condition3])</f>
        <v>0</v>
      </c>
      <c r="G33" s="21">
        <f>SUMIF(June[Disease/Infection Type], "Vector-borne Disease",June[[Number of Antibiotics Prescribed for this Condition ]])+SUMIF(June[Disease/Infection Type2], "Vector-borne Disease",June[Number of Antibiotics Prescribed for this Condition2])+SUMIF(June[Disease/Infection Type3], "Vector-borne Disease",June[Number of Antibiotics Prescribed for this Condition3])</f>
        <v>0</v>
      </c>
      <c r="H33" s="21">
        <f>SUMIF(July[Disease/Infection Type], "Vector-borne Disease",July[[Number of Antibiotics Prescribed for this Condition ]])+SUMIF(July[Disease/Infection Type2], "Vector-borne Disease",July[Number of Antibiotics Prescribed for this Condition2])+SUMIF(July[Disease/Infection Type3], "Vector-borne Disease",July[Number of Antibiotics Prescribed for this Condition3])</f>
        <v>0</v>
      </c>
      <c r="I33" s="21">
        <f>SUMIF(August[Disease/Infection Type], "Vector-borne Disease",August[[Number of Antibiotics Prescribed for this Condition ]])+SUMIF(August[Disease/Infection Type2], "Vector-borne Disease",August[Number of Antibiotics Prescribed for this Condition2])+SUMIF(August[Disease/Infection Type3], "Vector-borne Disease",August[Number of Antibiotics Prescribed for this Condition3])</f>
        <v>0</v>
      </c>
      <c r="J33" s="21">
        <f>SUMIF(September[Disease/Infection Type], "Vector-borne Disease",September[[Number of Antibiotics Prescribed for this Condition ]])+SUMIF(September[Disease/Infection Type2], "Vector-borne Disease",September[Number of Antibiotics Prescribed for this Condition2])+SUMIF(September[Disease/Infection Type3], "Vector-borne Disease",September[Number of Antibiotics Prescribed for this Condition3])</f>
        <v>0</v>
      </c>
      <c r="K33" s="21">
        <f>SUMIF(October[Disease/Infection Type], "Vector-borne Disease",October[[Number of Antibiotics Prescribed for this Condition ]])+SUMIF(October[Disease/Infection Type2], "Vector-borne Disease",October[Number of Antibiotics Prescribed for this Condition2])+SUMIF(October[Disease/Infection Type3], "Vector-borne Disease",October[Number of Antibiotics Prescribed for this Condition3])</f>
        <v>0</v>
      </c>
      <c r="L33" s="21">
        <f>SUMIF(November[Disease/Infection Type], "Vector-borne Disease",November[[Number of Antibiotics Prescribed for this Condition ]])+SUMIF(November[Disease/Infection Type2], "Vector-borne Disease",November[Number of Antibiotics Prescribed for this Condition2])+SUMIF(November[Disease/Infection Type3], "Vector-borne Disease",November[Number of Antibiotics Prescribed for this Condition3])</f>
        <v>0</v>
      </c>
      <c r="M33" s="21">
        <f>SUMIF(December[Disease/Infection Type], "Vector-borne Disease",December[[Number of Antibiotics Prescribed for this Condition ]])+SUMIF(December[Disease/Infection Type2], "Vector-borne Disease",December[Number of Antibiotics Prescribed for this Condition2])+SUMIF(December[Disease/Infection Type3], "Vector-borne Disease",December[Number of Antibiotics Prescribed for this Condition3])</f>
        <v>0</v>
      </c>
      <c r="N33" s="21">
        <f t="shared" si="0"/>
        <v>0</v>
      </c>
      <c r="O33" s="21" t="e">
        <f>(N33/N37)*100</f>
        <v>#DIV/0!</v>
      </c>
      <c r="P33" s="21" t="s">
        <v>334</v>
      </c>
    </row>
    <row r="34" spans="1:16">
      <c r="A34" s="21" t="s">
        <v>21</v>
      </c>
      <c r="B34" s="21">
        <f>SUMIF(January[Disease/Infection Type], "Other",January[[Number of Antibiotics Prescribed for this Condition ]])+SUMIF(January[Disease/Infection Type2], "Other",January[Number of Antibiotics Prescribed for this Condition2])+SUMIF(January[Disease/Infection Type3], "Other",January[Number of Antibiotics Prescribed for this Condition3])</f>
        <v>0</v>
      </c>
      <c r="C34" s="21">
        <f>SUMIF(February[Disease/Infection Type], "Other",February[[Number of Antibiotics Prescribed for this Condition ]])+SUMIF(February[Disease/Infection Type2], "Other",February[Number of Antibiotics Prescribed for this Condition2])+SUMIF(February[Disease/Infection Type3], "Other",February[Number of Antibiotics Prescribed for this Condition3])</f>
        <v>0</v>
      </c>
      <c r="D34" s="21">
        <f>SUMIF(March[Disease/Infection Type], "Other",March[[Number of Antibiotics Prescribed for this Condition ]])+SUMIF(March[Disease/Infection Type2], "Other",March[Number of Antibiotics Prescribed for this Condition2])+SUMIF(March[Disease/Infection Type3], "Other",March[Number of Antibiotics Prescribed for this Condition3])</f>
        <v>0</v>
      </c>
      <c r="E34" s="21">
        <f>SUMIF(April[Disease/Infection Type], "Other",April[[Number of Antibiotics Prescribed for this Condition ]])+SUMIF(April[Disease/Infection Type2], "Other",April[Number of Antibiotics Prescribed for this Condition2])+SUMIF(April[Disease/Infection Type3], "Other",April[Number of Antibiotics Prescribed for this Condition3])</f>
        <v>0</v>
      </c>
      <c r="F34" s="21">
        <f>SUMIF(May[Disease/Infection Type], "Other",May[[Number of Antibiotics Prescribed for this Condition ]])+SUMIF(May[Disease/Infection Type2], "Other",May[Number of Antibiotics Prescribed for this Condition2])+SUMIF(May[Disease/Infection Type3], "Other",May[Number of Antibiotics Prescribed for this Condition3])</f>
        <v>0</v>
      </c>
      <c r="G34" s="21">
        <f>SUMIF(June[Disease/Infection Type], "Other",June[[Number of Antibiotics Prescribed for this Condition ]])+SUMIF(June[Disease/Infection Type2], "Other",June[Number of Antibiotics Prescribed for this Condition2])+SUMIF(June[Disease/Infection Type3], "Other",June[Number of Antibiotics Prescribed for this Condition3])</f>
        <v>0</v>
      </c>
      <c r="H34" s="21">
        <f>SUMIF(July[Disease/Infection Type], "Other",July[[Number of Antibiotics Prescribed for this Condition ]])+SUMIF(July[Disease/Infection Type2], "Other",July[Number of Antibiotics Prescribed for this Condition2])+SUMIF(July[Disease/Infection Type3], "Other",July[Number of Antibiotics Prescribed for this Condition3])</f>
        <v>0</v>
      </c>
      <c r="I34" s="21">
        <f>SUMIF(August[Disease/Infection Type], "Other",August[[Number of Antibiotics Prescribed for this Condition ]])+SUMIF(August[Disease/Infection Type2], "Other",August[Number of Antibiotics Prescribed for this Condition2])+SUMIF(August[Disease/Infection Type3], "Other",August[Number of Antibiotics Prescribed for this Condition3])</f>
        <v>0</v>
      </c>
      <c r="J34" s="21">
        <f>SUMIF(September[Disease/Infection Type], "Other",September[[Number of Antibiotics Prescribed for this Condition ]])+SUMIF(September[Disease/Infection Type2], "Other",September[Number of Antibiotics Prescribed for this Condition2])+SUMIF(September[Disease/Infection Type3], "Other",September[Number of Antibiotics Prescribed for this Condition3])</f>
        <v>0</v>
      </c>
      <c r="K34" s="21">
        <f>SUMIF(October[Disease/Infection Type], "Other",October[[Number of Antibiotics Prescribed for this Condition ]])+SUMIF(October[Disease/Infection Type2], "Other",October[Number of Antibiotics Prescribed for this Condition2])+SUMIF(October[Disease/Infection Type3], "Other",October[Number of Antibiotics Prescribed for this Condition3])</f>
        <v>0</v>
      </c>
      <c r="L34" s="21">
        <f>SUMIF(November[Disease/Infection Type], "Other",November[[Number of Antibiotics Prescribed for this Condition ]])+SUMIF(November[Disease/Infection Type2], "Other",November[Number of Antibiotics Prescribed for this Condition2])+SUMIF(November[Disease/Infection Type3], "Other",November[Number of Antibiotics Prescribed for this Condition3])</f>
        <v>0</v>
      </c>
      <c r="M34" s="21">
        <f>SUMIF(December[Disease/Infection Type], "Other",December[[Number of Antibiotics Prescribed for this Condition ]])+SUMIF(December[Disease/Infection Type2], "Other",December[Number of Antibiotics Prescribed for this Condition2])+SUMIF(December[Disease/Infection Type3], "Other",December[Number of Antibiotics Prescribed for this Condition3])</f>
        <v>0</v>
      </c>
      <c r="N34" s="21">
        <f t="shared" si="0"/>
        <v>0</v>
      </c>
      <c r="O34" s="21" t="e">
        <f>(N34/N37)*100</f>
        <v>#DIV/0!</v>
      </c>
      <c r="P34" s="21" t="s">
        <v>21</v>
      </c>
    </row>
    <row r="35" spans="1:16">
      <c r="A35" s="21" t="s">
        <v>100</v>
      </c>
      <c r="B35" s="21">
        <f>SUMIF(January[Disease/Infection Type], "None",January[[Number of Antibiotics Prescribed for this Condition ]])+SUMIF(January[Disease/Infection Type2], "None",January[Number of Antibiotics Prescribed for this Condition2])+SUMIF(January[Disease/Infection Type3], "None",January[Number of Antibiotics Prescribed for this Condition3])</f>
        <v>0</v>
      </c>
      <c r="C35" s="21">
        <f>SUMIF(February[Disease/Infection Type], "None",February[[Number of Antibiotics Prescribed for this Condition ]])+SUMIF(February[Disease/Infection Type2], "None",February[Number of Antibiotics Prescribed for this Condition2])+SUMIF(February[Disease/Infection Type3], "None",February[Number of Antibiotics Prescribed for this Condition3])</f>
        <v>0</v>
      </c>
      <c r="D35" s="21">
        <f>SUMIF(March[Disease/Infection Type], "None",March[[Number of Antibiotics Prescribed for this Condition ]])+SUMIF(March[Disease/Infection Type2], "None",March[Number of Antibiotics Prescribed for this Condition2])+SUMIF(March[Disease/Infection Type3], "None",March[Number of Antibiotics Prescribed for this Condition3])</f>
        <v>0</v>
      </c>
      <c r="E35" s="21">
        <f>SUMIF(April[Disease/Infection Type], "None",April[[Number of Antibiotics Prescribed for this Condition ]])+SUMIF(April[Disease/Infection Type2], "None",April[Number of Antibiotics Prescribed for this Condition2])+SUMIF(April[Disease/Infection Type3], "None",April[Number of Antibiotics Prescribed for this Condition3])</f>
        <v>0</v>
      </c>
      <c r="F35" s="21">
        <f>SUMIF(May[Disease/Infection Type], "None",May[[Number of Antibiotics Prescribed for this Condition ]])+SUMIF(May[Disease/Infection Type2], "None",May[Number of Antibiotics Prescribed for this Condition2])+SUMIF(May[Disease/Infection Type3], "None",May[Number of Antibiotics Prescribed for this Condition3])</f>
        <v>0</v>
      </c>
      <c r="G35" s="21">
        <f>SUMIF(June[Disease/Infection Type], "None",June[[Number of Antibiotics Prescribed for this Condition ]])+SUMIF(June[Disease/Infection Type2], "None",June[Number of Antibiotics Prescribed for this Condition2])+SUMIF(June[Disease/Infection Type3], "None",June[Number of Antibiotics Prescribed for this Condition3])</f>
        <v>0</v>
      </c>
      <c r="H35" s="21">
        <f>SUMIF(July[Disease/Infection Type], "None",July[[Number of Antibiotics Prescribed for this Condition ]])+SUMIF(July[Disease/Infection Type2], "None",July[Number of Antibiotics Prescribed for this Condition2])+SUMIF(July[Disease/Infection Type3], "None",July[Number of Antibiotics Prescribed for this Condition3])</f>
        <v>0</v>
      </c>
      <c r="I35" s="21">
        <f>SUMIF(August[Disease/Infection Type], "None",August[[Number of Antibiotics Prescribed for this Condition ]])+SUMIF(August[Disease/Infection Type2], "None",August[Number of Antibiotics Prescribed for this Condition2])+SUMIF(August[Disease/Infection Type3], "None",August[Number of Antibiotics Prescribed for this Condition3])</f>
        <v>0</v>
      </c>
      <c r="J35" s="21">
        <f>SUMIF(September[Disease/Infection Type], "None",September[[Number of Antibiotics Prescribed for this Condition ]])+SUMIF(September[Disease/Infection Type2], "None",September[Number of Antibiotics Prescribed for this Condition2])+SUMIF(September[Disease/Infection Type3], "None",September[Number of Antibiotics Prescribed for this Condition3])</f>
        <v>0</v>
      </c>
      <c r="K35" s="21">
        <f>SUMIF(October[Disease/Infection Type], "None",October[[Number of Antibiotics Prescribed for this Condition ]])+SUMIF(October[Disease/Infection Type2], "None",October[Number of Antibiotics Prescribed for this Condition2])+SUMIF(October[Disease/Infection Type3], "None",October[Number of Antibiotics Prescribed for this Condition3])</f>
        <v>0</v>
      </c>
      <c r="L35" s="21">
        <f>SUMIF(November[Disease/Infection Type], "None",November[[Number of Antibiotics Prescribed for this Condition ]])+SUMIF(November[Disease/Infection Type2], "None",November[Number of Antibiotics Prescribed for this Condition2])+SUMIF(November[Disease/Infection Type3], "None",November[Number of Antibiotics Prescribed for this Condition3])</f>
        <v>0</v>
      </c>
      <c r="M35" s="21">
        <f>SUMIF(December[Disease/Infection Type], "None",December[[Number of Antibiotics Prescribed for this Condition ]])+SUMIF(December[Disease/Infection Type2], "None",December[Number of Antibiotics Prescribed for this Condition2])+SUMIF(December[Disease/Infection Type3], "None",December[Number of Antibiotics Prescribed for this Condition3])</f>
        <v>0</v>
      </c>
      <c r="N35" s="21">
        <f t="shared" si="0"/>
        <v>0</v>
      </c>
      <c r="O35" s="21" t="e">
        <f>(N35/N37)*100</f>
        <v>#DIV/0!</v>
      </c>
      <c r="P35" s="21" t="s">
        <v>100</v>
      </c>
    </row>
    <row r="36" spans="1:16">
      <c r="A36" s="21" t="s">
        <v>64</v>
      </c>
      <c r="B36" s="21">
        <f>SUMIF(January[Disease/Infection Type], "Unknown",January[[Number of Antibiotics Prescribed for this Condition ]])+SUMIF(January[Disease/Infection Type2], "Unknown",January[Number of Antibiotics Prescribed for this Condition2])+SUMIF(January[Disease/Infection Type3], "Unknown",January[Number of Antibiotics Prescribed for this Condition3])</f>
        <v>0</v>
      </c>
      <c r="C36" s="21">
        <f>SUMIF(February[Disease/Infection Type], "Unknown",February[[Number of Antibiotics Prescribed for this Condition ]])+SUMIF(February[Disease/Infection Type2], "Unknown",February[Number of Antibiotics Prescribed for this Condition2])+SUMIF(February[Disease/Infection Type3], "Unknown",February[Number of Antibiotics Prescribed for this Condition3])</f>
        <v>0</v>
      </c>
      <c r="D36" s="21">
        <f>SUMIF(March[Disease/Infection Type], "Unknown",March[[Number of Antibiotics Prescribed for this Condition ]])+SUMIF(March[Disease/Infection Type2], "Unknown",March[Number of Antibiotics Prescribed for this Condition2])+SUMIF(March[Disease/Infection Type3], "Unknown",March[Number of Antibiotics Prescribed for this Condition3])</f>
        <v>0</v>
      </c>
      <c r="E36" s="21">
        <f>SUMIF(April[Disease/Infection Type], "Unknown",April[[Number of Antibiotics Prescribed for this Condition ]])+SUMIF(April[Disease/Infection Type2], "Unknown",April[Number of Antibiotics Prescribed for this Condition2])+SUMIF(April[Disease/Infection Type3], "Unknown",April[Number of Antibiotics Prescribed for this Condition3])</f>
        <v>0</v>
      </c>
      <c r="F36" s="21">
        <f>SUMIF(May[Disease/Infection Type], "Unknown",May[[Number of Antibiotics Prescribed for this Condition ]])+SUMIF(May[Disease/Infection Type2], "Unknown",May[Number of Antibiotics Prescribed for this Condition2])+SUMIF(May[Disease/Infection Type3], "Unknown",May[Number of Antibiotics Prescribed for this Condition3])</f>
        <v>0</v>
      </c>
      <c r="G36" s="21">
        <f>SUMIF(June[Disease/Infection Type], "Unknown",June[[Number of Antibiotics Prescribed for this Condition ]])+SUMIF(June[Disease/Infection Type2], "Unknown",June[Number of Antibiotics Prescribed for this Condition2])+SUMIF(June[Disease/Infection Type3], "Unknown",June[Number of Antibiotics Prescribed for this Condition3])</f>
        <v>0</v>
      </c>
      <c r="H36" s="21">
        <f>SUMIF(July[Disease/Infection Type], "Unknown",July[[Number of Antibiotics Prescribed for this Condition ]])+SUMIF(July[Disease/Infection Type2], "Unknown",July[Number of Antibiotics Prescribed for this Condition2])+SUMIF(July[Disease/Infection Type3], "Unknown",July[Number of Antibiotics Prescribed for this Condition3])</f>
        <v>0</v>
      </c>
      <c r="I36" s="21">
        <f>SUMIF(August[Disease/Infection Type], "Unknown",August[[Number of Antibiotics Prescribed for this Condition ]])+SUMIF(August[Disease/Infection Type2], "Unknown",August[Number of Antibiotics Prescribed for this Condition2])+SUMIF(August[Disease/Infection Type3], "Unknown",August[Number of Antibiotics Prescribed for this Condition3])</f>
        <v>0</v>
      </c>
      <c r="J36" s="21">
        <f>SUMIF(September[Disease/Infection Type], "Unknown",September[[Number of Antibiotics Prescribed for this Condition ]])+SUMIF(September[Disease/Infection Type2], "Unknown",September[Number of Antibiotics Prescribed for this Condition2])+SUMIF(September[Disease/Infection Type3], "Unknown",September[Number of Antibiotics Prescribed for this Condition3])</f>
        <v>0</v>
      </c>
      <c r="K36" s="21">
        <f>SUMIF(October[Disease/Infection Type], "Unknown",October[[Number of Antibiotics Prescribed for this Condition ]])+SUMIF(October[Disease/Infection Type2], "Unknown",October[Number of Antibiotics Prescribed for this Condition2])+SUMIF(October[Disease/Infection Type3], "Unknown",October[Number of Antibiotics Prescribed for this Condition3])</f>
        <v>0</v>
      </c>
      <c r="L36" s="21">
        <f>SUMIF(November[Disease/Infection Type], "Unknown",November[[Number of Antibiotics Prescribed for this Condition ]])+SUMIF(November[Disease/Infection Type2], "Unknown",November[Number of Antibiotics Prescribed for this Condition2])+SUMIF(November[Disease/Infection Type3], "Unknown",November[Number of Antibiotics Prescribed for this Condition3])</f>
        <v>0</v>
      </c>
      <c r="M36" s="21">
        <f>SUMIF(December[Disease/Infection Type], "Unknown",December[[Number of Antibiotics Prescribed for this Condition ]])+SUMIF(December[Disease/Infection Type2], "Unknown",December[Number of Antibiotics Prescribed for this Condition2])+SUMIF(December[Disease/Infection Type3], "Unknown",December[Number of Antibiotics Prescribed for this Condition3])</f>
        <v>0</v>
      </c>
      <c r="N36" s="21">
        <f t="shared" si="0"/>
        <v>0</v>
      </c>
      <c r="O36" s="21" t="e">
        <f>(N36/N37)*100</f>
        <v>#DIV/0!</v>
      </c>
      <c r="P36" s="21" t="s">
        <v>64</v>
      </c>
    </row>
    <row r="37" spans="1:16">
      <c r="M37" s="21" t="s">
        <v>259</v>
      </c>
      <c r="N37" s="21">
        <f>SUM(N19:N36)</f>
        <v>0</v>
      </c>
    </row>
    <row r="41" spans="1:16">
      <c r="A41" s="35"/>
      <c r="B41" s="35" t="s">
        <v>262</v>
      </c>
      <c r="C41" s="35" t="s">
        <v>294</v>
      </c>
      <c r="D41" s="21" t="s">
        <v>295</v>
      </c>
    </row>
    <row r="42" spans="1:16">
      <c r="A42" s="21" t="s">
        <v>68</v>
      </c>
      <c r="B42" s="21">
        <f>COUNTIFS(January[Patient Prescribed Antibiotic (Y/N/WW)], "Yes", January[Diagnostics Offered for Infectious Condition (Y/N)], "Yes")+COUNTIF(January[Diagnostics Offered for Infectious Condition (Y/N)2], "Yes")+COUNTIF(January[Diagnostics Offered for Infectious Condition (Y/N)3], "Yes")</f>
        <v>0</v>
      </c>
      <c r="C42" s="21">
        <f>COUNTIFS(January[Patient Prescribed Antibiotic (Y/N/WW)], "Yes",January[Diagnostic Performed for Infectious Condition (Y/N)], "Yes")+COUNTIF(January[Diagnostic Performed for Infectious Condition (Y/N)2], "Yes")+COUNTIF(January[Diagnostic Performed for Infectious Condition (Y/N)3], "Yes")</f>
        <v>0</v>
      </c>
    </row>
    <row r="43" spans="1:16">
      <c r="A43" s="21" t="s">
        <v>69</v>
      </c>
      <c r="B43" s="21">
        <f>COUNTIFS(February[Patient Prescribed Antibiotic (Y/N/WW)], "Yes", February[Diagnostics Offered for Infectious Condition (Y/N)], "Yes")+COUNTIF(February[Diagnostics Offered for Infectious Condition (Y/N)2], "Yes")+COUNTIF(February[Diagnostics Offered for Infectious Condition (Y/N)3], "Yes")</f>
        <v>0</v>
      </c>
      <c r="C43" s="21">
        <f>COUNTIFS(February[Patient Prescribed Antibiotic (Y/N/WW)], "Yes",February[Diagnostic Performed for Infectious Condition (Y/N)], "Yes")+COUNTIF(February[Diagnostic Performed for Infectious Condition (Y/N)2], "Yes")+COUNTIF(February[Diagnostic Performed for Infectious Condition (Y/N)3], "Yes")</f>
        <v>0</v>
      </c>
    </row>
    <row r="44" spans="1:16">
      <c r="A44" s="21" t="s">
        <v>70</v>
      </c>
      <c r="B44" s="21">
        <f>COUNTIFS(March[Patient Prescribed Antibiotic (Y/N/WW)], "Yes", March[Diagnostics Offered for Infectious Condition (Y/N)], "Yes")+COUNTIF(March[Diagnostics Offered for Infectious Condition (Y/N)2], "Yes")+COUNTIF(March[Diagnostics Offered for Infectious Condition (Y/N)3], "Yes")</f>
        <v>0</v>
      </c>
      <c r="C44" s="21">
        <f>COUNTIFS(March[Patient Prescribed Antibiotic (Y/N/WW)], "Yes",March[Diagnostic Performed for Infectious Condition (Y/N)], "Yes")+COUNTIF(March[Diagnostic Performed for Infectious Condition (Y/N)2], "Yes")+COUNTIF(March[Diagnostic Performed for Infectious Condition (Y/N)3], "Yes")</f>
        <v>0</v>
      </c>
    </row>
    <row r="45" spans="1:16">
      <c r="A45" s="21" t="s">
        <v>71</v>
      </c>
      <c r="B45" s="21">
        <f>COUNTIFS(April[Patient Prescribed Antibiotic (Y/N/WW)], "Yes", April[Diagnostics Offered for Infectious Condition (Y/N)], "Yes")+COUNTIF(April[Diagnostics Offered for Infectious Condition (Y/N)2], "Yes")+COUNTIF(April[Diagnostics Offered for Infectious Condition (Y/N)3], "Yes")</f>
        <v>0</v>
      </c>
      <c r="C45" s="21">
        <f>COUNTIFS(April[Patient Prescribed Antibiotic (Y/N/WW)], "Yes",April[Diagnostic Performed for Infectious Condition (Y/N)], "Yes")+COUNTIF(April[Diagnostic Performed for Infectious Condition (Y/N)2], "Yes")+COUNTIF(April[Diagnostic Performed for Infectious Condition (Y/N)3], "Yes")</f>
        <v>0</v>
      </c>
    </row>
    <row r="46" spans="1:16">
      <c r="A46" s="21" t="s">
        <v>72</v>
      </c>
      <c r="B46" s="21">
        <f>COUNTIFS(May[Patient Prescribed Antibiotic (Y/N/WW)], "Yes", May[Diagnostics Offered for Infectious Condition (Y/N)], "Yes")+COUNTIF(May[Diagnostics Offered for Infectious Condition (Y/N)2], "Yes")+COUNTIF(May[Diagnostics Offered for Infectious Condition (Y/N)3], "Yes")</f>
        <v>0</v>
      </c>
      <c r="C46" s="21">
        <f>COUNTIFS(May[Patient Prescribed Antibiotic (Y/N/WW)], "Yes",May[Diagnostic Performed for Infectious Condition (Y/N)], "Yes")+COUNTIF(May[Diagnostic Performed for Infectious Condition (Y/N)2], "Yes")+COUNTIF(May[Diagnostic Performed for Infectious Condition (Y/N)3], "Yes")</f>
        <v>0</v>
      </c>
    </row>
    <row r="47" spans="1:16">
      <c r="A47" s="21" t="s">
        <v>73</v>
      </c>
      <c r="B47" s="21">
        <f>COUNTIFS(June[Patient Prescribed Antibiotic (Y/N/WW)], "Yes", June[Diagnostics Offered for Infectious Condition (Y/N)], "Yes")+COUNTIF(June[Diagnostics Offered for Infectious Condition (Y/N)2], "Yes")+COUNTIF(June[Diagnostics Offered for Infectious Condition (Y/N)3], "Yes")</f>
        <v>0</v>
      </c>
      <c r="C47" s="21">
        <f>COUNTIFS(June[Patient Prescribed Antibiotic (Y/N/WW)], "Yes",June[Diagnostic Performed for Infectious Condition (Y/N)], "Yes")+COUNTIF(June[Diagnostic Performed for Infectious Condition (Y/N)2], "Yes")+COUNTIF(June[Diagnostic Performed for Infectious Condition (Y/N)3], "Yes")</f>
        <v>0</v>
      </c>
    </row>
    <row r="48" spans="1:16">
      <c r="A48" s="21" t="s">
        <v>74</v>
      </c>
      <c r="B48" s="21">
        <f>COUNTIFS(July[Patient Prescribed Antibiotic (Y/N/WW)], "Yes", July[Diagnostics Offered for Infectious Condition (Y/N)], "Yes")+COUNTIF(July[Diagnostics Offered for Infectious Condition (Y/N)2], "Yes")+COUNTIF(July[Diagnostics Offered for Infectious Condition (Y/N)3], "Yes")</f>
        <v>0</v>
      </c>
      <c r="C48" s="21">
        <f>COUNTIFS(July[Patient Prescribed Antibiotic (Y/N/WW)], "Yes",July[Diagnostic Performed for Infectious Condition (Y/N)], "Yes")+COUNTIF(July[Diagnostic Performed for Infectious Condition (Y/N)2], "Yes")+COUNTIF(July[Diagnostic Performed for Infectious Condition (Y/N)3], "Yes")</f>
        <v>0</v>
      </c>
    </row>
    <row r="49" spans="1:28">
      <c r="A49" s="21" t="s">
        <v>75</v>
      </c>
      <c r="B49" s="21">
        <f>COUNTIFS(August[Patient Prescribed Antibiotic (Y/N/WW)], "Yes", August[Diagnostics Offered for Infectious Condition (Y/N)], "Yes")+COUNTIF(August[Diagnostics Offered for Infectious Condition (Y/N)2], "Yes")+COUNTIF(August[Diagnostics Offered for Infectious Condition (Y/N)3], "Yes")</f>
        <v>0</v>
      </c>
      <c r="C49" s="21">
        <f>COUNTIFS(August[Patient Prescribed Antibiotic (Y/N/WW)], "Yes",August[Diagnostic Performed for Infectious Condition (Y/N)], "Yes")+COUNTIF(August[Diagnostic Performed for Infectious Condition (Y/N)2], "Yes")+COUNTIF(August[Diagnostic Performed for Infectious Condition (Y/N)3], "Yes")</f>
        <v>0</v>
      </c>
    </row>
    <row r="50" spans="1:28">
      <c r="A50" s="21" t="s">
        <v>76</v>
      </c>
      <c r="B50" s="21">
        <f>COUNTIFS(September[Patient Prescribed Antibiotic (Y/N/WW)], "Yes", September[Diagnostics Offered for Infectious Condition (Y/N)], "Yes")+COUNTIF(September[Diagnostics Offered for Infectious Condition (Y/N)2], "Yes")+COUNTIF(September[Diagnostics Offered for Infectious Condition (Y/N)3], "Yes")</f>
        <v>0</v>
      </c>
      <c r="C50" s="21">
        <f>COUNTIFS(September[Patient Prescribed Antibiotic (Y/N/WW)], "Yes",September[Diagnostic Performed for Infectious Condition (Y/N)], "Yes")+COUNTIF(September[Diagnostic Performed for Infectious Condition (Y/N)2], "Yes")+COUNTIF(September[Diagnostic Performed for Infectious Condition (Y/N)3], "Yes")</f>
        <v>0</v>
      </c>
    </row>
    <row r="51" spans="1:28">
      <c r="A51" s="21" t="s">
        <v>77</v>
      </c>
      <c r="B51" s="21">
        <f>COUNTIFS(October[Patient Prescribed Antibiotic (Y/N/WW)], "Yes", October[Diagnostics Offered for Infectious Condition (Y/N)], "Yes")+COUNTIF(October[Diagnostics Offered for Infectious Condition (Y/N)2], "Yes")+COUNTIF(October[Diagnostics Offered for Infectious Condition (Y/N)3], "Yes")</f>
        <v>0</v>
      </c>
      <c r="C51" s="36">
        <f>COUNTIFS(October[Patient Prescribed Antibiotic (Y/N/WW)], "Yes",October[Diagnostic Performed for Infectious Condition (Y/N)], "Yes")+COUNTIF(October[Diagnostic Performed for Infectious Condition (Y/N)2], "Yes")+COUNTIF(October[Diagnostic Performed for Infectious Condition (Y/N)3], "Yes")</f>
        <v>0</v>
      </c>
    </row>
    <row r="52" spans="1:28">
      <c r="A52" s="21" t="s">
        <v>78</v>
      </c>
      <c r="B52" s="21">
        <f>COUNTIFS(November[Patient Prescribed Antibiotic (Y/N/WW)], "Yes", November[Diagnostics Offered for Infectious Condition (Y/N)], "Yes")+COUNTIF(November[Diagnostics Offered for Infectious Condition (Y/N)2], "Yes")+COUNTIF(November[Diagnostics Offered for Infectious Condition (Y/N)3], "Yes")</f>
        <v>0</v>
      </c>
      <c r="C52" s="21">
        <f>COUNTIFS(November[Patient Prescribed Antibiotic (Y/N/WW)], "Yes",November[Diagnostic Performed for Infectious Condition (Y/N)], "Yes")+COUNTIF(November[Diagnostic Performed for Infectious Condition (Y/N)2], "Yes")+COUNTIF(November[Diagnostic Performed for Infectious Condition (Y/N)3], "Yes")</f>
        <v>0</v>
      </c>
    </row>
    <row r="53" spans="1:28">
      <c r="A53" s="21" t="s">
        <v>79</v>
      </c>
      <c r="B53" s="21">
        <f>COUNTIFS(December[Patient Prescribed Antibiotic (Y/N/WW)], "Yes", December[Diagnostics Offered for Infectious Condition (Y/N)], "Yes")+COUNTIF(December[Diagnostics Offered for Infectious Condition (Y/N)2], "Yes")+COUNTIF(December[Diagnostics Offered for Infectious Condition (Y/N)3], "Yes")</f>
        <v>0</v>
      </c>
      <c r="C53" s="21">
        <f>COUNTIFS(December[Patient Prescribed Antibiotic (Y/N/WW)], "Yes",December[Diagnostic Performed for Infectious Condition (Y/N)], "Yes")+COUNTIF(December[Diagnostic Performed for Infectious Condition (Y/N)2], "Yes")+COUNTIF(December[Diagnostic Performed for Infectious Condition (Y/N)3], "Yes")</f>
        <v>0</v>
      </c>
    </row>
    <row r="54" spans="1:28">
      <c r="A54" s="21" t="s">
        <v>239</v>
      </c>
      <c r="B54" s="21">
        <f>SUM(B42:B53)</f>
        <v>0</v>
      </c>
      <c r="C54" s="21">
        <f>SUM(C42:C53)</f>
        <v>0</v>
      </c>
    </row>
    <row r="60" spans="1:28">
      <c r="A60" s="35" t="s">
        <v>296</v>
      </c>
    </row>
    <row r="61" spans="1:28">
      <c r="A61" s="21" t="s">
        <v>25</v>
      </c>
    </row>
    <row r="62" spans="1:28">
      <c r="A62" s="21" t="s">
        <v>26</v>
      </c>
    </row>
    <row r="63" spans="1:28">
      <c r="A63" s="21" t="s">
        <v>267</v>
      </c>
    </row>
    <row r="64" spans="1:28">
      <c r="A64" s="21" t="s">
        <v>27</v>
      </c>
      <c r="C64" s="35"/>
      <c r="G64" s="21" t="s">
        <v>52</v>
      </c>
      <c r="H64" s="21" t="s">
        <v>119</v>
      </c>
      <c r="I64" s="21" t="s">
        <v>284</v>
      </c>
      <c r="J64" s="21" t="s">
        <v>55</v>
      </c>
      <c r="K64" s="21" t="s">
        <v>57</v>
      </c>
      <c r="L64" s="21" t="s">
        <v>281</v>
      </c>
      <c r="M64" s="21" t="s">
        <v>60</v>
      </c>
      <c r="N64" s="21" t="s">
        <v>286</v>
      </c>
      <c r="O64" s="21" t="s">
        <v>58</v>
      </c>
      <c r="P64" s="21" t="s">
        <v>54</v>
      </c>
      <c r="Q64" s="21" t="s">
        <v>63</v>
      </c>
      <c r="R64" s="21" t="s">
        <v>62</v>
      </c>
      <c r="S64" s="21" t="s">
        <v>279</v>
      </c>
      <c r="T64" s="21" t="s">
        <v>265</v>
      </c>
      <c r="U64" s="21" t="s">
        <v>290</v>
      </c>
      <c r="V64" s="21" t="s">
        <v>53</v>
      </c>
      <c r="W64" s="21" t="s">
        <v>56</v>
      </c>
      <c r="X64" s="21" t="s">
        <v>59</v>
      </c>
      <c r="Y64" s="21" t="s">
        <v>125</v>
      </c>
      <c r="Z64" s="21" t="s">
        <v>48</v>
      </c>
      <c r="AA64" s="21" t="s">
        <v>140</v>
      </c>
      <c r="AB64" s="21" t="s">
        <v>61</v>
      </c>
    </row>
    <row r="65" spans="1:29">
      <c r="A65" s="21" t="s">
        <v>266</v>
      </c>
      <c r="F65" s="21" t="s">
        <v>68</v>
      </c>
      <c r="G65" s="21">
        <f>COUNTIF(January!1:1048576, "Aminoglycosides")</f>
        <v>0</v>
      </c>
      <c r="H65" s="21">
        <f>COUNTIF(January!1:1048576, "B-lactam/B-lactamase inhibitor combination")</f>
        <v>0</v>
      </c>
      <c r="I65" s="21">
        <f>COUNTIF(January!1:1048576, "Carbapenems")</f>
        <v>0</v>
      </c>
      <c r="J65" s="21">
        <f>COUNTIF(January!1:1048576, "Cephalosporins")</f>
        <v>0</v>
      </c>
      <c r="K65" s="21">
        <f>COUNTIF(January!1:1048576, "Fluoroquinolones")</f>
        <v>0</v>
      </c>
      <c r="L65" s="21">
        <f>COUNTIF(January!1:1048576, "Fosfomycins")</f>
        <v>0</v>
      </c>
      <c r="M65" s="21">
        <f>COUNTIF(January!1:1048576, "Glycopeptides")</f>
        <v>0</v>
      </c>
      <c r="N65" s="21">
        <f>COUNTIF(January!1:1048576, "Glycylcyclines")</f>
        <v>0</v>
      </c>
      <c r="O65" s="21">
        <f>COUNTIF(January!1:1048576, "Lincosamides")</f>
        <v>0</v>
      </c>
      <c r="P65" s="21">
        <f>COUNTIF(January!1:1048576, "Macrolides")</f>
        <v>0</v>
      </c>
      <c r="Q65" s="21">
        <f>COUNTIF(January!1:1048576, "Nitrofurans")</f>
        <v>0</v>
      </c>
      <c r="R65" s="21">
        <f>COUNTIF(January!1:1048576, "Nitroimidazoles")</f>
        <v>0</v>
      </c>
      <c r="S65" s="21">
        <f>COUNTIF(January!1:1048576, "Ophthalmic")</f>
        <v>0</v>
      </c>
      <c r="T65" s="21">
        <f>COUNTIF(January!1:1048576, "Otic")</f>
        <v>0</v>
      </c>
      <c r="U65" s="21">
        <f>COUNTIF(January!1:1048576, "Oxazolidinones")</f>
        <v>0</v>
      </c>
      <c r="V65" s="21">
        <f>COUNTIF(January!1:1048576, "Penicillins")</f>
        <v>0</v>
      </c>
      <c r="W65" s="21">
        <f>COUNTIF(January!1:1048576, "Phenicols")</f>
        <v>0</v>
      </c>
      <c r="X65" s="21">
        <f>COUNTIF(January!1:1048576, "Polymyxins")</f>
        <v>0</v>
      </c>
      <c r="Y65" s="21">
        <f>COUNTIF(January!1:1048576, "Polypeptides")</f>
        <v>0</v>
      </c>
      <c r="Z65" s="21">
        <f>COUNTIF(January!1:1048576, "Rifampin")</f>
        <v>0</v>
      </c>
      <c r="AA65" s="21">
        <f>COUNTIF(January!1:1048576, "Sulfonamides")</f>
        <v>0</v>
      </c>
      <c r="AB65" s="21">
        <f>COUNTIF(January!1:1048576, "Tetracyclines")</f>
        <v>0</v>
      </c>
    </row>
    <row r="66" spans="1:29">
      <c r="A66" s="21" t="s">
        <v>28</v>
      </c>
      <c r="F66" s="21" t="s">
        <v>69</v>
      </c>
      <c r="G66" s="21">
        <f>COUNTIF(February!1:1048576, "Aminoglycosides")</f>
        <v>0</v>
      </c>
      <c r="H66" s="21">
        <f>COUNTIF(February!1:1048576, "B-lactam/B-lactamase inhibitor combination")</f>
        <v>0</v>
      </c>
      <c r="I66" s="21">
        <f>COUNTIF(February!1:1048576, "Carbapenems")</f>
        <v>0</v>
      </c>
      <c r="J66" s="21">
        <f>COUNTIF(February!1:1048576, "Cephalosporins")</f>
        <v>0</v>
      </c>
      <c r="K66" s="21">
        <f>COUNTIF(February!1:1048576, "Fluoroquinolones")</f>
        <v>0</v>
      </c>
      <c r="L66" s="21">
        <f>COUNTIF(February!1:1048576, "Fosfomycins")</f>
        <v>0</v>
      </c>
      <c r="M66" s="21">
        <f>COUNTIF(February!1:1048576, "Glycopeptides")</f>
        <v>0</v>
      </c>
      <c r="N66" s="21">
        <f>COUNTIF(February!1:1048576, "Glycylcyclines")</f>
        <v>0</v>
      </c>
      <c r="O66" s="21">
        <f>COUNTIF(February!1:1048576, "Lincosamides")</f>
        <v>0</v>
      </c>
      <c r="P66" s="21">
        <f>COUNTIF(February!1:1048576, "Macrolides")</f>
        <v>0</v>
      </c>
      <c r="Q66" s="21">
        <f>COUNTIF(February!1:1048576, "Nitrofurans")</f>
        <v>0</v>
      </c>
      <c r="R66" s="21">
        <f>COUNTIF(February!1:1048576, "Nitroimidazoles")</f>
        <v>0</v>
      </c>
      <c r="S66" s="21">
        <f>COUNTIF(February!1:1048576, "Ophthalmic")</f>
        <v>0</v>
      </c>
      <c r="T66" s="21">
        <f>COUNTIF(February!1:1048576, "Otic")</f>
        <v>0</v>
      </c>
      <c r="U66" s="21">
        <f>COUNTIF(February!1:1048576, "Oxazolidinones")</f>
        <v>0</v>
      </c>
      <c r="V66" s="21">
        <f>COUNTIF(February!1:1048576, "Penicillins")</f>
        <v>0</v>
      </c>
      <c r="W66" s="21">
        <f>COUNTIF(February!1:1048576, "Phenicols")</f>
        <v>0</v>
      </c>
      <c r="X66" s="21">
        <f>COUNTIF(February!1:1048576, "Polymyxins")</f>
        <v>0</v>
      </c>
      <c r="Y66" s="21">
        <f>COUNTIF(February!1:1048576, "Polypeptides")</f>
        <v>0</v>
      </c>
      <c r="Z66" s="21">
        <f>COUNTIF(February!1:1048576, "Rifampin")</f>
        <v>0</v>
      </c>
      <c r="AA66" s="21">
        <f>COUNTIF(February!1:1048576, "Sulfonamides")</f>
        <v>0</v>
      </c>
      <c r="AB66" s="21">
        <f>COUNTIF(February!1:1048576, "Tetracyclines")</f>
        <v>0</v>
      </c>
    </row>
    <row r="67" spans="1:29">
      <c r="A67" s="21" t="s">
        <v>124</v>
      </c>
      <c r="F67" s="21" t="s">
        <v>70</v>
      </c>
      <c r="G67" s="21">
        <f>COUNTIF(March!1:1048576, "Aminoglycosides")</f>
        <v>0</v>
      </c>
      <c r="H67" s="21">
        <f>COUNTIF(March!1:1048576, "B-lactam/B-lactamase inhibitor combination")</f>
        <v>0</v>
      </c>
      <c r="I67" s="21">
        <f>COUNTIF(March!1:1048576, "Carbapenems")</f>
        <v>0</v>
      </c>
      <c r="J67" s="21">
        <f>COUNTIF(March!1:1048576, "Cephalosporins")</f>
        <v>0</v>
      </c>
      <c r="K67" s="21">
        <f>COUNTIF(March!1:1048576, "Fluoroquinolones")</f>
        <v>0</v>
      </c>
      <c r="L67" s="21">
        <f>COUNTIF(March!1:1048576, "Fosfomycins")</f>
        <v>0</v>
      </c>
      <c r="M67" s="21">
        <f>COUNTIF(March!1:1048576, "Glycopeptides")</f>
        <v>0</v>
      </c>
      <c r="N67" s="21">
        <f>COUNTIF(March!1:1048576, "Glycylcyclines")</f>
        <v>0</v>
      </c>
      <c r="O67" s="21">
        <f>COUNTIF(March!1:1048576, "Lincosamides")</f>
        <v>0</v>
      </c>
      <c r="P67" s="21">
        <f>COUNTIF(March!1:1048576, "Macrolides")</f>
        <v>0</v>
      </c>
      <c r="Q67" s="21">
        <f>COUNTIF(March!1:1048576, "Nitrofurans")</f>
        <v>0</v>
      </c>
      <c r="R67" s="21">
        <f>COUNTIF(March!1:1048576, "Nitroimidazoles")</f>
        <v>0</v>
      </c>
      <c r="S67" s="21">
        <f>COUNTIF(March!1:1048576, "Ophthalmic")</f>
        <v>0</v>
      </c>
      <c r="T67" s="21">
        <f>COUNTIF(March!1:1048576, "Otic")</f>
        <v>0</v>
      </c>
      <c r="U67" s="21">
        <f>COUNTIF(March!1:1048576, "Oxazolidinones")</f>
        <v>0</v>
      </c>
      <c r="V67" s="21">
        <f>COUNTIF(March!1:1048576, "Penicillins")</f>
        <v>0</v>
      </c>
      <c r="W67" s="21">
        <f>COUNTIF(March!1:1048576, "Phenicols")</f>
        <v>0</v>
      </c>
      <c r="X67" s="21">
        <f>COUNTIF(March!1:1048576, "Polymyxins")</f>
        <v>0</v>
      </c>
      <c r="Y67" s="21">
        <f>COUNTIF(March!1:1048576, "Polypeptides")</f>
        <v>0</v>
      </c>
      <c r="Z67" s="21">
        <f>COUNTIF(March!1:1048576, "Rifampin")</f>
        <v>0</v>
      </c>
      <c r="AA67" s="21">
        <f>COUNTIF(March!1:1048576, "Sulfonamides")</f>
        <v>0</v>
      </c>
      <c r="AB67" s="21">
        <f>COUNTIF(March!1:1048576, "Tetracyclines")</f>
        <v>0</v>
      </c>
    </row>
    <row r="68" spans="1:29">
      <c r="A68" s="21" t="s">
        <v>29</v>
      </c>
      <c r="F68" s="21" t="s">
        <v>71</v>
      </c>
      <c r="G68" s="21">
        <f>COUNTIF(April!1:1048576, "Aminoglycosides")</f>
        <v>0</v>
      </c>
      <c r="H68" s="21">
        <f>COUNTIF(April!1:1048576, "B-lactam/B-lactamase inhibitor combination")</f>
        <v>0</v>
      </c>
      <c r="I68" s="21">
        <f>COUNTIF(April!1:1048576, "Carbapenems")</f>
        <v>0</v>
      </c>
      <c r="J68" s="21">
        <f>COUNTIF(April!1:1048576, "Cephalosporins")</f>
        <v>0</v>
      </c>
      <c r="K68" s="21">
        <f>COUNTIF(April!1:1048576, "Fluoroquinolones")</f>
        <v>0</v>
      </c>
      <c r="L68" s="21">
        <f>COUNTIF(April!1:1048576, "Fosfomycins")</f>
        <v>0</v>
      </c>
      <c r="M68" s="21">
        <f>COUNTIF(April!1:1048576, "Glycopeptides")</f>
        <v>0</v>
      </c>
      <c r="N68" s="21">
        <f>COUNTIF(April!1:1048576, "Glycylcyclines")</f>
        <v>0</v>
      </c>
      <c r="O68" s="21">
        <f>COUNTIF(April!1:1048576, "Lincosamides")</f>
        <v>0</v>
      </c>
      <c r="P68" s="21">
        <f>COUNTIF(April!1:1048576, "Macrolides")</f>
        <v>0</v>
      </c>
      <c r="Q68" s="21">
        <f>COUNTIF(April!1:1048576, "Nitrofurans")</f>
        <v>0</v>
      </c>
      <c r="R68" s="21">
        <f>COUNTIF(April!1:1048576, "Nitroimidazoles")</f>
        <v>0</v>
      </c>
      <c r="S68" s="21">
        <f>COUNTIF(April!1:1048576, "Ophthalmic")</f>
        <v>0</v>
      </c>
      <c r="T68" s="21">
        <f>COUNTIF(April!1:1048576, "Otic")</f>
        <v>0</v>
      </c>
      <c r="U68" s="21">
        <f>COUNTIF(April!1:1048576, "Oxazolidinones")</f>
        <v>0</v>
      </c>
      <c r="V68" s="21">
        <f>COUNTIF(April!1:1048576, "Penicillins")</f>
        <v>0</v>
      </c>
      <c r="W68" s="21">
        <f>COUNTIF(April!1:1048576, "Phenicols")</f>
        <v>0</v>
      </c>
      <c r="X68" s="21">
        <f>COUNTIF(April!1:1048576, "Polymyxins")</f>
        <v>0</v>
      </c>
      <c r="Y68" s="21">
        <f>COUNTIF(April!1:1048576, "Polypeptides")</f>
        <v>0</v>
      </c>
      <c r="Z68" s="21">
        <f>COUNTIF(April!1:1048576, "Rifampin")</f>
        <v>0</v>
      </c>
      <c r="AA68" s="21">
        <f>COUNTIF(April!1:1048576, "Sulfonamides")</f>
        <v>0</v>
      </c>
      <c r="AB68" s="21">
        <f>COUNTIF(April!1:1048576, "Tetracyclines")</f>
        <v>0</v>
      </c>
    </row>
    <row r="69" spans="1:29">
      <c r="A69" s="21" t="s">
        <v>30</v>
      </c>
      <c r="F69" s="21" t="s">
        <v>72</v>
      </c>
      <c r="G69" s="21">
        <f>COUNTIF(May!1:1048576, "Aminoglycosides")</f>
        <v>0</v>
      </c>
      <c r="H69" s="21">
        <f>COUNTIF(May!1:1048576, "B-lactam/B-lactamase inhibitor combination")</f>
        <v>0</v>
      </c>
      <c r="I69" s="21">
        <f>COUNTIF(May!1:1048576, "Carbapenems")</f>
        <v>0</v>
      </c>
      <c r="J69" s="21">
        <f>COUNTIF(May!1:1048576, "Cephalosporins")</f>
        <v>0</v>
      </c>
      <c r="K69" s="21">
        <f>COUNTIF(May!1:1048576, "Fluoroquinolones")</f>
        <v>0</v>
      </c>
      <c r="L69" s="21">
        <f>COUNTIF(May!1:1048576, "Fosfomycins")</f>
        <v>0</v>
      </c>
      <c r="M69" s="21">
        <f>COUNTIF(May!1:1048576, "Glycopeptides")</f>
        <v>0</v>
      </c>
      <c r="N69" s="21">
        <f>COUNTIF(May!1:1048576, "Glycylcyclines")</f>
        <v>0</v>
      </c>
      <c r="O69" s="21">
        <f>COUNTIF(May!1:1048576, "Lincosamides")</f>
        <v>0</v>
      </c>
      <c r="P69" s="21">
        <f>COUNTIF(May!1:1048576, "Macrolides")</f>
        <v>0</v>
      </c>
      <c r="Q69" s="21">
        <f>COUNTIF(May!1:1048576, "Nitrofurans")</f>
        <v>0</v>
      </c>
      <c r="R69" s="21">
        <f>COUNTIF(May!1:1048576, "Nitroimidazoles")</f>
        <v>0</v>
      </c>
      <c r="S69" s="21">
        <f>COUNTIF(May!1:1048576, "Ophthalmic")</f>
        <v>0</v>
      </c>
      <c r="T69" s="21">
        <f>COUNTIF(May!1:1048576, "Otic")</f>
        <v>0</v>
      </c>
      <c r="U69" s="21">
        <f>COUNTIF(May!1:1048576, "Oxazolidinones")</f>
        <v>0</v>
      </c>
      <c r="V69" s="21">
        <f>COUNTIF(May!1:1048576, "Penicillins")</f>
        <v>0</v>
      </c>
      <c r="W69" s="21">
        <f>COUNTIF(May!1:1048576, "Phenicols")</f>
        <v>0</v>
      </c>
      <c r="X69" s="21">
        <f>COUNTIF(May!1:1048576, "Polymyxins")</f>
        <v>0</v>
      </c>
      <c r="Y69" s="21">
        <f>COUNTIF(May!1:1048576, "Polypeptides")</f>
        <v>0</v>
      </c>
      <c r="Z69" s="21">
        <f>COUNTIF(May!1:1048576, "Rifampin")</f>
        <v>0</v>
      </c>
      <c r="AA69" s="21">
        <f>COUNTIF(May!1:1048576, "Sulfonamides")</f>
        <v>0</v>
      </c>
      <c r="AB69" s="21">
        <f>COUNTIF(May!1:1048576, "Tetracyclines")</f>
        <v>0</v>
      </c>
    </row>
    <row r="70" spans="1:29">
      <c r="A70" s="21" t="s">
        <v>31</v>
      </c>
      <c r="F70" s="21" t="s">
        <v>73</v>
      </c>
      <c r="G70" s="21">
        <f>COUNTIF(June!1:1048576, "Aminoglycosides")</f>
        <v>0</v>
      </c>
      <c r="H70" s="21">
        <f>COUNTIF(June!1:1048576, "B-lactam/B-lactamase inhibitor combination")</f>
        <v>0</v>
      </c>
      <c r="I70" s="21">
        <f>COUNTIF(June!1:1048576, "Carbapenems")</f>
        <v>0</v>
      </c>
      <c r="J70" s="21">
        <f>COUNTIF(June!1:1048576, "Cephalosporins")</f>
        <v>0</v>
      </c>
      <c r="K70" s="21">
        <f>COUNTIF(June!1:1048576, "Fluoroquinolones")</f>
        <v>0</v>
      </c>
      <c r="L70" s="21">
        <f>COUNTIF(June!1:1048576, "Fosfomycins")</f>
        <v>0</v>
      </c>
      <c r="M70" s="21">
        <f>COUNTIF(June!1:1048576, "Glycopeptides")</f>
        <v>0</v>
      </c>
      <c r="N70" s="21">
        <f>COUNTIF(June!1:1048576, "Glycylcyclines")</f>
        <v>0</v>
      </c>
      <c r="O70" s="21">
        <f>COUNTIF(June!1:1048576, "Lincosamides")</f>
        <v>0</v>
      </c>
      <c r="P70" s="21">
        <f>COUNTIF(June!1:1048576, "Macrolides")</f>
        <v>0</v>
      </c>
      <c r="Q70" s="21">
        <f>COUNTIF(June!1:1048576, "Nitrofurans")</f>
        <v>0</v>
      </c>
      <c r="R70" s="21">
        <f>COUNTIF(June!1:1048576, "Nitroimidazoles")</f>
        <v>0</v>
      </c>
      <c r="S70" s="21">
        <f>COUNTIF(June!1:1048576, "Ophthalmic")</f>
        <v>0</v>
      </c>
      <c r="T70" s="21">
        <f>COUNTIF(June!1:1048576, "Otic")</f>
        <v>0</v>
      </c>
      <c r="U70" s="21">
        <f>COUNTIF(June!1:1048576, "Oxazolidinones")</f>
        <v>0</v>
      </c>
      <c r="V70" s="21">
        <f>COUNTIF(June!1:1048576, "Penicillins")</f>
        <v>0</v>
      </c>
      <c r="W70" s="21">
        <f>COUNTIF(June!1:1048576, "Phenicols")</f>
        <v>0</v>
      </c>
      <c r="X70" s="21">
        <f>COUNTIF(June!1:1048576, "Polymyxins")</f>
        <v>0</v>
      </c>
      <c r="Y70" s="21">
        <f>COUNTIF(June!1:1048576, "Polypeptides")</f>
        <v>0</v>
      </c>
      <c r="Z70" s="21">
        <f>COUNTIF(June!1:1048576, "Rifampin")</f>
        <v>0</v>
      </c>
      <c r="AA70" s="21">
        <f>COUNTIF(June!1:1048576, "Sulfonamides")</f>
        <v>0</v>
      </c>
      <c r="AB70" s="21">
        <f>COUNTIF(June!1:1048576, "Tetracyclines")</f>
        <v>0</v>
      </c>
    </row>
    <row r="71" spans="1:29">
      <c r="A71" s="21" t="s">
        <v>32</v>
      </c>
      <c r="F71" s="21" t="s">
        <v>74</v>
      </c>
      <c r="G71" s="21">
        <f>COUNTIF(July!1:1048576, "Aminoglycosides")</f>
        <v>0</v>
      </c>
      <c r="H71" s="21">
        <f>COUNTIF(July!1:1048576, "B-lactam/B-lactamase inhibitor combination")</f>
        <v>0</v>
      </c>
      <c r="I71" s="21">
        <f>COUNTIF(July!1:1048576, "Carbapenems")</f>
        <v>0</v>
      </c>
      <c r="J71" s="21">
        <f>COUNTIF(July!1:1048576, "Cephalosporins")</f>
        <v>0</v>
      </c>
      <c r="K71" s="21">
        <f>COUNTIF(July!1:1048576, "Fluoroquinolones")</f>
        <v>0</v>
      </c>
      <c r="L71" s="21">
        <f>COUNTIF(July!1:1048576, "Fosfomycins")</f>
        <v>0</v>
      </c>
      <c r="M71" s="21">
        <f>COUNTIF(July!1:1048576, "Glycopeptides")</f>
        <v>0</v>
      </c>
      <c r="N71" s="21">
        <f>COUNTIF(July!1:1048576, "Glycylcyclines")</f>
        <v>0</v>
      </c>
      <c r="O71" s="21">
        <f>COUNTIF(July!1:1048576, "Lincosamides")</f>
        <v>0</v>
      </c>
      <c r="P71" s="21">
        <f>COUNTIF(July!1:1048576, "Macrolides")</f>
        <v>0</v>
      </c>
      <c r="Q71" s="21">
        <f>COUNTIF(July!1:1048576, "Nitrofurans")</f>
        <v>0</v>
      </c>
      <c r="R71" s="21">
        <f>COUNTIF(July!1:1048576, "Nitroimidazoles")</f>
        <v>0</v>
      </c>
      <c r="S71" s="21">
        <f>COUNTIF(July!1:1048576, "Ophthalmic")</f>
        <v>0</v>
      </c>
      <c r="T71" s="21">
        <f>COUNTIF(July!1:1048576, "Otic")</f>
        <v>0</v>
      </c>
      <c r="U71" s="21">
        <f>COUNTIF(July!1:1048576, "Oxazolidinones")</f>
        <v>0</v>
      </c>
      <c r="V71" s="21">
        <f>COUNTIF(July!1:1048576, "Penicillins")</f>
        <v>0</v>
      </c>
      <c r="W71" s="21">
        <f>COUNTIF(July!1:1048576, "Phenicols")</f>
        <v>0</v>
      </c>
      <c r="X71" s="21">
        <f>COUNTIF(July!1:1048576, "Polymyxins")</f>
        <v>0</v>
      </c>
      <c r="Y71" s="21">
        <f>COUNTIF(July!1:1048576, "Polypeptides")</f>
        <v>0</v>
      </c>
      <c r="Z71" s="21">
        <f>COUNTIF(July!1:1048576, "Rifampin")</f>
        <v>0</v>
      </c>
      <c r="AA71" s="21">
        <f>COUNTIF(July!1:1048576, "Sulfonamides")</f>
        <v>0</v>
      </c>
      <c r="AB71" s="21">
        <f>COUNTIF(July!1:1048576, "Tetracyclines")</f>
        <v>0</v>
      </c>
    </row>
    <row r="72" spans="1:29">
      <c r="A72" s="21" t="s">
        <v>268</v>
      </c>
      <c r="F72" s="21" t="s">
        <v>75</v>
      </c>
      <c r="G72" s="21">
        <f>COUNTIF(August!1:1048576, "Aminoglycosides")</f>
        <v>0</v>
      </c>
      <c r="H72" s="21">
        <f>COUNTIF(August!1:1048576, "B-lactam/B-lactamase inhibitor combination")</f>
        <v>0</v>
      </c>
      <c r="I72" s="21">
        <f>COUNTIF(August!1:1048576, "Carbapenems")</f>
        <v>0</v>
      </c>
      <c r="J72" s="21">
        <f>COUNTIF(August!1:1048576, "Cephalosporins")</f>
        <v>0</v>
      </c>
      <c r="K72" s="21">
        <f>COUNTIF(August!1:1048576, "Fluoroquinolones")</f>
        <v>0</v>
      </c>
      <c r="L72" s="21">
        <f>COUNTIF(August!1:1048576, "Fosfomycins")</f>
        <v>0</v>
      </c>
      <c r="M72" s="21">
        <f>COUNTIF(August!1:1048576, "Glycopeptides")</f>
        <v>0</v>
      </c>
      <c r="N72" s="21">
        <f>COUNTIF(August!1:1048576, "Glycylcyclines")</f>
        <v>0</v>
      </c>
      <c r="O72" s="21">
        <f>COUNTIF(August!1:1048576, "Lincosamides")</f>
        <v>0</v>
      </c>
      <c r="P72" s="21">
        <f>COUNTIF(August!1:1048576, "Macrolides")</f>
        <v>0</v>
      </c>
      <c r="Q72" s="21">
        <f>COUNTIF(August!1:1048576, "Nitrofurans")</f>
        <v>0</v>
      </c>
      <c r="R72" s="21">
        <f>COUNTIF(August!1:1048576, "Nitroimidazoles")</f>
        <v>0</v>
      </c>
      <c r="S72" s="21">
        <f>COUNTIF(August!1:1048576, "Ophthalmic")</f>
        <v>0</v>
      </c>
      <c r="T72" s="21">
        <f>COUNTIF(August!1:1048576, "Otic")</f>
        <v>0</v>
      </c>
      <c r="U72" s="21">
        <f>COUNTIF(August!1:1048576, "Oxazolidinones")</f>
        <v>0</v>
      </c>
      <c r="V72" s="21">
        <f>COUNTIF(August!1:1048576, "Penicillins")</f>
        <v>0</v>
      </c>
      <c r="W72" s="21">
        <f>COUNTIF(August!1:1048576, "Phenicols")</f>
        <v>0</v>
      </c>
      <c r="X72" s="21">
        <f>COUNTIF(August!1:1048576, "Polymyxins")</f>
        <v>0</v>
      </c>
      <c r="Y72" s="21">
        <f>COUNTIF(August!1:1048576, "Polypeptides")</f>
        <v>0</v>
      </c>
      <c r="Z72" s="21">
        <f>COUNTIF(August!1:1048576, "Rifampin")</f>
        <v>0</v>
      </c>
      <c r="AA72" s="21">
        <f>COUNTIF(August!1:1048576, "Sulfonamides")</f>
        <v>0</v>
      </c>
      <c r="AB72" s="21">
        <f>COUNTIF(August!1:1048576, "Tetracyclines")</f>
        <v>0</v>
      </c>
    </row>
    <row r="73" spans="1:29">
      <c r="A73" s="21" t="s">
        <v>269</v>
      </c>
      <c r="F73" s="21" t="s">
        <v>76</v>
      </c>
      <c r="G73" s="21">
        <f>COUNTIF(September!1:1048576, "Aminoglycosides")</f>
        <v>0</v>
      </c>
      <c r="H73" s="21">
        <f>COUNTIF(September!1:1048576, "B-lactam/B-lactamase inhibitor combination")</f>
        <v>0</v>
      </c>
      <c r="I73" s="21">
        <f>COUNTIF(September!1:1048576, "Carbapenems")</f>
        <v>0</v>
      </c>
      <c r="J73" s="21">
        <f>COUNTIF(September!1:1048576, "Cephalosporins")</f>
        <v>0</v>
      </c>
      <c r="K73" s="21">
        <f>COUNTIF(September!1:1048576, "Fluoroquinolones")</f>
        <v>0</v>
      </c>
      <c r="L73" s="21">
        <f>COUNTIF(September!1:1048576, "Fosfomycins")</f>
        <v>0</v>
      </c>
      <c r="M73" s="21">
        <f>COUNTIF(September!1:1048576, "Glycopeptides")</f>
        <v>0</v>
      </c>
      <c r="N73" s="21">
        <f>COUNTIF(September!1:1048576, "Glycylcyclines")</f>
        <v>0</v>
      </c>
      <c r="O73" s="21">
        <f>COUNTIF(September!1:1048576, "Lincosamides")</f>
        <v>0</v>
      </c>
      <c r="P73" s="21">
        <f>COUNTIF(September!1:1048576, "Macrolides")</f>
        <v>0</v>
      </c>
      <c r="Q73" s="21">
        <f>COUNTIF(September!1:1048576, "Nitrofurans")</f>
        <v>0</v>
      </c>
      <c r="R73" s="21">
        <f>COUNTIF(September!1:1048576, "Nitroimidazoles")</f>
        <v>0</v>
      </c>
      <c r="S73" s="21">
        <f>COUNTIF(September!1:1048576, "Ophthalmic")</f>
        <v>0</v>
      </c>
      <c r="T73" s="21">
        <f>COUNTIF(September!1:1048576, "Otic")</f>
        <v>0</v>
      </c>
      <c r="U73" s="21">
        <f>COUNTIF(September!1:1048576, "Oxazolidinones")</f>
        <v>0</v>
      </c>
      <c r="V73" s="21">
        <f>COUNTIF(September!1:1048576, "Penicillins")</f>
        <v>0</v>
      </c>
      <c r="W73" s="21">
        <f>COUNTIF(September!1:1048576, "Phenicols")</f>
        <v>0</v>
      </c>
      <c r="X73" s="21">
        <f>COUNTIF(September!1:1048576, "Polymyxins")</f>
        <v>0</v>
      </c>
      <c r="Y73" s="21">
        <f>COUNTIF(September!1:1048576, "Polypeptides")</f>
        <v>0</v>
      </c>
      <c r="Z73" s="21">
        <f>COUNTIF(September!1:1048576, "Rifampin")</f>
        <v>0</v>
      </c>
      <c r="AA73" s="21">
        <f>COUNTIF(September!1:1048576, "Sulfonamides")</f>
        <v>0</v>
      </c>
      <c r="AB73" s="21">
        <f>COUNTIF(September!1:1048576, "Tetracyclines")</f>
        <v>0</v>
      </c>
    </row>
    <row r="74" spans="1:29">
      <c r="A74" s="21" t="s">
        <v>33</v>
      </c>
      <c r="F74" s="21" t="s">
        <v>77</v>
      </c>
      <c r="G74" s="21">
        <f>COUNTIF(October!1:1048576, "Aminoglycosides")</f>
        <v>0</v>
      </c>
      <c r="H74" s="21">
        <f>COUNTIF(October!1:1048576, "B-lactam/B-lactamase inhibitor combination")</f>
        <v>0</v>
      </c>
      <c r="I74" s="21">
        <f>COUNTIF(October!1:1048576, "Carbapenems")</f>
        <v>0</v>
      </c>
      <c r="J74" s="21">
        <f>COUNTIF(October!1:1048576, "Cephalosporins")</f>
        <v>0</v>
      </c>
      <c r="K74" s="21">
        <f>COUNTIF(October!1:1048576, "Fluoroquinolones")</f>
        <v>0</v>
      </c>
      <c r="L74" s="21">
        <f>COUNTIF(October!1:1048576, "Fosfomycins")</f>
        <v>0</v>
      </c>
      <c r="M74" s="21">
        <f>COUNTIF(October!1:1048576, "Glycopeptides")</f>
        <v>0</v>
      </c>
      <c r="N74" s="21">
        <f>COUNTIF(October!1:1048576, "Glycylcyclines")</f>
        <v>0</v>
      </c>
      <c r="O74" s="21">
        <f>COUNTIF(October!1:1048576, "Lincosamides")</f>
        <v>0</v>
      </c>
      <c r="P74" s="21">
        <f>COUNTIF(October!1:1048576, "Macrolides")</f>
        <v>0</v>
      </c>
      <c r="Q74" s="21">
        <f>COUNTIF(October!1:1048576, "Nitrofurans")</f>
        <v>0</v>
      </c>
      <c r="R74" s="21">
        <f>COUNTIF(October!1:1048576, "Nitroimidazoles")</f>
        <v>0</v>
      </c>
      <c r="S74" s="21">
        <f>COUNTIF(October!1:1048576, "Ophthalmic")</f>
        <v>0</v>
      </c>
      <c r="T74" s="21">
        <f>COUNTIF(October!1:1048576, "Otic")</f>
        <v>0</v>
      </c>
      <c r="U74" s="21">
        <f>COUNTIF(October!1:1048576, "Oxazolidinones")</f>
        <v>0</v>
      </c>
      <c r="V74" s="21">
        <f>COUNTIF(October!1:1048576, "Penicillins")</f>
        <v>0</v>
      </c>
      <c r="W74" s="21">
        <f>COUNTIF(October!1:1048576, "Phenicols")</f>
        <v>0</v>
      </c>
      <c r="X74" s="21">
        <f>COUNTIF(October!1:1048576, "Polymyxins")</f>
        <v>0</v>
      </c>
      <c r="Y74" s="21">
        <f>COUNTIF(October!1:1048576, "Polypeptides")</f>
        <v>0</v>
      </c>
      <c r="Z74" s="21">
        <f>COUNTIF(October!1:1048576, "Rifampin")</f>
        <v>0</v>
      </c>
      <c r="AA74" s="21">
        <f>COUNTIF(October!1:1048576, "Sulfonamides")</f>
        <v>0</v>
      </c>
      <c r="AB74" s="21">
        <f>COUNTIF(October!1:1048576, "Tetracyclines")</f>
        <v>0</v>
      </c>
    </row>
    <row r="75" spans="1:29">
      <c r="A75" s="21" t="s">
        <v>127</v>
      </c>
      <c r="F75" s="21" t="s">
        <v>78</v>
      </c>
      <c r="G75" s="21">
        <f>COUNTIF(November!1:1048576, "Aminoglycosides")</f>
        <v>0</v>
      </c>
      <c r="H75" s="21">
        <f>COUNTIF(November!1:1048576, "B-lactam/B-lactamase inhibitor combination")</f>
        <v>0</v>
      </c>
      <c r="I75" s="21">
        <f>COUNTIF(November!1:1048576, "Carbapenems")</f>
        <v>0</v>
      </c>
      <c r="J75" s="21">
        <f>COUNTIF(November!1:1048576, "Cephalosporins")</f>
        <v>0</v>
      </c>
      <c r="K75" s="21">
        <f>COUNTIF(November!1:1048576, "Fluoroquinolones")</f>
        <v>0</v>
      </c>
      <c r="L75" s="21">
        <f>COUNTIF(November!1:1048576, "Fosfomycins")</f>
        <v>0</v>
      </c>
      <c r="M75" s="21">
        <f>COUNTIF(November!1:1048576, "Glycopeptides")</f>
        <v>0</v>
      </c>
      <c r="N75" s="21">
        <f>COUNTIF(November!1:1048576, "Glycylcyclines")</f>
        <v>0</v>
      </c>
      <c r="O75" s="37">
        <f>COUNTIF(November!1:1048576, "Lincosamides")</f>
        <v>0</v>
      </c>
      <c r="P75" s="21">
        <f>COUNTIF(November!1:1048576, "Macrolides")</f>
        <v>0</v>
      </c>
      <c r="Q75" s="21">
        <f>COUNTIF(November!1:1048576, "Nitrofurans")</f>
        <v>0</v>
      </c>
      <c r="R75" s="21">
        <f>COUNTIF(November!1:1048576, "Nitroimidazoles")</f>
        <v>0</v>
      </c>
      <c r="S75" s="21">
        <f>COUNTIF(November!1:1048576, "Ophthalmic")</f>
        <v>0</v>
      </c>
      <c r="T75" s="21">
        <f>COUNTIF(November!1:1048576, "Otic")</f>
        <v>0</v>
      </c>
      <c r="U75" s="21">
        <f>COUNTIF(November!1:1048576, "Oxazolidinones")</f>
        <v>0</v>
      </c>
      <c r="V75" s="21">
        <f>COUNTIF(November!1:1048576, "Penicillins")</f>
        <v>0</v>
      </c>
      <c r="W75" s="21">
        <f>COUNTIF(November!1:1048576, "Phenicols")</f>
        <v>0</v>
      </c>
      <c r="X75" s="21">
        <f>COUNTIF(November!1:1048576, "Polymyxins")</f>
        <v>0</v>
      </c>
      <c r="Y75" s="21">
        <f>COUNTIF(November!1:1048576, "Polypeptides")</f>
        <v>0</v>
      </c>
      <c r="Z75" s="21">
        <f>COUNTIF(November!1:1048576, "Rifampin")</f>
        <v>0</v>
      </c>
      <c r="AA75" s="21">
        <f>COUNTIF(November!1:1048576, "Sulfonamides")</f>
        <v>0</v>
      </c>
      <c r="AB75" s="21">
        <f>COUNTIF(November!1:1048576, "Tetracyclines")</f>
        <v>0</v>
      </c>
    </row>
    <row r="76" spans="1:29">
      <c r="A76" s="21" t="s">
        <v>128</v>
      </c>
      <c r="F76" s="21" t="s">
        <v>79</v>
      </c>
      <c r="G76" s="21">
        <f>COUNTIF(December!1:1048576, "Aminoglycosides")</f>
        <v>0</v>
      </c>
      <c r="H76" s="21">
        <f>COUNTIF(December!1:1048576, "B-lactam/B-lactamase inhibitor combination")</f>
        <v>0</v>
      </c>
      <c r="I76" s="21">
        <f>COUNTIF(December!1:1048576, "Carbapenems")</f>
        <v>0</v>
      </c>
      <c r="J76" s="21">
        <f>COUNTIF(December!1:1048576, "Cephalosporins")</f>
        <v>0</v>
      </c>
      <c r="K76" s="21">
        <f>COUNTIF(December!1:1048576, "Fluoroquinolones")</f>
        <v>0</v>
      </c>
      <c r="L76" s="21">
        <f>COUNTIF(December!1:1048576, "Fosfomycins")</f>
        <v>0</v>
      </c>
      <c r="M76" s="21">
        <f>COUNTIF(December!1:1048576, "Glycopeptides")</f>
        <v>0</v>
      </c>
      <c r="N76" s="21">
        <f>COUNTIF(December!1:1048576, "Glycylcyclines")</f>
        <v>0</v>
      </c>
      <c r="O76" s="21">
        <f>COUNTIF(December!1:1048576, "Lincosamides")</f>
        <v>0</v>
      </c>
      <c r="P76" s="21">
        <f>COUNTIF(December!1:1048576, "Macrolides")</f>
        <v>0</v>
      </c>
      <c r="Q76" s="21">
        <f>COUNTIF(December!1:1048576, "Nitrofurans")</f>
        <v>0</v>
      </c>
      <c r="R76" s="21">
        <f>COUNTIF(December!1:1048576, "Nitroimidazoles")</f>
        <v>0</v>
      </c>
      <c r="S76" s="21">
        <f>COUNTIF(December!1:1048576, "Ophthalmic")</f>
        <v>0</v>
      </c>
      <c r="T76" s="21">
        <f>COUNTIF(December!1:1048576, "Otic")</f>
        <v>0</v>
      </c>
      <c r="U76" s="21">
        <f>COUNTIF(December!1:1048576, "Oxazolidinones")</f>
        <v>0</v>
      </c>
      <c r="V76" s="21">
        <f>COUNTIF(December!1:1048576, "Penicillins")</f>
        <v>0</v>
      </c>
      <c r="W76" s="21">
        <f>COUNTIF(December!1:1048576, "Phenicols")</f>
        <v>0</v>
      </c>
      <c r="X76" s="21">
        <f>COUNTIF(December!1:1048576, "Polymyxins")</f>
        <v>0</v>
      </c>
      <c r="Y76" s="21">
        <f>COUNTIF(December!1:1048576, "Polypeptides")</f>
        <v>0</v>
      </c>
      <c r="Z76" s="21">
        <f>COUNTIF(December!1:1048576, "Rifampin")</f>
        <v>0</v>
      </c>
      <c r="AA76" s="21">
        <f>COUNTIF(December!1:1048576, "Sulfonamides")</f>
        <v>0</v>
      </c>
      <c r="AB76" s="21">
        <f>COUNTIF(December!1:1048576, "Tetracyclines")</f>
        <v>0</v>
      </c>
    </row>
    <row r="77" spans="1:29">
      <c r="A77" s="21" t="s">
        <v>34</v>
      </c>
      <c r="F77" s="21" t="s">
        <v>239</v>
      </c>
      <c r="G77" s="21">
        <f t="shared" ref="G77:AB77" si="2">SUM(G65:G76)</f>
        <v>0</v>
      </c>
      <c r="H77" s="21">
        <f t="shared" si="2"/>
        <v>0</v>
      </c>
      <c r="I77" s="21">
        <f t="shared" si="2"/>
        <v>0</v>
      </c>
      <c r="J77" s="21">
        <f t="shared" si="2"/>
        <v>0</v>
      </c>
      <c r="K77" s="21">
        <f t="shared" si="2"/>
        <v>0</v>
      </c>
      <c r="L77" s="21">
        <f t="shared" si="2"/>
        <v>0</v>
      </c>
      <c r="M77" s="21">
        <f t="shared" si="2"/>
        <v>0</v>
      </c>
      <c r="N77" s="21">
        <f t="shared" si="2"/>
        <v>0</v>
      </c>
      <c r="O77" s="21">
        <f t="shared" si="2"/>
        <v>0</v>
      </c>
      <c r="P77" s="21">
        <f t="shared" si="2"/>
        <v>0</v>
      </c>
      <c r="Q77" s="21">
        <f t="shared" si="2"/>
        <v>0</v>
      </c>
      <c r="R77" s="21">
        <f t="shared" si="2"/>
        <v>0</v>
      </c>
      <c r="S77" s="21">
        <f t="shared" si="2"/>
        <v>0</v>
      </c>
      <c r="T77" s="21">
        <f t="shared" si="2"/>
        <v>0</v>
      </c>
      <c r="U77" s="21">
        <f t="shared" si="2"/>
        <v>0</v>
      </c>
      <c r="V77" s="21">
        <f t="shared" si="2"/>
        <v>0</v>
      </c>
      <c r="W77" s="21">
        <f t="shared" si="2"/>
        <v>0</v>
      </c>
      <c r="X77" s="21">
        <f t="shared" si="2"/>
        <v>0</v>
      </c>
      <c r="Y77" s="21">
        <f t="shared" si="2"/>
        <v>0</v>
      </c>
      <c r="Z77" s="21">
        <f t="shared" si="2"/>
        <v>0</v>
      </c>
      <c r="AA77" s="21">
        <f t="shared" si="2"/>
        <v>0</v>
      </c>
      <c r="AB77" s="21">
        <f t="shared" si="2"/>
        <v>0</v>
      </c>
    </row>
    <row r="78" spans="1:29">
      <c r="A78" s="21" t="s">
        <v>35</v>
      </c>
      <c r="G78" s="21" t="s">
        <v>52</v>
      </c>
      <c r="H78" s="21" t="s">
        <v>119</v>
      </c>
      <c r="I78" s="21" t="s">
        <v>284</v>
      </c>
      <c r="J78" s="21" t="s">
        <v>55</v>
      </c>
      <c r="K78" s="21" t="s">
        <v>57</v>
      </c>
      <c r="L78" s="21" t="s">
        <v>281</v>
      </c>
      <c r="M78" s="21" t="s">
        <v>60</v>
      </c>
      <c r="N78" s="21" t="s">
        <v>286</v>
      </c>
      <c r="O78" s="21" t="s">
        <v>58</v>
      </c>
      <c r="P78" s="21" t="s">
        <v>54</v>
      </c>
      <c r="Q78" s="21" t="s">
        <v>63</v>
      </c>
      <c r="R78" s="21" t="s">
        <v>62</v>
      </c>
      <c r="S78" s="21" t="s">
        <v>279</v>
      </c>
      <c r="T78" s="21" t="s">
        <v>265</v>
      </c>
      <c r="U78" s="21" t="s">
        <v>290</v>
      </c>
      <c r="V78" s="21" t="s">
        <v>53</v>
      </c>
      <c r="W78" s="21" t="s">
        <v>56</v>
      </c>
      <c r="X78" s="21" t="s">
        <v>59</v>
      </c>
      <c r="Y78" s="21" t="s">
        <v>125</v>
      </c>
      <c r="Z78" s="21" t="s">
        <v>48</v>
      </c>
      <c r="AA78" s="21" t="s">
        <v>140</v>
      </c>
      <c r="AB78" s="21" t="s">
        <v>61</v>
      </c>
      <c r="AC78" s="21" t="s">
        <v>297</v>
      </c>
    </row>
    <row r="79" spans="1:29">
      <c r="A79" s="21" t="s">
        <v>36</v>
      </c>
      <c r="F79" s="21" t="s">
        <v>298</v>
      </c>
      <c r="G79" s="21" t="e">
        <f>(G77/AC79)*100</f>
        <v>#DIV/0!</v>
      </c>
      <c r="H79" s="21" t="e">
        <f>(H77/AC79)*100</f>
        <v>#DIV/0!</v>
      </c>
      <c r="I79" s="21" t="e">
        <f>(I77/AC79)*100</f>
        <v>#DIV/0!</v>
      </c>
      <c r="J79" s="21" t="e">
        <f>(J77/AC79)*100</f>
        <v>#DIV/0!</v>
      </c>
      <c r="K79" s="21" t="e">
        <f>(K77/AC79)*100</f>
        <v>#DIV/0!</v>
      </c>
      <c r="L79" s="21" t="e">
        <f>(L77/AC79)*100</f>
        <v>#DIV/0!</v>
      </c>
      <c r="M79" s="21" t="e">
        <f>(M77/AC79)*100</f>
        <v>#DIV/0!</v>
      </c>
      <c r="N79" s="21" t="e">
        <f>(N77/AC79)*100</f>
        <v>#DIV/0!</v>
      </c>
      <c r="O79" s="21" t="e">
        <f>(O77/AC79)*100</f>
        <v>#DIV/0!</v>
      </c>
      <c r="P79" s="21" t="e">
        <f>(P77/AC79)*100</f>
        <v>#DIV/0!</v>
      </c>
      <c r="Q79" s="21" t="e">
        <f>(Q77/AC79)*100</f>
        <v>#DIV/0!</v>
      </c>
      <c r="R79" s="21" t="e">
        <f>(R77/AC79)*100</f>
        <v>#DIV/0!</v>
      </c>
      <c r="S79" s="21" t="e">
        <f>(S77/AC79)*100</f>
        <v>#DIV/0!</v>
      </c>
      <c r="T79" s="21" t="e">
        <f>(T77/AC79)*100</f>
        <v>#DIV/0!</v>
      </c>
      <c r="U79" s="21" t="e">
        <f>(U77/AC79)*100</f>
        <v>#DIV/0!</v>
      </c>
      <c r="V79" s="21" t="e">
        <f>(V77/AC79)*100</f>
        <v>#DIV/0!</v>
      </c>
      <c r="W79" s="21" t="e">
        <f>(W77/AC79)*100</f>
        <v>#DIV/0!</v>
      </c>
      <c r="X79" s="21" t="e">
        <f>(X77/AC79)*100</f>
        <v>#DIV/0!</v>
      </c>
      <c r="Y79" s="21" t="e">
        <f>(Y77/AC79)*100</f>
        <v>#DIV/0!</v>
      </c>
      <c r="Z79" s="21" t="e">
        <f>(Z77/AC79)*100</f>
        <v>#DIV/0!</v>
      </c>
      <c r="AA79" s="21" t="e">
        <f>(AA77/AC79)*100</f>
        <v>#DIV/0!</v>
      </c>
      <c r="AB79" s="21" t="e">
        <f>(AB77/AC79)*100</f>
        <v>#DIV/0!</v>
      </c>
      <c r="AC79" s="21">
        <f>SUM(G77:AA77)</f>
        <v>0</v>
      </c>
    </row>
    <row r="80" spans="1:29">
      <c r="A80" s="21" t="s">
        <v>129</v>
      </c>
    </row>
    <row r="81" spans="1:35">
      <c r="A81" s="21" t="s">
        <v>264</v>
      </c>
    </row>
    <row r="82" spans="1:35">
      <c r="A82" s="21" t="s">
        <v>37</v>
      </c>
    </row>
    <row r="83" spans="1:35">
      <c r="A83" s="21" t="s">
        <v>38</v>
      </c>
    </row>
    <row r="84" spans="1:35">
      <c r="A84" s="21" t="s">
        <v>292</v>
      </c>
    </row>
    <row r="85" spans="1:35">
      <c r="A85" s="21" t="s">
        <v>39</v>
      </c>
      <c r="T85" s="35" t="s">
        <v>300</v>
      </c>
      <c r="U85" s="21" t="s">
        <v>68</v>
      </c>
      <c r="V85" s="21" t="s">
        <v>69</v>
      </c>
      <c r="W85" s="21" t="s">
        <v>70</v>
      </c>
      <c r="X85" s="21" t="s">
        <v>71</v>
      </c>
      <c r="Y85" s="21" t="s">
        <v>72</v>
      </c>
      <c r="Z85" s="21" t="s">
        <v>73</v>
      </c>
      <c r="AA85" s="21" t="s">
        <v>74</v>
      </c>
      <c r="AB85" s="21" t="s">
        <v>75</v>
      </c>
      <c r="AC85" s="21" t="s">
        <v>76</v>
      </c>
      <c r="AD85" s="21" t="s">
        <v>77</v>
      </c>
      <c r="AE85" s="21" t="s">
        <v>78</v>
      </c>
      <c r="AF85" s="21" t="s">
        <v>79</v>
      </c>
      <c r="AG85" s="21" t="s">
        <v>301</v>
      </c>
      <c r="AH85" s="21" t="s">
        <v>302</v>
      </c>
    </row>
    <row r="86" spans="1:35">
      <c r="A86" s="21" t="s">
        <v>130</v>
      </c>
      <c r="S86" s="35"/>
      <c r="T86" s="38" t="s">
        <v>51</v>
      </c>
      <c r="U86" s="21">
        <f>COUNTIF(January!1:1048576, "Vancomycin")</f>
        <v>0</v>
      </c>
      <c r="V86" s="21">
        <f>COUNTIF(February!1:1048576, "Vancomycin")</f>
        <v>0</v>
      </c>
      <c r="W86" s="21">
        <f>COUNTIF(March!1:1048576, "Vancomycin")</f>
        <v>0</v>
      </c>
      <c r="X86" s="21">
        <f>COUNTIF(April!1:1048576, "Vancomycin")</f>
        <v>0</v>
      </c>
      <c r="Y86" s="21">
        <f>COUNTIF(May!1:1048576, "Vancomycin")</f>
        <v>0</v>
      </c>
      <c r="Z86" s="21">
        <f>COUNTIF(June!1:1048576, "Vancomycin")</f>
        <v>0</v>
      </c>
      <c r="AA86" s="21">
        <f>COUNTIF(July!1:1048576, "Vancomycin")</f>
        <v>0</v>
      </c>
      <c r="AB86" s="21">
        <f>COUNTIF(August!1:1048576, "Vancomycin")</f>
        <v>0</v>
      </c>
      <c r="AC86" s="21">
        <f>COUNTIF(September!1:1048576, "Vancomycin")</f>
        <v>0</v>
      </c>
      <c r="AD86" s="21">
        <f>COUNTIF(October!1:1048576, "Vancomycin")</f>
        <v>0</v>
      </c>
      <c r="AE86" s="21">
        <f>COUNTIF(November!1:1048576, "Vancomycin")</f>
        <v>0</v>
      </c>
      <c r="AF86" s="35">
        <f>COUNTIF(December!1:1048576, "Vancomycin")</f>
        <v>0</v>
      </c>
      <c r="AG86" s="39" t="s">
        <v>51</v>
      </c>
      <c r="AH86" s="21">
        <f>SUM(U86:AF86)</f>
        <v>0</v>
      </c>
      <c r="AI86" s="39"/>
    </row>
    <row r="87" spans="1:35">
      <c r="A87" s="21" t="s">
        <v>40</v>
      </c>
      <c r="T87" s="21" t="s">
        <v>288</v>
      </c>
      <c r="U87" s="21">
        <f>COUNTIF(January!1:1048576, "Linezolid")</f>
        <v>0</v>
      </c>
      <c r="V87" s="21">
        <f>COUNTIF(February!1:1048576, "Linezolid")</f>
        <v>0</v>
      </c>
      <c r="W87" s="21">
        <f>COUNTIF(March!1:1048576, "Linezolid")</f>
        <v>0</v>
      </c>
      <c r="X87" s="21">
        <f>COUNTIF(April!1:1048576, "Linezolid")</f>
        <v>0</v>
      </c>
      <c r="Y87" s="21">
        <f>COUNTIF(May!1:1048576, "Linezolid")</f>
        <v>0</v>
      </c>
      <c r="Z87" s="21">
        <f>COUNTIF(June!1:1048576, "Linezolid")</f>
        <v>0</v>
      </c>
      <c r="AA87" s="21">
        <f>COUNTIF(July!1:1048576, "Linezolid")</f>
        <v>0</v>
      </c>
      <c r="AB87" s="21">
        <f>COUNTIF(August!1:1048576, "Linezolid")</f>
        <v>0</v>
      </c>
      <c r="AC87" s="21">
        <f>COUNTIF(September!1:1048576, "Linezolid")</f>
        <v>0</v>
      </c>
      <c r="AD87" s="21">
        <f>COUNTIF(October!1:1048576, "Linezolid")</f>
        <v>0</v>
      </c>
      <c r="AE87" s="21">
        <f>COUNTIF(November!1:1048576, "Linezolid")</f>
        <v>0</v>
      </c>
      <c r="AF87" s="21">
        <f>COUNTIF(December!1:1048576, "Linezolid")</f>
        <v>0</v>
      </c>
      <c r="AG87" s="40" t="s">
        <v>288</v>
      </c>
      <c r="AH87" s="21">
        <f>SUM(U87:AF87)</f>
        <v>0</v>
      </c>
      <c r="AI87" s="40"/>
    </row>
    <row r="88" spans="1:35">
      <c r="A88" s="21" t="s">
        <v>252</v>
      </c>
      <c r="T88" s="21" t="s">
        <v>291</v>
      </c>
      <c r="U88" s="21">
        <f>COUNTIF(January!1:1048576, "Teicoplanin")</f>
        <v>0</v>
      </c>
      <c r="V88" s="21">
        <f>COUNTIF(February!1:1048576, "Teicoplanin")</f>
        <v>0</v>
      </c>
      <c r="W88" s="21">
        <f>COUNTIF(March!1:1048576, "Teicoplanin")</f>
        <v>0</v>
      </c>
      <c r="X88" s="21">
        <f>COUNTIF(April!1:1048576, "Teicoplanin")</f>
        <v>0</v>
      </c>
      <c r="Y88" s="21">
        <f>COUNTIF(May!1:1048576, "Teicoplanin")</f>
        <v>0</v>
      </c>
      <c r="Z88" s="21">
        <f>COUNTIF(June!1:1048576, "Teicoplanin")</f>
        <v>0</v>
      </c>
      <c r="AA88" s="21">
        <f>COUNTIF(July!1:1048576, "Teicoplanin")</f>
        <v>0</v>
      </c>
      <c r="AB88" s="21">
        <f>COUNTIF(August!1:1048576, "Teicoplanin")</f>
        <v>0</v>
      </c>
      <c r="AC88" s="21">
        <f>COUNTIF(September!1:1048576, "Teicoplanin")</f>
        <v>0</v>
      </c>
      <c r="AD88" s="21">
        <f>COUNTIF(October!1:1048576, "Teicoplanin")</f>
        <v>0</v>
      </c>
      <c r="AE88" s="21">
        <f>COUNTIF(November!1:1048576, "Teicoplanin")</f>
        <v>0</v>
      </c>
      <c r="AF88" s="21">
        <f>COUNTIF(December!1:1048576, "Teicoplanin")</f>
        <v>0</v>
      </c>
      <c r="AG88" s="40" t="s">
        <v>291</v>
      </c>
      <c r="AH88" s="21">
        <f>SUM(U88:AF88)</f>
        <v>0</v>
      </c>
      <c r="AI88" s="40"/>
    </row>
    <row r="89" spans="1:35">
      <c r="A89" s="21" t="s">
        <v>280</v>
      </c>
      <c r="T89" s="21" t="s">
        <v>292</v>
      </c>
      <c r="U89" s="21">
        <f>COUNTIF(January!1:1048576, "Colistin")</f>
        <v>0</v>
      </c>
      <c r="V89" s="21">
        <f>COUNTIF(February!1:1048576, "Colistin")</f>
        <v>0</v>
      </c>
      <c r="W89" s="21">
        <f>COUNTIF(March!1:1048576, "Colistin")</f>
        <v>0</v>
      </c>
      <c r="X89" s="21">
        <f>COUNTIF(April!1:1048576, "Colistin")</f>
        <v>0</v>
      </c>
      <c r="Y89" s="21">
        <f>COUNTIF(May!1:1048576, "Colistin")</f>
        <v>0</v>
      </c>
      <c r="Z89" s="21">
        <f>COUNTIF(June!1:1048576, "Colistin")</f>
        <v>0</v>
      </c>
      <c r="AA89" s="21">
        <f>COUNTIF(July!1:1048576, "Colistin")</f>
        <v>0</v>
      </c>
      <c r="AB89" s="21">
        <f>COUNTIF(August!1:1048576, "Colistin")</f>
        <v>0</v>
      </c>
      <c r="AC89" s="21">
        <f>COUNTIF(September!1:1048576, "Colistin")</f>
        <v>0</v>
      </c>
      <c r="AD89" s="21">
        <f>COUNTIF(October!1:1048576, "Colistin")</f>
        <v>0</v>
      </c>
      <c r="AE89" s="21">
        <f>COUNTIF(November!1:1048576, "Colistin")</f>
        <v>0</v>
      </c>
      <c r="AF89" s="21">
        <f>COUNTIF(December!1:1048576, "Colistin")</f>
        <v>0</v>
      </c>
      <c r="AG89" s="40" t="s">
        <v>292</v>
      </c>
      <c r="AH89" s="21">
        <f>SUM(U89:AF89)</f>
        <v>0</v>
      </c>
      <c r="AI89" s="40"/>
    </row>
    <row r="90" spans="1:35">
      <c r="A90" s="21" t="s">
        <v>41</v>
      </c>
      <c r="T90" s="21" t="s">
        <v>299</v>
      </c>
      <c r="U90" s="21">
        <f>COUNTIF(January!1:1048576, "Polymixin B")</f>
        <v>0</v>
      </c>
      <c r="V90" s="21">
        <f>COUNTIF(February!1:1048576, "Polymixin B")</f>
        <v>0</v>
      </c>
      <c r="W90" s="21">
        <f>COUNTIF(March!1:1048576, "Polymixin B")</f>
        <v>0</v>
      </c>
      <c r="X90" s="21">
        <f>COUNTIF(April!1:1048576, "Polymixin B")</f>
        <v>0</v>
      </c>
      <c r="Y90" s="21">
        <f>COUNTIF(May!1:1048576, "Polymixin B")</f>
        <v>0</v>
      </c>
      <c r="Z90" s="21">
        <f>COUNTIF(June!1:1048576, "Polymixin B")</f>
        <v>0</v>
      </c>
      <c r="AA90" s="21">
        <f>COUNTIF(July!1:1048576, "Polymixin B")</f>
        <v>0</v>
      </c>
      <c r="AB90" s="21">
        <f>COUNTIF(August!1:1048576, "Polymixin B")</f>
        <v>0</v>
      </c>
      <c r="AC90" s="21">
        <f>COUNTIF(September!1:1048576, "Polymixin B")</f>
        <v>0</v>
      </c>
      <c r="AD90" s="21">
        <f>COUNTIF(October!1:1048576, "Polymixin B")</f>
        <v>0</v>
      </c>
      <c r="AE90" s="21">
        <f>COUNTIF(November!1:1048576, "Polymixin B")</f>
        <v>0</v>
      </c>
      <c r="AF90" s="21">
        <f>COUNTIF(December!1:1048576, "Polymixin B")</f>
        <v>0</v>
      </c>
      <c r="AG90" s="40" t="s">
        <v>299</v>
      </c>
      <c r="AH90" s="21">
        <f>SUM(U90:AF90)</f>
        <v>0</v>
      </c>
      <c r="AI90" s="40"/>
    </row>
    <row r="91" spans="1:35">
      <c r="A91" s="21" t="s">
        <v>42</v>
      </c>
    </row>
    <row r="92" spans="1:35">
      <c r="A92" s="21" t="s">
        <v>131</v>
      </c>
    </row>
    <row r="93" spans="1:35">
      <c r="A93" s="21" t="s">
        <v>289</v>
      </c>
    </row>
    <row r="94" spans="1:35">
      <c r="A94" s="21" t="s">
        <v>270</v>
      </c>
    </row>
    <row r="95" spans="1:35">
      <c r="A95" s="21" t="s">
        <v>282</v>
      </c>
    </row>
    <row r="96" spans="1:35">
      <c r="A96" s="21" t="s">
        <v>43</v>
      </c>
    </row>
    <row r="97" spans="1:1">
      <c r="A97" s="21" t="s">
        <v>44</v>
      </c>
    </row>
    <row r="98" spans="1:1">
      <c r="A98" s="21" t="s">
        <v>276</v>
      </c>
    </row>
    <row r="99" spans="1:1">
      <c r="A99" s="21" t="s">
        <v>132</v>
      </c>
    </row>
    <row r="100" spans="1:1">
      <c r="A100" s="21" t="s">
        <v>45</v>
      </c>
    </row>
    <row r="101" spans="1:1">
      <c r="A101" s="21" t="s">
        <v>133</v>
      </c>
    </row>
    <row r="102" spans="1:1">
      <c r="A102" s="21" t="s">
        <v>278</v>
      </c>
    </row>
    <row r="103" spans="1:1">
      <c r="A103" s="21" t="s">
        <v>253</v>
      </c>
    </row>
    <row r="104" spans="1:1">
      <c r="A104" s="21" t="s">
        <v>254</v>
      </c>
    </row>
    <row r="105" spans="1:1">
      <c r="A105" s="21" t="s">
        <v>255</v>
      </c>
    </row>
    <row r="106" spans="1:1">
      <c r="A106" s="21" t="s">
        <v>256</v>
      </c>
    </row>
    <row r="107" spans="1:1">
      <c r="A107" s="21" t="s">
        <v>263</v>
      </c>
    </row>
    <row r="108" spans="1:1">
      <c r="A108" s="21" t="s">
        <v>257</v>
      </c>
    </row>
    <row r="109" spans="1:1">
      <c r="A109" s="21" t="s">
        <v>271</v>
      </c>
    </row>
    <row r="110" spans="1:1">
      <c r="A110" s="21" t="s">
        <v>134</v>
      </c>
    </row>
    <row r="111" spans="1:1">
      <c r="A111" s="21" t="s">
        <v>135</v>
      </c>
    </row>
    <row r="112" spans="1:1">
      <c r="A112" s="21" t="s">
        <v>46</v>
      </c>
    </row>
    <row r="113" spans="1:1">
      <c r="A113" s="21" t="s">
        <v>287</v>
      </c>
    </row>
    <row r="114" spans="1:1">
      <c r="A114" s="21" t="s">
        <v>47</v>
      </c>
    </row>
    <row r="115" spans="1:1">
      <c r="A115" s="21" t="s">
        <v>138</v>
      </c>
    </row>
    <row r="116" spans="1:1">
      <c r="A116" s="21" t="s">
        <v>48</v>
      </c>
    </row>
    <row r="117" spans="1:1">
      <c r="A117" s="21" t="s">
        <v>139</v>
      </c>
    </row>
    <row r="118" spans="1:1">
      <c r="A118" s="21" t="s">
        <v>141</v>
      </c>
    </row>
    <row r="119" spans="1:1">
      <c r="A119" s="21" t="s">
        <v>49</v>
      </c>
    </row>
    <row r="120" spans="1:1">
      <c r="A120" s="21" t="s">
        <v>143</v>
      </c>
    </row>
    <row r="121" spans="1:1">
      <c r="A121" s="21" t="s">
        <v>144</v>
      </c>
    </row>
    <row r="122" spans="1:1">
      <c r="A122" s="21" t="s">
        <v>145</v>
      </c>
    </row>
    <row r="123" spans="1:1">
      <c r="A123" s="21" t="s">
        <v>291</v>
      </c>
    </row>
    <row r="124" spans="1:1">
      <c r="A124" s="21" t="s">
        <v>50</v>
      </c>
    </row>
    <row r="125" spans="1:1">
      <c r="A125" s="21" t="s">
        <v>285</v>
      </c>
    </row>
    <row r="126" spans="1:1">
      <c r="A126" s="21" t="s">
        <v>146</v>
      </c>
    </row>
    <row r="127" spans="1:1">
      <c r="A127" s="21" t="s">
        <v>147</v>
      </c>
    </row>
    <row r="128" spans="1:1">
      <c r="A128" s="21" t="s">
        <v>148</v>
      </c>
    </row>
    <row r="129" spans="1:14">
      <c r="A129" s="21" t="s">
        <v>51</v>
      </c>
    </row>
    <row r="130" spans="1:14">
      <c r="A130" s="21" t="s">
        <v>21</v>
      </c>
    </row>
    <row r="135" spans="1:14">
      <c r="J135" s="21" t="s">
        <v>314</v>
      </c>
    </row>
    <row r="136" spans="1:14">
      <c r="K136" s="35" t="s">
        <v>315</v>
      </c>
      <c r="L136" s="35" t="s">
        <v>316</v>
      </c>
      <c r="M136" s="35" t="s">
        <v>317</v>
      </c>
      <c r="N136" s="35"/>
    </row>
    <row r="137" spans="1:14">
      <c r="C137" s="35" t="s">
        <v>309</v>
      </c>
      <c r="D137" s="35" t="s">
        <v>310</v>
      </c>
      <c r="E137" s="35" t="s">
        <v>311</v>
      </c>
      <c r="F137" s="35" t="s">
        <v>313</v>
      </c>
      <c r="J137" s="21" t="s">
        <v>68</v>
      </c>
      <c r="K137" s="21">
        <f>COUNTIF(January!1:1048576,"Penicillin")+COUNTIF(January!1:1048576, "Cefazolin")+COUNTIF(January!1:1048576, "Cephalexin")+COUNTIF(January!1:1048576, "Cefadroxil")</f>
        <v>0</v>
      </c>
      <c r="L137" s="21">
        <f>COUNTIF(January!1:1048576, "Amoxicillin")+COUNTIF(January!1:1048576, "Ampicillin")</f>
        <v>0</v>
      </c>
      <c r="M137" s="21">
        <f>COUNTIF(January!1:1048576, "Cefotaxime")+ COUNTIF(January!1:1048576, "Cefovecin (Convenia)")+COUNTIF(January!1:1048576, "Cefpodoxime Proxetil ")+COUNTIF(January!1:1048576, "Ceftazidime")+COUNTIF(January!1:1048576,"Ceftiofur sodium")+ COUNTIF(January!1:1048576, "Ceftriaxone")+COUNTIF(January!1:1048576, "Chloramphenicol")+COUNTIF(January!1:1048576, "Piperacillin/Tazobactam (Zosyn)")+COUNTIF(January!1:1048576, "Ceftiofur crystalline free acid (long acting formulation)")</f>
        <v>0</v>
      </c>
    </row>
    <row r="138" spans="1:14">
      <c r="C138" s="21" t="s">
        <v>312</v>
      </c>
      <c r="D138" s="21" t="s">
        <v>26</v>
      </c>
      <c r="E138" s="21" t="s">
        <v>32</v>
      </c>
      <c r="F138" s="21" t="s">
        <v>31</v>
      </c>
      <c r="J138" s="21" t="s">
        <v>69</v>
      </c>
      <c r="K138" s="21">
        <f>COUNTIF(February!1:1048576,"Penicillin")+COUNTIF(February!1:1048576, "Cefazolin")+COUNTIF(February!1:1048576, "Cephalexin")+COUNTIF(February!1:1048576, "Cefadroxil")</f>
        <v>0</v>
      </c>
      <c r="L138" s="21">
        <f>COUNTIF(February!1:1048576, "Amoxicillin")+COUNTIF(February!1:1048576, "Ampicillin")</f>
        <v>0</v>
      </c>
      <c r="M138" s="21">
        <f>COUNTIF(February!1:1048576, "Cefotaxime")+ COUNTIF(February!1:1048576, "Cefovecin (Convenia)")+COUNTIF(February!1:1048576, "Cefpodoxime Proxetil ")+COUNTIF(February!1:1048576, "Ceftazidime")+COUNTIF(February!1:1048576,"Ceftiofur sodium")+ COUNTIF(February!1:1048576, "Ceftriaxone")+COUNTIF(February!1:1048576, "Chloramphenicol")+COUNTIF(February!1:1048576, "Piperacillin/Tazobactam (Zosyn)")+COUNTIF(February!1:1048576, "Ceftiofur crystalline free acid (long acting formulation)")</f>
        <v>0</v>
      </c>
    </row>
    <row r="139" spans="1:14">
      <c r="C139" s="21" t="s">
        <v>30</v>
      </c>
      <c r="D139" s="21" t="s">
        <v>27</v>
      </c>
      <c r="E139" s="21" t="s">
        <v>268</v>
      </c>
      <c r="J139" s="21" t="s">
        <v>70</v>
      </c>
      <c r="K139" s="21">
        <f>COUNTIF(March!1:1048576,"Penicillin")+COUNTIF(March!1:1048576, "Cefazolin")+COUNTIF(March!1:1048576, "Cephalexin")+COUNTIF(March!1:1048576, "Cefadroxil")</f>
        <v>0</v>
      </c>
      <c r="L139" s="21">
        <f>COUNTIF(March!1:1048576, "Amoxicillin")+COUNTIF(March!1:1048576, "Ampicillin")</f>
        <v>0</v>
      </c>
      <c r="M139" s="21">
        <f>COUNTIF(March!1:1048576, "Cefotaxime")+ COUNTIF(March!1:1048576, "Cefovecin (Convenia)")+COUNTIF(March!1:1048576, "Cefpodoxime Proxetil ")+COUNTIF(March!1:1048576, "Ceftazidime")+COUNTIF(March!1:1048576,"Ceftiofur sodium")+ COUNTIF(March!1:1048576, "Ceftriaxone")+COUNTIF(March!1:1048576, "Chloramphenicol")+COUNTIF(March!1:1048576, "Piperacillin/Tazobactam (Zosyn)")+COUNTIF(March!1:1048576, "Ceftiofur crystalline free acid (long acting formulation)")</f>
        <v>0</v>
      </c>
    </row>
    <row r="140" spans="1:14">
      <c r="C140" s="21" t="s">
        <v>35</v>
      </c>
      <c r="E140" s="21" t="s">
        <v>269</v>
      </c>
      <c r="J140" s="21" t="s">
        <v>71</v>
      </c>
      <c r="K140" s="21">
        <f>COUNTIF(April!1:1048576,"Penicillin")+COUNTIF(April!1:1048576, "Cefazolin")+COUNTIF(April!1:1048576, "Cephalexin")+COUNTIF(April!1:1048576, "Cefadroxil")</f>
        <v>0</v>
      </c>
      <c r="L140" s="21">
        <f>COUNTIF(April!1:1048576, "Amoxicillin")+COUNTIF(April!1:1048576, "Ampicillin")</f>
        <v>0</v>
      </c>
      <c r="M140" s="21">
        <f>COUNTIF(April!1:1048576, "Cefotaxime")+ COUNTIF(April!1:1048576, "Cefovecin (Convenia)")+COUNTIF(April!1:1048576, "Cefpodoxime Proxetil ")+COUNTIF(April!1:1048576, "Ceftazidime")+COUNTIF(April!1:1048576,"Ceftiofur sodium")+ COUNTIF(April!1:1048576, "Ceftriaxone")+COUNTIF(April!1:1048576, "Chloramphenicol")+COUNTIF(April!1:1048576, "Piperacillin/Tazobactam (Zosyn)")+COUNTIF(April!1:1048576, "Ceftiofur crystalline free acid (long acting formulation)")</f>
        <v>0</v>
      </c>
    </row>
    <row r="141" spans="1:14">
      <c r="C141" s="21" t="s">
        <v>29</v>
      </c>
      <c r="E141" s="21" t="s">
        <v>33</v>
      </c>
      <c r="J141" s="21" t="s">
        <v>72</v>
      </c>
      <c r="K141" s="21">
        <f>COUNTIF(May!1:1048576,"Penicillin")+COUNTIF(May!1:1048576, "Cefazolin")+COUNTIF(May!1:1048576, "Cephalexin")+COUNTIF(May!1:1048576, "Cefadroxil")</f>
        <v>0</v>
      </c>
      <c r="L141" s="21">
        <f>COUNTIF(May!1:1048576, "Amoxicillin")+COUNTIF(May!1:1048576, "Ampicillin")</f>
        <v>0</v>
      </c>
      <c r="M141" s="21">
        <f>COUNTIF(May!1:1048576, "Cefotaxime")+ COUNTIF(May!1:1048576, "Cefovecin (Convenia)")+COUNTIF(May!1:1048576, "Cefpodoxime Proxetil ")+COUNTIF(May!1:1048576, "Ceftazidime")+COUNTIF(May!1:1048576,"Ceftiofur sodium")+ COUNTIF(May!1:1048576, "Ceftriaxone")+COUNTIF(May!1:1048576, "Chloramphenicol")+COUNTIF(May!1:1048576, "Piperacillin/Tazobactam (Zosyn)")+COUNTIF(May!1:1048576, "Ceftiofur crystalline free acid (long acting formulation)")</f>
        <v>0</v>
      </c>
    </row>
    <row r="142" spans="1:14">
      <c r="E142" s="21" t="s">
        <v>127</v>
      </c>
      <c r="J142" s="21" t="s">
        <v>73</v>
      </c>
      <c r="K142" s="21">
        <f>COUNTIF(June!1:1048576,"Penicillin")+COUNTIF(June!1:1048576, "Cefazolin")+COUNTIF(June!1:1048576, "Cephalexin")+COUNTIF(June!1:1048576, "Cefadroxil")</f>
        <v>0</v>
      </c>
      <c r="L142" s="21">
        <f>COUNTIF(June!1:1048576, "Amoxicillin")+COUNTIF(June!1:1048576, "Ampicillin")</f>
        <v>0</v>
      </c>
      <c r="M142" s="21">
        <f>COUNTIF(June!1:1048576, "Cefotaxime")+ COUNTIF(June!1:1048576, "Cefovecin (Convenia)")+COUNTIF(June!1:1048576, "Cefpodoxime Proxetil ")+COUNTIF(June!1:1048576, "Ceftazidime")+COUNTIF(June!1:1048576,"Ceftiofur sodium")+ COUNTIF(June!1:1048576, "Ceftriaxone")+COUNTIF(June!1:1048576, "Chloramphenicol")+COUNTIF(June!1:1048576, "Piperacillin/Tazobactam (Zosyn)")+COUNTIF(June!1:1048576, "Ceftiofur crystalline free acid (long acting formulation)")</f>
        <v>0</v>
      </c>
    </row>
    <row r="143" spans="1:14">
      <c r="E143" s="21" t="s">
        <v>128</v>
      </c>
      <c r="J143" s="21" t="s">
        <v>74</v>
      </c>
      <c r="K143" s="21">
        <f>COUNTIF(July!1:1048576,"Penicillin")+COUNTIF(July!1:1048576, "Cefazolin")+COUNTIF(July!1:1048576, "Cephalexin")+COUNTIF(July!1:1048576, "Cefadroxil")</f>
        <v>0</v>
      </c>
      <c r="L143" s="21">
        <f>COUNTIF(July!1:1048576, "Amoxicillin")+COUNTIF(July!1:1048576, "Ampicillin")</f>
        <v>0</v>
      </c>
      <c r="M143" s="21">
        <f>COUNTIF(July!1:1048576, "Cefotaxime")+ COUNTIF(July!1:1048576, "Cefovecin (Convenia)")+COUNTIF(July!1:1048576, "Cefpodoxime Proxetil ")+COUNTIF(July!1:1048576, "Ceftazidime")+COUNTIF(July!1:1048576,"Ceftiofur sodium")+ COUNTIF(July!1:1048576, "Ceftriaxone")+COUNTIF(July!1:1048576, "Chloramphenicol")+COUNTIF(July!1:1048576, "Piperacillin/Tazobactam (Zosyn)")+COUNTIF(July!1:1048576, "Ceftiofur crystalline free acid (long acting formulation)")</f>
        <v>0</v>
      </c>
    </row>
    <row r="144" spans="1:14">
      <c r="E144" s="21" t="s">
        <v>34</v>
      </c>
      <c r="J144" s="21" t="s">
        <v>75</v>
      </c>
      <c r="K144" s="21">
        <f>COUNTIF(August!1:1048576,"Penicillin")+COUNTIF(August!1:1048576, "Cefazolin")+COUNTIF(August!1:1048576, "Cephalexin")+COUNTIF(August!1:1048576, "Cefadroxil")</f>
        <v>0</v>
      </c>
      <c r="L144" s="21">
        <f>COUNTIF(August!1:1048576, "Amoxicillin")+COUNTIF(August!1:1048576, "Ampicillin")</f>
        <v>0</v>
      </c>
      <c r="M144" s="21">
        <f>COUNTIF(August!1:1048576, "Cefotaxime")+ COUNTIF(August!1:1048576, "Cefovecin (Convenia)")+COUNTIF(August!1:1048576, "Cefpodoxime Proxetil ")+COUNTIF(August!1:1048576, "Ceftazidime")+COUNTIF(August!1:1048576,"Ceftiofur sodium")+ COUNTIF(August!1:1048576, "Ceftriaxone")+COUNTIF(August!1:1048576, "Chloramphenicol")+COUNTIF(August!1:1048576, "Piperacillin/Tazobactam (Zosyn)")+COUNTIF(August!1:1048576, "Ceftiofur crystalline free acid (long acting formulation)")</f>
        <v>0</v>
      </c>
    </row>
    <row r="145" spans="1:15">
      <c r="E145" s="21" t="s">
        <v>36</v>
      </c>
      <c r="J145" s="21" t="s">
        <v>76</v>
      </c>
      <c r="K145" s="21">
        <f>COUNTIF(September!1:1048576,"Penicillin")+COUNTIF(September!1:1048576, "Cefazolin")+COUNTIF(September!1:1048576, "Cephalexin")+COUNTIF(September!1:1048576, "Cefadroxil")</f>
        <v>0</v>
      </c>
      <c r="L145" s="21">
        <f>COUNTIF(September!1:1048576, "Amoxicillin")+COUNTIF(September!1:1048576, "Ampicillin")</f>
        <v>0</v>
      </c>
      <c r="M145" s="21">
        <f>COUNTIF(September!1:1048576, "Cefotaxime")+ COUNTIF(September!1:1048576, "Cefovecin (Convenia)")+COUNTIF(September!1:1048576, "Cefpodoxime Proxetil ")+COUNTIF(September!1:1048576, "Ceftazidime")+COUNTIF(September!1:1048576,"Ceftiofur sodium")+ COUNTIF(September!1:1048576, "Ceftriaxone")+COUNTIF(September!1:1048576, "Chloramphenicol")+COUNTIF(September!1:1048576, "Piperacillin/Tazobactam (Zosyn)")+COUNTIF(September!1:1048576, "Ceftiofur crystalline free acid (long acting formulation)")</f>
        <v>0</v>
      </c>
    </row>
    <row r="146" spans="1:15">
      <c r="E146" s="21" t="s">
        <v>287</v>
      </c>
      <c r="J146" s="21" t="s">
        <v>77</v>
      </c>
      <c r="K146" s="21">
        <f>COUNTIF(October!1:1048576,"Penicillin")+COUNTIF(October!1:1048576, "Cefazolin")+COUNTIF(October!1:1048576, "Cephalexin")+COUNTIF(October!1:1048576, "Cefadroxil")</f>
        <v>0</v>
      </c>
      <c r="L146" s="21">
        <f>COUNTIF(October!1:1048576, "Amoxicillin")+COUNTIF(October!1:1048576, "Ampicillin")</f>
        <v>0</v>
      </c>
      <c r="M146" s="21">
        <f>COUNTIF(October!1:1048576, "Cefotaxime")+ COUNTIF(October!1:1048576, "Cefovecin (Convenia)")+COUNTIF(October!1:1048576, "Cefpodoxime Proxetil ")+COUNTIF(October!1:1048576, "Ceftazidime")+COUNTIF(October!1:1048576,"Ceftiofur sodium")+ COUNTIF(October!1:1048576, "Ceftriaxone")+COUNTIF(October!1:1048576, "Chloramphenicol")+COUNTIF(October!1:1048576, "Piperacillin/Tazobactam (Zosyn)")+COUNTIF(October!1:1048576, "Ceftiofur crystalline free acid (long acting formulation)")</f>
        <v>0</v>
      </c>
    </row>
    <row r="147" spans="1:15">
      <c r="J147" s="21" t="s">
        <v>78</v>
      </c>
      <c r="K147" s="21">
        <f>COUNTIF(November!1:1048576,"Penicillin")+COUNTIF(November!1:1048576, "Cefazolin")+COUNTIF(November!1:1048576, "Cephalexin")+COUNTIF(November!1:1048576, "Cefadroxil")</f>
        <v>0</v>
      </c>
      <c r="L147" s="21">
        <f>COUNTIF(November!1:1048576, "Amoxicillin")+COUNTIF(November!1:1048576, "Ampicillin")</f>
        <v>0</v>
      </c>
      <c r="M147" s="21">
        <f>COUNTIF(November!1:1048576, "Cefotaxime")+ COUNTIF(November!1:1048576, "Cefovecin (Convenia)")+COUNTIF(November!1:1048576, "Cefpodoxime Proxetil ")+COUNTIF(November!1:1048576, "Ceftazidime")+COUNTIF(November!1:1048576,"Ceftiofur sodium")+ COUNTIF(November!1:1048576, "Ceftriaxone")+COUNTIF(November!1:1048576, "Chloramphenicol")+COUNTIF(November!1:1048576, "Piperacillin/Tazobactam (Zosyn)")+COUNTIF(November!1:1048576, "Ceftiofur crystalline free acid (long acting formulation)")</f>
        <v>0</v>
      </c>
    </row>
    <row r="148" spans="1:15">
      <c r="J148" s="21" t="s">
        <v>79</v>
      </c>
      <c r="K148" s="21">
        <f>COUNTIF(December!1:1048576,"Penicillin")+COUNTIF(December!1:1048576, "Cefazolin")+COUNTIF(December!1:1048576, "Cephalexin")+COUNTIF(December!1:1048576, "Cefadroxil")</f>
        <v>0</v>
      </c>
      <c r="L148" s="21">
        <f>COUNTIF(December!1:1048576, "Amoxicillin")+COUNTIF(December!1:1048576, "Ampicillin")</f>
        <v>0</v>
      </c>
      <c r="M148" s="21">
        <f>COUNTIF(December!1:1048576, "Cefotaxime")+ COUNTIF(December!1:1048576, "Cefovecin (Convenia)")+COUNTIF(December!1:1048576, "Cefpodoxime Proxetil ")+COUNTIF(December!1:1048576, "Ceftazidime")+COUNTIF(December!1:1048576,"Ceftiofur sodium")+ COUNTIF(December!1:1048576, "Ceftriaxone")+COUNTIF(December!1:1048576, "Chloramphenicol")+COUNTIF(December!1:1048576, "Piperacillin/Tazobactam (Zosyn)")+COUNTIF(December!1:1048576, "Ceftiofur crystalline free acid (long acting formulation)")</f>
        <v>0</v>
      </c>
    </row>
    <row r="149" spans="1:15">
      <c r="K149" s="35" t="s">
        <v>315</v>
      </c>
      <c r="L149" s="35" t="s">
        <v>316</v>
      </c>
      <c r="M149" s="35" t="s">
        <v>317</v>
      </c>
    </row>
    <row r="150" spans="1:15">
      <c r="J150" s="35" t="s">
        <v>239</v>
      </c>
      <c r="K150" s="21">
        <f>SUM(K137:K148)</f>
        <v>0</v>
      </c>
      <c r="L150" s="21">
        <f>SUM(L137:L148)</f>
        <v>0</v>
      </c>
      <c r="M150" s="21">
        <f>SUM(M137:M148)</f>
        <v>0</v>
      </c>
    </row>
    <row r="151" spans="1:15">
      <c r="K151" s="35"/>
      <c r="L151" s="35"/>
      <c r="M151" s="35"/>
      <c r="N151" s="35"/>
    </row>
    <row r="153" spans="1:15">
      <c r="A153" s="21" t="s">
        <v>321</v>
      </c>
      <c r="B153" s="21" t="s">
        <v>68</v>
      </c>
      <c r="C153" s="21" t="s">
        <v>69</v>
      </c>
      <c r="D153" s="21" t="s">
        <v>70</v>
      </c>
      <c r="E153" s="21" t="s">
        <v>71</v>
      </c>
      <c r="F153" s="21" t="s">
        <v>72</v>
      </c>
      <c r="G153" s="21" t="s">
        <v>73</v>
      </c>
      <c r="H153" s="21" t="s">
        <v>74</v>
      </c>
      <c r="I153" s="21" t="s">
        <v>75</v>
      </c>
      <c r="J153" s="21" t="s">
        <v>76</v>
      </c>
      <c r="K153" s="21" t="s">
        <v>77</v>
      </c>
      <c r="L153" s="21" t="s">
        <v>78</v>
      </c>
      <c r="M153" s="21" t="s">
        <v>79</v>
      </c>
      <c r="N153" s="21" t="s">
        <v>239</v>
      </c>
    </row>
    <row r="154" spans="1:15">
      <c r="A154" s="21" t="s">
        <v>12</v>
      </c>
      <c r="B154" s="21">
        <f>COUNTIF(January[Patient Species], "Canine")</f>
        <v>0</v>
      </c>
      <c r="C154" s="21">
        <f>COUNTIF(February[Patient Species], "Canine")</f>
        <v>0</v>
      </c>
      <c r="D154" s="21">
        <f>COUNTIF(March[Patient Species], "Canine")</f>
        <v>0</v>
      </c>
      <c r="E154" s="21">
        <f>COUNTIF(April[Patient Species], "Canine")</f>
        <v>0</v>
      </c>
      <c r="F154" s="21">
        <f>COUNTIF(May[Patient Species], "Canine")</f>
        <v>0</v>
      </c>
      <c r="G154" s="21">
        <f>COUNTIF(June[Patient Species], "Canine")</f>
        <v>0</v>
      </c>
      <c r="H154" s="21">
        <f>COUNTIF(July[Patient Species], "Canine")</f>
        <v>0</v>
      </c>
      <c r="I154" s="21">
        <f>COUNTIF(August[Patient Species], "Canine")</f>
        <v>0</v>
      </c>
      <c r="J154" s="21">
        <f>COUNTIF(September[Patient Species], "Canine")</f>
        <v>0</v>
      </c>
      <c r="K154" s="21">
        <f>COUNTIF(October[Patient Species], "Canine")</f>
        <v>0</v>
      </c>
      <c r="L154" s="21">
        <f>COUNTIF(November[Patient Species], "Canine")</f>
        <v>0</v>
      </c>
      <c r="M154" s="21">
        <f>COUNTIF(December[Patient Species], "Canine")</f>
        <v>0</v>
      </c>
      <c r="N154" s="21" t="s">
        <v>12</v>
      </c>
      <c r="O154" s="21">
        <f>SUM(B154:M154)</f>
        <v>0</v>
      </c>
    </row>
    <row r="155" spans="1:15">
      <c r="A155" s="21" t="s">
        <v>13</v>
      </c>
      <c r="B155" s="21">
        <f>COUNTIF(January[Patient Species], "Feline")</f>
        <v>0</v>
      </c>
      <c r="C155" s="21">
        <f>COUNTIF(February[Patient Species], "Feline")</f>
        <v>0</v>
      </c>
      <c r="D155" s="21">
        <f>COUNTIF(March[Patient Species], "Feline")</f>
        <v>0</v>
      </c>
      <c r="E155" s="21">
        <f>COUNTIF(April[Patient Species], "Feline")</f>
        <v>0</v>
      </c>
      <c r="F155" s="21">
        <f>COUNTIF(May[Patient Species], "Feline")</f>
        <v>0</v>
      </c>
      <c r="G155" s="21">
        <f>COUNTIF(June[Patient Species], "Feline")</f>
        <v>0</v>
      </c>
      <c r="H155" s="21">
        <f>COUNTIF(July[Patient Species], "Feline")</f>
        <v>0</v>
      </c>
      <c r="I155" s="21">
        <f>COUNTIF(August[Patient Species], "Feline")</f>
        <v>0</v>
      </c>
      <c r="J155" s="21">
        <f>COUNTIF(September[Patient Species], "Feline")</f>
        <v>0</v>
      </c>
      <c r="K155" s="21">
        <f>COUNTIF(October[Patient Species], "Feline")</f>
        <v>0</v>
      </c>
      <c r="L155" s="21">
        <f>COUNTIF(November[Patient Species], "Feline")</f>
        <v>0</v>
      </c>
      <c r="M155" s="21">
        <f>COUNTIF(December[Patient Species], "Feline")</f>
        <v>0</v>
      </c>
      <c r="N155" s="21" t="s">
        <v>13</v>
      </c>
      <c r="O155" s="21">
        <f>SUM(B155:M155)</f>
        <v>0</v>
      </c>
    </row>
    <row r="159" spans="1:15">
      <c r="A159" s="21" t="s">
        <v>0</v>
      </c>
    </row>
    <row r="160" spans="1:15">
      <c r="B160" s="21" t="s">
        <v>68</v>
      </c>
      <c r="C160" s="21" t="s">
        <v>69</v>
      </c>
      <c r="D160" s="21" t="s">
        <v>70</v>
      </c>
      <c r="E160" s="21" t="s">
        <v>71</v>
      </c>
      <c r="F160" s="21" t="s">
        <v>72</v>
      </c>
      <c r="G160" s="21" t="s">
        <v>73</v>
      </c>
      <c r="H160" s="21" t="s">
        <v>74</v>
      </c>
      <c r="I160" s="21" t="s">
        <v>75</v>
      </c>
      <c r="J160" s="21" t="s">
        <v>76</v>
      </c>
      <c r="K160" s="21" t="s">
        <v>77</v>
      </c>
      <c r="L160" s="21" t="s">
        <v>78</v>
      </c>
      <c r="M160" s="21" t="s">
        <v>79</v>
      </c>
      <c r="O160" s="21" t="s">
        <v>239</v>
      </c>
    </row>
    <row r="161" spans="1:15">
      <c r="A161" s="21" t="s">
        <v>16</v>
      </c>
      <c r="B161" s="21">
        <f>COUNTIF(January[Patient Sex], "Female Intact")</f>
        <v>0</v>
      </c>
      <c r="C161" s="21">
        <f>COUNTIF(February[Patient Sex], "Female Intact")</f>
        <v>0</v>
      </c>
      <c r="D161" s="21">
        <f>COUNTIF(March[Patient Sex], "Female Intact")</f>
        <v>0</v>
      </c>
      <c r="E161" s="21">
        <f>COUNTIF(April[Patient Sex], "Female Intact")</f>
        <v>0</v>
      </c>
      <c r="F161" s="21">
        <f>COUNTIF(May[Patient Sex], "Female Intact")</f>
        <v>0</v>
      </c>
      <c r="G161" s="21">
        <f>COUNTIF(June[Patient Sex], "Female Intact")</f>
        <v>0</v>
      </c>
      <c r="H161" s="21">
        <f>COUNTIF(July[Patient Sex], "Female Intact")</f>
        <v>0</v>
      </c>
      <c r="I161" s="21">
        <f>COUNTIF(August[Patient Sex], "Female Intact")</f>
        <v>0</v>
      </c>
      <c r="J161" s="21">
        <f>COUNTIF(September[Patient Sex], "Female Intact")</f>
        <v>0</v>
      </c>
      <c r="K161" s="21">
        <f>COUNTIF(October[Patient Sex], "Female Intact")</f>
        <v>0</v>
      </c>
      <c r="L161" s="21">
        <f>COUNTIF(November[Patient Sex], "Female Intact")</f>
        <v>0</v>
      </c>
      <c r="M161" s="21">
        <f>COUNTIF(December[Patient Sex], "Female Intact")</f>
        <v>0</v>
      </c>
      <c r="N161" s="21" t="s">
        <v>16</v>
      </c>
      <c r="O161" s="21">
        <f>SUM(B161:M161)</f>
        <v>0</v>
      </c>
    </row>
    <row r="162" spans="1:15">
      <c r="A162" s="21" t="s">
        <v>17</v>
      </c>
      <c r="B162" s="21">
        <f>COUNTIF(January[Patient Sex], "Female Spayed")</f>
        <v>0</v>
      </c>
      <c r="C162" s="21">
        <f>COUNTIF(February[Patient Sex], "Female Spayed")</f>
        <v>0</v>
      </c>
      <c r="D162" s="21">
        <f>COUNTIF(March[Patient Sex], "Female Spayed")</f>
        <v>0</v>
      </c>
      <c r="E162" s="21">
        <f>COUNTIF(April[Patient Sex], "Female Spayed")</f>
        <v>0</v>
      </c>
      <c r="F162" s="21">
        <f>COUNTIF(May[Patient Sex], "Female Spayed")</f>
        <v>0</v>
      </c>
      <c r="G162" s="21">
        <f>COUNTIF(June[Patient Sex], "Female Spayed")</f>
        <v>0</v>
      </c>
      <c r="H162" s="21">
        <f>COUNTIF(July[Patient Sex], "Female Spayed")</f>
        <v>0</v>
      </c>
      <c r="I162" s="21">
        <f>COUNTIF(August[Patient Sex], "Female Spayed")</f>
        <v>0</v>
      </c>
      <c r="J162" s="21">
        <f>COUNTIF(September[Patient Sex], "Female Spayed")</f>
        <v>0</v>
      </c>
      <c r="K162" s="21">
        <f>COUNTIF(October[Patient Sex], "Female Spayed")</f>
        <v>0</v>
      </c>
      <c r="L162" s="21">
        <f>COUNTIF(November[Patient Sex], "Female Spayed")</f>
        <v>0</v>
      </c>
      <c r="M162" s="21">
        <f>COUNTIF(December[Patient Sex], "Female Spayed")</f>
        <v>0</v>
      </c>
      <c r="N162" s="21" t="s">
        <v>17</v>
      </c>
      <c r="O162" s="21">
        <f>SUM(B162:M162)</f>
        <v>0</v>
      </c>
    </row>
    <row r="163" spans="1:15">
      <c r="A163" s="21" t="s">
        <v>14</v>
      </c>
      <c r="B163" s="21">
        <f>COUNTIF(January[Patient Sex], "Male Intact")</f>
        <v>0</v>
      </c>
      <c r="C163" s="21">
        <f>COUNTIF(February[Patient Sex], "Male Intact")</f>
        <v>0</v>
      </c>
      <c r="D163" s="21">
        <f>COUNTIF(March[Patient Sex], "Male Intact")</f>
        <v>0</v>
      </c>
      <c r="E163" s="21">
        <f>COUNTIF(April[Patient Sex], "Male Intact")</f>
        <v>0</v>
      </c>
      <c r="F163" s="21">
        <f>COUNTIF(May[Patient Sex], "Male Intact")</f>
        <v>0</v>
      </c>
      <c r="G163" s="21">
        <f>COUNTIF(June[Patient Sex], "Male Intact")</f>
        <v>0</v>
      </c>
      <c r="H163" s="21">
        <f>COUNTIF(July[Patient Sex], "Male Intact")</f>
        <v>0</v>
      </c>
      <c r="I163" s="21">
        <f>COUNTIF(August[Patient Sex], "Male Intact")</f>
        <v>0</v>
      </c>
      <c r="J163" s="21">
        <f>COUNTIF(September[Patient Sex], "Male Intact")</f>
        <v>0</v>
      </c>
      <c r="K163" s="21">
        <f>COUNTIF(October[Patient Sex], "Male Intact")</f>
        <v>0</v>
      </c>
      <c r="L163" s="21">
        <f>COUNTIF(November[Patient Sex], "Male Intact")</f>
        <v>0</v>
      </c>
      <c r="M163" s="21">
        <f>COUNTIF(December[Patient Sex], "Male Intact")</f>
        <v>0</v>
      </c>
      <c r="N163" s="21" t="s">
        <v>14</v>
      </c>
      <c r="O163" s="21">
        <f>SUM(B163:M163)</f>
        <v>0</v>
      </c>
    </row>
    <row r="164" spans="1:15">
      <c r="A164" s="21" t="s">
        <v>15</v>
      </c>
      <c r="B164" s="21">
        <f>COUNTIF(January[Patient Sex], "Male Neutered")</f>
        <v>0</v>
      </c>
      <c r="C164" s="21">
        <f>COUNTIF(February[Patient Sex], "Male Neutered")</f>
        <v>0</v>
      </c>
      <c r="D164" s="21">
        <f>COUNTIF(March[Patient Sex], "Male Neutered")</f>
        <v>0</v>
      </c>
      <c r="E164" s="21">
        <f>COUNTIF(April[Patient Sex], "Male Neutered")</f>
        <v>0</v>
      </c>
      <c r="F164" s="21">
        <f>COUNTIF(May[Patient Sex], "Male Neutered")</f>
        <v>0</v>
      </c>
      <c r="G164" s="21">
        <f>COUNTIF(June[Patient Sex], "Male Neutered")</f>
        <v>0</v>
      </c>
      <c r="H164" s="21">
        <f>COUNTIF(July[Patient Sex], "Male Neutered")</f>
        <v>0</v>
      </c>
      <c r="I164" s="21">
        <f>COUNTIF(August[Patient Sex], "Male Neutered")</f>
        <v>0</v>
      </c>
      <c r="J164" s="21">
        <f>COUNTIF(September[Patient Sex], "Male Neutered")</f>
        <v>0</v>
      </c>
      <c r="K164" s="21">
        <f>COUNTIF(October[Patient Sex], "Male Neutered")</f>
        <v>0</v>
      </c>
      <c r="L164" s="21">
        <f>COUNTIF(November[Patient Sex], "Male Neutered")</f>
        <v>0</v>
      </c>
      <c r="M164" s="21">
        <f>COUNTIF(December[Patient Sex], "Male Neutered")</f>
        <v>0</v>
      </c>
      <c r="N164" s="21" t="s">
        <v>15</v>
      </c>
      <c r="O164" s="21">
        <f>SUM(B164:M164)</f>
        <v>0</v>
      </c>
    </row>
    <row r="170" spans="1:15">
      <c r="A170" s="21" t="s">
        <v>111</v>
      </c>
      <c r="B170" s="21" t="s">
        <v>68</v>
      </c>
      <c r="C170" s="21" t="s">
        <v>69</v>
      </c>
      <c r="D170" s="21" t="s">
        <v>70</v>
      </c>
      <c r="E170" s="21" t="s">
        <v>71</v>
      </c>
      <c r="F170" s="21" t="s">
        <v>72</v>
      </c>
      <c r="G170" s="21" t="s">
        <v>73</v>
      </c>
      <c r="H170" s="21" t="s">
        <v>74</v>
      </c>
      <c r="I170" s="21" t="s">
        <v>75</v>
      </c>
      <c r="J170" s="21" t="s">
        <v>76</v>
      </c>
      <c r="K170" s="21" t="s">
        <v>77</v>
      </c>
      <c r="L170" s="21" t="s">
        <v>78</v>
      </c>
      <c r="M170" s="21" t="s">
        <v>79</v>
      </c>
      <c r="O170" s="21" t="s">
        <v>239</v>
      </c>
    </row>
    <row r="171" spans="1:15">
      <c r="A171" s="41" t="s">
        <v>117</v>
      </c>
      <c r="B171" s="21">
        <f>COUNTIF(January[Patient Age], "0-4 months")</f>
        <v>0</v>
      </c>
      <c r="C171" s="21">
        <f>COUNTIF(February[Patient Age], "0-4 months")</f>
        <v>0</v>
      </c>
      <c r="D171" s="21">
        <f>COUNTIF(March[Patient Age], "0-4 months")</f>
        <v>0</v>
      </c>
      <c r="E171" s="21">
        <f>COUNTIF(April[Patient Age], "0-4 months")</f>
        <v>0</v>
      </c>
      <c r="F171" s="21">
        <f>COUNTIF(May[Patient Age], "0-4 months")</f>
        <v>0</v>
      </c>
      <c r="G171" s="21">
        <f>COUNTIF(June[Patient Age], "0-4 months")</f>
        <v>0</v>
      </c>
      <c r="H171" s="21">
        <f>COUNTIF(July[Patient Age], "0-4 months")</f>
        <v>0</v>
      </c>
      <c r="I171" s="21">
        <f>COUNTIF(August[Patient Age], "0-4 months")</f>
        <v>0</v>
      </c>
      <c r="J171" s="21">
        <f>COUNTIF(September[Patient Age], "0-4 months")</f>
        <v>0</v>
      </c>
      <c r="K171" s="21">
        <f>COUNTIF(October[Patient Age], "0-4 months")</f>
        <v>0</v>
      </c>
      <c r="L171" s="21">
        <f>COUNTIF(November[Patient Age], "0-4 months")</f>
        <v>0</v>
      </c>
      <c r="M171" s="21">
        <f>COUNTIF(December[Patient Age], "0-4 months")</f>
        <v>0</v>
      </c>
      <c r="N171" s="41" t="s">
        <v>117</v>
      </c>
      <c r="O171" s="21">
        <f t="shared" ref="O171:O176" si="3">SUM(B171:M171)</f>
        <v>0</v>
      </c>
    </row>
    <row r="172" spans="1:15">
      <c r="A172" s="42" t="s">
        <v>245</v>
      </c>
      <c r="B172" s="21">
        <f>COUNTIF(January[Patient Age], "=&gt;4-12 months")</f>
        <v>0</v>
      </c>
      <c r="C172" s="21">
        <f>COUNTIF(February[Patient Age], "=&gt;4-12 months")</f>
        <v>0</v>
      </c>
      <c r="D172" s="21">
        <f>COUNTIF(March[Patient Age], "=&gt;4-12 months")</f>
        <v>0</v>
      </c>
      <c r="E172" s="21">
        <f>COUNTIF(April[Patient Age], "=&gt;4-12 months")</f>
        <v>0</v>
      </c>
      <c r="F172" s="21">
        <f>COUNTIF(May[Patient Age], "=&gt;4-12 months")</f>
        <v>0</v>
      </c>
      <c r="G172" s="21">
        <f>COUNTIF(June[Patient Age], "=&gt;4-12 months")</f>
        <v>0</v>
      </c>
      <c r="H172" s="21">
        <f>COUNTIF(July[Patient Age], "=&gt;4-12 months")</f>
        <v>0</v>
      </c>
      <c r="I172" s="21">
        <f>COUNTIF(August[Patient Age], "=&gt;4-12 months")</f>
        <v>0</v>
      </c>
      <c r="J172" s="21">
        <f>COUNTIF(September[Patient Age], "=&gt;4-12 months")</f>
        <v>0</v>
      </c>
      <c r="K172" s="21">
        <f>COUNTIF(October[Patient Age], "=&gt;4-12 months")</f>
        <v>0</v>
      </c>
      <c r="L172" s="21">
        <f>COUNTIF(November[Patient Age], "=&gt;4-12 months")</f>
        <v>0</v>
      </c>
      <c r="M172" s="21">
        <f>COUNTIF(December[Patient Age], "=&gt;4-12 months")</f>
        <v>0</v>
      </c>
      <c r="N172" s="42" t="s">
        <v>245</v>
      </c>
      <c r="O172" s="21">
        <f t="shared" si="3"/>
        <v>0</v>
      </c>
    </row>
    <row r="173" spans="1:15">
      <c r="A173" s="41" t="s">
        <v>246</v>
      </c>
      <c r="B173" s="21">
        <f>COUNTIF(January[Patient Age], "=&gt;1-3 years")</f>
        <v>0</v>
      </c>
      <c r="C173" s="21">
        <f>COUNTIF(February[Patient Age], "=&gt;1-3 years")</f>
        <v>0</v>
      </c>
      <c r="D173" s="21">
        <f>COUNTIF(March[Patient Age], "=&gt;1-3 years")</f>
        <v>0</v>
      </c>
      <c r="E173" s="21">
        <f>COUNTIF(April[Patient Age], "=&gt;1-3 years")</f>
        <v>0</v>
      </c>
      <c r="F173" s="21">
        <f>COUNTIF(May[Patient Age], "=&gt;1-3 years")</f>
        <v>0</v>
      </c>
      <c r="G173" s="21">
        <f>COUNTIF(June[Patient Age], "=&gt;1-3 years")</f>
        <v>0</v>
      </c>
      <c r="H173" s="21">
        <f>COUNTIF(July[Patient Age], "=&gt;1-3 years")</f>
        <v>0</v>
      </c>
      <c r="I173" s="21">
        <f>COUNTIF(August[Patient Age], "=&gt;1-3 years")</f>
        <v>0</v>
      </c>
      <c r="J173" s="21">
        <f>COUNTIF(September[Patient Age], "=&gt;1-3 years")</f>
        <v>0</v>
      </c>
      <c r="K173" s="21">
        <f>COUNTIF(October[Patient Age], "=&gt;1-3 years")</f>
        <v>0</v>
      </c>
      <c r="L173" s="21">
        <f>COUNTIF(November[Patient Age], "=&gt;1-3 years")</f>
        <v>0</v>
      </c>
      <c r="M173" s="21">
        <f>COUNTIF(December[Patient Age], "=&gt;1-3 years")</f>
        <v>0</v>
      </c>
      <c r="N173" s="41" t="s">
        <v>246</v>
      </c>
      <c r="O173" s="21">
        <f t="shared" si="3"/>
        <v>0</v>
      </c>
    </row>
    <row r="174" spans="1:15">
      <c r="A174" s="42" t="s">
        <v>247</v>
      </c>
      <c r="B174" s="21">
        <f>COUNTIF(January[Patient Age], "=&gt;3-7 years")</f>
        <v>0</v>
      </c>
      <c r="C174" s="21">
        <f>COUNTIF(February[Patient Age], "=&gt;3-7 years")</f>
        <v>0</v>
      </c>
      <c r="D174" s="21">
        <f>COUNTIF(March[Patient Age], "=&gt;3-7 years")</f>
        <v>0</v>
      </c>
      <c r="E174" s="21">
        <f>COUNTIF(April[Patient Age], "=&gt;3-7 years")</f>
        <v>0</v>
      </c>
      <c r="F174" s="21">
        <f>COUNTIF(May[Patient Age], "=&gt;3-7 years")</f>
        <v>0</v>
      </c>
      <c r="G174" s="21">
        <f>COUNTIF(June[Patient Age], "=&gt;3-7 years")</f>
        <v>0</v>
      </c>
      <c r="H174" s="21">
        <f>COUNTIF(July[Patient Age], "=&gt;3-7 years")</f>
        <v>0</v>
      </c>
      <c r="I174" s="21">
        <f>COUNTIF(August[Patient Age], "=&gt;3-7 years")</f>
        <v>0</v>
      </c>
      <c r="J174" s="21">
        <f>COUNTIF(September[Patient Age], "=&gt;3-7 years")</f>
        <v>0</v>
      </c>
      <c r="K174" s="21">
        <f>COUNTIF(October[Patient Age], "=&gt;3-7 years")</f>
        <v>0</v>
      </c>
      <c r="L174" s="21">
        <f>COUNTIF(November[Patient Age], "=&gt;3-7 years")</f>
        <v>0</v>
      </c>
      <c r="M174" s="21">
        <f>COUNTIF(December[Patient Age], "=&gt;3-7 years")</f>
        <v>0</v>
      </c>
      <c r="N174" s="42" t="s">
        <v>247</v>
      </c>
      <c r="O174" s="21">
        <f t="shared" si="3"/>
        <v>0</v>
      </c>
    </row>
    <row r="175" spans="1:15">
      <c r="A175" s="41" t="s">
        <v>248</v>
      </c>
      <c r="B175" s="21">
        <f>COUNTIF(January[Patient Age], "=&gt;7-10 years")</f>
        <v>0</v>
      </c>
      <c r="C175" s="21">
        <f>COUNTIF(February[Patient Age], "=&gt;7-10 years")</f>
        <v>0</v>
      </c>
      <c r="D175" s="21">
        <f>COUNTIF(March[Patient Age], "=&gt;7-10 years")</f>
        <v>0</v>
      </c>
      <c r="E175" s="21">
        <f>COUNTIF(April[Patient Age], "=&gt;7-10 years")</f>
        <v>0</v>
      </c>
      <c r="F175" s="21">
        <f>COUNTIF(May[Patient Age], "=&gt;7-10 years")</f>
        <v>0</v>
      </c>
      <c r="G175" s="21">
        <f>COUNTIF(June[Patient Age], "=&gt;7-10 years")</f>
        <v>0</v>
      </c>
      <c r="H175" s="21">
        <f>COUNTIF(July[Patient Age], "=&gt;7-10 years")</f>
        <v>0</v>
      </c>
      <c r="I175" s="21">
        <f>COUNTIF(August[Patient Age], "=&gt;7-10 years")</f>
        <v>0</v>
      </c>
      <c r="J175" s="21">
        <f>COUNTIF(September[Patient Age], "=&gt;7-10 years")</f>
        <v>0</v>
      </c>
      <c r="K175" s="21">
        <f>COUNTIF(October[Patient Age], "=&gt;7-10 years")</f>
        <v>0</v>
      </c>
      <c r="L175" s="21">
        <f>COUNTIF(November[Patient Age], "=&gt;7-10 years")</f>
        <v>0</v>
      </c>
      <c r="M175" s="21">
        <f>COUNTIF(December[Patient Age], "=&gt;7-10 years")</f>
        <v>0</v>
      </c>
      <c r="N175" s="41" t="s">
        <v>248</v>
      </c>
      <c r="O175" s="21">
        <f t="shared" si="3"/>
        <v>0</v>
      </c>
    </row>
    <row r="176" spans="1:15">
      <c r="A176" s="42" t="s">
        <v>123</v>
      </c>
      <c r="B176" s="21">
        <f>COUNTIF(January[Patient Age], "=&gt;10 years")</f>
        <v>0</v>
      </c>
      <c r="C176" s="21">
        <f>COUNTIF(February[Patient Age], "=&gt;10 years")</f>
        <v>0</v>
      </c>
      <c r="D176" s="21">
        <f>COUNTIF(March[Patient Age], "=&gt;10 years")</f>
        <v>0</v>
      </c>
      <c r="E176" s="21">
        <f>COUNTIF(April[Patient Age], "=&gt;10 years")</f>
        <v>0</v>
      </c>
      <c r="F176" s="21">
        <f>COUNTIF(May[Patient Age], "=&gt;10 years")</f>
        <v>0</v>
      </c>
      <c r="G176" s="21">
        <f>COUNTIF(June[Patient Age], "=&gt;10 years")</f>
        <v>0</v>
      </c>
      <c r="H176" s="21">
        <f>COUNTIF(July[Patient Age], "=&gt;10 years")</f>
        <v>0</v>
      </c>
      <c r="I176" s="21">
        <f>COUNTIF(August[Patient Age], "=&gt;10 years")</f>
        <v>0</v>
      </c>
      <c r="J176" s="21">
        <f>COUNTIF(September[Patient Age], "=&gt;10 years")</f>
        <v>0</v>
      </c>
      <c r="K176" s="21">
        <f>COUNTIF(October[Patient Age], "=&gt;10 years")</f>
        <v>0</v>
      </c>
      <c r="L176" s="21">
        <f>COUNTIF(November[Patient Age], "=&gt;10 years")</f>
        <v>0</v>
      </c>
      <c r="M176" s="21">
        <f>COUNTIF(December[Patient Age], "=&gt;10 years")</f>
        <v>0</v>
      </c>
      <c r="N176" s="42" t="s">
        <v>123</v>
      </c>
      <c r="O176" s="21">
        <f t="shared" si="3"/>
        <v>0</v>
      </c>
    </row>
    <row r="179" spans="1:15">
      <c r="A179" s="21" t="s">
        <v>341</v>
      </c>
      <c r="B179" s="21" t="s">
        <v>68</v>
      </c>
      <c r="C179" s="21" t="s">
        <v>69</v>
      </c>
      <c r="D179" s="21" t="s">
        <v>70</v>
      </c>
      <c r="E179" s="21" t="s">
        <v>71</v>
      </c>
      <c r="F179" s="21" t="s">
        <v>72</v>
      </c>
      <c r="G179" s="21" t="s">
        <v>73</v>
      </c>
      <c r="H179" s="21" t="s">
        <v>74</v>
      </c>
      <c r="I179" s="21" t="s">
        <v>75</v>
      </c>
      <c r="J179" s="21" t="s">
        <v>76</v>
      </c>
      <c r="K179" s="21" t="s">
        <v>77</v>
      </c>
      <c r="L179" s="21" t="s">
        <v>78</v>
      </c>
      <c r="M179" s="21" t="s">
        <v>79</v>
      </c>
      <c r="O179" s="21" t="s">
        <v>239</v>
      </c>
    </row>
    <row r="180" spans="1:15">
      <c r="A180" s="22" t="s">
        <v>18</v>
      </c>
      <c r="B180" s="21">
        <f>COUNTIF(January[Reason for Visit], "Preventive Care")</f>
        <v>0</v>
      </c>
      <c r="C180" s="21">
        <f>COUNTIF(February[Reason for Visit], "Preventive Care")</f>
        <v>0</v>
      </c>
      <c r="D180" s="21">
        <f>COUNTIF(March[Reason for Visit], "Preventive Care")</f>
        <v>0</v>
      </c>
      <c r="E180" s="21">
        <f>COUNTIF(April[Reason for Visit], "Preventive Care")</f>
        <v>0</v>
      </c>
      <c r="F180" s="21">
        <f>COUNTIF(May[Reason for Visit], "Preventive Care")</f>
        <v>0</v>
      </c>
      <c r="G180" s="21">
        <f>COUNTIF(June[Reason for Visit], "Preventive Care")</f>
        <v>0</v>
      </c>
      <c r="H180" s="21">
        <f>COUNTIF(July[Reason for Visit], "Preventive Care")</f>
        <v>0</v>
      </c>
      <c r="I180" s="21">
        <f>COUNTIF(August[Reason for Visit], "Preventive Care")</f>
        <v>0</v>
      </c>
      <c r="J180" s="21">
        <f>COUNTIF(September[Reason for Visit], "Preventive Care")</f>
        <v>0</v>
      </c>
      <c r="K180" s="35">
        <f>COUNTIF(October[Reason for Visit], "Preventive Care")</f>
        <v>0</v>
      </c>
      <c r="L180" s="35">
        <f>COUNTIF(November[Reason for Visit], "Preventive Care")</f>
        <v>0</v>
      </c>
      <c r="M180" s="35">
        <f>COUNTIF(December[Reason for Visit], "Preventive Care")</f>
        <v>0</v>
      </c>
      <c r="N180" s="22" t="s">
        <v>18</v>
      </c>
      <c r="O180" s="35">
        <f t="shared" ref="O180:O185" si="4">SUM(B180:M180)</f>
        <v>0</v>
      </c>
    </row>
    <row r="181" spans="1:15">
      <c r="A181" s="11" t="s">
        <v>19</v>
      </c>
      <c r="B181" s="21">
        <f>COUNTIF(January[Reason for Visit], "Re-check")</f>
        <v>0</v>
      </c>
      <c r="C181" s="21">
        <f>COUNTIF(February[Reason for Visit], "Re-check")</f>
        <v>0</v>
      </c>
      <c r="D181" s="21">
        <f>COUNTIF(March[Reason for Visit], "Re-check")</f>
        <v>0</v>
      </c>
      <c r="E181" s="21">
        <f>COUNTIF(April[Reason for Visit], "Re-check")</f>
        <v>0</v>
      </c>
      <c r="F181" s="21">
        <f>COUNTIF(May[Reason for Visit], "Re-check")</f>
        <v>0</v>
      </c>
      <c r="G181" s="21">
        <f>COUNTIF(June[Reason for Visit], "Re-check")</f>
        <v>0</v>
      </c>
      <c r="H181" s="21">
        <f>COUNTIF(July[Reason for Visit], "Re-check")</f>
        <v>0</v>
      </c>
      <c r="I181" s="21">
        <f>COUNTIF(August[Reason for Visit], "Re-check")</f>
        <v>0</v>
      </c>
      <c r="J181" s="21">
        <f>COUNTIF(September[Reason for Visit], "Re-check")</f>
        <v>0</v>
      </c>
      <c r="K181" s="21">
        <f>COUNTIF(October[Reason for Visit], "Re-check")</f>
        <v>0</v>
      </c>
      <c r="L181" s="21">
        <f>COUNTIF(November[Reason for Visit], "Re-check")</f>
        <v>0</v>
      </c>
      <c r="M181" s="21">
        <f>COUNTIF(December[Reason for Visit], "Re-check")</f>
        <v>0</v>
      </c>
      <c r="N181" s="11" t="s">
        <v>19</v>
      </c>
      <c r="O181" s="21">
        <f t="shared" si="4"/>
        <v>0</v>
      </c>
    </row>
    <row r="182" spans="1:15">
      <c r="A182" s="22" t="s">
        <v>20</v>
      </c>
      <c r="B182" s="21">
        <f>COUNTIF(January[Reason for Visit], "Sick")</f>
        <v>0</v>
      </c>
      <c r="C182" s="21">
        <f>COUNTIF(February[Reason for Visit], "Sick")</f>
        <v>0</v>
      </c>
      <c r="D182" s="21">
        <f>COUNTIF(March[Reason for Visit], "Sick")</f>
        <v>0</v>
      </c>
      <c r="E182" s="21">
        <f>COUNTIF(April[Reason for Visit], "Sick")</f>
        <v>0</v>
      </c>
      <c r="F182" s="21">
        <f>COUNTIF(May[Reason for Visit], "Sick")</f>
        <v>0</v>
      </c>
      <c r="G182" s="21">
        <f>COUNTIF(June[Reason for Visit], "Sick")</f>
        <v>0</v>
      </c>
      <c r="H182" s="21">
        <f>COUNTIF(July[Reason for Visit], "Sick")</f>
        <v>0</v>
      </c>
      <c r="I182" s="21">
        <f>COUNTIF(August[Reason for Visit], "Sick")</f>
        <v>0</v>
      </c>
      <c r="J182" s="21">
        <f>COUNTIF(September[Reason for Visit], "Sick")</f>
        <v>0</v>
      </c>
      <c r="K182" s="21">
        <f>COUNTIF(October[Reason for Visit], "Sick")</f>
        <v>0</v>
      </c>
      <c r="L182" s="21">
        <f>COUNTIF(November[Reason for Visit], "Sick")</f>
        <v>0</v>
      </c>
      <c r="M182" s="21">
        <f>COUNTIF(December[Reason for Visit], "Sick")</f>
        <v>0</v>
      </c>
      <c r="N182" s="22" t="s">
        <v>20</v>
      </c>
      <c r="O182" s="21">
        <f t="shared" si="4"/>
        <v>0</v>
      </c>
    </row>
    <row r="183" spans="1:15">
      <c r="A183" s="11" t="s">
        <v>149</v>
      </c>
      <c r="B183" s="21">
        <f>COUNTIF(January[Reason for Visit], "Surgery/Procedure")</f>
        <v>0</v>
      </c>
      <c r="C183" s="21">
        <f>COUNTIF(February[Reason for Visit], "Surgery/Procedure")</f>
        <v>0</v>
      </c>
      <c r="D183" s="21">
        <f>COUNTIF(March[Reason for Visit], "Surgery/Procedure")</f>
        <v>0</v>
      </c>
      <c r="E183" s="21">
        <f>COUNTIF(April[Reason for Visit], "Surgery/Procedure")</f>
        <v>0</v>
      </c>
      <c r="F183" s="21">
        <f>COUNTIF(May[Reason for Visit], "Surgery/Procedure")</f>
        <v>0</v>
      </c>
      <c r="G183" s="21">
        <f>COUNTIF(June[Reason for Visit], "Surgery/Procedure")</f>
        <v>0</v>
      </c>
      <c r="H183" s="21">
        <f>COUNTIF(July[Reason for Visit], "Surgery/Procedure")</f>
        <v>0</v>
      </c>
      <c r="I183" s="21">
        <f>COUNTIF(August[Reason for Visit], "Surgery/Procedure")</f>
        <v>0</v>
      </c>
      <c r="J183" s="21">
        <f>COUNTIF(September[Reason for Visit], "Surgery/Procedure")</f>
        <v>0</v>
      </c>
      <c r="K183" s="21">
        <f>COUNTIF(October[Reason for Visit], "Surgery/Procedure")</f>
        <v>0</v>
      </c>
      <c r="L183" s="21">
        <f>COUNTIF(November[Reason for Visit], "Surgery/Procedure")</f>
        <v>0</v>
      </c>
      <c r="M183" s="21">
        <f>COUNTIF(December[Reason for Visit], "Surgery/Procedure")</f>
        <v>0</v>
      </c>
      <c r="N183" s="11" t="s">
        <v>149</v>
      </c>
      <c r="O183" s="21">
        <f t="shared" si="4"/>
        <v>0</v>
      </c>
    </row>
    <row r="184" spans="1:15">
      <c r="A184" s="22" t="s">
        <v>320</v>
      </c>
      <c r="B184" s="21">
        <f>COUNTIF(January[Reason for Visit], "Euthanasia")</f>
        <v>0</v>
      </c>
      <c r="C184" s="21">
        <f>COUNTIF(February[Reason for Visit], "Euthanasia")</f>
        <v>0</v>
      </c>
      <c r="D184" s="21">
        <f>COUNTIF(March[Reason for Visit], "Euthanasia")</f>
        <v>0</v>
      </c>
      <c r="E184" s="21">
        <f>COUNTIF(April[Reason for Visit], "Euthanasia")</f>
        <v>0</v>
      </c>
      <c r="F184" s="21">
        <f>COUNTIF(May[Reason for Visit], "Euthanasia")</f>
        <v>0</v>
      </c>
      <c r="G184" s="21">
        <f>COUNTIF(June[Reason for Visit], "Euthanasia")</f>
        <v>0</v>
      </c>
      <c r="H184" s="21">
        <f>COUNTIF(July[Reason for Visit], "Euthanasia")</f>
        <v>0</v>
      </c>
      <c r="I184" s="21">
        <f>COUNTIF(August[Reason for Visit], "Euthanasia")</f>
        <v>0</v>
      </c>
      <c r="J184" s="21">
        <f>COUNTIF(September[Reason for Visit], "Euthanasia")</f>
        <v>0</v>
      </c>
      <c r="K184" s="21">
        <f>COUNTIF(October[Reason for Visit], "Euthanasia")</f>
        <v>0</v>
      </c>
      <c r="L184" s="21">
        <f>COUNTIF(November[Reason for Visit], "Euthanasia")</f>
        <v>0</v>
      </c>
      <c r="M184" s="21">
        <f>COUNTIF(December[Reason for Visit], "Euthanasia")</f>
        <v>0</v>
      </c>
      <c r="N184" s="22" t="s">
        <v>320</v>
      </c>
      <c r="O184" s="21">
        <f t="shared" si="4"/>
        <v>0</v>
      </c>
    </row>
    <row r="185" spans="1:15">
      <c r="A185" s="11" t="s">
        <v>21</v>
      </c>
      <c r="B185" s="21">
        <f>COUNTIF(January[Reason for Visit], "Other")</f>
        <v>0</v>
      </c>
      <c r="C185" s="21">
        <f>COUNTIF(February[Reason for Visit], "Other")</f>
        <v>0</v>
      </c>
      <c r="D185" s="21">
        <f>COUNTIF(March[Reason for Visit], "Other")</f>
        <v>0</v>
      </c>
      <c r="E185" s="21">
        <f>COUNTIF(April[Reason for Visit], "Other")</f>
        <v>0</v>
      </c>
      <c r="F185" s="21">
        <f>COUNTIF(May[Reason for Visit], "Other")</f>
        <v>0</v>
      </c>
      <c r="G185" s="21">
        <f>COUNTIF(June[Reason for Visit], "Other")</f>
        <v>0</v>
      </c>
      <c r="H185" s="21">
        <f>COUNTIF(July[Reason for Visit], "Other")</f>
        <v>0</v>
      </c>
      <c r="I185" s="21">
        <f>COUNTIF(August[Reason for Visit], "Other")</f>
        <v>0</v>
      </c>
      <c r="J185" s="21">
        <f>COUNTIF(September[Reason for Visit], "Other")</f>
        <v>0</v>
      </c>
      <c r="K185" s="21">
        <f>COUNTIF(October[Reason for Visit], "Other")</f>
        <v>0</v>
      </c>
      <c r="L185" s="21">
        <f>COUNTIF(November[Reason for Visit], "Other")</f>
        <v>0</v>
      </c>
      <c r="M185" s="21">
        <f>COUNTIF(December[Reason for Visit], "Other")</f>
        <v>0</v>
      </c>
      <c r="N185" s="11" t="s">
        <v>21</v>
      </c>
      <c r="O185" s="21">
        <f t="shared" si="4"/>
        <v>0</v>
      </c>
    </row>
  </sheetData>
  <sheetProtection algorithmName="SHA-512" hashValue="I6lgjAALqbCC8vYiqQ7K4VNvPtLK9oxqolzqgxnIInx92j8m0kC18OoK+3nVuX8gWGyyKzi+n4QtghkTDO5jZw==" saltValue="ZSXO3jIpJiq9IkC4JdHjhg==" spinCount="100000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pane="bottomLeft" activeCell="A4" sqref="A4"/>
    </sheetView>
  </sheetViews>
  <sheetFormatPr defaultColWidth="10.83203125" defaultRowHeight="15.5"/>
  <cols>
    <col min="1" max="16" width="10.83203125" style="24"/>
    <col min="17" max="17" width="14.1640625" style="24" customWidth="1"/>
    <col min="18" max="18" width="15.83203125" style="24" customWidth="1"/>
    <col min="19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IFERROR(VLOOKUP(January[[#This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IFERROR(VLOOKUP(January[[#This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IFERROR(VLOOKUP(January[[#This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IFERROR(VLOOKUP(January[[#This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IFERROR(VLOOKUP(January[[#This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IFERROR(VLOOKUP(January[[#This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IFERROR(VLOOKUP(January[[#This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IFERROR(VLOOKUP(January[[#This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IFERROR(VLOOKUP(January[[#This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IFERROR(VLOOKUP(January[[#This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IFERROR(VLOOKUP(January[[#This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IFERROR(VLOOKUP(January[[#This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IFERROR(VLOOKUP(January[[#This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IFERROR(VLOOKUP(January[[#This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IFERROR(VLOOKUP(January[[#This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IFERROR(VLOOKUP(January[[#This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IFERROR(VLOOKUP(January[[#This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IFERROR(VLOOKUP(January[[#This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IFERROR(VLOOKUP(January[[#This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IFERROR(VLOOKUP(January[[#This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IFERROR(VLOOKUP(January[[#This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IFERROR(VLOOKUP(January[[#This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IFERROR(VLOOKUP(January[[#This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IFERROR(VLOOKUP(January[[#This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IFERROR(VLOOKUP(January[[#This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IFERROR(VLOOKUP(January[[#This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IFERROR(VLOOKUP(January[[#This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IFERROR(VLOOKUP(January[[#This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IFERROR(VLOOKUP(January[[#This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IFERROR(VLOOKUP(January[[#This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IFERROR(VLOOKUP(January[[#This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IFERROR(VLOOKUP(January[[#This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IFERROR(VLOOKUP(January[[#This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IFERROR(VLOOKUP(January[[#This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IFERROR(VLOOKUP(January[[#This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IFERROR(VLOOKUP(January[[#This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IFERROR(VLOOKUP(January[[#This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IFERROR(VLOOKUP(January[[#This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IFERROR(VLOOKUP(January[[#This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IFERROR(VLOOKUP(January[[#This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IFERROR(VLOOKUP(January[[#This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IFERROR(VLOOKUP(January[[#This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IFERROR(VLOOKUP(January[[#This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IFERROR(VLOOKUP(January[[#This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IFERROR(VLOOKUP(January[[#This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IFERROR(VLOOKUP(January[[#This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IFERROR(VLOOKUP(January[[#This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IFERROR(VLOOKUP(January[[#This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IFERROR(VLOOKUP(January[[#This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IFERROR(VLOOKUP(January[[#This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IFERROR(VLOOKUP(January[[#This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IFERROR(VLOOKUP(January[[#This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IFERROR(VLOOKUP(January[[#This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IFERROR(VLOOKUP(January[[#This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IFERROR(VLOOKUP(January[[#This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IFERROR(VLOOKUP(January[[#This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IFERROR(VLOOKUP(January[[#This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IFERROR(VLOOKUP(January[[#This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IFERROR(VLOOKUP(January[[#This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IFERROR(VLOOKUP(January[[#This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IFERROR(VLOOKUP(January[[#This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IFERROR(VLOOKUP(January[[#This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IFERROR(VLOOKUP(January[[#This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IFERROR(VLOOKUP(January[[#This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IFERROR(VLOOKUP(January[[#This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IFERROR(VLOOKUP(January[[#This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IFERROR(VLOOKUP(January[[#This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IFERROR(VLOOKUP(January[[#This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IFERROR(VLOOKUP(January[[#This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IFERROR(VLOOKUP(January[[#This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IFERROR(VLOOKUP(January[[#This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IFERROR(VLOOKUP(January[[#This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IFERROR(VLOOKUP(January[[#This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IFERROR(VLOOKUP(January[[#This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IFERROR(VLOOKUP(January[[#This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IFERROR(VLOOKUP(January[[#This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IFERROR(VLOOKUP(January[[#This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IFERROR(VLOOKUP(January[[#This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IFERROR(VLOOKUP(January[[#This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IFERROR(VLOOKUP(January[[#This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IFERROR(VLOOKUP(January[[#This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IFERROR(VLOOKUP(January[[#This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IFERROR(VLOOKUP(January[[#This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IFERROR(VLOOKUP(January[[#This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IFERROR(VLOOKUP(January[[#This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IFERROR(VLOOKUP(January[[#This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IFERROR(VLOOKUP(January[[#This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IFERROR(VLOOKUP(January[[#This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IFERROR(VLOOKUP(January[[#This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IFERROR(VLOOKUP(January[[#This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IFERROR(VLOOKUP(January[[#This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IFERROR(VLOOKUP(January[[#This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IFERROR(VLOOKUP(January[[#This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IFERROR(VLOOKUP(January[[#This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IFERROR(VLOOKUP(January[[#This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IFERROR(VLOOKUP(January[[#This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IFERROR(VLOOKUP(January[[#This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IFERROR(VLOOKUP(January[[#This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IFERROR(VLOOKUP(January[[#This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IFERROR(VLOOKUP(January[[#This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IFERROR(VLOOKUP(January[[#This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IFERROR(VLOOKUP(January[[#This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IFERROR(VLOOKUP(January[[#This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IFERROR(VLOOKUP(January[[#This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IFERROR(VLOOKUP(January[[#This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IFERROR(VLOOKUP(January[[#This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IFERROR(VLOOKUP(January[[#This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IFERROR(VLOOKUP(January[[#This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IFERROR(VLOOKUP(January[[#This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IFERROR(VLOOKUP(January[[#This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IFERROR(VLOOKUP(January[[#This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IFERROR(VLOOKUP(January[[#This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IFERROR(VLOOKUP(January[[#This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IFERROR(VLOOKUP(January[[#This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IFERROR(VLOOKUP(January[[#This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IFERROR(VLOOKUP(January[[#This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IFERROR(VLOOKUP(January[[#This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IFERROR(VLOOKUP(January[[#This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IFERROR(VLOOKUP(January[[#This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IFERROR(VLOOKUP(January[[#This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IFERROR(VLOOKUP(January[[#This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IFERROR(VLOOKUP(January[[#This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IFERROR(VLOOKUP(January[[#This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IFERROR(VLOOKUP(January[[#This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IFERROR(VLOOKUP(January[[#This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IFERROR(VLOOKUP(January[[#This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IFERROR(VLOOKUP(January[[#This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IFERROR(VLOOKUP(January[[#This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IFERROR(VLOOKUP(January[[#This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IFERROR(VLOOKUP(January[[#This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IFERROR(VLOOKUP(January[[#This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IFERROR(VLOOKUP(January[[#This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IFERROR(VLOOKUP(January[[#This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IFERROR(VLOOKUP(January[[#This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IFERROR(VLOOKUP(January[[#This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IFERROR(VLOOKUP(January[[#This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IFERROR(VLOOKUP(January[[#This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IFERROR(VLOOKUP(January[[#This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IFERROR(VLOOKUP(January[[#This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IFERROR(VLOOKUP(January[[#This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IFERROR(VLOOKUP(January[[#This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IFERROR(VLOOKUP(January[[#This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IFERROR(VLOOKUP(January[[#This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IFERROR(VLOOKUP(January[[#This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IFERROR(VLOOKUP(January[[#This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IFERROR(VLOOKUP(January[[#This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IFERROR(VLOOKUP(January[[#This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IFERROR(VLOOKUP(January[[#This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IFERROR(VLOOKUP(January[[#This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IFERROR(VLOOKUP(January[[#This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IFERROR(VLOOKUP(January[[#This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IFERROR(VLOOKUP(January[[#This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IFERROR(VLOOKUP(January[[#This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IFERROR(VLOOKUP(January[[#This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IFERROR(VLOOKUP(January[[#This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IFERROR(VLOOKUP(January[[#This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IFERROR(VLOOKUP(January[[#This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IFERROR(VLOOKUP(January[[#This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IFERROR(VLOOKUP(January[[#This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IFERROR(VLOOKUP(January[[#This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IFERROR(VLOOKUP(January[[#This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IFERROR(VLOOKUP(January[[#This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IFERROR(VLOOKUP(January[[#This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IFERROR(VLOOKUP(January[[#This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IFERROR(VLOOKUP(January[[#This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IFERROR(VLOOKUP(January[[#This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IFERROR(VLOOKUP(January[[#This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IFERROR(VLOOKUP(January[[#This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IFERROR(VLOOKUP(January[[#This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IFERROR(VLOOKUP(January[[#This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IFERROR(VLOOKUP(January[[#This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IFERROR(VLOOKUP(January[[#This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IFERROR(VLOOKUP(January[[#This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IFERROR(VLOOKUP(January[[#This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IFERROR(VLOOKUP(January[[#This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IFERROR(VLOOKUP(January[[#This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IFERROR(VLOOKUP(January[[#This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IFERROR(VLOOKUP(January[[#This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IFERROR(VLOOKUP(January[[#This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IFERROR(VLOOKUP(January[[#This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IFERROR(VLOOKUP(January[[#This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IFERROR(VLOOKUP(January[[#This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IFERROR(VLOOKUP(January[[#This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IFERROR(VLOOKUP(January[[#This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IFERROR(VLOOKUP(January[[#This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IFERROR(VLOOKUP(January[[#This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IFERROR(VLOOKUP(January[[#This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IFERROR(VLOOKUP(January[[#This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IFERROR(VLOOKUP(January[[#This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IFERROR(VLOOKUP(January[[#This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IFERROR(VLOOKUP(January[[#This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IFERROR(VLOOKUP(January[[#This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IFERROR(VLOOKUP(January[[#This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IFERROR(VLOOKUP(January[[#This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IFERROR(VLOOKUP(January[[#This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IFERROR(VLOOKUP(January[[#This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IFERROR(VLOOKUP(January[[#This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IFERROR(VLOOKUP(January[[#This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IFERROR(VLOOKUP(January[[#This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IFERROR(VLOOKUP(January[[#This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IFERROR(VLOOKUP(January[[#This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IFERROR(VLOOKUP(January[[#This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IFERROR(VLOOKUP(January[[#This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IFERROR(VLOOKUP(January[[#This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IFERROR(VLOOKUP(January[[#This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IFERROR(VLOOKUP(January[[#This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IFERROR(VLOOKUP(January[[#This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IFERROR(VLOOKUP(January[[#This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IFERROR(VLOOKUP(January[[#This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IFERROR(VLOOKUP(January[[#This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IFERROR(VLOOKUP(January[[#This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IFERROR(VLOOKUP(January[[#This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IFERROR(VLOOKUP(January[[#This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IFERROR(VLOOKUP(January[[#This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IFERROR(VLOOKUP(January[[#This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IFERROR(VLOOKUP(January[[#This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IFERROR(VLOOKUP(January[[#This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IFERROR(VLOOKUP(January[[#This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IFERROR(VLOOKUP(January[[#This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IFERROR(VLOOKUP(January[[#This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IFERROR(VLOOKUP(January[[#This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IFERROR(VLOOKUP(January[[#This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IFERROR(VLOOKUP(January[[#This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IFERROR(VLOOKUP(January[[#This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IFERROR(VLOOKUP(January[[#This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IFERROR(VLOOKUP(January[[#This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IFERROR(VLOOKUP(January[[#This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IFERROR(VLOOKUP(January[[#This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IFERROR(VLOOKUP(January[[#This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IFERROR(VLOOKUP(January[[#This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IFERROR(VLOOKUP(January[[#This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IFERROR(VLOOKUP(January[[#This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IFERROR(VLOOKUP(January[[#This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IFERROR(VLOOKUP(January[[#This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IFERROR(VLOOKUP(January[[#This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IFERROR(VLOOKUP(January[[#This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IFERROR(VLOOKUP(January[[#This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IFERROR(VLOOKUP(January[[#This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IFERROR(VLOOKUP(January[[#This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IFERROR(VLOOKUP(January[[#This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IFERROR(VLOOKUP(January[[#This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IFERROR(VLOOKUP(January[[#This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IFERROR(VLOOKUP(January[[#This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IFERROR(VLOOKUP(January[[#This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IFERROR(VLOOKUP(January[[#This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IFERROR(VLOOKUP(January[[#This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IFERROR(VLOOKUP(January[[#This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IFERROR(VLOOKUP(January[[#This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IFERROR(VLOOKUP(January[[#This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IFERROR(VLOOKUP(January[[#This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IFERROR(VLOOKUP(January[[#This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IFERROR(VLOOKUP(January[[#This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IFERROR(VLOOKUP(January[[#This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IFERROR(VLOOKUP(January[[#This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IFERROR(VLOOKUP(January[[#This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IFERROR(VLOOKUP(January[[#This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IFERROR(VLOOKUP(January[[#This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IFERROR(VLOOKUP(January[[#This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IFERROR(VLOOKUP(January[[#This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IFERROR(VLOOKUP(January[[#This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IFERROR(VLOOKUP(January[[#This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IFERROR(VLOOKUP(January[[#This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IFERROR(VLOOKUP(January[[#This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IFERROR(VLOOKUP(January[[#This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IFERROR(VLOOKUP(January[[#This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IFERROR(VLOOKUP(January[[#This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IFERROR(VLOOKUP(January[[#This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IFERROR(VLOOKUP(January[[#This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IFERROR(VLOOKUP(January[[#This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IFERROR(VLOOKUP(January[[#This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IFERROR(VLOOKUP(January[[#This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IFERROR(VLOOKUP(January[[#This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IFERROR(VLOOKUP(January[[#This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IFERROR(VLOOKUP(January[[#This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IFERROR(VLOOKUP(January[[#This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IFERROR(VLOOKUP(January[[#This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IFERROR(VLOOKUP(January[[#This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IFERROR(VLOOKUP(January[[#This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IFERROR(VLOOKUP(January[[#This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IFERROR(VLOOKUP(January[[#This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IFERROR(VLOOKUP(January[[#This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IFERROR(VLOOKUP(January[[#This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IFERROR(VLOOKUP(January[[#This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IFERROR(VLOOKUP(January[[#This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IFERROR(VLOOKUP(January[[#This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IFERROR(VLOOKUP(January[[#This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IFERROR(VLOOKUP(January[[#This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IFERROR(VLOOKUP(January[[#This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IFERROR(VLOOKUP(January[[#This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IFERROR(VLOOKUP(January[[#This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IFERROR(VLOOKUP(January[[#This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IFERROR(VLOOKUP(January[[#This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IFERROR(VLOOKUP(January[[#This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IFERROR(VLOOKUP(January[[#This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IFERROR(VLOOKUP(January[[#This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IFERROR(VLOOKUP(January[[#This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IFERROR(VLOOKUP(January[[#This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IFERROR(VLOOKUP(January[[#This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IFERROR(VLOOKUP(January[[#This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IFERROR(VLOOKUP(January[[#This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IFERROR(VLOOKUP(January[[#This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IFERROR(VLOOKUP(January[[#This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IFERROR(VLOOKUP(January[[#This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IFERROR(VLOOKUP(January[[#This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IFERROR(VLOOKUP(January[[#This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IFERROR(VLOOKUP(January[[#This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IFERROR(VLOOKUP(January[[#This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IFERROR(VLOOKUP(January[[#This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IFERROR(VLOOKUP(January[[#This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IFERROR(VLOOKUP(January[[#This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IFERROR(VLOOKUP(January[[#This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IFERROR(VLOOKUP(January[[#This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IFERROR(VLOOKUP(January[[#This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IFERROR(VLOOKUP(January[[#This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IFERROR(VLOOKUP(January[[#This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IFERROR(VLOOKUP(January[[#This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IFERROR(VLOOKUP(January[[#This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IFERROR(VLOOKUP(January[[#This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IFERROR(VLOOKUP(January[[#This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IFERROR(VLOOKUP(January[[#This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IFERROR(VLOOKUP(January[[#This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IFERROR(VLOOKUP(January[[#This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IFERROR(VLOOKUP(January[[#This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IFERROR(VLOOKUP(January[[#This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IFERROR(VLOOKUP(January[[#This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IFERROR(VLOOKUP(January[[#This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IFERROR(VLOOKUP(January[[#This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IFERROR(VLOOKUP(January[[#This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IFERROR(VLOOKUP(January[[#This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IFERROR(VLOOKUP(January[[#This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IFERROR(VLOOKUP(January[[#This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IFERROR(VLOOKUP(January[[#This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IFERROR(VLOOKUP(January[[#This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IFERROR(VLOOKUP(January[[#This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IFERROR(VLOOKUP(January[[#This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IFERROR(VLOOKUP(January[[#This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IFERROR(VLOOKUP(January[[#This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IFERROR(VLOOKUP(January[[#This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IFERROR(VLOOKUP(January[[#This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IFERROR(VLOOKUP(January[[#This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IFERROR(VLOOKUP(January[[#This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IFERROR(VLOOKUP(January[[#This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IFERROR(VLOOKUP(January[[#This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IFERROR(VLOOKUP(January[[#This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IFERROR(VLOOKUP(January[[#This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IFERROR(VLOOKUP(January[[#This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IFERROR(VLOOKUP(January[[#This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IFERROR(VLOOKUP(January[[#This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IFERROR(VLOOKUP(January[[#This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IFERROR(VLOOKUP(January[[#This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IFERROR(VLOOKUP(January[[#This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IFERROR(VLOOKUP(January[[#This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IFERROR(VLOOKUP(January[[#This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IFERROR(VLOOKUP(January[[#This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IFERROR(VLOOKUP(January[[#This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IFERROR(VLOOKUP(January[[#This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IFERROR(VLOOKUP(January[[#This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IFERROR(VLOOKUP(January[[#This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IFERROR(VLOOKUP(January[[#This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IFERROR(VLOOKUP(January[[#This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IFERROR(VLOOKUP(January[[#This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IFERROR(VLOOKUP(January[[#This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IFERROR(VLOOKUP(January[[#This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IFERROR(VLOOKUP(January[[#This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IFERROR(VLOOKUP(January[[#This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IFERROR(VLOOKUP(January[[#This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IFERROR(VLOOKUP(January[[#This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IFERROR(VLOOKUP(January[[#This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IFERROR(VLOOKUP(January[[#This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IFERROR(VLOOKUP(January[[#This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IFERROR(VLOOKUP(January[[#This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IFERROR(VLOOKUP(January[[#This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IFERROR(VLOOKUP(January[[#This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IFERROR(VLOOKUP(January[[#This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IFERROR(VLOOKUP(January[[#This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IFERROR(VLOOKUP(January[[#This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IFERROR(VLOOKUP(January[[#This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IFERROR(VLOOKUP(January[[#This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IFERROR(VLOOKUP(January[[#This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IFERROR(VLOOKUP(January[[#This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IFERROR(VLOOKUP(January[[#This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IFERROR(VLOOKUP(January[[#This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IFERROR(VLOOKUP(January[[#This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IFERROR(VLOOKUP(January[[#This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IFERROR(VLOOKUP(January[[#This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IFERROR(VLOOKUP(January[[#This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IFERROR(VLOOKUP(January[[#This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IFERROR(VLOOKUP(January[[#This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IFERROR(VLOOKUP(January[[#This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IFERROR(VLOOKUP(January[[#This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IFERROR(VLOOKUP(January[[#This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IFERROR(VLOOKUP(January[[#This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IFERROR(VLOOKUP(January[[#This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IFERROR(VLOOKUP(January[[#This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IFERROR(VLOOKUP(January[[#This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IFERROR(VLOOKUP(January[[#This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IFERROR(VLOOKUP(January[[#This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IFERROR(VLOOKUP(January[[#This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IFERROR(VLOOKUP(January[[#This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IFERROR(VLOOKUP(January[[#This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IFERROR(VLOOKUP(January[[#This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IFERROR(VLOOKUP(January[[#This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IFERROR(VLOOKUP(January[[#This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IFERROR(VLOOKUP(January[[#This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IFERROR(VLOOKUP(January[[#This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IFERROR(VLOOKUP(January[[#This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IFERROR(VLOOKUP(January[[#This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IFERROR(VLOOKUP(January[[#This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IFERROR(VLOOKUP(January[[#This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IFERROR(VLOOKUP(January[[#This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IFERROR(VLOOKUP(January[[#This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IFERROR(VLOOKUP(January[[#This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IFERROR(VLOOKUP(January[[#This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IFERROR(VLOOKUP(January[[#This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IFERROR(VLOOKUP(January[[#This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IFERROR(VLOOKUP(January[[#This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IFERROR(VLOOKUP(January[[#This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IFERROR(VLOOKUP(January[[#This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IFERROR(VLOOKUP(January[[#This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IFERROR(VLOOKUP(January[[#This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IFERROR(VLOOKUP(January[[#This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IFERROR(VLOOKUP(January[[#This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IFERROR(VLOOKUP(January[[#This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IFERROR(VLOOKUP(January[[#This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IFERROR(VLOOKUP(January[[#This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IFERROR(VLOOKUP(January[[#This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IFERROR(VLOOKUP(January[[#This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IFERROR(VLOOKUP(January[[#This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IFERROR(VLOOKUP(January[[#This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IFERROR(VLOOKUP(January[[#This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IFERROR(VLOOKUP(January[[#This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IFERROR(VLOOKUP(January[[#This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IFERROR(VLOOKUP(January[[#This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IFERROR(VLOOKUP(January[[#This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IFERROR(VLOOKUP(January[[#This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IFERROR(VLOOKUP(January[[#This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IFERROR(VLOOKUP(January[[#This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IFERROR(VLOOKUP(January[[#This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IFERROR(VLOOKUP(January[[#This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IFERROR(VLOOKUP(January[[#This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IFERROR(VLOOKUP(January[[#This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IFERROR(VLOOKUP(January[[#This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IFERROR(VLOOKUP(January[[#This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IFERROR(VLOOKUP(January[[#This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IFERROR(VLOOKUP(January[[#This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IFERROR(VLOOKUP(January[[#This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IFERROR(VLOOKUP(January[[#This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IFERROR(VLOOKUP(January[[#This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IFERROR(VLOOKUP(January[[#This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IFERROR(VLOOKUP(January[[#This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IFERROR(VLOOKUP(January[[#This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IFERROR(VLOOKUP(January[[#This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IFERROR(VLOOKUP(January[[#This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IFERROR(VLOOKUP(January[[#This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IFERROR(VLOOKUP(January[[#This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IFERROR(VLOOKUP(January[[#This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IFERROR(VLOOKUP(January[[#This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IFERROR(VLOOKUP(January[[#This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IFERROR(VLOOKUP(January[[#This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IFERROR(VLOOKUP(January[[#This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IFERROR(VLOOKUP(January[[#This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IFERROR(VLOOKUP(January[[#This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IFERROR(VLOOKUP(January[[#This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IFERROR(VLOOKUP(January[[#This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IFERROR(VLOOKUP(January[[#This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IFERROR(VLOOKUP(January[[#This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IFERROR(VLOOKUP(January[[#This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IFERROR(VLOOKUP(January[[#This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IFERROR(VLOOKUP(January[[#This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IFERROR(VLOOKUP(January[[#This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IFERROR(VLOOKUP(January[[#This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IFERROR(VLOOKUP(January[[#This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IFERROR(VLOOKUP(January[[#This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IFERROR(VLOOKUP(January[[#This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IFERROR(VLOOKUP(January[[#This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IFERROR(VLOOKUP(January[[#This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IFERROR(VLOOKUP(January[[#This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IFERROR(VLOOKUP(January[[#This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IFERROR(VLOOKUP(January[[#This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IFERROR(VLOOKUP(January[[#This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IFERROR(VLOOKUP(January[[#This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IFERROR(VLOOKUP(January[[#This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IFERROR(VLOOKUP(January[[#This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IFERROR(VLOOKUP(January[[#This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IFERROR(VLOOKUP(January[[#This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IFERROR(VLOOKUP(January[[#This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IFERROR(VLOOKUP(January[[#This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IFERROR(VLOOKUP(January[[#This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IFERROR(VLOOKUP(January[[#This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IFERROR(VLOOKUP(January[[#This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IFERROR(VLOOKUP(January[[#This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IFERROR(VLOOKUP(January[[#This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IFERROR(VLOOKUP(January[[#This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IFERROR(VLOOKUP(January[[#This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IFERROR(VLOOKUP(January[[#This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IFERROR(VLOOKUP(January[[#This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IFERROR(VLOOKUP(January[[#This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IFERROR(VLOOKUP(January[[#This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IFERROR(VLOOKUP(January[[#This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IFERROR(VLOOKUP(January[[#This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IFERROR(VLOOKUP(January[[#This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IFERROR(VLOOKUP(January[[#This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IFERROR(VLOOKUP(January[[#This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IFERROR(VLOOKUP(January[[#This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IFERROR(VLOOKUP(January[[#This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IFERROR(VLOOKUP(January[[#This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IFERROR(VLOOKUP(January[[#This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IFERROR(VLOOKUP(January[[#This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IFERROR(VLOOKUP(January[[#This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IFERROR(VLOOKUP(January[[#This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IFERROR(VLOOKUP(January[[#This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IFERROR(VLOOKUP(January[[#This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IFERROR(VLOOKUP(January[[#This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IFERROR(VLOOKUP(January[[#This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IFERROR(VLOOKUP(January[[#This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IFERROR(VLOOKUP(January[[#This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IFERROR(VLOOKUP(January[[#This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IFERROR(VLOOKUP(January[[#This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IFERROR(VLOOKUP(January[[#This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IFERROR(VLOOKUP(January[[#This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IFERROR(VLOOKUP(January[[#This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IFERROR(VLOOKUP(January[[#This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IFERROR(VLOOKUP(January[[#This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IFERROR(VLOOKUP(January[[#This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IFERROR(VLOOKUP(January[[#This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IFERROR(VLOOKUP(January[[#This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IFERROR(VLOOKUP(January[[#This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IFERROR(VLOOKUP(January[[#This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IFERROR(VLOOKUP(January[[#This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IFERROR(VLOOKUP(January[[#This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IFERROR(VLOOKUP(January[[#This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IFERROR(VLOOKUP(January[[#This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IFERROR(VLOOKUP(January[[#This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IFERROR(VLOOKUP(January[[#This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IFERROR(VLOOKUP(January[[#This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IFERROR(VLOOKUP(January[[#This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IFERROR(VLOOKUP(January[[#This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IFERROR(VLOOKUP(January[[#This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IFERROR(VLOOKUP(January[[#This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IFERROR(VLOOKUP(January[[#This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IFERROR(VLOOKUP(January[[#This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IFERROR(VLOOKUP(January[[#This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IFERROR(VLOOKUP(January[[#This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IFERROR(VLOOKUP(January[[#This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IFERROR(VLOOKUP(January[[#This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IFERROR(VLOOKUP(January[[#This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IFERROR(VLOOKUP(January[[#This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IFERROR(VLOOKUP(January[[#This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IFERROR(VLOOKUP(January[[#This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IFERROR(VLOOKUP(January[[#This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IFERROR(VLOOKUP(January[[#This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IFERROR(VLOOKUP(January[[#This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IFERROR(VLOOKUP(January[[#This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IFERROR(VLOOKUP(January[[#This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IFERROR(VLOOKUP(January[[#This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IFERROR(VLOOKUP(January[[#This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IFERROR(VLOOKUP(January[[#This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IFERROR(VLOOKUP(January[[#This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IFERROR(VLOOKUP(January[[#This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IFERROR(VLOOKUP(January[[#This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IFERROR(VLOOKUP(January[[#This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IFERROR(VLOOKUP(January[[#This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IFERROR(VLOOKUP(January[[#This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IFERROR(VLOOKUP(January[[#This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IFERROR(VLOOKUP(January[[#This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IFERROR(VLOOKUP(January[[#This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IFERROR(VLOOKUP(January[[#This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IFERROR(VLOOKUP(January[[#This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IFERROR(VLOOKUP(January[[#This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IFERROR(VLOOKUP(January[[#This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IFERROR(VLOOKUP(January[[#This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IFERROR(VLOOKUP(January[[#This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IFERROR(VLOOKUP(January[[#This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IFERROR(VLOOKUP(January[[#This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IFERROR(VLOOKUP(January[[#This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IFERROR(VLOOKUP(January[[#This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IFERROR(VLOOKUP(January[[#This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IFERROR(VLOOKUP(January[[#This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IFERROR(VLOOKUP(January[[#This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IFERROR(VLOOKUP(January[[#This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IFERROR(VLOOKUP(January[[#This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IFERROR(VLOOKUP(January[[#This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IFERROR(VLOOKUP(January[[#This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IFERROR(VLOOKUP(January[[#This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IFERROR(VLOOKUP(January[[#This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IFERROR(VLOOKUP(January[[#This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IFERROR(VLOOKUP(January[[#This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IFERROR(VLOOKUP(January[[#This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IFERROR(VLOOKUP(January[[#This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IFERROR(VLOOKUP(January[[#This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IFERROR(VLOOKUP(January[[#This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IFERROR(VLOOKUP(January[[#This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IFERROR(VLOOKUP(January[[#This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IFERROR(VLOOKUP(January[[#This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IFERROR(VLOOKUP(January[[#This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IFERROR(VLOOKUP(January[[#This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IFERROR(VLOOKUP(January[[#This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IFERROR(VLOOKUP(January[[#This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IFERROR(VLOOKUP(January[[#This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IFERROR(VLOOKUP(January[[#This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IFERROR(VLOOKUP(January[[#This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IFERROR(VLOOKUP(January[[#This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IFERROR(VLOOKUP(January[[#This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IFERROR(VLOOKUP(January[[#This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IFERROR(VLOOKUP(January[[#This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IFERROR(VLOOKUP(January[[#This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IFERROR(VLOOKUP(January[[#This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IFERROR(VLOOKUP(January[[#This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IFERROR(VLOOKUP(January[[#This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IFERROR(VLOOKUP(January[[#This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IFERROR(VLOOKUP(January[[#This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IFERROR(VLOOKUP(January[[#This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IFERROR(VLOOKUP(January[[#This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IFERROR(VLOOKUP(January[[#This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IFERROR(VLOOKUP(January[[#This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IFERROR(VLOOKUP(January[[#This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IFERROR(VLOOKUP(January[[#This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IFERROR(VLOOKUP(January[[#This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IFERROR(VLOOKUP(January[[#This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IFERROR(VLOOKUP(January[[#This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IFERROR(VLOOKUP(January[[#This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IFERROR(VLOOKUP(January[[#This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IFERROR(VLOOKUP(January[[#This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IFERROR(VLOOKUP(January[[#This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IFERROR(VLOOKUP(January[[#This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IFERROR(VLOOKUP(January[[#This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IFERROR(VLOOKUP(January[[#This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IFERROR(VLOOKUP(January[[#This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IFERROR(VLOOKUP(January[[#This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IFERROR(VLOOKUP(January[[#This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IFERROR(VLOOKUP(January[[#This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IFERROR(VLOOKUP(January[[#This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IFERROR(VLOOKUP(January[[#This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IFERROR(VLOOKUP(January[[#This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IFERROR(VLOOKUP(January[[#This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IFERROR(VLOOKUP(January[[#This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IFERROR(VLOOKUP(January[[#This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IFERROR(VLOOKUP(January[[#This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IFERROR(VLOOKUP(January[[#This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IFERROR(VLOOKUP(January[[#This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IFERROR(VLOOKUP(January[[#This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IFERROR(VLOOKUP(January[[#This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IFERROR(VLOOKUP(January[[#This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IFERROR(VLOOKUP(January[[#This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IFERROR(VLOOKUP(January[[#This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IFERROR(VLOOKUP(January[[#This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IFERROR(VLOOKUP(January[[#This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IFERROR(VLOOKUP(January[[#This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IFERROR(VLOOKUP(January[[#This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IFERROR(VLOOKUP(January[[#This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IFERROR(VLOOKUP(January[[#This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IFERROR(VLOOKUP(January[[#This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IFERROR(VLOOKUP(January[[#This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IFERROR(VLOOKUP(January[[#This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IFERROR(VLOOKUP(January[[#This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IFERROR(VLOOKUP(January[[#This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IFERROR(VLOOKUP(January[[#This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IFERROR(VLOOKUP(January[[#This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IFERROR(VLOOKUP(January[[#This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IFERROR(VLOOKUP(January[[#This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IFERROR(VLOOKUP(January[[#This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IFERROR(VLOOKUP(January[[#This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IFERROR(VLOOKUP(January[[#This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IFERROR(VLOOKUP(January[[#This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IFERROR(VLOOKUP(January[[#This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IFERROR(VLOOKUP(January[[#This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IFERROR(VLOOKUP(January[[#This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IFERROR(VLOOKUP(January[[#This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IFERROR(VLOOKUP(January[[#This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IFERROR(VLOOKUP(January[[#This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IFERROR(VLOOKUP(January[[#This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IFERROR(VLOOKUP(January[[#This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IFERROR(VLOOKUP(January[[#This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IFERROR(VLOOKUP(January[[#This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IFERROR(VLOOKUP(January[[#This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IFERROR(VLOOKUP(January[[#This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IFERROR(VLOOKUP(January[[#This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IFERROR(VLOOKUP(January[[#This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IFERROR(VLOOKUP(January[[#This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IFERROR(VLOOKUP(January[[#This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IFERROR(VLOOKUP(January[[#This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IFERROR(VLOOKUP(January[[#This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IFERROR(VLOOKUP(January[[#This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IFERROR(VLOOKUP(January[[#This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IFERROR(VLOOKUP(January[[#This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IFERROR(VLOOKUP(January[[#This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IFERROR(VLOOKUP(January[[#This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IFERROR(VLOOKUP(January[[#This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IFERROR(VLOOKUP(January[[#This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IFERROR(VLOOKUP(January[[#This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IFERROR(VLOOKUP(January[[#This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IFERROR(VLOOKUP(January[[#This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IFERROR(VLOOKUP(January[[#This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IFERROR(VLOOKUP(January[[#This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IFERROR(VLOOKUP(January[[#This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IFERROR(VLOOKUP(January[[#This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IFERROR(VLOOKUP(January[[#This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IFERROR(VLOOKUP(January[[#This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IFERROR(VLOOKUP(January[[#This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IFERROR(VLOOKUP(January[[#This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IFERROR(VLOOKUP(January[[#This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IFERROR(VLOOKUP(January[[#This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IFERROR(VLOOKUP(January[[#This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IFERROR(VLOOKUP(January[[#This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IFERROR(VLOOKUP(January[[#This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IFERROR(VLOOKUP(January[[#This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IFERROR(VLOOKUP(January[[#This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IFERROR(VLOOKUP(January[[#This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IFERROR(VLOOKUP(January[[#This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IFERROR(VLOOKUP(January[[#This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IFERROR(VLOOKUP(January[[#This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IFERROR(VLOOKUP(January[[#This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IFERROR(VLOOKUP(January[[#This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IFERROR(VLOOKUP(January[[#This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IFERROR(VLOOKUP(January[[#This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IFERROR(VLOOKUP(January[[#This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IFERROR(VLOOKUP(January[[#This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IFERROR(VLOOKUP(January[[#This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IFERROR(VLOOKUP(January[[#This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IFERROR(VLOOKUP(January[[#This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IFERROR(VLOOKUP(January[[#This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IFERROR(VLOOKUP(January[[#This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IFERROR(VLOOKUP(January[[#This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IFERROR(VLOOKUP(January[[#This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IFERROR(VLOOKUP(January[[#This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IFERROR(VLOOKUP(January[[#This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IFERROR(VLOOKUP(January[[#This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IFERROR(VLOOKUP(January[[#This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IFERROR(VLOOKUP(January[[#This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IFERROR(VLOOKUP(January[[#This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IFERROR(VLOOKUP(January[[#This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IFERROR(VLOOKUP(January[[#This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IFERROR(VLOOKUP(January[[#This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IFERROR(VLOOKUP(January[[#This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IFERROR(VLOOKUP(January[[#This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IFERROR(VLOOKUP(January[[#This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IFERROR(VLOOKUP(January[[#This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IFERROR(VLOOKUP(January[[#This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IFERROR(VLOOKUP(January[[#This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IFERROR(VLOOKUP(January[[#This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IFERROR(VLOOKUP(January[[#This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IFERROR(VLOOKUP(January[[#This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IFERROR(VLOOKUP(January[[#This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IFERROR(VLOOKUP(January[[#This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IFERROR(VLOOKUP(January[[#This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IFERROR(VLOOKUP(January[[#This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IFERROR(VLOOKUP(January[[#This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IFERROR(VLOOKUP(January[[#This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IFERROR(VLOOKUP(January[[#This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IFERROR(VLOOKUP(January[[#This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IFERROR(VLOOKUP(January[[#This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IFERROR(VLOOKUP(January[[#This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IFERROR(VLOOKUP(January[[#This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IFERROR(VLOOKUP(January[[#This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IFERROR(VLOOKUP(January[[#This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IFERROR(VLOOKUP(January[[#This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IFERROR(VLOOKUP(January[[#This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IFERROR(VLOOKUP(January[[#This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IFERROR(VLOOKUP(January[[#This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IFERROR(VLOOKUP(January[[#This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IFERROR(VLOOKUP(January[[#This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IFERROR(VLOOKUP(January[[#This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IFERROR(VLOOKUP(January[[#This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IFERROR(VLOOKUP(January[[#This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IFERROR(VLOOKUP(January[[#This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IFERROR(VLOOKUP(January[[#This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IFERROR(VLOOKUP(January[[#This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IFERROR(VLOOKUP(January[[#This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IFERROR(VLOOKUP(January[[#This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IFERROR(VLOOKUP(January[[#This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IFERROR(VLOOKUP(January[[#This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IFERROR(VLOOKUP(January[[#This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IFERROR(VLOOKUP(January[[#This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IFERROR(VLOOKUP(January[[#This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IFERROR(VLOOKUP(January[[#This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IFERROR(VLOOKUP(January[[#This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IFERROR(VLOOKUP(January[[#This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IFERROR(VLOOKUP(January[[#This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IFERROR(VLOOKUP(January[[#This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IFERROR(VLOOKUP(January[[#This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IFERROR(VLOOKUP(January[[#This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IFERROR(VLOOKUP(January[[#This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IFERROR(VLOOKUP(January[[#This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IFERROR(VLOOKUP(January[[#This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IFERROR(VLOOKUP(January[[#This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IFERROR(VLOOKUP(January[[#This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IFERROR(VLOOKUP(January[[#This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IFERROR(VLOOKUP(January[[#This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IFERROR(VLOOKUP(January[[#This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IFERROR(VLOOKUP(January[[#This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IFERROR(VLOOKUP(January[[#This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IFERROR(VLOOKUP(January[[#This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IFERROR(VLOOKUP(January[[#This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IFERROR(VLOOKUP(January[[#This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IFERROR(VLOOKUP(January[[#This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IFERROR(VLOOKUP(January[[#This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IFERROR(VLOOKUP(January[[#This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IFERROR(VLOOKUP(January[[#This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IFERROR(VLOOKUP(January[[#This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IFERROR(VLOOKUP(January[[#This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IFERROR(VLOOKUP(January[[#This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IFERROR(VLOOKUP(January[[#This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IFERROR(VLOOKUP(January[[#This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IFERROR(VLOOKUP(January[[#This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IFERROR(VLOOKUP(January[[#This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IFERROR(VLOOKUP(January[[#This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IFERROR(VLOOKUP(January[[#This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IFERROR(VLOOKUP(January[[#This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IFERROR(VLOOKUP(January[[#This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IFERROR(VLOOKUP(January[[#This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IFERROR(VLOOKUP(January[[#This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IFERROR(VLOOKUP(January[[#This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IFERROR(VLOOKUP(January[[#This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IFERROR(VLOOKUP(January[[#This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IFERROR(VLOOKUP(January[[#This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IFERROR(VLOOKUP(January[[#This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IFERROR(VLOOKUP(January[[#This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IFERROR(VLOOKUP(January[[#This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IFERROR(VLOOKUP(January[[#This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IFERROR(VLOOKUP(January[[#This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IFERROR(VLOOKUP(January[[#This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IFERROR(VLOOKUP(January[[#This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IFERROR(VLOOKUP(January[[#This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IFERROR(VLOOKUP(January[[#This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IFERROR(VLOOKUP(January[[#This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IFERROR(VLOOKUP(January[[#This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IFERROR(VLOOKUP(January[[#This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IFERROR(VLOOKUP(January[[#This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IFERROR(VLOOKUP(January[[#This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IFERROR(VLOOKUP(January[[#This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IFERROR(VLOOKUP(January[[#This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IFERROR(VLOOKUP(January[[#This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IFERROR(VLOOKUP(January[[#This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IFERROR(VLOOKUP(January[[#This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IFERROR(VLOOKUP(January[[#This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IFERROR(VLOOKUP(January[[#This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IFERROR(VLOOKUP(January[[#This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IFERROR(VLOOKUP(January[[#This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IFERROR(VLOOKUP(January[[#This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IFERROR(VLOOKUP(January[[#This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IFERROR(VLOOKUP(January[[#This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IFERROR(VLOOKUP(January[[#This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IFERROR(VLOOKUP(January[[#This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IFERROR(VLOOKUP(January[[#This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IFERROR(VLOOKUP(January[[#This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IFERROR(VLOOKUP(January[[#This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IFERROR(VLOOKUP(January[[#This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IFERROR(VLOOKUP(January[[#This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IFERROR(VLOOKUP(January[[#This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IFERROR(VLOOKUP(January[[#This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IFERROR(VLOOKUP(January[[#This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IFERROR(VLOOKUP(January[[#This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IFERROR(VLOOKUP(January[[#This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IFERROR(VLOOKUP(January[[#This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IFERROR(VLOOKUP(January[[#This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IFERROR(VLOOKUP(January[[#This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IFERROR(VLOOKUP(January[[#This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IFERROR(VLOOKUP(January[[#This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IFERROR(VLOOKUP(January[[#This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IFERROR(VLOOKUP(January[[#This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IFERROR(VLOOKUP(January[[#This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IFERROR(VLOOKUP(January[[#This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IFERROR(VLOOKUP(January[[#This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IFERROR(VLOOKUP(January[[#This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IFERROR(VLOOKUP(January[[#This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IFERROR(VLOOKUP(January[[#This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IFERROR(VLOOKUP(January[[#This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IFERROR(VLOOKUP(January[[#This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IFERROR(VLOOKUP(January[[#This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IFERROR(VLOOKUP(January[[#This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IFERROR(VLOOKUP(January[[#This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IFERROR(VLOOKUP(January[[#This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IFERROR(VLOOKUP(January[[#This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IFERROR(VLOOKUP(January[[#This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IFERROR(VLOOKUP(January[[#This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IFERROR(VLOOKUP(January[[#This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IFERROR(VLOOKUP(January[[#This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IFERROR(VLOOKUP(January[[#This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IFERROR(VLOOKUP(January[[#This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IFERROR(VLOOKUP(January[[#This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IFERROR(VLOOKUP(January[[#This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IFERROR(VLOOKUP(January[[#This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IFERROR(VLOOKUP(January[[#This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IFERROR(VLOOKUP(January[[#This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IFERROR(VLOOKUP(January[[#This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IFERROR(VLOOKUP(January[[#This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IFERROR(VLOOKUP(January[[#This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IFERROR(VLOOKUP(January[[#This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IFERROR(VLOOKUP(January[[#This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IFERROR(VLOOKUP(January[[#This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IFERROR(VLOOKUP(January[[#This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IFERROR(VLOOKUP(January[[#This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IFERROR(VLOOKUP(January[[#This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IFERROR(VLOOKUP(January[[#This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IFERROR(VLOOKUP(January[[#This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IFERROR(VLOOKUP(January[[#This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IFERROR(VLOOKUP(January[[#This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IFERROR(VLOOKUP(January[[#This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IFERROR(VLOOKUP(January[[#This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IFERROR(VLOOKUP(January[[#This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IFERROR(VLOOKUP(January[[#This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IFERROR(VLOOKUP(January[[#This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IFERROR(VLOOKUP(January[[#This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IFERROR(VLOOKUP(January[[#This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IFERROR(VLOOKUP(January[[#This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IFERROR(VLOOKUP(January[[#This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IFERROR(VLOOKUP(January[[#This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IFERROR(VLOOKUP(January[[#This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IFERROR(VLOOKUP(January[[#This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IFERROR(VLOOKUP(January[[#This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IFERROR(VLOOKUP(January[[#This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IFERROR(VLOOKUP(January[[#This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IFERROR(VLOOKUP(January[[#This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IFERROR(VLOOKUP(January[[#This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IFERROR(VLOOKUP(January[[#This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IFERROR(VLOOKUP(January[[#This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IFERROR(VLOOKUP(January[[#This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IFERROR(VLOOKUP(January[[#This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IFERROR(VLOOKUP(January[[#This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IFERROR(VLOOKUP(January[[#This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IFERROR(VLOOKUP(January[[#This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IFERROR(VLOOKUP(January[[#This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IFERROR(VLOOKUP(January[[#This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IFERROR(VLOOKUP(January[[#This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IFERROR(VLOOKUP(January[[#This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IFERROR(VLOOKUP(January[[#This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IFERROR(VLOOKUP(January[[#This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IFERROR(VLOOKUP(January[[#This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IFERROR(VLOOKUP(January[[#This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IFERROR(VLOOKUP(January[[#This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IFERROR(VLOOKUP(January[[#This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IFERROR(VLOOKUP(January[[#This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IFERROR(VLOOKUP(January[[#This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IFERROR(VLOOKUP(January[[#This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IFERROR(VLOOKUP(January[[#This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IFERROR(VLOOKUP(January[[#This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IFERROR(VLOOKUP(January[[#This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IFERROR(VLOOKUP(January[[#This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IFERROR(VLOOKUP(January[[#This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IFERROR(VLOOKUP(January[[#This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IFERROR(VLOOKUP(January[[#This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IFERROR(VLOOKUP(January[[#This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IFERROR(VLOOKUP(January[[#This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IFERROR(VLOOKUP(January[[#This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IFERROR(VLOOKUP(January[[#This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IFERROR(VLOOKUP(January[[#This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IFERROR(VLOOKUP(January[[#This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IFERROR(VLOOKUP(January[[#This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IFERROR(VLOOKUP(January[[#This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IFERROR(VLOOKUP(January[[#This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IFERROR(VLOOKUP(January[[#This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IFERROR(VLOOKUP(January[[#This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IFERROR(VLOOKUP(January[[#This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IFERROR(VLOOKUP(January[[#This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IFERROR(VLOOKUP(January[[#This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IFERROR(VLOOKUP(January[[#This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IFERROR(VLOOKUP(January[[#This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IFERROR(VLOOKUP(January[[#This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IFERROR(VLOOKUP(January[[#This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IFERROR(VLOOKUP(January[[#This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IFERROR(VLOOKUP(January[[#This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IFERROR(VLOOKUP(January[[#This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IFERROR(VLOOKUP(January[[#This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IFERROR(VLOOKUP(January[[#This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IFERROR(VLOOKUP(January[[#This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IFERROR(VLOOKUP(January[[#This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IFERROR(VLOOKUP(January[[#This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IFERROR(VLOOKUP(January[[#This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IFERROR(VLOOKUP(January[[#This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IFERROR(VLOOKUP(January[[#This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IFERROR(VLOOKUP(January[[#This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IFERROR(VLOOKUP(January[[#This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IFERROR(VLOOKUP(January[[#This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IFERROR(VLOOKUP(January[[#This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IFERROR(VLOOKUP(January[[#This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IFERROR(VLOOKUP(January[[#This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IFERROR(VLOOKUP(January[[#This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IFERROR(VLOOKUP(January[[#This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IFERROR(VLOOKUP(January[[#This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IFERROR(VLOOKUP(January[[#This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IFERROR(VLOOKUP(January[[#This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IFERROR(VLOOKUP(January[[#This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IFERROR(VLOOKUP(January[[#This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IFERROR(VLOOKUP(January[[#This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IFERROR(VLOOKUP(January[[#This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IFERROR(VLOOKUP(January[[#This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IFERROR(VLOOKUP(January[[#This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IFERROR(VLOOKUP(January[[#This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IFERROR(VLOOKUP(January[[#This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IFERROR(VLOOKUP(January[[#This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IFERROR(VLOOKUP(January[[#This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IFERROR(VLOOKUP(January[[#This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IFERROR(VLOOKUP(January[[#This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IFERROR(VLOOKUP(January[[#This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IFERROR(VLOOKUP(January[[#This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IFERROR(VLOOKUP(January[[#This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IFERROR(VLOOKUP(January[[#This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IFERROR(VLOOKUP(January[[#This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IFERROR(VLOOKUP(January[[#This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IFERROR(VLOOKUP(January[[#This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IFERROR(VLOOKUP(January[[#This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IFERROR(VLOOKUP(January[[#This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IFERROR(VLOOKUP(January[[#This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IFERROR(VLOOKUP(January[[#This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IFERROR(VLOOKUP(January[[#This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IFERROR(VLOOKUP(January[[#This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IFERROR(VLOOKUP(January[[#This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IFERROR(VLOOKUP(January[[#This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IFERROR(VLOOKUP(January[[#This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IFERROR(VLOOKUP(January[[#This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IFERROR(VLOOKUP(January[[#This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IFERROR(VLOOKUP(January[[#This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IFERROR(VLOOKUP(January[[#This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IFERROR(VLOOKUP(January[[#This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IFERROR(VLOOKUP(January[[#This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IFERROR(VLOOKUP(January[[#This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IFERROR(VLOOKUP(January[[#This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IFERROR(VLOOKUP(January[[#This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IFERROR(VLOOKUP(January[[#This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IFERROR(VLOOKUP(January[[#This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IFERROR(VLOOKUP(January[[#This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IFERROR(VLOOKUP(January[[#This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IFERROR(VLOOKUP(January[[#This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IFERROR(VLOOKUP(January[[#This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IFERROR(VLOOKUP(January[[#This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IFERROR(VLOOKUP(January[[#This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IFERROR(VLOOKUP(January[[#This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IFERROR(VLOOKUP(January[[#This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IFERROR(VLOOKUP(January[[#This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IFERROR(VLOOKUP(January[[#This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IFERROR(VLOOKUP(January[[#This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IFERROR(VLOOKUP(January[[#This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IFERROR(VLOOKUP(January[[#This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IFERROR(VLOOKUP(January[[#This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IFERROR(VLOOKUP(January[[#This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IFERROR(VLOOKUP(January[[#This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IFERROR(VLOOKUP(January[[#This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IFERROR(VLOOKUP(January[[#This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IFERROR(VLOOKUP(January[[#This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IFERROR(VLOOKUP(January[[#This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IFERROR(VLOOKUP(January[[#This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IFERROR(VLOOKUP(January[[#This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IFERROR(VLOOKUP(January[[#This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IFERROR(VLOOKUP(January[[#This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IFERROR(VLOOKUP(January[[#This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IFERROR(VLOOKUP(January[[#This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IFERROR(VLOOKUP(January[[#This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IFERROR(VLOOKUP(January[[#This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IFERROR(VLOOKUP(January[[#This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IFERROR(VLOOKUP(January[[#This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IFERROR(VLOOKUP(January[[#This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IFERROR(VLOOKUP(January[[#This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IFERROR(VLOOKUP(January[[#This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IFERROR(VLOOKUP(January[[#This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IFERROR(VLOOKUP(January[[#This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IFERROR(VLOOKUP(January[[#This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IFERROR(VLOOKUP(January[[#This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IFERROR(VLOOKUP(January[[#This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IFERROR(VLOOKUP(January[[#This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IFERROR(VLOOKUP(January[[#This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IFERROR(VLOOKUP(January[[#This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IFERROR(VLOOKUP(January[[#This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IFERROR(VLOOKUP(January[[#This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IFERROR(VLOOKUP(January[[#This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IFERROR(VLOOKUP(January[[#This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IFERROR(VLOOKUP(January[[#This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IFERROR(VLOOKUP(January[[#This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IFERROR(VLOOKUP(January[[#This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IFERROR(VLOOKUP(January[[#This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IFERROR(VLOOKUP(January[[#This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IFERROR(VLOOKUP(January[[#This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IFERROR(VLOOKUP(January[[#This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IFERROR(VLOOKUP(January[[#This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IFERROR(VLOOKUP(January[[#This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IFERROR(VLOOKUP(January[[#This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IFERROR(VLOOKUP(January[[#This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IFERROR(VLOOKUP(January[[#This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IFERROR(VLOOKUP(January[[#This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IFERROR(VLOOKUP(January[[#This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IFERROR(VLOOKUP(January[[#This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IFERROR(VLOOKUP(January[[#This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IFERROR(VLOOKUP(January[[#This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IFERROR(VLOOKUP(January[[#This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IFERROR(VLOOKUP(January[[#This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IFERROR(VLOOKUP(January[[#This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IFERROR(VLOOKUP(January[[#This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IFERROR(VLOOKUP(January[[#This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IFERROR(VLOOKUP(January[[#This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IFERROR(VLOOKUP(January[[#This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IFERROR(VLOOKUP(January[[#This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IFERROR(VLOOKUP(January[[#This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IFERROR(VLOOKUP(January[[#This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IFERROR(VLOOKUP(January[[#This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IFERROR(VLOOKUP(January[[#This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IFERROR(VLOOKUP(January[[#This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IFERROR(VLOOKUP(January[[#This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IFERROR(VLOOKUP(January[[#This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IFERROR(VLOOKUP(January[[#This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IFERROR(VLOOKUP(January[[#This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IFERROR(VLOOKUP(January[[#This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IFERROR(VLOOKUP(January[[#This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IFERROR(VLOOKUP(January[[#This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IFERROR(VLOOKUP(January[[#This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IFERROR(VLOOKUP(January[[#This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IFERROR(VLOOKUP(January[[#This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IFERROR(VLOOKUP(January[[#This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IFERROR(VLOOKUP(January[[#This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IFERROR(VLOOKUP(January[[#This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IFERROR(VLOOKUP(January[[#This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IFERROR(VLOOKUP(January[[#This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IFERROR(VLOOKUP(January[[#This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IFERROR(VLOOKUP(January[[#This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IFERROR(VLOOKUP(January[[#This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IFERROR(VLOOKUP(January[[#This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IFERROR(VLOOKUP(January[[#This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IFERROR(VLOOKUP(January[[#This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IFERROR(VLOOKUP(January[[#This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IFERROR(VLOOKUP(January[[#This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IFERROR(VLOOKUP(January[[#This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IFERROR(VLOOKUP(January[[#This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IFERROR(VLOOKUP(January[[#This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IFERROR(VLOOKUP(January[[#This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IFERROR(VLOOKUP(January[[#This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IFERROR(VLOOKUP(January[[#This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IFERROR(VLOOKUP(January[[#This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IFERROR(VLOOKUP(January[[#This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IFERROR(VLOOKUP(January[[#This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IFERROR(VLOOKUP(January[[#This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IFERROR(VLOOKUP(January[[#This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IFERROR(VLOOKUP(January[[#This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IFERROR(VLOOKUP(January[[#This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IFERROR(VLOOKUP(January[[#This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IFERROR(VLOOKUP(January[[#This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IFERROR(VLOOKUP(January[[#This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IFERROR(VLOOKUP(January[[#This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IFERROR(VLOOKUP(January[[#This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IFERROR(VLOOKUP(January[[#This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IFERROR(VLOOKUP(January[[#This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IFERROR(VLOOKUP(January[[#This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IFERROR(VLOOKUP(January[[#This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IFERROR(VLOOKUP(January[[#This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IFERROR(VLOOKUP(January[[#This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IFERROR(VLOOKUP(January[[#This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IFERROR(VLOOKUP(January[[#This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IFERROR(VLOOKUP(January[[#This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IFERROR(VLOOKUP(January[[#This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IFERROR(VLOOKUP(January[[#This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IFERROR(VLOOKUP(January[[#This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IFERROR(VLOOKUP(January[[#This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IFERROR(VLOOKUP(January[[#This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IFERROR(VLOOKUP(January[[#This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IFERROR(VLOOKUP(January[[#This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IFERROR(VLOOKUP(January[[#This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IFERROR(VLOOKUP(January[[#This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IFERROR(VLOOKUP(January[[#This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IFERROR(VLOOKUP(January[[#This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IFERROR(VLOOKUP(January[[#This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IFERROR(VLOOKUP(January[[#This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IFERROR(VLOOKUP(January[[#This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IFERROR(VLOOKUP(January[[#This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IFERROR(VLOOKUP(January[[#This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IFERROR(VLOOKUP(January[[#This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IFERROR(VLOOKUP(January[[#This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IFERROR(VLOOKUP(January[[#This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IFERROR(VLOOKUP(January[[#This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IFERROR(VLOOKUP(January[[#This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IFERROR(VLOOKUP(January[[#This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IFERROR(VLOOKUP(January[[#This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IFERROR(VLOOKUP(January[[#This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IFERROR(VLOOKUP(January[[#This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IFERROR(VLOOKUP(January[[#This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IFERROR(VLOOKUP(January[[#This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IFERROR(VLOOKUP(January[[#This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IFERROR(VLOOKUP(January[[#This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IFERROR(VLOOKUP(January[[#This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IFERROR(VLOOKUP(January[[#This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IFERROR(VLOOKUP(January[[#This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IFERROR(VLOOKUP(January[[#This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IFERROR(VLOOKUP(January[[#This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IFERROR(VLOOKUP(January[[#This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IFERROR(VLOOKUP(January[[#This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IFERROR(VLOOKUP(January[[#This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IFERROR(VLOOKUP(January[[#This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IFERROR(VLOOKUP(January[[#This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IFERROR(VLOOKUP(January[[#This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IFERROR(VLOOKUP(January[[#This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IFERROR(VLOOKUP(January[[#This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IFERROR(VLOOKUP(January[[#This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IFERROR(VLOOKUP(January[[#This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IFERROR(VLOOKUP(January[[#This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IFERROR(VLOOKUP(January[[#This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IFERROR(VLOOKUP(January[[#This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IFERROR(VLOOKUP(January[[#This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IFERROR(VLOOKUP(January[[#This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IFERROR(VLOOKUP(January[[#This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IFERROR(VLOOKUP(January[[#This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IFERROR(VLOOKUP(January[[#This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IFERROR(VLOOKUP(January[[#This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IFERROR(VLOOKUP(January[[#This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IFERROR(VLOOKUP(January[[#This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IFERROR(VLOOKUP(January[[#This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IFERROR(VLOOKUP(January[[#This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IFERROR(VLOOKUP(January[[#This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IFERROR(VLOOKUP(January[[#This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IFERROR(VLOOKUP(January[[#This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IFERROR(VLOOKUP(January[[#This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IFERROR(VLOOKUP(January[[#This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IFERROR(VLOOKUP(January[[#This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IFERROR(VLOOKUP(January[[#This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IFERROR(VLOOKUP(January[[#This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IFERROR(VLOOKUP(January[[#This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IFERROR(VLOOKUP(January[[#This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IFERROR(VLOOKUP(January[[#This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IFERROR(VLOOKUP(January[[#This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IFERROR(VLOOKUP(January[[#This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IFERROR(VLOOKUP(January[[#This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IFERROR(VLOOKUP(January[[#This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IFERROR(VLOOKUP(January[[#This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IFERROR(VLOOKUP(January[[#This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IFERROR(VLOOKUP(January[[#This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IFERROR(VLOOKUP(January[[#This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IFERROR(VLOOKUP(January[[#This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IFERROR(VLOOKUP(January[[#This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IFERROR(VLOOKUP(January[[#This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IFERROR(VLOOKUP(January[[#This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IFERROR(VLOOKUP(January[[#This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IFERROR(VLOOKUP(January[[#This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IFERROR(VLOOKUP(January[[#This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IFERROR(VLOOKUP(January[[#This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IFERROR(VLOOKUP(January[[#This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IFERROR(VLOOKUP(January[[#This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IFERROR(VLOOKUP(January[[#This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IFERROR(VLOOKUP(January[[#This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IFERROR(VLOOKUP(January[[#This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IFERROR(VLOOKUP(January[[#This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IFERROR(VLOOKUP(January[[#This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IFERROR(VLOOKUP(January[[#This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IFERROR(VLOOKUP(January[[#This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IFERROR(VLOOKUP(January[[#This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IFERROR(VLOOKUP(January[[#This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IFERROR(VLOOKUP(January[[#This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IFERROR(VLOOKUP(January[[#This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IFERROR(VLOOKUP(January[[#This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IFERROR(VLOOKUP(January[[#This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IFERROR(VLOOKUP(January[[#This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IFERROR(VLOOKUP(January[[#This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IFERROR(VLOOKUP(January[[#This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IFERROR(VLOOKUP(January[[#This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IFERROR(VLOOKUP(January[[#This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IFERROR(VLOOKUP(January[[#This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IFERROR(VLOOKUP(January[[#This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IFERROR(VLOOKUP(January[[#This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IFERROR(VLOOKUP(January[[#This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IFERROR(VLOOKUP(January[[#This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IFERROR(VLOOKUP(January[[#This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IFERROR(VLOOKUP(January[[#This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IFERROR(VLOOKUP(January[[#This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IFERROR(VLOOKUP(January[[#This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IFERROR(VLOOKUP(January[[#This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IFERROR(VLOOKUP(January[[#This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IFERROR(VLOOKUP(January[[#This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IFERROR(VLOOKUP(January[[#This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IFERROR(VLOOKUP(January[[#This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IFERROR(VLOOKUP(January[[#This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IFERROR(VLOOKUP(January[[#This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IFERROR(VLOOKUP(January[[#This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IFERROR(VLOOKUP(January[[#This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IFERROR(VLOOKUP(January[[#This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IFERROR(VLOOKUP(January[[#This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IFERROR(VLOOKUP(January[[#This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IFERROR(VLOOKUP(January[[#This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IFERROR(VLOOKUP(January[[#This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IFERROR(VLOOKUP(January[[#This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IFERROR(VLOOKUP(January[[#This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IFERROR(VLOOKUP(January[[#This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IFERROR(VLOOKUP(January[[#This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IFERROR(VLOOKUP(January[[#This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IFERROR(VLOOKUP(January[[#This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IFERROR(VLOOKUP(January[[#This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IFERROR(VLOOKUP(January[[#This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IFERROR(VLOOKUP(January[[#This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IFERROR(VLOOKUP(January[[#This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IFERROR(VLOOKUP(January[[#This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IFERROR(VLOOKUP(January[[#This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IFERROR(VLOOKUP(January[[#This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IFERROR(VLOOKUP(January[[#This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IFERROR(VLOOKUP(January[[#This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IFERROR(VLOOKUP(January[[#This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IFERROR(VLOOKUP(January[[#This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IFERROR(VLOOKUP(January[[#This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IFERROR(VLOOKUP(January[[#This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IFERROR(VLOOKUP(January[[#This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IFERROR(VLOOKUP(January[[#This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IFERROR(VLOOKUP(January[[#This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IFERROR(VLOOKUP(January[[#This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IFERROR(VLOOKUP(January[[#This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IFERROR(VLOOKUP(January[[#This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IFERROR(VLOOKUP(January[[#This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IFERROR(VLOOKUP(January[[#This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IFERROR(VLOOKUP(January[[#This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IFERROR(VLOOKUP(January[[#This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IFERROR(VLOOKUP(January[[#This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IFERROR(VLOOKUP(January[[#This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IFERROR(VLOOKUP(January[[#This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IFERROR(VLOOKUP(January[[#This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IFERROR(VLOOKUP(January[[#This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IFERROR(VLOOKUP(January[[#This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IFERROR(VLOOKUP(January[[#This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IFERROR(VLOOKUP(January[[#This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IFERROR(VLOOKUP(January[[#This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IFERROR(VLOOKUP(January[[#This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IFERROR(VLOOKUP(January[[#This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IFERROR(VLOOKUP(January[[#This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IFERROR(VLOOKUP(January[[#This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IFERROR(VLOOKUP(January[[#This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IFERROR(VLOOKUP(January[[#This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IFERROR(VLOOKUP(January[[#This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IFERROR(VLOOKUP(January[[#This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IFERROR(VLOOKUP(January[[#This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IFERROR(VLOOKUP(January[[#This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IFERROR(VLOOKUP(January[[#This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IFERROR(VLOOKUP(January[[#This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IFERROR(VLOOKUP(January[[#This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IFERROR(VLOOKUP(January[[#This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IFERROR(VLOOKUP(January[[#This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IFERROR(VLOOKUP(January[[#This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IFERROR(VLOOKUP(January[[#This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IFERROR(VLOOKUP(January[[#This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IFERROR(VLOOKUP(January[[#This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IFERROR(VLOOKUP(January[[#This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IFERROR(VLOOKUP(January[[#This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IFERROR(VLOOKUP(January[[#This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IFERROR(VLOOKUP(January[[#This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IFERROR(VLOOKUP(January[[#This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IFERROR(VLOOKUP(January[[#This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IFERROR(VLOOKUP(January[[#This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IFERROR(VLOOKUP(January[[#This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IFERROR(VLOOKUP(January[[#This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IFERROR(VLOOKUP(January[[#This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IFERROR(VLOOKUP(January[[#This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IFERROR(VLOOKUP(January[[#This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IFERROR(VLOOKUP(January[[#This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IFERROR(VLOOKUP(January[[#This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IFERROR(VLOOKUP(January[[#This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IFERROR(VLOOKUP(January[[#This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IFERROR(VLOOKUP(January[[#This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IFERROR(VLOOKUP(January[[#This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IFERROR(VLOOKUP(January[[#This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IFERROR(VLOOKUP(January[[#This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IFERROR(VLOOKUP(January[[#This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IFERROR(VLOOKUP(January[[#This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IFERROR(VLOOKUP(January[[#This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IFERROR(VLOOKUP(January[[#This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IFERROR(VLOOKUP(January[[#This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IFERROR(VLOOKUP(January[[#This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IFERROR(VLOOKUP(January[[#This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IFERROR(VLOOKUP(January[[#This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IFERROR(VLOOKUP(January[[#This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IFERROR(VLOOKUP(January[[#This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IFERROR(VLOOKUP(January[[#This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IFERROR(VLOOKUP(January[[#This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IFERROR(VLOOKUP(January[[#This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IFERROR(VLOOKUP(January[[#This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IFERROR(VLOOKUP(January[[#This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IFERROR(VLOOKUP(January[[#This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IFERROR(VLOOKUP(January[[#This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IFERROR(VLOOKUP(January[[#This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IFERROR(VLOOKUP(January[[#This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IFERROR(VLOOKUP(January[[#This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IFERROR(VLOOKUP(January[[#This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IFERROR(VLOOKUP(January[[#This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IFERROR(VLOOKUP(January[[#This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IFERROR(VLOOKUP(January[[#This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IFERROR(VLOOKUP(January[[#This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IFERROR(VLOOKUP(January[[#This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IFERROR(VLOOKUP(January[[#This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IFERROR(VLOOKUP(January[[#This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IFERROR(VLOOKUP(January[[#This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IFERROR(VLOOKUP(January[[#This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IFERROR(VLOOKUP(January[[#This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IFERROR(VLOOKUP(January[[#This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IFERROR(VLOOKUP(January[[#This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IFERROR(VLOOKUP(January[[#This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IFERROR(VLOOKUP(January[[#This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IFERROR(VLOOKUP(January[[#This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IFERROR(VLOOKUP(January[[#This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IFERROR(VLOOKUP(January[[#This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IFERROR(VLOOKUP(January[[#This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IFERROR(VLOOKUP(January[[#This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IFERROR(VLOOKUP(January[[#This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IFERROR(VLOOKUP(January[[#This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IFERROR(VLOOKUP(January[[#This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IFERROR(VLOOKUP(January[[#This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IFERROR(VLOOKUP(January[[#This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IFERROR(VLOOKUP(January[[#This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IFERROR(VLOOKUP(January[[#This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IFERROR(VLOOKUP(January[[#This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IFERROR(VLOOKUP(January[[#This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IFERROR(VLOOKUP(January[[#This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IFERROR(VLOOKUP(January[[#This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IFERROR(VLOOKUP(January[[#This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IFERROR(VLOOKUP(January[[#This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IFERROR(VLOOKUP(January[[#This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IFERROR(VLOOKUP(January[[#This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IFERROR(VLOOKUP(January[[#This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IFERROR(VLOOKUP(January[[#This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IFERROR(VLOOKUP(January[[#This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IFERROR(VLOOKUP(January[[#This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IFERROR(VLOOKUP(January[[#This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IFERROR(VLOOKUP(January[[#This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IFERROR(VLOOKUP(January[[#This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IFERROR(VLOOKUP(January[[#This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IFERROR(VLOOKUP(January[[#This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IFERROR(VLOOKUP(January[[#This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IFERROR(VLOOKUP(January[[#This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IFERROR(VLOOKUP(January[[#This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IFERROR(VLOOKUP(January[[#This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IFERROR(VLOOKUP(January[[#This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IFERROR(VLOOKUP(January[[#This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IFERROR(VLOOKUP(January[[#This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IFERROR(VLOOKUP(January[[#This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IFERROR(VLOOKUP(January[[#This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IFERROR(VLOOKUP(January[[#This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IFERROR(VLOOKUP(January[[#This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IFERROR(VLOOKUP(January[[#This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IFERROR(VLOOKUP(January[[#This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IFERROR(VLOOKUP(January[[#This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IFERROR(VLOOKUP(January[[#This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IFERROR(VLOOKUP(January[[#This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IFERROR(VLOOKUP(January[[#This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IFERROR(VLOOKUP(January[[#This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IFERROR(VLOOKUP(January[[#This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IFERROR(VLOOKUP(January[[#This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IFERROR(VLOOKUP(January[[#This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IFERROR(VLOOKUP(January[[#This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IFERROR(VLOOKUP(January[[#This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IFERROR(VLOOKUP(January[[#This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IFERROR(VLOOKUP(January[[#This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IFERROR(VLOOKUP(January[[#This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IFERROR(VLOOKUP(January[[#This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IFERROR(VLOOKUP(January[[#This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IFERROR(VLOOKUP(January[[#This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IFERROR(VLOOKUP(January[[#This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IFERROR(VLOOKUP(January[[#This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IFERROR(VLOOKUP(January[[#This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IFERROR(VLOOKUP(January[[#This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IFERROR(VLOOKUP(January[[#This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IFERROR(VLOOKUP(January[[#This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IFERROR(VLOOKUP(January[[#This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IFERROR(VLOOKUP(January[[#This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IFERROR(VLOOKUP(January[[#This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IFERROR(VLOOKUP(January[[#This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IFERROR(VLOOKUP(January[[#This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IFERROR(VLOOKUP(January[[#This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IFERROR(VLOOKUP(January[[#This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IFERROR(VLOOKUP(January[[#This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IFERROR(VLOOKUP(January[[#This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IFERROR(VLOOKUP(January[[#This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IFERROR(VLOOKUP(January[[#This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IFERROR(VLOOKUP(January[[#This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IFERROR(VLOOKUP(January[[#This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IFERROR(VLOOKUP(January[[#This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IFERROR(VLOOKUP(January[[#This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IFERROR(VLOOKUP(January[[#This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IFERROR(VLOOKUP(January[[#This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IFERROR(VLOOKUP(January[[#This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IFERROR(VLOOKUP(January[[#This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IFERROR(VLOOKUP(January[[#This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IFERROR(VLOOKUP(January[[#This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IFERROR(VLOOKUP(January[[#This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IFERROR(VLOOKUP(January[[#This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IFERROR(VLOOKUP(January[[#This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IFERROR(VLOOKUP(January[[#This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IFERROR(VLOOKUP(January[[#This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IFERROR(VLOOKUP(January[[#This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IFERROR(VLOOKUP(January[[#This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IFERROR(VLOOKUP(January[[#This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IFERROR(VLOOKUP(January[[#This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IFERROR(VLOOKUP(January[[#This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IFERROR(VLOOKUP(January[[#This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IFERROR(VLOOKUP(January[[#This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IFERROR(VLOOKUP(January[[#This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IFERROR(VLOOKUP(January[[#This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IFERROR(VLOOKUP(January[[#This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IFERROR(VLOOKUP(January[[#This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IFERROR(VLOOKUP(January[[#This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IFERROR(VLOOKUP(January[[#This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IFERROR(VLOOKUP(January[[#This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IFERROR(VLOOKUP(January[[#This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IFERROR(VLOOKUP(January[[#This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IFERROR(VLOOKUP(January[[#This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IFERROR(VLOOKUP(January[[#This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IFERROR(VLOOKUP(January[[#This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IFERROR(VLOOKUP(January[[#This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IFERROR(VLOOKUP(January[[#This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IFERROR(VLOOKUP(January[[#This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IFERROR(VLOOKUP(January[[#This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IFERROR(VLOOKUP(January[[#This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IFERROR(VLOOKUP(January[[#This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IFERROR(VLOOKUP(January[[#This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IFERROR(VLOOKUP(January[[#This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IFERROR(VLOOKUP(January[[#This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IFERROR(VLOOKUP(January[[#This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IFERROR(VLOOKUP(January[[#This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IFERROR(VLOOKUP(January[[#This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IFERROR(VLOOKUP(January[[#This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IFERROR(VLOOKUP(January[[#This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IFERROR(VLOOKUP(January[[#This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IFERROR(VLOOKUP(January[[#This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IFERROR(VLOOKUP(January[[#This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IFERROR(VLOOKUP(January[[#This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IFERROR(VLOOKUP(January[[#This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IFERROR(VLOOKUP(January[[#This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IFERROR(VLOOKUP(January[[#This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IFERROR(VLOOKUP(January[[#This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IFERROR(VLOOKUP(January[[#This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IFERROR(VLOOKUP(January[[#This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IFERROR(VLOOKUP(January[[#This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IFERROR(VLOOKUP(January[[#This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IFERROR(VLOOKUP(January[[#This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IFERROR(VLOOKUP(January[[#This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IFERROR(VLOOKUP(January[[#This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IFERROR(VLOOKUP(January[[#This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IFERROR(VLOOKUP(January[[#This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IFERROR(VLOOKUP(January[[#This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IFERROR(VLOOKUP(January[[#This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IFERROR(VLOOKUP(January[[#This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IFERROR(VLOOKUP(January[[#This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IFERROR(VLOOKUP(January[[#This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IFERROR(VLOOKUP(January[[#This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IFERROR(VLOOKUP(January[[#This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IFERROR(VLOOKUP(January[[#This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IFERROR(VLOOKUP(January[[#This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IFERROR(VLOOKUP(January[[#This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IFERROR(VLOOKUP(January[[#This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IFERROR(VLOOKUP(January[[#This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IFERROR(VLOOKUP(January[[#This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IFERROR(VLOOKUP(January[[#This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IFERROR(VLOOKUP(January[[#This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IFERROR(VLOOKUP(January[[#This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IFERROR(VLOOKUP(January[[#This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IFERROR(VLOOKUP(January[[#This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IFERROR(VLOOKUP(January[[#This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IFERROR(VLOOKUP(January[[#This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IFERROR(VLOOKUP(January[[#This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IFERROR(VLOOKUP(January[[#This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IFERROR(VLOOKUP(January[[#This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IFERROR(VLOOKUP(January[[#This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IFERROR(VLOOKUP(January[[#This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IFERROR(VLOOKUP(January[[#This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IFERROR(VLOOKUP(January[[#This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IFERROR(VLOOKUP(January[[#This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IFERROR(VLOOKUP(January[[#This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IFERROR(VLOOKUP(January[[#This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IFERROR(VLOOKUP(January[[#This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IFERROR(VLOOKUP(January[[#This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IFERROR(VLOOKUP(January[[#This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IFERROR(VLOOKUP(January[[#This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IFERROR(VLOOKUP(January[[#This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IFERROR(VLOOKUP(January[[#This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IFERROR(VLOOKUP(January[[#This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IFERROR(VLOOKUP(January[[#This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IFERROR(VLOOKUP(January[[#This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IFERROR(VLOOKUP(January[[#This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IFERROR(VLOOKUP(January[[#This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IFERROR(VLOOKUP(January[[#This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IFERROR(VLOOKUP(January[[#This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IFERROR(VLOOKUP(January[[#This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IFERROR(VLOOKUP(January[[#This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IFERROR(VLOOKUP(January[[#This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IFERROR(VLOOKUP(January[[#This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IFERROR(VLOOKUP(January[[#This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IFERROR(VLOOKUP(January[[#This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IFERROR(VLOOKUP(January[[#This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IFERROR(VLOOKUP(January[[#This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IFERROR(VLOOKUP(January[[#This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IFERROR(VLOOKUP(January[[#This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IFERROR(VLOOKUP(January[[#This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IFERROR(VLOOKUP(January[[#This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IFERROR(VLOOKUP(January[[#This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IFERROR(VLOOKUP(January[[#This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IFERROR(VLOOKUP(January[[#This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IFERROR(VLOOKUP(January[[#This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IFERROR(VLOOKUP(January[[#This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IFERROR(VLOOKUP(January[[#This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IFERROR(VLOOKUP(January[[#This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IFERROR(VLOOKUP(January[[#This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IFERROR(VLOOKUP(January[[#This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IFERROR(VLOOKUP(January[[#This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IFERROR(VLOOKUP(January[[#This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IFERROR(VLOOKUP(January[[#This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IFERROR(VLOOKUP(January[[#This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IFERROR(VLOOKUP(January[[#This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IFERROR(VLOOKUP(January[[#This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IFERROR(VLOOKUP(January[[#This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IFERROR(VLOOKUP(January[[#This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IFERROR(VLOOKUP(January[[#This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IFERROR(VLOOKUP(January[[#This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IFERROR(VLOOKUP(January[[#This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IFERROR(VLOOKUP(January[[#This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IFERROR(VLOOKUP(January[[#This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IFERROR(VLOOKUP(January[[#This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IFERROR(VLOOKUP(January[[#This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IFERROR(VLOOKUP(January[[#This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IFERROR(VLOOKUP(January[[#This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IFERROR(VLOOKUP(January[[#This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IFERROR(VLOOKUP(January[[#This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IFERROR(VLOOKUP(January[[#This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IFERROR(VLOOKUP(January[[#This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IFERROR(VLOOKUP(January[[#This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IFERROR(VLOOKUP(January[[#This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IFERROR(VLOOKUP(January[[#This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IFERROR(VLOOKUP(January[[#This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IFERROR(VLOOKUP(January[[#This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IFERROR(VLOOKUP(January[[#This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IFERROR(VLOOKUP(January[[#This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IFERROR(VLOOKUP(January[[#This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IFERROR(VLOOKUP(January[[#This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IFERROR(VLOOKUP(January[[#This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IFERROR(VLOOKUP(January[[#This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IFERROR(VLOOKUP(January[[#This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IFERROR(VLOOKUP(January[[#This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IFERROR(VLOOKUP(January[[#This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IFERROR(VLOOKUP(January[[#This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IFERROR(VLOOKUP(January[[#This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IFERROR(VLOOKUP(January[[#This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IFERROR(VLOOKUP(January[[#This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IFERROR(VLOOKUP(January[[#This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IFERROR(VLOOKUP(January[[#This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IFERROR(VLOOKUP(January[[#This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IFERROR(VLOOKUP(January[[#This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IFERROR(VLOOKUP(January[[#This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IFERROR(VLOOKUP(January[[#This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IFERROR(VLOOKUP(January[[#This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IFERROR(VLOOKUP(January[[#This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IFERROR(VLOOKUP(January[[#This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IFERROR(VLOOKUP(January[[#This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IFERROR(VLOOKUP(January[[#This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IFERROR(VLOOKUP(January[[#This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IFERROR(VLOOKUP(January[[#This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IFERROR(VLOOKUP(January[[#This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IFERROR(VLOOKUP(January[[#This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IFERROR(VLOOKUP(January[[#This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IFERROR(VLOOKUP(January[[#This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IFERROR(VLOOKUP(January[[#This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IFERROR(VLOOKUP(January[[#This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IFERROR(VLOOKUP(January[[#This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IFERROR(VLOOKUP(January[[#This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IFERROR(VLOOKUP(January[[#This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IFERROR(VLOOKUP(January[[#This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IFERROR(VLOOKUP(January[[#This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IFERROR(VLOOKUP(January[[#This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IFERROR(VLOOKUP(January[[#This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IFERROR(VLOOKUP(January[[#This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IFERROR(VLOOKUP(January[[#This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IFERROR(VLOOKUP(January[[#This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IFERROR(VLOOKUP(January[[#This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IFERROR(VLOOKUP(January[[#This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IFERROR(VLOOKUP(January[[#This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IFERROR(VLOOKUP(January[[#This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IFERROR(VLOOKUP(January[[#This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IFERROR(VLOOKUP(January[[#This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IFERROR(VLOOKUP(January[[#This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IFERROR(VLOOKUP(January[[#This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IFERROR(VLOOKUP(January[[#This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IFERROR(VLOOKUP(January[[#This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IFERROR(VLOOKUP(January[[#This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IFERROR(VLOOKUP(January[[#This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IFERROR(VLOOKUP(January[[#This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IFERROR(VLOOKUP(January[[#This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IFERROR(VLOOKUP(January[[#This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IFERROR(VLOOKUP(January[[#This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IFERROR(VLOOKUP(January[[#This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IFERROR(VLOOKUP(January[[#This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IFERROR(VLOOKUP(January[[#This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IFERROR(VLOOKUP(January[[#This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IFERROR(VLOOKUP(January[[#This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IFERROR(VLOOKUP(January[[#This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IFERROR(VLOOKUP(January[[#This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IFERROR(VLOOKUP(January[[#This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IFERROR(VLOOKUP(January[[#This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IFERROR(VLOOKUP(January[[#This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IFERROR(VLOOKUP(January[[#This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IFERROR(VLOOKUP(January[[#This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IFERROR(VLOOKUP(January[[#This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IFERROR(VLOOKUP(January[[#This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IFERROR(VLOOKUP(January[[#This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IFERROR(VLOOKUP(January[[#This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IFERROR(VLOOKUP(January[[#This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IFERROR(VLOOKUP(January[[#This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IFERROR(VLOOKUP(January[[#This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IFERROR(VLOOKUP(January[[#This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IFERROR(VLOOKUP(January[[#This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IFERROR(VLOOKUP(January[[#This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IFERROR(VLOOKUP(January[[#This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IFERROR(VLOOKUP(January[[#This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IFERROR(VLOOKUP(January[[#This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IFERROR(VLOOKUP(January[[#This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IFERROR(VLOOKUP(January[[#This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IFERROR(VLOOKUP(January[[#This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IFERROR(VLOOKUP(January[[#This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IFERROR(VLOOKUP(January[[#This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IFERROR(VLOOKUP(January[[#This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IFERROR(VLOOKUP(January[[#This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IFERROR(VLOOKUP(January[[#This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IFERROR(VLOOKUP(January[[#This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IFERROR(VLOOKUP(January[[#This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IFERROR(VLOOKUP(January[[#This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IFERROR(VLOOKUP(January[[#This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IFERROR(VLOOKUP(January[[#This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IFERROR(VLOOKUP(January[[#This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IFERROR(VLOOKUP(January[[#This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IFERROR(VLOOKUP(January[[#This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IFERROR(VLOOKUP(January[[#This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IFERROR(VLOOKUP(January[[#This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IFERROR(VLOOKUP(January[[#This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IFERROR(VLOOKUP(January[[#This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IFERROR(VLOOKUP(January[[#This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IFERROR(VLOOKUP(January[[#This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IFERROR(VLOOKUP(January[[#This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IFERROR(VLOOKUP(January[[#This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IFERROR(VLOOKUP(January[[#This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IFERROR(VLOOKUP(January[[#This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IFERROR(VLOOKUP(January[[#This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IFERROR(VLOOKUP(January[[#This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IFERROR(VLOOKUP(January[[#This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IFERROR(VLOOKUP(January[[#This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IFERROR(VLOOKUP(January[[#This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IFERROR(VLOOKUP(January[[#This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IFERROR(VLOOKUP(January[[#This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IFERROR(VLOOKUP(January[[#This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IFERROR(VLOOKUP(January[[#This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IFERROR(VLOOKUP(January[[#This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IFERROR(VLOOKUP(January[[#This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IFERROR(VLOOKUP(January[[#This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IFERROR(VLOOKUP(January[[#This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IFERROR(VLOOKUP(January[[#This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IFERROR(VLOOKUP(January[[#This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IFERROR(VLOOKUP(January[[#This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IFERROR(VLOOKUP(January[[#This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IFERROR(VLOOKUP(January[[#This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IFERROR(VLOOKUP(January[[#This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IFERROR(VLOOKUP(January[[#This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IFERROR(VLOOKUP(January[[#This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IFERROR(VLOOKUP(January[[#This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IFERROR(VLOOKUP(January[[#This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IFERROR(VLOOKUP(January[[#This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IFERROR(VLOOKUP(January[[#This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IFERROR(VLOOKUP(January[[#This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IFERROR(VLOOKUP(January[[#This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IFERROR(VLOOKUP(January[[#This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IFERROR(VLOOKUP(January[[#This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IFERROR(VLOOKUP(January[[#This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IFERROR(VLOOKUP(January[[#This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IFERROR(VLOOKUP(January[[#This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IFERROR(VLOOKUP(January[[#This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IFERROR(VLOOKUP(January[[#This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IFERROR(VLOOKUP(January[[#This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IFERROR(VLOOKUP(January[[#This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IFERROR(VLOOKUP(January[[#This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IFERROR(VLOOKUP(January[[#This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IFERROR(VLOOKUP(January[[#This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IFERROR(VLOOKUP(January[[#This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IFERROR(VLOOKUP(January[[#This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IFERROR(VLOOKUP(January[[#This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IFERROR(VLOOKUP(January[[#This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IFERROR(VLOOKUP(January[[#This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IFERROR(VLOOKUP(January[[#This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IFERROR(VLOOKUP(January[[#This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IFERROR(VLOOKUP(January[[#This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IFERROR(VLOOKUP(January[[#This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IFERROR(VLOOKUP(January[[#This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IFERROR(VLOOKUP(January[[#This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IFERROR(VLOOKUP(January[[#This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IFERROR(VLOOKUP(January[[#This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IFERROR(VLOOKUP(January[[#This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IFERROR(VLOOKUP(January[[#This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IFERROR(VLOOKUP(January[[#This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IFERROR(VLOOKUP(January[[#This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IFERROR(VLOOKUP(January[[#This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IFERROR(VLOOKUP(January[[#This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IFERROR(VLOOKUP(January[[#This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SUBTOTAL(103,January[Location Filled9])</f>
        <v>0</v>
      </c>
    </row>
  </sheetData>
  <sheetProtection algorithmName="SHA-512" hashValue="u4xvLBKDxli09Q4JYBxFuvtzQqS+xchjrxBNnWOiq8LXRUyAtGLL2LD4WeBm6TA/TLQ5CK1lvzBU0GyUxzO6Fw==" saltValue="HfsDSfX0u6x3UOH/A8wYQg==" spinCount="100000" sheet="1" objects="1" scenarios="1"/>
  <mergeCells count="13">
    <mergeCell ref="AR2:AX2"/>
    <mergeCell ref="BS2:BY2"/>
    <mergeCell ref="BZ2:CF2"/>
    <mergeCell ref="CG2:CM2"/>
    <mergeCell ref="AL1:AQ2"/>
    <mergeCell ref="BM1:BR2"/>
    <mergeCell ref="BF2:BL2"/>
    <mergeCell ref="A1:J2"/>
    <mergeCell ref="K1:AF1"/>
    <mergeCell ref="K2:P2"/>
    <mergeCell ref="Q2:V2"/>
    <mergeCell ref="X2:AD2"/>
    <mergeCell ref="AE2:AK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CL4:CL201 Z4:Z201 V4:V201 AC4:AC201 AG4:AG201 AJ4:AJ201 AT4:AT201 AW4:AW201 BD4:BD201 BA4:BA201 BH4:BH201 BK4:BK201 BU4:BU201 BX4:BX201 CB4:CB201 CE4:CE201 CI4:CI201 S4:S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IFERROR(VLOOKUP(February[[#This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IFERROR(VLOOKUP(February[[#This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IFERROR(VLOOKUP(February[[#This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IFERROR(VLOOKUP(February[[#This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IFERROR(VLOOKUP(February[[#This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IFERROR(VLOOKUP(February[[#This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IFERROR(VLOOKUP(February[[#This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IFERROR(VLOOKUP(February[[#This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IFERROR(VLOOKUP(February[[#This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5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IFERROR(VLOOKUP(February[[#This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IFERROR(VLOOKUP(February[[#This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IFERROR(VLOOKUP(February[[#This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IFERROR(VLOOKUP(February[[#This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IFERROR(VLOOKUP(February[[#This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IFERROR(VLOOKUP(February[[#This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IFERROR(VLOOKUP(February[[#This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IFERROR(VLOOKUP(February[[#This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IFERROR(VLOOKUP(February[[#This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53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IFERROR(VLOOKUP(February[[#This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IFERROR(VLOOKUP(February[[#This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IFERROR(VLOOKUP(February[[#This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IFERROR(VLOOKUP(February[[#This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IFERROR(VLOOKUP(February[[#This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IFERROR(VLOOKUP(February[[#This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IFERROR(VLOOKUP(February[[#This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IFERROR(VLOOKUP(February[[#This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IFERROR(VLOOKUP(February[[#This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53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IFERROR(VLOOKUP(February[[#This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IFERROR(VLOOKUP(February[[#This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IFERROR(VLOOKUP(February[[#This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IFERROR(VLOOKUP(February[[#This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IFERROR(VLOOKUP(February[[#This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IFERROR(VLOOKUP(February[[#This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IFERROR(VLOOKUP(February[[#This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IFERROR(VLOOKUP(February[[#This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IFERROR(VLOOKUP(February[[#This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5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IFERROR(VLOOKUP(February[[#This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IFERROR(VLOOKUP(February[[#This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IFERROR(VLOOKUP(February[[#This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IFERROR(VLOOKUP(February[[#This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IFERROR(VLOOKUP(February[[#This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IFERROR(VLOOKUP(February[[#This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IFERROR(VLOOKUP(February[[#This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IFERROR(VLOOKUP(February[[#This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IFERROR(VLOOKUP(February[[#This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53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IFERROR(VLOOKUP(February[[#This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IFERROR(VLOOKUP(February[[#This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IFERROR(VLOOKUP(February[[#This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IFERROR(VLOOKUP(February[[#This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IFERROR(VLOOKUP(February[[#This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IFERROR(VLOOKUP(February[[#This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IFERROR(VLOOKUP(February[[#This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IFERROR(VLOOKUP(February[[#This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IFERROR(VLOOKUP(February[[#This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53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IFERROR(VLOOKUP(February[[#This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IFERROR(VLOOKUP(February[[#This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IFERROR(VLOOKUP(February[[#This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IFERROR(VLOOKUP(February[[#This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IFERROR(VLOOKUP(February[[#This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IFERROR(VLOOKUP(February[[#This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IFERROR(VLOOKUP(February[[#This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IFERROR(VLOOKUP(February[[#This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IFERROR(VLOOKUP(February[[#This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5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IFERROR(VLOOKUP(February[[#This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IFERROR(VLOOKUP(February[[#This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IFERROR(VLOOKUP(February[[#This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IFERROR(VLOOKUP(February[[#This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IFERROR(VLOOKUP(February[[#This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IFERROR(VLOOKUP(February[[#This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IFERROR(VLOOKUP(February[[#This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IFERROR(VLOOKUP(February[[#This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IFERROR(VLOOKUP(February[[#This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5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IFERROR(VLOOKUP(February[[#This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IFERROR(VLOOKUP(February[[#This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IFERROR(VLOOKUP(February[[#This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IFERROR(VLOOKUP(February[[#This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IFERROR(VLOOKUP(February[[#This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IFERROR(VLOOKUP(February[[#This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IFERROR(VLOOKUP(February[[#This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IFERROR(VLOOKUP(February[[#This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IFERROR(VLOOKUP(February[[#This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5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IFERROR(VLOOKUP(February[[#This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IFERROR(VLOOKUP(February[[#This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IFERROR(VLOOKUP(February[[#This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IFERROR(VLOOKUP(February[[#This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IFERROR(VLOOKUP(February[[#This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IFERROR(VLOOKUP(February[[#This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IFERROR(VLOOKUP(February[[#This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IFERROR(VLOOKUP(February[[#This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IFERROR(VLOOKUP(February[[#This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IFERROR(VLOOKUP(February[[#This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IFERROR(VLOOKUP(February[[#This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IFERROR(VLOOKUP(February[[#This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IFERROR(VLOOKUP(February[[#This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IFERROR(VLOOKUP(February[[#This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IFERROR(VLOOKUP(February[[#This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IFERROR(VLOOKUP(February[[#This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IFERROR(VLOOKUP(February[[#This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IFERROR(VLOOKUP(February[[#This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IFERROR(VLOOKUP(February[[#This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IFERROR(VLOOKUP(February[[#This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IFERROR(VLOOKUP(February[[#This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IFERROR(VLOOKUP(February[[#This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IFERROR(VLOOKUP(February[[#This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IFERROR(VLOOKUP(February[[#This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IFERROR(VLOOKUP(February[[#This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IFERROR(VLOOKUP(February[[#This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IFERROR(VLOOKUP(February[[#This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IFERROR(VLOOKUP(February[[#This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IFERROR(VLOOKUP(February[[#This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IFERROR(VLOOKUP(February[[#This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IFERROR(VLOOKUP(February[[#This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IFERROR(VLOOKUP(February[[#This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IFERROR(VLOOKUP(February[[#This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IFERROR(VLOOKUP(February[[#This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IFERROR(VLOOKUP(February[[#This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IFERROR(VLOOKUP(February[[#This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IFERROR(VLOOKUP(February[[#This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IFERROR(VLOOKUP(February[[#This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IFERROR(VLOOKUP(February[[#This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IFERROR(VLOOKUP(February[[#This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IFERROR(VLOOKUP(February[[#This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IFERROR(VLOOKUP(February[[#This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IFERROR(VLOOKUP(February[[#This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IFERROR(VLOOKUP(February[[#This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IFERROR(VLOOKUP(February[[#This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IFERROR(VLOOKUP(February[[#This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IFERROR(VLOOKUP(February[[#This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IFERROR(VLOOKUP(February[[#This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IFERROR(VLOOKUP(February[[#This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IFERROR(VLOOKUP(February[[#This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IFERROR(VLOOKUP(February[[#This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IFERROR(VLOOKUP(February[[#This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IFERROR(VLOOKUP(February[[#This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IFERROR(VLOOKUP(February[[#This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IFERROR(VLOOKUP(February[[#This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IFERROR(VLOOKUP(February[[#This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IFERROR(VLOOKUP(February[[#This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IFERROR(VLOOKUP(February[[#This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IFERROR(VLOOKUP(February[[#This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IFERROR(VLOOKUP(February[[#This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IFERROR(VLOOKUP(February[[#This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IFERROR(VLOOKUP(February[[#This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IFERROR(VLOOKUP(February[[#This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IFERROR(VLOOKUP(February[[#This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IFERROR(VLOOKUP(February[[#This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IFERROR(VLOOKUP(February[[#This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IFERROR(VLOOKUP(February[[#This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IFERROR(VLOOKUP(February[[#This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IFERROR(VLOOKUP(February[[#This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IFERROR(VLOOKUP(February[[#This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IFERROR(VLOOKUP(February[[#This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IFERROR(VLOOKUP(February[[#This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IFERROR(VLOOKUP(February[[#This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IFERROR(VLOOKUP(February[[#This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IFERROR(VLOOKUP(February[[#This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IFERROR(VLOOKUP(February[[#This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IFERROR(VLOOKUP(February[[#This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IFERROR(VLOOKUP(February[[#This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IFERROR(VLOOKUP(February[[#This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IFERROR(VLOOKUP(February[[#This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IFERROR(VLOOKUP(February[[#This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IFERROR(VLOOKUP(February[[#This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IFERROR(VLOOKUP(February[[#This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IFERROR(VLOOKUP(February[[#This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IFERROR(VLOOKUP(February[[#This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IFERROR(VLOOKUP(February[[#This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IFERROR(VLOOKUP(February[[#This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IFERROR(VLOOKUP(February[[#This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IFERROR(VLOOKUP(February[[#This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IFERROR(VLOOKUP(February[[#This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IFERROR(VLOOKUP(February[[#This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IFERROR(VLOOKUP(February[[#This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IFERROR(VLOOKUP(February[[#This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IFERROR(VLOOKUP(February[[#This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IFERROR(VLOOKUP(February[[#This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IFERROR(VLOOKUP(February[[#This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IFERROR(VLOOKUP(February[[#This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IFERROR(VLOOKUP(February[[#This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IFERROR(VLOOKUP(February[[#This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IFERROR(VLOOKUP(February[[#This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IFERROR(VLOOKUP(February[[#This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IFERROR(VLOOKUP(February[[#This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IFERROR(VLOOKUP(February[[#This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IFERROR(VLOOKUP(February[[#This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IFERROR(VLOOKUP(February[[#This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IFERROR(VLOOKUP(February[[#This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IFERROR(VLOOKUP(February[[#This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IFERROR(VLOOKUP(February[[#This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IFERROR(VLOOKUP(February[[#This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IFERROR(VLOOKUP(February[[#This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IFERROR(VLOOKUP(February[[#This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IFERROR(VLOOKUP(February[[#This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IFERROR(VLOOKUP(February[[#This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IFERROR(VLOOKUP(February[[#This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IFERROR(VLOOKUP(February[[#This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IFERROR(VLOOKUP(February[[#This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IFERROR(VLOOKUP(February[[#This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IFERROR(VLOOKUP(February[[#This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IFERROR(VLOOKUP(February[[#This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IFERROR(VLOOKUP(February[[#This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IFERROR(VLOOKUP(February[[#This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IFERROR(VLOOKUP(February[[#This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IFERROR(VLOOKUP(February[[#This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IFERROR(VLOOKUP(February[[#This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IFERROR(VLOOKUP(February[[#This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IFERROR(VLOOKUP(February[[#This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IFERROR(VLOOKUP(February[[#This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IFERROR(VLOOKUP(February[[#This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IFERROR(VLOOKUP(February[[#This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IFERROR(VLOOKUP(February[[#This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IFERROR(VLOOKUP(February[[#This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IFERROR(VLOOKUP(February[[#This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IFERROR(VLOOKUP(February[[#This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IFERROR(VLOOKUP(February[[#This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IFERROR(VLOOKUP(February[[#This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IFERROR(VLOOKUP(February[[#This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IFERROR(VLOOKUP(February[[#This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IFERROR(VLOOKUP(February[[#This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IFERROR(VLOOKUP(February[[#This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IFERROR(VLOOKUP(February[[#This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IFERROR(VLOOKUP(February[[#This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IFERROR(VLOOKUP(February[[#This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IFERROR(VLOOKUP(February[[#This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IFERROR(VLOOKUP(February[[#This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IFERROR(VLOOKUP(February[[#This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IFERROR(VLOOKUP(February[[#This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IFERROR(VLOOKUP(February[[#This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IFERROR(VLOOKUP(February[[#This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IFERROR(VLOOKUP(February[[#This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IFERROR(VLOOKUP(February[[#This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IFERROR(VLOOKUP(February[[#This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IFERROR(VLOOKUP(February[[#This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IFERROR(VLOOKUP(February[[#This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IFERROR(VLOOKUP(February[[#This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IFERROR(VLOOKUP(February[[#This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IFERROR(VLOOKUP(February[[#This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IFERROR(VLOOKUP(February[[#This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IFERROR(VLOOKUP(February[[#This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IFERROR(VLOOKUP(February[[#This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IFERROR(VLOOKUP(February[[#This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IFERROR(VLOOKUP(February[[#This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IFERROR(VLOOKUP(February[[#This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IFERROR(VLOOKUP(February[[#This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IFERROR(VLOOKUP(February[[#This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IFERROR(VLOOKUP(February[[#This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IFERROR(VLOOKUP(February[[#This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IFERROR(VLOOKUP(February[[#This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IFERROR(VLOOKUP(February[[#This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IFERROR(VLOOKUP(February[[#This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IFERROR(VLOOKUP(February[[#This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IFERROR(VLOOKUP(February[[#This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IFERROR(VLOOKUP(February[[#This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IFERROR(VLOOKUP(February[[#This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IFERROR(VLOOKUP(February[[#This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IFERROR(VLOOKUP(February[[#This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IFERROR(VLOOKUP(February[[#This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IFERROR(VLOOKUP(February[[#This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IFERROR(VLOOKUP(February[[#This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IFERROR(VLOOKUP(February[[#This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IFERROR(VLOOKUP(February[[#This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IFERROR(VLOOKUP(February[[#This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IFERROR(VLOOKUP(February[[#This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IFERROR(VLOOKUP(February[[#This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IFERROR(VLOOKUP(February[[#This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IFERROR(VLOOKUP(February[[#This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IFERROR(VLOOKUP(February[[#This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IFERROR(VLOOKUP(February[[#This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IFERROR(VLOOKUP(February[[#This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IFERROR(VLOOKUP(February[[#This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IFERROR(VLOOKUP(February[[#This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IFERROR(VLOOKUP(February[[#This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IFERROR(VLOOKUP(February[[#This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IFERROR(VLOOKUP(February[[#This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IFERROR(VLOOKUP(February[[#This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IFERROR(VLOOKUP(February[[#This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IFERROR(VLOOKUP(February[[#This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IFERROR(VLOOKUP(February[[#This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IFERROR(VLOOKUP(February[[#This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IFERROR(VLOOKUP(February[[#This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IFERROR(VLOOKUP(February[[#This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IFERROR(VLOOKUP(February[[#This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IFERROR(VLOOKUP(February[[#This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IFERROR(VLOOKUP(February[[#This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IFERROR(VLOOKUP(February[[#This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IFERROR(VLOOKUP(February[[#This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IFERROR(VLOOKUP(February[[#This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IFERROR(VLOOKUP(February[[#This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IFERROR(VLOOKUP(February[[#This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IFERROR(VLOOKUP(February[[#This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IFERROR(VLOOKUP(February[[#This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IFERROR(VLOOKUP(February[[#This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IFERROR(VLOOKUP(February[[#This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IFERROR(VLOOKUP(February[[#This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IFERROR(VLOOKUP(February[[#This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IFERROR(VLOOKUP(February[[#This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IFERROR(VLOOKUP(February[[#This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IFERROR(VLOOKUP(February[[#This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IFERROR(VLOOKUP(February[[#This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IFERROR(VLOOKUP(February[[#This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IFERROR(VLOOKUP(February[[#This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IFERROR(VLOOKUP(February[[#This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IFERROR(VLOOKUP(February[[#This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IFERROR(VLOOKUP(February[[#This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IFERROR(VLOOKUP(February[[#This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IFERROR(VLOOKUP(February[[#This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IFERROR(VLOOKUP(February[[#This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IFERROR(VLOOKUP(February[[#This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IFERROR(VLOOKUP(February[[#This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IFERROR(VLOOKUP(February[[#This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IFERROR(VLOOKUP(February[[#This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IFERROR(VLOOKUP(February[[#This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IFERROR(VLOOKUP(February[[#This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IFERROR(VLOOKUP(February[[#This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IFERROR(VLOOKUP(February[[#This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IFERROR(VLOOKUP(February[[#This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IFERROR(VLOOKUP(February[[#This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IFERROR(VLOOKUP(February[[#This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IFERROR(VLOOKUP(February[[#This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IFERROR(VLOOKUP(February[[#This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IFERROR(VLOOKUP(February[[#This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IFERROR(VLOOKUP(February[[#This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IFERROR(VLOOKUP(February[[#This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IFERROR(VLOOKUP(February[[#This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IFERROR(VLOOKUP(February[[#This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IFERROR(VLOOKUP(February[[#This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IFERROR(VLOOKUP(February[[#This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IFERROR(VLOOKUP(February[[#This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IFERROR(VLOOKUP(February[[#This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IFERROR(VLOOKUP(February[[#This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IFERROR(VLOOKUP(February[[#This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IFERROR(VLOOKUP(February[[#This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IFERROR(VLOOKUP(February[[#This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IFERROR(VLOOKUP(February[[#This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IFERROR(VLOOKUP(February[[#This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IFERROR(VLOOKUP(February[[#This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IFERROR(VLOOKUP(February[[#This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IFERROR(VLOOKUP(February[[#This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IFERROR(VLOOKUP(February[[#This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IFERROR(VLOOKUP(February[[#This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IFERROR(VLOOKUP(February[[#This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IFERROR(VLOOKUP(February[[#This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IFERROR(VLOOKUP(February[[#This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IFERROR(VLOOKUP(February[[#This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IFERROR(VLOOKUP(February[[#This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IFERROR(VLOOKUP(February[[#This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IFERROR(VLOOKUP(February[[#This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IFERROR(VLOOKUP(February[[#This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IFERROR(VLOOKUP(February[[#This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IFERROR(VLOOKUP(February[[#This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IFERROR(VLOOKUP(February[[#This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IFERROR(VLOOKUP(February[[#This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IFERROR(VLOOKUP(February[[#This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IFERROR(VLOOKUP(February[[#This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IFERROR(VLOOKUP(February[[#This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IFERROR(VLOOKUP(February[[#This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IFERROR(VLOOKUP(February[[#This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IFERROR(VLOOKUP(February[[#This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IFERROR(VLOOKUP(February[[#This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IFERROR(VLOOKUP(February[[#This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IFERROR(VLOOKUP(February[[#This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IFERROR(VLOOKUP(February[[#This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IFERROR(VLOOKUP(February[[#This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IFERROR(VLOOKUP(February[[#This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IFERROR(VLOOKUP(February[[#This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IFERROR(VLOOKUP(February[[#This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IFERROR(VLOOKUP(February[[#This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IFERROR(VLOOKUP(February[[#This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IFERROR(VLOOKUP(February[[#This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IFERROR(VLOOKUP(February[[#This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IFERROR(VLOOKUP(February[[#This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IFERROR(VLOOKUP(February[[#This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IFERROR(VLOOKUP(February[[#This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IFERROR(VLOOKUP(February[[#This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IFERROR(VLOOKUP(February[[#This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IFERROR(VLOOKUP(February[[#This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IFERROR(VLOOKUP(February[[#This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IFERROR(VLOOKUP(February[[#This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IFERROR(VLOOKUP(February[[#This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IFERROR(VLOOKUP(February[[#This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IFERROR(VLOOKUP(February[[#This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IFERROR(VLOOKUP(February[[#This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IFERROR(VLOOKUP(February[[#This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IFERROR(VLOOKUP(February[[#This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IFERROR(VLOOKUP(February[[#This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IFERROR(VLOOKUP(February[[#This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IFERROR(VLOOKUP(February[[#This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IFERROR(VLOOKUP(February[[#This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IFERROR(VLOOKUP(February[[#This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IFERROR(VLOOKUP(February[[#This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IFERROR(VLOOKUP(February[[#This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IFERROR(VLOOKUP(February[[#This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IFERROR(VLOOKUP(February[[#This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IFERROR(VLOOKUP(February[[#This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IFERROR(VLOOKUP(February[[#This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IFERROR(VLOOKUP(February[[#This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IFERROR(VLOOKUP(February[[#This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IFERROR(VLOOKUP(February[[#This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IFERROR(VLOOKUP(February[[#This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IFERROR(VLOOKUP(February[[#This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IFERROR(VLOOKUP(February[[#This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IFERROR(VLOOKUP(February[[#This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IFERROR(VLOOKUP(February[[#This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IFERROR(VLOOKUP(February[[#This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IFERROR(VLOOKUP(February[[#This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IFERROR(VLOOKUP(February[[#This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IFERROR(VLOOKUP(February[[#This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IFERROR(VLOOKUP(February[[#This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IFERROR(VLOOKUP(February[[#This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IFERROR(VLOOKUP(February[[#This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IFERROR(VLOOKUP(February[[#This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IFERROR(VLOOKUP(February[[#This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IFERROR(VLOOKUP(February[[#This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IFERROR(VLOOKUP(February[[#This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IFERROR(VLOOKUP(February[[#This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IFERROR(VLOOKUP(February[[#This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IFERROR(VLOOKUP(February[[#This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IFERROR(VLOOKUP(February[[#This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IFERROR(VLOOKUP(February[[#This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IFERROR(VLOOKUP(February[[#This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IFERROR(VLOOKUP(February[[#This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IFERROR(VLOOKUP(February[[#This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IFERROR(VLOOKUP(February[[#This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IFERROR(VLOOKUP(February[[#This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IFERROR(VLOOKUP(February[[#This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IFERROR(VLOOKUP(February[[#This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IFERROR(VLOOKUP(February[[#This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IFERROR(VLOOKUP(February[[#This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IFERROR(VLOOKUP(February[[#This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IFERROR(VLOOKUP(February[[#This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IFERROR(VLOOKUP(February[[#This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IFERROR(VLOOKUP(February[[#This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IFERROR(VLOOKUP(February[[#This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IFERROR(VLOOKUP(February[[#This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IFERROR(VLOOKUP(February[[#This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IFERROR(VLOOKUP(February[[#This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IFERROR(VLOOKUP(February[[#This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IFERROR(VLOOKUP(February[[#This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IFERROR(VLOOKUP(February[[#This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IFERROR(VLOOKUP(February[[#This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IFERROR(VLOOKUP(February[[#This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IFERROR(VLOOKUP(February[[#This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IFERROR(VLOOKUP(February[[#This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IFERROR(VLOOKUP(February[[#This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IFERROR(VLOOKUP(February[[#This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IFERROR(VLOOKUP(February[[#This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IFERROR(VLOOKUP(February[[#This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IFERROR(VLOOKUP(February[[#This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IFERROR(VLOOKUP(February[[#This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IFERROR(VLOOKUP(February[[#This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IFERROR(VLOOKUP(February[[#This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IFERROR(VLOOKUP(February[[#This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IFERROR(VLOOKUP(February[[#This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IFERROR(VLOOKUP(February[[#This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IFERROR(VLOOKUP(February[[#This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IFERROR(VLOOKUP(February[[#This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IFERROR(VLOOKUP(February[[#This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IFERROR(VLOOKUP(February[[#This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IFERROR(VLOOKUP(February[[#This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IFERROR(VLOOKUP(February[[#This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IFERROR(VLOOKUP(February[[#This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IFERROR(VLOOKUP(February[[#This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IFERROR(VLOOKUP(February[[#This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IFERROR(VLOOKUP(February[[#This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IFERROR(VLOOKUP(February[[#This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IFERROR(VLOOKUP(February[[#This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IFERROR(VLOOKUP(February[[#This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IFERROR(VLOOKUP(February[[#This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IFERROR(VLOOKUP(February[[#This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IFERROR(VLOOKUP(February[[#This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IFERROR(VLOOKUP(February[[#This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IFERROR(VLOOKUP(February[[#This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IFERROR(VLOOKUP(February[[#This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IFERROR(VLOOKUP(February[[#This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IFERROR(VLOOKUP(February[[#This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IFERROR(VLOOKUP(February[[#This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IFERROR(VLOOKUP(February[[#This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IFERROR(VLOOKUP(February[[#This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IFERROR(VLOOKUP(February[[#This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IFERROR(VLOOKUP(February[[#This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IFERROR(VLOOKUP(February[[#This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IFERROR(VLOOKUP(February[[#This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IFERROR(VLOOKUP(February[[#This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IFERROR(VLOOKUP(February[[#This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IFERROR(VLOOKUP(February[[#This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IFERROR(VLOOKUP(February[[#This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IFERROR(VLOOKUP(February[[#This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IFERROR(VLOOKUP(February[[#This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IFERROR(VLOOKUP(February[[#This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IFERROR(VLOOKUP(February[[#This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IFERROR(VLOOKUP(February[[#This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IFERROR(VLOOKUP(February[[#This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IFERROR(VLOOKUP(February[[#This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IFERROR(VLOOKUP(February[[#This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IFERROR(VLOOKUP(February[[#This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IFERROR(VLOOKUP(February[[#This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IFERROR(VLOOKUP(February[[#This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IFERROR(VLOOKUP(February[[#This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IFERROR(VLOOKUP(February[[#This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IFERROR(VLOOKUP(February[[#This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IFERROR(VLOOKUP(February[[#This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IFERROR(VLOOKUP(February[[#This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IFERROR(VLOOKUP(February[[#This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IFERROR(VLOOKUP(February[[#This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IFERROR(VLOOKUP(February[[#This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IFERROR(VLOOKUP(February[[#This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IFERROR(VLOOKUP(February[[#This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IFERROR(VLOOKUP(February[[#This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IFERROR(VLOOKUP(February[[#This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IFERROR(VLOOKUP(February[[#This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IFERROR(VLOOKUP(February[[#This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IFERROR(VLOOKUP(February[[#This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IFERROR(VLOOKUP(February[[#This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IFERROR(VLOOKUP(February[[#This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IFERROR(VLOOKUP(February[[#This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IFERROR(VLOOKUP(February[[#This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IFERROR(VLOOKUP(February[[#This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IFERROR(VLOOKUP(February[[#This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IFERROR(VLOOKUP(February[[#This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IFERROR(VLOOKUP(February[[#This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IFERROR(VLOOKUP(February[[#This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IFERROR(VLOOKUP(February[[#This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IFERROR(VLOOKUP(February[[#This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IFERROR(VLOOKUP(February[[#This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IFERROR(VLOOKUP(February[[#This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IFERROR(VLOOKUP(February[[#This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IFERROR(VLOOKUP(February[[#This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IFERROR(VLOOKUP(February[[#This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IFERROR(VLOOKUP(February[[#This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IFERROR(VLOOKUP(February[[#This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IFERROR(VLOOKUP(February[[#This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IFERROR(VLOOKUP(February[[#This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IFERROR(VLOOKUP(February[[#This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IFERROR(VLOOKUP(February[[#This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IFERROR(VLOOKUP(February[[#This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IFERROR(VLOOKUP(February[[#This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IFERROR(VLOOKUP(February[[#This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IFERROR(VLOOKUP(February[[#This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IFERROR(VLOOKUP(February[[#This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IFERROR(VLOOKUP(February[[#This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IFERROR(VLOOKUP(February[[#This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IFERROR(VLOOKUP(February[[#This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IFERROR(VLOOKUP(February[[#This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IFERROR(VLOOKUP(February[[#This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IFERROR(VLOOKUP(February[[#This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IFERROR(VLOOKUP(February[[#This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IFERROR(VLOOKUP(February[[#This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IFERROR(VLOOKUP(February[[#This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IFERROR(VLOOKUP(February[[#This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IFERROR(VLOOKUP(February[[#This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IFERROR(VLOOKUP(February[[#This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IFERROR(VLOOKUP(February[[#This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IFERROR(VLOOKUP(February[[#This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IFERROR(VLOOKUP(February[[#This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IFERROR(VLOOKUP(February[[#This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IFERROR(VLOOKUP(February[[#This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IFERROR(VLOOKUP(February[[#This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IFERROR(VLOOKUP(February[[#This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IFERROR(VLOOKUP(February[[#This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IFERROR(VLOOKUP(February[[#This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IFERROR(VLOOKUP(February[[#This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IFERROR(VLOOKUP(February[[#This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IFERROR(VLOOKUP(February[[#This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IFERROR(VLOOKUP(February[[#This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IFERROR(VLOOKUP(February[[#This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IFERROR(VLOOKUP(February[[#This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IFERROR(VLOOKUP(February[[#This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IFERROR(VLOOKUP(February[[#This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IFERROR(VLOOKUP(February[[#This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IFERROR(VLOOKUP(February[[#This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IFERROR(VLOOKUP(February[[#This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IFERROR(VLOOKUP(February[[#This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IFERROR(VLOOKUP(February[[#This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IFERROR(VLOOKUP(February[[#This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IFERROR(VLOOKUP(February[[#This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IFERROR(VLOOKUP(February[[#This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IFERROR(VLOOKUP(February[[#This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IFERROR(VLOOKUP(February[[#This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IFERROR(VLOOKUP(February[[#This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IFERROR(VLOOKUP(February[[#This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IFERROR(VLOOKUP(February[[#This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IFERROR(VLOOKUP(February[[#This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IFERROR(VLOOKUP(February[[#This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IFERROR(VLOOKUP(February[[#This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IFERROR(VLOOKUP(February[[#This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IFERROR(VLOOKUP(February[[#This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IFERROR(VLOOKUP(February[[#This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IFERROR(VLOOKUP(February[[#This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IFERROR(VLOOKUP(February[[#This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IFERROR(VLOOKUP(February[[#This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IFERROR(VLOOKUP(February[[#This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IFERROR(VLOOKUP(February[[#This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IFERROR(VLOOKUP(February[[#This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IFERROR(VLOOKUP(February[[#This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IFERROR(VLOOKUP(February[[#This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IFERROR(VLOOKUP(February[[#This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IFERROR(VLOOKUP(February[[#This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IFERROR(VLOOKUP(February[[#This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IFERROR(VLOOKUP(February[[#This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IFERROR(VLOOKUP(February[[#This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IFERROR(VLOOKUP(February[[#This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IFERROR(VLOOKUP(February[[#This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IFERROR(VLOOKUP(February[[#This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IFERROR(VLOOKUP(February[[#This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IFERROR(VLOOKUP(February[[#This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IFERROR(VLOOKUP(February[[#This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IFERROR(VLOOKUP(February[[#This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IFERROR(VLOOKUP(February[[#This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IFERROR(VLOOKUP(February[[#This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IFERROR(VLOOKUP(February[[#This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IFERROR(VLOOKUP(February[[#This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IFERROR(VLOOKUP(February[[#This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IFERROR(VLOOKUP(February[[#This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IFERROR(VLOOKUP(February[[#This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IFERROR(VLOOKUP(February[[#This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IFERROR(VLOOKUP(February[[#This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IFERROR(VLOOKUP(February[[#This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IFERROR(VLOOKUP(February[[#This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IFERROR(VLOOKUP(February[[#This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IFERROR(VLOOKUP(February[[#This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IFERROR(VLOOKUP(February[[#This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IFERROR(VLOOKUP(February[[#This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IFERROR(VLOOKUP(February[[#This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IFERROR(VLOOKUP(February[[#This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IFERROR(VLOOKUP(February[[#This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IFERROR(VLOOKUP(February[[#This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IFERROR(VLOOKUP(February[[#This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IFERROR(VLOOKUP(February[[#This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IFERROR(VLOOKUP(February[[#This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IFERROR(VLOOKUP(February[[#This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IFERROR(VLOOKUP(February[[#This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IFERROR(VLOOKUP(February[[#This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IFERROR(VLOOKUP(February[[#This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IFERROR(VLOOKUP(February[[#This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IFERROR(VLOOKUP(February[[#This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IFERROR(VLOOKUP(February[[#This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IFERROR(VLOOKUP(February[[#This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IFERROR(VLOOKUP(February[[#This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IFERROR(VLOOKUP(February[[#This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IFERROR(VLOOKUP(February[[#This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IFERROR(VLOOKUP(February[[#This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IFERROR(VLOOKUP(February[[#This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IFERROR(VLOOKUP(February[[#This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IFERROR(VLOOKUP(February[[#This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IFERROR(VLOOKUP(February[[#This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IFERROR(VLOOKUP(February[[#This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IFERROR(VLOOKUP(February[[#This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IFERROR(VLOOKUP(February[[#This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IFERROR(VLOOKUP(February[[#This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IFERROR(VLOOKUP(February[[#This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IFERROR(VLOOKUP(February[[#This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IFERROR(VLOOKUP(February[[#This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IFERROR(VLOOKUP(February[[#This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IFERROR(VLOOKUP(February[[#This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IFERROR(VLOOKUP(February[[#This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IFERROR(VLOOKUP(February[[#This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IFERROR(VLOOKUP(February[[#This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IFERROR(VLOOKUP(February[[#This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IFERROR(VLOOKUP(February[[#This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IFERROR(VLOOKUP(February[[#This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IFERROR(VLOOKUP(February[[#This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IFERROR(VLOOKUP(February[[#This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IFERROR(VLOOKUP(February[[#This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IFERROR(VLOOKUP(February[[#This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IFERROR(VLOOKUP(February[[#This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IFERROR(VLOOKUP(February[[#This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IFERROR(VLOOKUP(February[[#This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IFERROR(VLOOKUP(February[[#This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IFERROR(VLOOKUP(February[[#This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IFERROR(VLOOKUP(February[[#This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IFERROR(VLOOKUP(February[[#This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IFERROR(VLOOKUP(February[[#This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IFERROR(VLOOKUP(February[[#This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IFERROR(VLOOKUP(February[[#This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IFERROR(VLOOKUP(February[[#This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IFERROR(VLOOKUP(February[[#This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IFERROR(VLOOKUP(February[[#This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IFERROR(VLOOKUP(February[[#This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IFERROR(VLOOKUP(February[[#This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IFERROR(VLOOKUP(February[[#This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IFERROR(VLOOKUP(February[[#This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IFERROR(VLOOKUP(February[[#This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IFERROR(VLOOKUP(February[[#This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IFERROR(VLOOKUP(February[[#This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IFERROR(VLOOKUP(February[[#This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IFERROR(VLOOKUP(February[[#This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IFERROR(VLOOKUP(February[[#This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IFERROR(VLOOKUP(February[[#This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IFERROR(VLOOKUP(February[[#This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IFERROR(VLOOKUP(February[[#This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IFERROR(VLOOKUP(February[[#This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IFERROR(VLOOKUP(February[[#This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IFERROR(VLOOKUP(February[[#This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IFERROR(VLOOKUP(February[[#This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IFERROR(VLOOKUP(February[[#This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IFERROR(VLOOKUP(February[[#This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IFERROR(VLOOKUP(February[[#This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IFERROR(VLOOKUP(February[[#This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IFERROR(VLOOKUP(February[[#This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IFERROR(VLOOKUP(February[[#This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IFERROR(VLOOKUP(February[[#This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IFERROR(VLOOKUP(February[[#This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IFERROR(VLOOKUP(February[[#This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IFERROR(VLOOKUP(February[[#This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IFERROR(VLOOKUP(February[[#This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IFERROR(VLOOKUP(February[[#This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IFERROR(VLOOKUP(February[[#This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IFERROR(VLOOKUP(February[[#This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IFERROR(VLOOKUP(February[[#This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IFERROR(VLOOKUP(February[[#This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IFERROR(VLOOKUP(February[[#This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IFERROR(VLOOKUP(February[[#This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IFERROR(VLOOKUP(February[[#This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IFERROR(VLOOKUP(February[[#This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IFERROR(VLOOKUP(February[[#This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IFERROR(VLOOKUP(February[[#This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IFERROR(VLOOKUP(February[[#This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IFERROR(VLOOKUP(February[[#This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IFERROR(VLOOKUP(February[[#This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IFERROR(VLOOKUP(February[[#This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IFERROR(VLOOKUP(February[[#This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IFERROR(VLOOKUP(February[[#This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IFERROR(VLOOKUP(February[[#This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IFERROR(VLOOKUP(February[[#This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IFERROR(VLOOKUP(February[[#This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IFERROR(VLOOKUP(February[[#This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IFERROR(VLOOKUP(February[[#This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IFERROR(VLOOKUP(February[[#This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IFERROR(VLOOKUP(February[[#This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IFERROR(VLOOKUP(February[[#This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IFERROR(VLOOKUP(February[[#This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IFERROR(VLOOKUP(February[[#This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IFERROR(VLOOKUP(February[[#This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IFERROR(VLOOKUP(February[[#This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IFERROR(VLOOKUP(February[[#This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IFERROR(VLOOKUP(February[[#This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IFERROR(VLOOKUP(February[[#This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IFERROR(VLOOKUP(February[[#This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IFERROR(VLOOKUP(February[[#This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IFERROR(VLOOKUP(February[[#This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IFERROR(VLOOKUP(February[[#This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IFERROR(VLOOKUP(February[[#This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IFERROR(VLOOKUP(February[[#This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IFERROR(VLOOKUP(February[[#This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IFERROR(VLOOKUP(February[[#This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IFERROR(VLOOKUP(February[[#This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IFERROR(VLOOKUP(February[[#This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IFERROR(VLOOKUP(February[[#This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IFERROR(VLOOKUP(February[[#This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IFERROR(VLOOKUP(February[[#This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IFERROR(VLOOKUP(February[[#This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IFERROR(VLOOKUP(February[[#This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IFERROR(VLOOKUP(February[[#This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IFERROR(VLOOKUP(February[[#This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IFERROR(VLOOKUP(February[[#This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IFERROR(VLOOKUP(February[[#This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IFERROR(VLOOKUP(February[[#This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IFERROR(VLOOKUP(February[[#This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IFERROR(VLOOKUP(February[[#This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IFERROR(VLOOKUP(February[[#This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IFERROR(VLOOKUP(February[[#This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IFERROR(VLOOKUP(February[[#This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IFERROR(VLOOKUP(February[[#This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IFERROR(VLOOKUP(February[[#This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IFERROR(VLOOKUP(February[[#This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IFERROR(VLOOKUP(February[[#This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IFERROR(VLOOKUP(February[[#This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IFERROR(VLOOKUP(February[[#This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IFERROR(VLOOKUP(February[[#This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IFERROR(VLOOKUP(February[[#This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IFERROR(VLOOKUP(February[[#This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IFERROR(VLOOKUP(February[[#This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IFERROR(VLOOKUP(February[[#This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IFERROR(VLOOKUP(February[[#This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IFERROR(VLOOKUP(February[[#This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IFERROR(VLOOKUP(February[[#This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IFERROR(VLOOKUP(February[[#This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IFERROR(VLOOKUP(February[[#This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IFERROR(VLOOKUP(February[[#This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IFERROR(VLOOKUP(February[[#This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IFERROR(VLOOKUP(February[[#This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IFERROR(VLOOKUP(February[[#This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IFERROR(VLOOKUP(February[[#This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IFERROR(VLOOKUP(February[[#This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IFERROR(VLOOKUP(February[[#This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IFERROR(VLOOKUP(February[[#This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IFERROR(VLOOKUP(February[[#This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IFERROR(VLOOKUP(February[[#This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IFERROR(VLOOKUP(February[[#This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IFERROR(VLOOKUP(February[[#This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IFERROR(VLOOKUP(February[[#This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IFERROR(VLOOKUP(February[[#This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IFERROR(VLOOKUP(February[[#This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IFERROR(VLOOKUP(February[[#This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IFERROR(VLOOKUP(February[[#This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IFERROR(VLOOKUP(February[[#This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IFERROR(VLOOKUP(February[[#This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IFERROR(VLOOKUP(February[[#This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IFERROR(VLOOKUP(February[[#This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IFERROR(VLOOKUP(February[[#This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IFERROR(VLOOKUP(February[[#This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IFERROR(VLOOKUP(February[[#This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IFERROR(VLOOKUP(February[[#This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IFERROR(VLOOKUP(February[[#This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IFERROR(VLOOKUP(February[[#This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IFERROR(VLOOKUP(February[[#This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IFERROR(VLOOKUP(February[[#This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IFERROR(VLOOKUP(February[[#This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IFERROR(VLOOKUP(February[[#This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IFERROR(VLOOKUP(February[[#This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IFERROR(VLOOKUP(February[[#This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IFERROR(VLOOKUP(February[[#This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IFERROR(VLOOKUP(February[[#This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IFERROR(VLOOKUP(February[[#This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IFERROR(VLOOKUP(February[[#This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IFERROR(VLOOKUP(February[[#This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IFERROR(VLOOKUP(February[[#This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IFERROR(VLOOKUP(February[[#This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IFERROR(VLOOKUP(February[[#This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IFERROR(VLOOKUP(February[[#This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IFERROR(VLOOKUP(February[[#This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IFERROR(VLOOKUP(February[[#This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IFERROR(VLOOKUP(February[[#This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IFERROR(VLOOKUP(February[[#This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IFERROR(VLOOKUP(February[[#This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IFERROR(VLOOKUP(February[[#This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IFERROR(VLOOKUP(February[[#This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IFERROR(VLOOKUP(February[[#This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IFERROR(VLOOKUP(February[[#This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IFERROR(VLOOKUP(February[[#This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IFERROR(VLOOKUP(February[[#This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IFERROR(VLOOKUP(February[[#This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IFERROR(VLOOKUP(February[[#This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IFERROR(VLOOKUP(February[[#This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IFERROR(VLOOKUP(February[[#This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IFERROR(VLOOKUP(February[[#This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IFERROR(VLOOKUP(February[[#This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IFERROR(VLOOKUP(February[[#This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IFERROR(VLOOKUP(February[[#This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IFERROR(VLOOKUP(February[[#This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IFERROR(VLOOKUP(February[[#This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IFERROR(VLOOKUP(February[[#This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IFERROR(VLOOKUP(February[[#This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IFERROR(VLOOKUP(February[[#This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IFERROR(VLOOKUP(February[[#This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IFERROR(VLOOKUP(February[[#This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IFERROR(VLOOKUP(February[[#This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IFERROR(VLOOKUP(February[[#This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IFERROR(VLOOKUP(February[[#This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IFERROR(VLOOKUP(February[[#This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IFERROR(VLOOKUP(February[[#This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IFERROR(VLOOKUP(February[[#This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IFERROR(VLOOKUP(February[[#This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IFERROR(VLOOKUP(February[[#This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IFERROR(VLOOKUP(February[[#This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IFERROR(VLOOKUP(February[[#This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IFERROR(VLOOKUP(February[[#This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IFERROR(VLOOKUP(February[[#This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IFERROR(VLOOKUP(February[[#This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IFERROR(VLOOKUP(February[[#This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IFERROR(VLOOKUP(February[[#This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IFERROR(VLOOKUP(February[[#This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IFERROR(VLOOKUP(February[[#This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IFERROR(VLOOKUP(February[[#This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IFERROR(VLOOKUP(February[[#This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IFERROR(VLOOKUP(February[[#This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IFERROR(VLOOKUP(February[[#This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IFERROR(VLOOKUP(February[[#This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IFERROR(VLOOKUP(February[[#This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IFERROR(VLOOKUP(February[[#This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IFERROR(VLOOKUP(February[[#This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IFERROR(VLOOKUP(February[[#This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IFERROR(VLOOKUP(February[[#This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IFERROR(VLOOKUP(February[[#This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IFERROR(VLOOKUP(February[[#This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IFERROR(VLOOKUP(February[[#This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IFERROR(VLOOKUP(February[[#This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IFERROR(VLOOKUP(February[[#This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IFERROR(VLOOKUP(February[[#This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IFERROR(VLOOKUP(February[[#This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IFERROR(VLOOKUP(February[[#This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IFERROR(VLOOKUP(February[[#This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IFERROR(VLOOKUP(February[[#This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IFERROR(VLOOKUP(February[[#This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IFERROR(VLOOKUP(February[[#This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IFERROR(VLOOKUP(February[[#This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IFERROR(VLOOKUP(February[[#This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IFERROR(VLOOKUP(February[[#This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IFERROR(VLOOKUP(February[[#This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IFERROR(VLOOKUP(February[[#This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IFERROR(VLOOKUP(February[[#This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IFERROR(VLOOKUP(February[[#This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IFERROR(VLOOKUP(February[[#This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IFERROR(VLOOKUP(February[[#This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IFERROR(VLOOKUP(February[[#This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IFERROR(VLOOKUP(February[[#This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IFERROR(VLOOKUP(February[[#This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IFERROR(VLOOKUP(February[[#This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IFERROR(VLOOKUP(February[[#This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IFERROR(VLOOKUP(February[[#This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IFERROR(VLOOKUP(February[[#This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IFERROR(VLOOKUP(February[[#This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IFERROR(VLOOKUP(February[[#This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IFERROR(VLOOKUP(February[[#This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IFERROR(VLOOKUP(February[[#This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IFERROR(VLOOKUP(February[[#This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IFERROR(VLOOKUP(February[[#This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IFERROR(VLOOKUP(February[[#This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IFERROR(VLOOKUP(February[[#This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IFERROR(VLOOKUP(February[[#This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IFERROR(VLOOKUP(February[[#This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IFERROR(VLOOKUP(February[[#This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IFERROR(VLOOKUP(February[[#This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IFERROR(VLOOKUP(February[[#This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IFERROR(VLOOKUP(February[[#This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IFERROR(VLOOKUP(February[[#This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IFERROR(VLOOKUP(February[[#This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IFERROR(VLOOKUP(February[[#This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IFERROR(VLOOKUP(February[[#This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IFERROR(VLOOKUP(February[[#This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IFERROR(VLOOKUP(February[[#This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IFERROR(VLOOKUP(February[[#This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IFERROR(VLOOKUP(February[[#This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IFERROR(VLOOKUP(February[[#This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IFERROR(VLOOKUP(February[[#This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IFERROR(VLOOKUP(February[[#This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IFERROR(VLOOKUP(February[[#This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IFERROR(VLOOKUP(February[[#This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IFERROR(VLOOKUP(February[[#This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IFERROR(VLOOKUP(February[[#This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IFERROR(VLOOKUP(February[[#This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IFERROR(VLOOKUP(February[[#This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IFERROR(VLOOKUP(February[[#This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IFERROR(VLOOKUP(February[[#This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IFERROR(VLOOKUP(February[[#This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IFERROR(VLOOKUP(February[[#This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IFERROR(VLOOKUP(February[[#This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IFERROR(VLOOKUP(February[[#This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IFERROR(VLOOKUP(February[[#This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IFERROR(VLOOKUP(February[[#This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IFERROR(VLOOKUP(February[[#This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IFERROR(VLOOKUP(February[[#This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IFERROR(VLOOKUP(February[[#This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IFERROR(VLOOKUP(February[[#This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IFERROR(VLOOKUP(February[[#This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IFERROR(VLOOKUP(February[[#This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IFERROR(VLOOKUP(February[[#This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IFERROR(VLOOKUP(February[[#This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IFERROR(VLOOKUP(February[[#This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IFERROR(VLOOKUP(February[[#This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IFERROR(VLOOKUP(February[[#This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IFERROR(VLOOKUP(February[[#This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IFERROR(VLOOKUP(February[[#This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IFERROR(VLOOKUP(February[[#This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IFERROR(VLOOKUP(February[[#This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IFERROR(VLOOKUP(February[[#This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IFERROR(VLOOKUP(February[[#This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IFERROR(VLOOKUP(February[[#This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IFERROR(VLOOKUP(February[[#This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IFERROR(VLOOKUP(February[[#This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IFERROR(VLOOKUP(February[[#This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IFERROR(VLOOKUP(February[[#This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IFERROR(VLOOKUP(February[[#This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IFERROR(VLOOKUP(February[[#This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IFERROR(VLOOKUP(February[[#This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IFERROR(VLOOKUP(February[[#This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IFERROR(VLOOKUP(February[[#This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IFERROR(VLOOKUP(February[[#This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IFERROR(VLOOKUP(February[[#This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IFERROR(VLOOKUP(February[[#This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IFERROR(VLOOKUP(February[[#This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IFERROR(VLOOKUP(February[[#This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IFERROR(VLOOKUP(February[[#This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IFERROR(VLOOKUP(February[[#This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IFERROR(VLOOKUP(February[[#This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IFERROR(VLOOKUP(February[[#This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IFERROR(VLOOKUP(February[[#This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IFERROR(VLOOKUP(February[[#This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IFERROR(VLOOKUP(February[[#This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IFERROR(VLOOKUP(February[[#This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IFERROR(VLOOKUP(February[[#This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IFERROR(VLOOKUP(February[[#This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IFERROR(VLOOKUP(February[[#This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IFERROR(VLOOKUP(February[[#This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IFERROR(VLOOKUP(February[[#This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IFERROR(VLOOKUP(February[[#This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IFERROR(VLOOKUP(February[[#This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IFERROR(VLOOKUP(February[[#This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IFERROR(VLOOKUP(February[[#This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IFERROR(VLOOKUP(February[[#This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IFERROR(VLOOKUP(February[[#This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IFERROR(VLOOKUP(February[[#This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IFERROR(VLOOKUP(February[[#This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IFERROR(VLOOKUP(February[[#This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IFERROR(VLOOKUP(February[[#This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IFERROR(VLOOKUP(February[[#This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IFERROR(VLOOKUP(February[[#This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IFERROR(VLOOKUP(February[[#This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IFERROR(VLOOKUP(February[[#This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IFERROR(VLOOKUP(February[[#This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IFERROR(VLOOKUP(February[[#This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IFERROR(VLOOKUP(February[[#This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IFERROR(VLOOKUP(February[[#This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IFERROR(VLOOKUP(February[[#This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IFERROR(VLOOKUP(February[[#This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IFERROR(VLOOKUP(February[[#This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IFERROR(VLOOKUP(February[[#This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IFERROR(VLOOKUP(February[[#This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IFERROR(VLOOKUP(February[[#This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IFERROR(VLOOKUP(February[[#This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IFERROR(VLOOKUP(February[[#This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IFERROR(VLOOKUP(February[[#This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IFERROR(VLOOKUP(February[[#This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IFERROR(VLOOKUP(February[[#This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IFERROR(VLOOKUP(February[[#This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IFERROR(VLOOKUP(February[[#This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IFERROR(VLOOKUP(February[[#This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IFERROR(VLOOKUP(February[[#This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IFERROR(VLOOKUP(February[[#This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IFERROR(VLOOKUP(February[[#This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IFERROR(VLOOKUP(February[[#This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IFERROR(VLOOKUP(February[[#This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IFERROR(VLOOKUP(February[[#This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IFERROR(VLOOKUP(February[[#This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IFERROR(VLOOKUP(February[[#This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IFERROR(VLOOKUP(February[[#This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IFERROR(VLOOKUP(February[[#This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IFERROR(VLOOKUP(February[[#This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IFERROR(VLOOKUP(February[[#This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IFERROR(VLOOKUP(February[[#This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IFERROR(VLOOKUP(February[[#This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IFERROR(VLOOKUP(February[[#This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IFERROR(VLOOKUP(February[[#This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IFERROR(VLOOKUP(February[[#This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IFERROR(VLOOKUP(February[[#This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IFERROR(VLOOKUP(February[[#This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IFERROR(VLOOKUP(February[[#This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IFERROR(VLOOKUP(February[[#This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IFERROR(VLOOKUP(February[[#This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IFERROR(VLOOKUP(February[[#This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IFERROR(VLOOKUP(February[[#This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IFERROR(VLOOKUP(February[[#This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IFERROR(VLOOKUP(February[[#This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IFERROR(VLOOKUP(February[[#This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IFERROR(VLOOKUP(February[[#This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IFERROR(VLOOKUP(February[[#This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IFERROR(VLOOKUP(February[[#This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IFERROR(VLOOKUP(February[[#This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IFERROR(VLOOKUP(February[[#This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IFERROR(VLOOKUP(February[[#This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IFERROR(VLOOKUP(February[[#This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IFERROR(VLOOKUP(February[[#This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IFERROR(VLOOKUP(February[[#This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IFERROR(VLOOKUP(February[[#This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IFERROR(VLOOKUP(February[[#This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IFERROR(VLOOKUP(February[[#This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IFERROR(VLOOKUP(February[[#This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IFERROR(VLOOKUP(February[[#This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IFERROR(VLOOKUP(February[[#This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IFERROR(VLOOKUP(February[[#This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IFERROR(VLOOKUP(February[[#This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IFERROR(VLOOKUP(February[[#This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IFERROR(VLOOKUP(February[[#This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IFERROR(VLOOKUP(February[[#This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IFERROR(VLOOKUP(February[[#This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IFERROR(VLOOKUP(February[[#This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IFERROR(VLOOKUP(February[[#This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IFERROR(VLOOKUP(February[[#This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IFERROR(VLOOKUP(February[[#This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IFERROR(VLOOKUP(February[[#This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IFERROR(VLOOKUP(February[[#This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IFERROR(VLOOKUP(February[[#This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IFERROR(VLOOKUP(February[[#This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IFERROR(VLOOKUP(February[[#This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IFERROR(VLOOKUP(February[[#This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IFERROR(VLOOKUP(February[[#This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IFERROR(VLOOKUP(February[[#This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IFERROR(VLOOKUP(February[[#This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IFERROR(VLOOKUP(February[[#This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IFERROR(VLOOKUP(February[[#This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IFERROR(VLOOKUP(February[[#This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IFERROR(VLOOKUP(February[[#This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IFERROR(VLOOKUP(February[[#This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IFERROR(VLOOKUP(February[[#This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IFERROR(VLOOKUP(February[[#This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IFERROR(VLOOKUP(February[[#This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IFERROR(VLOOKUP(February[[#This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IFERROR(VLOOKUP(February[[#This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IFERROR(VLOOKUP(February[[#This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IFERROR(VLOOKUP(February[[#This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IFERROR(VLOOKUP(February[[#This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IFERROR(VLOOKUP(February[[#This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IFERROR(VLOOKUP(February[[#This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IFERROR(VLOOKUP(February[[#This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IFERROR(VLOOKUP(February[[#This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IFERROR(VLOOKUP(February[[#This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IFERROR(VLOOKUP(February[[#This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IFERROR(VLOOKUP(February[[#This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IFERROR(VLOOKUP(February[[#This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IFERROR(VLOOKUP(February[[#This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IFERROR(VLOOKUP(February[[#This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IFERROR(VLOOKUP(February[[#This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IFERROR(VLOOKUP(February[[#This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IFERROR(VLOOKUP(February[[#This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IFERROR(VLOOKUP(February[[#This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IFERROR(VLOOKUP(February[[#This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IFERROR(VLOOKUP(February[[#This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IFERROR(VLOOKUP(February[[#This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IFERROR(VLOOKUP(February[[#This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IFERROR(VLOOKUP(February[[#This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IFERROR(VLOOKUP(February[[#This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IFERROR(VLOOKUP(February[[#This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IFERROR(VLOOKUP(February[[#This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IFERROR(VLOOKUP(February[[#This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IFERROR(VLOOKUP(February[[#This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IFERROR(VLOOKUP(February[[#This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IFERROR(VLOOKUP(February[[#This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IFERROR(VLOOKUP(February[[#This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IFERROR(VLOOKUP(February[[#This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IFERROR(VLOOKUP(February[[#This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IFERROR(VLOOKUP(February[[#This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IFERROR(VLOOKUP(February[[#This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IFERROR(VLOOKUP(February[[#This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IFERROR(VLOOKUP(February[[#This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IFERROR(VLOOKUP(February[[#This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IFERROR(VLOOKUP(February[[#This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IFERROR(VLOOKUP(February[[#This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IFERROR(VLOOKUP(February[[#This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IFERROR(VLOOKUP(February[[#This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IFERROR(VLOOKUP(February[[#This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IFERROR(VLOOKUP(February[[#This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IFERROR(VLOOKUP(February[[#This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IFERROR(VLOOKUP(February[[#This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IFERROR(VLOOKUP(February[[#This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IFERROR(VLOOKUP(February[[#This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IFERROR(VLOOKUP(February[[#This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IFERROR(VLOOKUP(February[[#This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IFERROR(VLOOKUP(February[[#This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IFERROR(VLOOKUP(February[[#This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IFERROR(VLOOKUP(February[[#This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IFERROR(VLOOKUP(February[[#This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IFERROR(VLOOKUP(February[[#This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IFERROR(VLOOKUP(February[[#This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IFERROR(VLOOKUP(February[[#This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IFERROR(VLOOKUP(February[[#This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IFERROR(VLOOKUP(February[[#This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IFERROR(VLOOKUP(February[[#This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IFERROR(VLOOKUP(February[[#This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IFERROR(VLOOKUP(February[[#This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IFERROR(VLOOKUP(February[[#This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IFERROR(VLOOKUP(February[[#This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IFERROR(VLOOKUP(February[[#This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IFERROR(VLOOKUP(February[[#This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IFERROR(VLOOKUP(February[[#This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IFERROR(VLOOKUP(February[[#This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IFERROR(VLOOKUP(February[[#This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IFERROR(VLOOKUP(February[[#This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IFERROR(VLOOKUP(February[[#This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IFERROR(VLOOKUP(February[[#This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IFERROR(VLOOKUP(February[[#This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IFERROR(VLOOKUP(February[[#This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IFERROR(VLOOKUP(February[[#This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IFERROR(VLOOKUP(February[[#This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IFERROR(VLOOKUP(February[[#This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IFERROR(VLOOKUP(February[[#This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IFERROR(VLOOKUP(February[[#This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IFERROR(VLOOKUP(February[[#This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IFERROR(VLOOKUP(February[[#This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IFERROR(VLOOKUP(February[[#This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IFERROR(VLOOKUP(February[[#This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IFERROR(VLOOKUP(February[[#This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IFERROR(VLOOKUP(February[[#This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IFERROR(VLOOKUP(February[[#This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IFERROR(VLOOKUP(February[[#This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IFERROR(VLOOKUP(February[[#This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IFERROR(VLOOKUP(February[[#This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IFERROR(VLOOKUP(February[[#This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IFERROR(VLOOKUP(February[[#This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IFERROR(VLOOKUP(February[[#This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IFERROR(VLOOKUP(February[[#This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IFERROR(VLOOKUP(February[[#This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IFERROR(VLOOKUP(February[[#This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IFERROR(VLOOKUP(February[[#This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IFERROR(VLOOKUP(February[[#This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IFERROR(VLOOKUP(February[[#This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IFERROR(VLOOKUP(February[[#This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IFERROR(VLOOKUP(February[[#This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IFERROR(VLOOKUP(February[[#This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IFERROR(VLOOKUP(February[[#This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IFERROR(VLOOKUP(February[[#This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IFERROR(VLOOKUP(February[[#This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IFERROR(VLOOKUP(February[[#This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IFERROR(VLOOKUP(February[[#This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IFERROR(VLOOKUP(February[[#This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IFERROR(VLOOKUP(February[[#This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IFERROR(VLOOKUP(February[[#This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IFERROR(VLOOKUP(February[[#This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IFERROR(VLOOKUP(February[[#This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IFERROR(VLOOKUP(February[[#This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IFERROR(VLOOKUP(February[[#This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IFERROR(VLOOKUP(February[[#This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IFERROR(VLOOKUP(February[[#This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IFERROR(VLOOKUP(February[[#This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IFERROR(VLOOKUP(February[[#This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IFERROR(VLOOKUP(February[[#This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IFERROR(VLOOKUP(February[[#This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IFERROR(VLOOKUP(February[[#This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IFERROR(VLOOKUP(February[[#This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IFERROR(VLOOKUP(February[[#This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IFERROR(VLOOKUP(February[[#This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IFERROR(VLOOKUP(February[[#This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IFERROR(VLOOKUP(February[[#This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IFERROR(VLOOKUP(February[[#This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IFERROR(VLOOKUP(February[[#This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IFERROR(VLOOKUP(February[[#This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IFERROR(VLOOKUP(February[[#This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IFERROR(VLOOKUP(February[[#This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IFERROR(VLOOKUP(February[[#This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IFERROR(VLOOKUP(February[[#This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IFERROR(VLOOKUP(February[[#This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IFERROR(VLOOKUP(February[[#This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IFERROR(VLOOKUP(February[[#This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IFERROR(VLOOKUP(February[[#This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IFERROR(VLOOKUP(February[[#This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IFERROR(VLOOKUP(February[[#This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IFERROR(VLOOKUP(February[[#This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IFERROR(VLOOKUP(February[[#This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IFERROR(VLOOKUP(February[[#This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IFERROR(VLOOKUP(February[[#This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IFERROR(VLOOKUP(February[[#This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IFERROR(VLOOKUP(February[[#This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IFERROR(VLOOKUP(February[[#This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IFERROR(VLOOKUP(February[[#This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IFERROR(VLOOKUP(February[[#This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IFERROR(VLOOKUP(February[[#This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IFERROR(VLOOKUP(February[[#This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IFERROR(VLOOKUP(February[[#This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IFERROR(VLOOKUP(February[[#This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IFERROR(VLOOKUP(February[[#This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IFERROR(VLOOKUP(February[[#This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IFERROR(VLOOKUP(February[[#This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IFERROR(VLOOKUP(February[[#This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IFERROR(VLOOKUP(February[[#This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IFERROR(VLOOKUP(February[[#This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IFERROR(VLOOKUP(February[[#This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IFERROR(VLOOKUP(February[[#This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IFERROR(VLOOKUP(February[[#This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IFERROR(VLOOKUP(February[[#This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IFERROR(VLOOKUP(February[[#This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IFERROR(VLOOKUP(February[[#This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IFERROR(VLOOKUP(February[[#This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IFERROR(VLOOKUP(February[[#This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IFERROR(VLOOKUP(February[[#This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IFERROR(VLOOKUP(February[[#This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IFERROR(VLOOKUP(February[[#This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IFERROR(VLOOKUP(February[[#This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IFERROR(VLOOKUP(February[[#This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IFERROR(VLOOKUP(February[[#This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IFERROR(VLOOKUP(February[[#This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IFERROR(VLOOKUP(February[[#This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IFERROR(VLOOKUP(February[[#This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IFERROR(VLOOKUP(February[[#This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IFERROR(VLOOKUP(February[[#This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IFERROR(VLOOKUP(February[[#This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IFERROR(VLOOKUP(February[[#This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IFERROR(VLOOKUP(February[[#This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IFERROR(VLOOKUP(February[[#This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IFERROR(VLOOKUP(February[[#This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IFERROR(VLOOKUP(February[[#This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IFERROR(VLOOKUP(February[[#This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IFERROR(VLOOKUP(February[[#This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IFERROR(VLOOKUP(February[[#This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IFERROR(VLOOKUP(February[[#This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IFERROR(VLOOKUP(February[[#This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IFERROR(VLOOKUP(February[[#This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IFERROR(VLOOKUP(February[[#This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IFERROR(VLOOKUP(February[[#This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IFERROR(VLOOKUP(February[[#This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IFERROR(VLOOKUP(February[[#This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IFERROR(VLOOKUP(February[[#This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IFERROR(VLOOKUP(February[[#This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IFERROR(VLOOKUP(February[[#This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IFERROR(VLOOKUP(February[[#This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IFERROR(VLOOKUP(February[[#This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IFERROR(VLOOKUP(February[[#This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IFERROR(VLOOKUP(February[[#This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IFERROR(VLOOKUP(February[[#This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IFERROR(VLOOKUP(February[[#This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IFERROR(VLOOKUP(February[[#This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IFERROR(VLOOKUP(February[[#This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IFERROR(VLOOKUP(February[[#This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IFERROR(VLOOKUP(February[[#This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IFERROR(VLOOKUP(February[[#This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IFERROR(VLOOKUP(February[[#This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IFERROR(VLOOKUP(February[[#This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IFERROR(VLOOKUP(February[[#This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IFERROR(VLOOKUP(February[[#This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IFERROR(VLOOKUP(February[[#This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IFERROR(VLOOKUP(February[[#This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IFERROR(VLOOKUP(February[[#This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IFERROR(VLOOKUP(February[[#This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IFERROR(VLOOKUP(February[[#This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IFERROR(VLOOKUP(February[[#This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IFERROR(VLOOKUP(February[[#This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IFERROR(VLOOKUP(February[[#This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IFERROR(VLOOKUP(February[[#This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IFERROR(VLOOKUP(February[[#This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IFERROR(VLOOKUP(February[[#This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IFERROR(VLOOKUP(February[[#This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IFERROR(VLOOKUP(February[[#This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IFERROR(VLOOKUP(February[[#This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IFERROR(VLOOKUP(February[[#This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IFERROR(VLOOKUP(February[[#This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IFERROR(VLOOKUP(February[[#This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IFERROR(VLOOKUP(February[[#This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IFERROR(VLOOKUP(February[[#This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IFERROR(VLOOKUP(February[[#This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IFERROR(VLOOKUP(February[[#This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IFERROR(VLOOKUP(February[[#This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IFERROR(VLOOKUP(February[[#This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IFERROR(VLOOKUP(February[[#This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IFERROR(VLOOKUP(February[[#This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IFERROR(VLOOKUP(February[[#This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IFERROR(VLOOKUP(February[[#This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IFERROR(VLOOKUP(February[[#This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IFERROR(VLOOKUP(February[[#This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IFERROR(VLOOKUP(February[[#This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IFERROR(VLOOKUP(February[[#This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IFERROR(VLOOKUP(February[[#This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IFERROR(VLOOKUP(February[[#This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IFERROR(VLOOKUP(February[[#This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IFERROR(VLOOKUP(February[[#This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IFERROR(VLOOKUP(February[[#This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IFERROR(VLOOKUP(February[[#This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IFERROR(VLOOKUP(February[[#This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IFERROR(VLOOKUP(February[[#This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IFERROR(VLOOKUP(February[[#This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IFERROR(VLOOKUP(February[[#This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IFERROR(VLOOKUP(February[[#This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IFERROR(VLOOKUP(February[[#This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IFERROR(VLOOKUP(February[[#This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IFERROR(VLOOKUP(February[[#This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IFERROR(VLOOKUP(February[[#This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IFERROR(VLOOKUP(February[[#This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IFERROR(VLOOKUP(February[[#This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IFERROR(VLOOKUP(February[[#This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IFERROR(VLOOKUP(February[[#This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IFERROR(VLOOKUP(February[[#This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IFERROR(VLOOKUP(February[[#This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IFERROR(VLOOKUP(February[[#This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IFERROR(VLOOKUP(February[[#This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IFERROR(VLOOKUP(February[[#This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IFERROR(VLOOKUP(February[[#This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IFERROR(VLOOKUP(February[[#This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IFERROR(VLOOKUP(February[[#This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IFERROR(VLOOKUP(February[[#This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IFERROR(VLOOKUP(February[[#This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IFERROR(VLOOKUP(February[[#This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IFERROR(VLOOKUP(February[[#This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IFERROR(VLOOKUP(February[[#This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IFERROR(VLOOKUP(February[[#This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IFERROR(VLOOKUP(February[[#This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IFERROR(VLOOKUP(February[[#This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IFERROR(VLOOKUP(February[[#This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IFERROR(VLOOKUP(February[[#This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IFERROR(VLOOKUP(February[[#This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IFERROR(VLOOKUP(February[[#This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IFERROR(VLOOKUP(February[[#This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IFERROR(VLOOKUP(February[[#This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IFERROR(VLOOKUP(February[[#This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IFERROR(VLOOKUP(February[[#This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IFERROR(VLOOKUP(February[[#This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IFERROR(VLOOKUP(February[[#This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IFERROR(VLOOKUP(February[[#This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IFERROR(VLOOKUP(February[[#This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IFERROR(VLOOKUP(February[[#This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IFERROR(VLOOKUP(February[[#This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IFERROR(VLOOKUP(February[[#This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IFERROR(VLOOKUP(February[[#This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IFERROR(VLOOKUP(February[[#This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IFERROR(VLOOKUP(February[[#This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IFERROR(VLOOKUP(February[[#This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IFERROR(VLOOKUP(February[[#This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IFERROR(VLOOKUP(February[[#This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IFERROR(VLOOKUP(February[[#This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IFERROR(VLOOKUP(February[[#This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IFERROR(VLOOKUP(February[[#This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IFERROR(VLOOKUP(February[[#This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IFERROR(VLOOKUP(February[[#This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IFERROR(VLOOKUP(February[[#This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IFERROR(VLOOKUP(February[[#This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IFERROR(VLOOKUP(February[[#This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IFERROR(VLOOKUP(February[[#This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IFERROR(VLOOKUP(February[[#This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IFERROR(VLOOKUP(February[[#This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IFERROR(VLOOKUP(February[[#This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IFERROR(VLOOKUP(February[[#This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IFERROR(VLOOKUP(February[[#This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IFERROR(VLOOKUP(February[[#This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IFERROR(VLOOKUP(February[[#This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IFERROR(VLOOKUP(February[[#This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IFERROR(VLOOKUP(February[[#This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IFERROR(VLOOKUP(February[[#This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IFERROR(VLOOKUP(February[[#This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IFERROR(VLOOKUP(February[[#This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IFERROR(VLOOKUP(February[[#This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IFERROR(VLOOKUP(February[[#This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IFERROR(VLOOKUP(February[[#This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IFERROR(VLOOKUP(February[[#This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IFERROR(VLOOKUP(February[[#This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IFERROR(VLOOKUP(February[[#This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IFERROR(VLOOKUP(February[[#This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IFERROR(VLOOKUP(February[[#This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IFERROR(VLOOKUP(February[[#This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IFERROR(VLOOKUP(February[[#This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IFERROR(VLOOKUP(February[[#This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IFERROR(VLOOKUP(February[[#This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IFERROR(VLOOKUP(February[[#This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IFERROR(VLOOKUP(February[[#This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IFERROR(VLOOKUP(February[[#This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IFERROR(VLOOKUP(February[[#This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IFERROR(VLOOKUP(February[[#This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IFERROR(VLOOKUP(February[[#This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IFERROR(VLOOKUP(February[[#This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IFERROR(VLOOKUP(February[[#This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IFERROR(VLOOKUP(February[[#This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IFERROR(VLOOKUP(February[[#This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IFERROR(VLOOKUP(February[[#This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IFERROR(VLOOKUP(February[[#This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IFERROR(VLOOKUP(February[[#This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IFERROR(VLOOKUP(February[[#This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IFERROR(VLOOKUP(February[[#This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IFERROR(VLOOKUP(February[[#This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IFERROR(VLOOKUP(February[[#This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IFERROR(VLOOKUP(February[[#This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IFERROR(VLOOKUP(February[[#This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IFERROR(VLOOKUP(February[[#This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IFERROR(VLOOKUP(February[[#This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IFERROR(VLOOKUP(February[[#This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IFERROR(VLOOKUP(February[[#This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IFERROR(VLOOKUP(February[[#This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IFERROR(VLOOKUP(February[[#This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IFERROR(VLOOKUP(February[[#This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IFERROR(VLOOKUP(February[[#This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IFERROR(VLOOKUP(February[[#This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IFERROR(VLOOKUP(February[[#This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IFERROR(VLOOKUP(February[[#This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IFERROR(VLOOKUP(February[[#This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IFERROR(VLOOKUP(February[[#This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IFERROR(VLOOKUP(February[[#This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IFERROR(VLOOKUP(February[[#This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IFERROR(VLOOKUP(February[[#This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IFERROR(VLOOKUP(February[[#This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IFERROR(VLOOKUP(February[[#This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IFERROR(VLOOKUP(February[[#This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IFERROR(VLOOKUP(February[[#This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IFERROR(VLOOKUP(February[[#This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IFERROR(VLOOKUP(February[[#This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IFERROR(VLOOKUP(February[[#This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IFERROR(VLOOKUP(February[[#This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IFERROR(VLOOKUP(February[[#This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IFERROR(VLOOKUP(February[[#This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IFERROR(VLOOKUP(February[[#This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IFERROR(VLOOKUP(February[[#This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IFERROR(VLOOKUP(February[[#This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IFERROR(VLOOKUP(February[[#This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IFERROR(VLOOKUP(February[[#This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IFERROR(VLOOKUP(February[[#This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IFERROR(VLOOKUP(February[[#This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IFERROR(VLOOKUP(February[[#This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IFERROR(VLOOKUP(February[[#This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IFERROR(VLOOKUP(February[[#This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IFERROR(VLOOKUP(February[[#This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IFERROR(VLOOKUP(February[[#This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IFERROR(VLOOKUP(February[[#This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IFERROR(VLOOKUP(February[[#This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IFERROR(VLOOKUP(February[[#This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IFERROR(VLOOKUP(February[[#This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IFERROR(VLOOKUP(February[[#This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IFERROR(VLOOKUP(February[[#This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IFERROR(VLOOKUP(February[[#This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IFERROR(VLOOKUP(February[[#This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IFERROR(VLOOKUP(February[[#This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IFERROR(VLOOKUP(February[[#This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IFERROR(VLOOKUP(February[[#This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IFERROR(VLOOKUP(February[[#This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IFERROR(VLOOKUP(February[[#This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IFERROR(VLOOKUP(February[[#This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IFERROR(VLOOKUP(February[[#This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IFERROR(VLOOKUP(February[[#This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IFERROR(VLOOKUP(February[[#This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IFERROR(VLOOKUP(February[[#This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IFERROR(VLOOKUP(February[[#This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IFERROR(VLOOKUP(February[[#This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IFERROR(VLOOKUP(February[[#This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IFERROR(VLOOKUP(February[[#This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IFERROR(VLOOKUP(February[[#This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IFERROR(VLOOKUP(February[[#This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IFERROR(VLOOKUP(February[[#This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IFERROR(VLOOKUP(February[[#This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IFERROR(VLOOKUP(February[[#This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IFERROR(VLOOKUP(February[[#This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IFERROR(VLOOKUP(February[[#This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IFERROR(VLOOKUP(February[[#This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IFERROR(VLOOKUP(February[[#This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IFERROR(VLOOKUP(February[[#This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IFERROR(VLOOKUP(February[[#This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IFERROR(VLOOKUP(February[[#This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IFERROR(VLOOKUP(February[[#This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IFERROR(VLOOKUP(February[[#This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IFERROR(VLOOKUP(February[[#This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IFERROR(VLOOKUP(February[[#This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IFERROR(VLOOKUP(February[[#This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IFERROR(VLOOKUP(February[[#This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IFERROR(VLOOKUP(February[[#This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IFERROR(VLOOKUP(February[[#This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IFERROR(VLOOKUP(February[[#This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IFERROR(VLOOKUP(February[[#This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IFERROR(VLOOKUP(February[[#This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IFERROR(VLOOKUP(February[[#This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IFERROR(VLOOKUP(February[[#This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IFERROR(VLOOKUP(February[[#This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IFERROR(VLOOKUP(February[[#This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IFERROR(VLOOKUP(February[[#This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IFERROR(VLOOKUP(February[[#This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IFERROR(VLOOKUP(February[[#This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IFERROR(VLOOKUP(February[[#This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IFERROR(VLOOKUP(February[[#This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IFERROR(VLOOKUP(February[[#This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IFERROR(VLOOKUP(February[[#This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IFERROR(VLOOKUP(February[[#This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IFERROR(VLOOKUP(February[[#This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IFERROR(VLOOKUP(February[[#This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IFERROR(VLOOKUP(February[[#This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IFERROR(VLOOKUP(February[[#This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IFERROR(VLOOKUP(February[[#This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IFERROR(VLOOKUP(February[[#This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IFERROR(VLOOKUP(February[[#This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IFERROR(VLOOKUP(February[[#This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IFERROR(VLOOKUP(February[[#This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IFERROR(VLOOKUP(February[[#This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IFERROR(VLOOKUP(February[[#This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IFERROR(VLOOKUP(February[[#This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IFERROR(VLOOKUP(February[[#This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IFERROR(VLOOKUP(February[[#This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IFERROR(VLOOKUP(February[[#This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IFERROR(VLOOKUP(February[[#This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IFERROR(VLOOKUP(February[[#This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IFERROR(VLOOKUP(February[[#This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IFERROR(VLOOKUP(February[[#This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IFERROR(VLOOKUP(February[[#This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IFERROR(VLOOKUP(February[[#This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IFERROR(VLOOKUP(February[[#This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IFERROR(VLOOKUP(February[[#This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IFERROR(VLOOKUP(February[[#This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IFERROR(VLOOKUP(February[[#This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IFERROR(VLOOKUP(February[[#This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IFERROR(VLOOKUP(February[[#This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IFERROR(VLOOKUP(February[[#This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IFERROR(VLOOKUP(February[[#This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IFERROR(VLOOKUP(February[[#This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IFERROR(VLOOKUP(February[[#This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IFERROR(VLOOKUP(February[[#This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IFERROR(VLOOKUP(February[[#This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IFERROR(VLOOKUP(February[[#This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IFERROR(VLOOKUP(February[[#This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IFERROR(VLOOKUP(February[[#This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IFERROR(VLOOKUP(February[[#This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IFERROR(VLOOKUP(February[[#This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IFERROR(VLOOKUP(February[[#This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IFERROR(VLOOKUP(February[[#This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IFERROR(VLOOKUP(February[[#This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IFERROR(VLOOKUP(February[[#This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IFERROR(VLOOKUP(February[[#This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IFERROR(VLOOKUP(February[[#This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IFERROR(VLOOKUP(February[[#This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IFERROR(VLOOKUP(February[[#This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IFERROR(VLOOKUP(February[[#This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IFERROR(VLOOKUP(February[[#This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IFERROR(VLOOKUP(February[[#This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IFERROR(VLOOKUP(February[[#This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IFERROR(VLOOKUP(February[[#This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IFERROR(VLOOKUP(February[[#This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IFERROR(VLOOKUP(February[[#This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IFERROR(VLOOKUP(February[[#This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IFERROR(VLOOKUP(February[[#This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IFERROR(VLOOKUP(February[[#This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IFERROR(VLOOKUP(February[[#This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IFERROR(VLOOKUP(February[[#This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IFERROR(VLOOKUP(February[[#This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IFERROR(VLOOKUP(February[[#This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IFERROR(VLOOKUP(February[[#This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IFERROR(VLOOKUP(February[[#This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IFERROR(VLOOKUP(February[[#This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IFERROR(VLOOKUP(February[[#This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IFERROR(VLOOKUP(February[[#This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IFERROR(VLOOKUP(February[[#This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IFERROR(VLOOKUP(February[[#This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IFERROR(VLOOKUP(February[[#This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IFERROR(VLOOKUP(February[[#This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IFERROR(VLOOKUP(February[[#This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IFERROR(VLOOKUP(February[[#This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IFERROR(VLOOKUP(February[[#This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IFERROR(VLOOKUP(February[[#This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IFERROR(VLOOKUP(February[[#This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IFERROR(VLOOKUP(February[[#This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IFERROR(VLOOKUP(February[[#This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IFERROR(VLOOKUP(February[[#This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IFERROR(VLOOKUP(February[[#This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IFERROR(VLOOKUP(February[[#This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IFERROR(VLOOKUP(February[[#This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IFERROR(VLOOKUP(February[[#This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IFERROR(VLOOKUP(February[[#This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IFERROR(VLOOKUP(February[[#This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IFERROR(VLOOKUP(February[[#This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IFERROR(VLOOKUP(February[[#This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IFERROR(VLOOKUP(February[[#This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IFERROR(VLOOKUP(February[[#This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IFERROR(VLOOKUP(February[[#This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IFERROR(VLOOKUP(February[[#This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IFERROR(VLOOKUP(February[[#This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IFERROR(VLOOKUP(February[[#This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IFERROR(VLOOKUP(February[[#This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IFERROR(VLOOKUP(February[[#This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IFERROR(VLOOKUP(February[[#This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IFERROR(VLOOKUP(February[[#This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IFERROR(VLOOKUP(February[[#This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IFERROR(VLOOKUP(February[[#This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IFERROR(VLOOKUP(February[[#This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IFERROR(VLOOKUP(February[[#This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IFERROR(VLOOKUP(February[[#This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IFERROR(VLOOKUP(February[[#This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IFERROR(VLOOKUP(February[[#This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IFERROR(VLOOKUP(February[[#This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IFERROR(VLOOKUP(February[[#This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IFERROR(VLOOKUP(February[[#This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IFERROR(VLOOKUP(February[[#This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IFERROR(VLOOKUP(February[[#This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IFERROR(VLOOKUP(February[[#This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IFERROR(VLOOKUP(February[[#This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IFERROR(VLOOKUP(February[[#This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IFERROR(VLOOKUP(February[[#This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IFERROR(VLOOKUP(February[[#This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IFERROR(VLOOKUP(February[[#This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IFERROR(VLOOKUP(February[[#This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IFERROR(VLOOKUP(February[[#This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IFERROR(VLOOKUP(February[[#This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IFERROR(VLOOKUP(February[[#This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IFERROR(VLOOKUP(February[[#This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IFERROR(VLOOKUP(February[[#This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IFERROR(VLOOKUP(February[[#This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IFERROR(VLOOKUP(February[[#This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IFERROR(VLOOKUP(February[[#This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IFERROR(VLOOKUP(February[[#This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IFERROR(VLOOKUP(February[[#This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IFERROR(VLOOKUP(February[[#This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IFERROR(VLOOKUP(February[[#This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IFERROR(VLOOKUP(February[[#This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IFERROR(VLOOKUP(February[[#This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IFERROR(VLOOKUP(February[[#This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IFERROR(VLOOKUP(February[[#This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IFERROR(VLOOKUP(February[[#This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IFERROR(VLOOKUP(February[[#This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IFERROR(VLOOKUP(February[[#This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IFERROR(VLOOKUP(February[[#This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IFERROR(VLOOKUP(February[[#This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IFERROR(VLOOKUP(February[[#This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IFERROR(VLOOKUP(February[[#This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IFERROR(VLOOKUP(February[[#This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IFERROR(VLOOKUP(February[[#This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IFERROR(VLOOKUP(February[[#This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IFERROR(VLOOKUP(February[[#This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IFERROR(VLOOKUP(February[[#This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IFERROR(VLOOKUP(February[[#This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IFERROR(VLOOKUP(February[[#This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IFERROR(VLOOKUP(February[[#This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IFERROR(VLOOKUP(February[[#This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IFERROR(VLOOKUP(February[[#This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IFERROR(VLOOKUP(February[[#This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IFERROR(VLOOKUP(February[[#This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IFERROR(VLOOKUP(February[[#This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IFERROR(VLOOKUP(February[[#This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IFERROR(VLOOKUP(February[[#This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IFERROR(VLOOKUP(February[[#This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IFERROR(VLOOKUP(February[[#This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IFERROR(VLOOKUP(February[[#This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IFERROR(VLOOKUP(February[[#This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IFERROR(VLOOKUP(February[[#This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IFERROR(VLOOKUP(February[[#This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IFERROR(VLOOKUP(February[[#This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IFERROR(VLOOKUP(February[[#This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IFERROR(VLOOKUP(February[[#This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IFERROR(VLOOKUP(February[[#This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IFERROR(VLOOKUP(February[[#This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IFERROR(VLOOKUP(February[[#This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IFERROR(VLOOKUP(February[[#This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IFERROR(VLOOKUP(February[[#This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IFERROR(VLOOKUP(February[[#This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IFERROR(VLOOKUP(February[[#This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IFERROR(VLOOKUP(February[[#This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IFERROR(VLOOKUP(February[[#This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IFERROR(VLOOKUP(February[[#This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IFERROR(VLOOKUP(February[[#This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IFERROR(VLOOKUP(February[[#This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IFERROR(VLOOKUP(February[[#This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IFERROR(VLOOKUP(February[[#This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IFERROR(VLOOKUP(February[[#This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IFERROR(VLOOKUP(February[[#This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IFERROR(VLOOKUP(February[[#This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IFERROR(VLOOKUP(February[[#This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IFERROR(VLOOKUP(February[[#This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IFERROR(VLOOKUP(February[[#This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IFERROR(VLOOKUP(February[[#This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IFERROR(VLOOKUP(February[[#This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IFERROR(VLOOKUP(February[[#This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IFERROR(VLOOKUP(February[[#This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IFERROR(VLOOKUP(February[[#This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IFERROR(VLOOKUP(February[[#This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IFERROR(VLOOKUP(February[[#This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IFERROR(VLOOKUP(February[[#This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IFERROR(VLOOKUP(February[[#This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IFERROR(VLOOKUP(February[[#This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IFERROR(VLOOKUP(February[[#This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IFERROR(VLOOKUP(February[[#This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IFERROR(VLOOKUP(February[[#This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IFERROR(VLOOKUP(February[[#This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IFERROR(VLOOKUP(February[[#This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IFERROR(VLOOKUP(February[[#This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IFERROR(VLOOKUP(February[[#This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IFERROR(VLOOKUP(February[[#This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IFERROR(VLOOKUP(February[[#This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IFERROR(VLOOKUP(February[[#This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IFERROR(VLOOKUP(February[[#This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IFERROR(VLOOKUP(February[[#This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IFERROR(VLOOKUP(February[[#This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IFERROR(VLOOKUP(February[[#This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IFERROR(VLOOKUP(February[[#This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IFERROR(VLOOKUP(February[[#This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IFERROR(VLOOKUP(February[[#This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IFERROR(VLOOKUP(February[[#This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IFERROR(VLOOKUP(February[[#This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IFERROR(VLOOKUP(February[[#This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IFERROR(VLOOKUP(February[[#This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IFERROR(VLOOKUP(February[[#This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IFERROR(VLOOKUP(February[[#This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IFERROR(VLOOKUP(February[[#This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IFERROR(VLOOKUP(February[[#This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IFERROR(VLOOKUP(February[[#This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IFERROR(VLOOKUP(February[[#This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IFERROR(VLOOKUP(February[[#This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IFERROR(VLOOKUP(February[[#This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IFERROR(VLOOKUP(February[[#This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IFERROR(VLOOKUP(February[[#This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IFERROR(VLOOKUP(February[[#This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IFERROR(VLOOKUP(February[[#This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IFERROR(VLOOKUP(February[[#This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IFERROR(VLOOKUP(February[[#This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IFERROR(VLOOKUP(February[[#This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IFERROR(VLOOKUP(February[[#This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IFERROR(VLOOKUP(February[[#This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IFERROR(VLOOKUP(February[[#This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IFERROR(VLOOKUP(February[[#This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IFERROR(VLOOKUP(February[[#This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IFERROR(VLOOKUP(February[[#This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IFERROR(VLOOKUP(February[[#This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IFERROR(VLOOKUP(February[[#This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IFERROR(VLOOKUP(February[[#This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IFERROR(VLOOKUP(February[[#This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IFERROR(VLOOKUP(February[[#This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IFERROR(VLOOKUP(February[[#This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IFERROR(VLOOKUP(February[[#This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IFERROR(VLOOKUP(February[[#This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IFERROR(VLOOKUP(February[[#This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IFERROR(VLOOKUP(February[[#This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IFERROR(VLOOKUP(February[[#This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IFERROR(VLOOKUP(February[[#This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IFERROR(VLOOKUP(February[[#This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IFERROR(VLOOKUP(February[[#This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IFERROR(VLOOKUP(February[[#This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IFERROR(VLOOKUP(February[[#This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IFERROR(VLOOKUP(February[[#This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IFERROR(VLOOKUP(February[[#This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SUBTOTAL(103,February[Location Filled9])</f>
        <v>0</v>
      </c>
    </row>
  </sheetData>
  <sheetProtection algorithmName="SHA-512" hashValue="caGcwzmY/66a/nE84oZVQBzMSbUVzsWsfoTlUNGev12/WrKt3egzhR/bGRNPTCpzXr7lMOTiHNSeqjE1sNGVWQ==" saltValue="M06TfG64TQ683MtXCxbH6w==" spinCount="100000" sheet="1" objects="1" scenarios="1"/>
  <mergeCells count="13">
    <mergeCell ref="AR2:AX2"/>
    <mergeCell ref="BS2:BY2"/>
    <mergeCell ref="BZ2:CF2"/>
    <mergeCell ref="CG2:CM2"/>
    <mergeCell ref="AL1:AQ2"/>
    <mergeCell ref="BM1:BR2"/>
    <mergeCell ref="BF2:BL2"/>
    <mergeCell ref="A1:J2"/>
    <mergeCell ref="K1:AF1"/>
    <mergeCell ref="K2:P2"/>
    <mergeCell ref="Q2:V2"/>
    <mergeCell ref="X2:AD2"/>
    <mergeCell ref="AE2:AK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IFERROR(VLOOKUP(March[[#This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IFERROR(VLOOKUP(March[[#This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IFERROR(VLOOKUP(March[[#This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IFERROR(VLOOKUP(March[[#This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IFERROR(VLOOKUP(March[[#This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IFERROR(VLOOKUP(March[[#This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IFERROR(VLOOKUP(March[[#This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IFERROR(VLOOKUP(March[[#This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IFERROR(VLOOKUP(March[[#This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IFERROR(VLOOKUP(March[[#This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IFERROR(VLOOKUP(March[[#This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IFERROR(VLOOKUP(March[[#This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IFERROR(VLOOKUP(March[[#This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IFERROR(VLOOKUP(March[[#This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IFERROR(VLOOKUP(March[[#This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IFERROR(VLOOKUP(March[[#This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IFERROR(VLOOKUP(March[[#This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IFERROR(VLOOKUP(March[[#This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IFERROR(VLOOKUP(March[[#This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IFERROR(VLOOKUP(March[[#This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IFERROR(VLOOKUP(March[[#This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IFERROR(VLOOKUP(March[[#This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IFERROR(VLOOKUP(March[[#This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IFERROR(VLOOKUP(March[[#This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IFERROR(VLOOKUP(March[[#This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IFERROR(VLOOKUP(March[[#This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IFERROR(VLOOKUP(March[[#This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IFERROR(VLOOKUP(March[[#This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IFERROR(VLOOKUP(March[[#This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IFERROR(VLOOKUP(March[[#This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IFERROR(VLOOKUP(March[[#This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IFERROR(VLOOKUP(March[[#This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IFERROR(VLOOKUP(March[[#This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IFERROR(VLOOKUP(March[[#This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IFERROR(VLOOKUP(March[[#This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IFERROR(VLOOKUP(March[[#This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IFERROR(VLOOKUP(March[[#This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IFERROR(VLOOKUP(March[[#This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IFERROR(VLOOKUP(March[[#This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IFERROR(VLOOKUP(March[[#This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IFERROR(VLOOKUP(March[[#This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IFERROR(VLOOKUP(March[[#This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IFERROR(VLOOKUP(March[[#This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IFERROR(VLOOKUP(March[[#This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IFERROR(VLOOKUP(March[[#This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IFERROR(VLOOKUP(March[[#This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IFERROR(VLOOKUP(March[[#This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IFERROR(VLOOKUP(March[[#This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IFERROR(VLOOKUP(March[[#This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IFERROR(VLOOKUP(March[[#This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IFERROR(VLOOKUP(March[[#This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IFERROR(VLOOKUP(March[[#This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IFERROR(VLOOKUP(March[[#This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IFERROR(VLOOKUP(March[[#This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IFERROR(VLOOKUP(March[[#This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IFERROR(VLOOKUP(March[[#This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IFERROR(VLOOKUP(March[[#This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IFERROR(VLOOKUP(March[[#This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IFERROR(VLOOKUP(March[[#This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IFERROR(VLOOKUP(March[[#This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IFERROR(VLOOKUP(March[[#This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IFERROR(VLOOKUP(March[[#This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IFERROR(VLOOKUP(March[[#This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IFERROR(VLOOKUP(March[[#This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IFERROR(VLOOKUP(March[[#This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IFERROR(VLOOKUP(March[[#This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IFERROR(VLOOKUP(March[[#This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IFERROR(VLOOKUP(March[[#This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IFERROR(VLOOKUP(March[[#This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IFERROR(VLOOKUP(March[[#This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IFERROR(VLOOKUP(March[[#This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IFERROR(VLOOKUP(March[[#This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IFERROR(VLOOKUP(March[[#This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IFERROR(VLOOKUP(March[[#This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IFERROR(VLOOKUP(March[[#This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IFERROR(VLOOKUP(March[[#This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IFERROR(VLOOKUP(March[[#This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IFERROR(VLOOKUP(March[[#This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IFERROR(VLOOKUP(March[[#This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IFERROR(VLOOKUP(March[[#This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IFERROR(VLOOKUP(March[[#This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IFERROR(VLOOKUP(March[[#This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IFERROR(VLOOKUP(March[[#This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IFERROR(VLOOKUP(March[[#This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IFERROR(VLOOKUP(March[[#This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IFERROR(VLOOKUP(March[[#This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IFERROR(VLOOKUP(March[[#This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IFERROR(VLOOKUP(March[[#This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IFERROR(VLOOKUP(March[[#This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IFERROR(VLOOKUP(March[[#This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IFERROR(VLOOKUP(March[[#This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IFERROR(VLOOKUP(March[[#This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IFERROR(VLOOKUP(March[[#This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IFERROR(VLOOKUP(March[[#This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IFERROR(VLOOKUP(March[[#This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IFERROR(VLOOKUP(March[[#This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IFERROR(VLOOKUP(March[[#This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IFERROR(VLOOKUP(March[[#This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IFERROR(VLOOKUP(March[[#This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IFERROR(VLOOKUP(March[[#This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IFERROR(VLOOKUP(March[[#This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IFERROR(VLOOKUP(March[[#This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IFERROR(VLOOKUP(March[[#This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IFERROR(VLOOKUP(March[[#This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IFERROR(VLOOKUP(March[[#This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IFERROR(VLOOKUP(March[[#This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IFERROR(VLOOKUP(March[[#This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IFERROR(VLOOKUP(March[[#This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IFERROR(VLOOKUP(March[[#This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IFERROR(VLOOKUP(March[[#This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IFERROR(VLOOKUP(March[[#This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IFERROR(VLOOKUP(March[[#This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IFERROR(VLOOKUP(March[[#This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IFERROR(VLOOKUP(March[[#This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IFERROR(VLOOKUP(March[[#This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IFERROR(VLOOKUP(March[[#This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IFERROR(VLOOKUP(March[[#This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IFERROR(VLOOKUP(March[[#This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IFERROR(VLOOKUP(March[[#This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IFERROR(VLOOKUP(March[[#This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IFERROR(VLOOKUP(March[[#This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IFERROR(VLOOKUP(March[[#This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IFERROR(VLOOKUP(March[[#This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IFERROR(VLOOKUP(March[[#This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IFERROR(VLOOKUP(March[[#This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IFERROR(VLOOKUP(March[[#This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IFERROR(VLOOKUP(March[[#This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IFERROR(VLOOKUP(March[[#This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IFERROR(VLOOKUP(March[[#This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IFERROR(VLOOKUP(March[[#This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IFERROR(VLOOKUP(March[[#This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IFERROR(VLOOKUP(March[[#This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IFERROR(VLOOKUP(March[[#This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IFERROR(VLOOKUP(March[[#This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IFERROR(VLOOKUP(March[[#This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IFERROR(VLOOKUP(March[[#This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IFERROR(VLOOKUP(March[[#This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IFERROR(VLOOKUP(March[[#This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IFERROR(VLOOKUP(March[[#This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IFERROR(VLOOKUP(March[[#This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IFERROR(VLOOKUP(March[[#This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IFERROR(VLOOKUP(March[[#This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IFERROR(VLOOKUP(March[[#This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IFERROR(VLOOKUP(March[[#This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IFERROR(VLOOKUP(March[[#This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IFERROR(VLOOKUP(March[[#This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IFERROR(VLOOKUP(March[[#This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IFERROR(VLOOKUP(March[[#This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IFERROR(VLOOKUP(March[[#This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IFERROR(VLOOKUP(March[[#This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IFERROR(VLOOKUP(March[[#This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IFERROR(VLOOKUP(March[[#This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IFERROR(VLOOKUP(March[[#This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IFERROR(VLOOKUP(March[[#This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IFERROR(VLOOKUP(March[[#This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IFERROR(VLOOKUP(March[[#This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IFERROR(VLOOKUP(March[[#This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IFERROR(VLOOKUP(March[[#This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IFERROR(VLOOKUP(March[[#This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IFERROR(VLOOKUP(March[[#This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IFERROR(VLOOKUP(March[[#This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IFERROR(VLOOKUP(March[[#This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IFERROR(VLOOKUP(March[[#This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IFERROR(VLOOKUP(March[[#This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IFERROR(VLOOKUP(March[[#This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IFERROR(VLOOKUP(March[[#This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IFERROR(VLOOKUP(March[[#This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IFERROR(VLOOKUP(March[[#This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IFERROR(VLOOKUP(March[[#This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IFERROR(VLOOKUP(March[[#This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IFERROR(VLOOKUP(March[[#This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IFERROR(VLOOKUP(March[[#This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IFERROR(VLOOKUP(March[[#This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IFERROR(VLOOKUP(March[[#This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IFERROR(VLOOKUP(March[[#This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IFERROR(VLOOKUP(March[[#This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IFERROR(VLOOKUP(March[[#This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IFERROR(VLOOKUP(March[[#This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IFERROR(VLOOKUP(March[[#This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IFERROR(VLOOKUP(March[[#This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IFERROR(VLOOKUP(March[[#This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IFERROR(VLOOKUP(March[[#This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IFERROR(VLOOKUP(March[[#This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IFERROR(VLOOKUP(March[[#This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IFERROR(VLOOKUP(March[[#This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IFERROR(VLOOKUP(March[[#This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IFERROR(VLOOKUP(March[[#This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IFERROR(VLOOKUP(March[[#This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IFERROR(VLOOKUP(March[[#This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IFERROR(VLOOKUP(March[[#This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IFERROR(VLOOKUP(March[[#This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IFERROR(VLOOKUP(March[[#This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IFERROR(VLOOKUP(March[[#This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IFERROR(VLOOKUP(March[[#This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IFERROR(VLOOKUP(March[[#This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IFERROR(VLOOKUP(March[[#This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IFERROR(VLOOKUP(March[[#This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IFERROR(VLOOKUP(March[[#This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IFERROR(VLOOKUP(March[[#This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IFERROR(VLOOKUP(March[[#This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IFERROR(VLOOKUP(March[[#This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IFERROR(VLOOKUP(March[[#This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IFERROR(VLOOKUP(March[[#This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IFERROR(VLOOKUP(March[[#This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IFERROR(VLOOKUP(March[[#This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IFERROR(VLOOKUP(March[[#This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IFERROR(VLOOKUP(March[[#This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IFERROR(VLOOKUP(March[[#This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IFERROR(VLOOKUP(March[[#This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IFERROR(VLOOKUP(March[[#This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IFERROR(VLOOKUP(March[[#This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IFERROR(VLOOKUP(March[[#This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IFERROR(VLOOKUP(March[[#This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IFERROR(VLOOKUP(March[[#This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IFERROR(VLOOKUP(March[[#This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IFERROR(VLOOKUP(March[[#This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IFERROR(VLOOKUP(March[[#This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IFERROR(VLOOKUP(March[[#This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IFERROR(VLOOKUP(March[[#This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IFERROR(VLOOKUP(March[[#This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IFERROR(VLOOKUP(March[[#This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IFERROR(VLOOKUP(March[[#This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IFERROR(VLOOKUP(March[[#This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IFERROR(VLOOKUP(March[[#This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IFERROR(VLOOKUP(March[[#This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IFERROR(VLOOKUP(March[[#This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IFERROR(VLOOKUP(March[[#This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IFERROR(VLOOKUP(March[[#This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IFERROR(VLOOKUP(March[[#This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IFERROR(VLOOKUP(March[[#This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IFERROR(VLOOKUP(March[[#This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IFERROR(VLOOKUP(March[[#This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IFERROR(VLOOKUP(March[[#This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IFERROR(VLOOKUP(March[[#This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IFERROR(VLOOKUP(March[[#This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IFERROR(VLOOKUP(March[[#This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IFERROR(VLOOKUP(March[[#This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IFERROR(VLOOKUP(March[[#This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IFERROR(VLOOKUP(March[[#This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IFERROR(VLOOKUP(March[[#This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IFERROR(VLOOKUP(March[[#This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IFERROR(VLOOKUP(March[[#This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IFERROR(VLOOKUP(March[[#This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IFERROR(VLOOKUP(March[[#This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IFERROR(VLOOKUP(March[[#This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IFERROR(VLOOKUP(March[[#This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IFERROR(VLOOKUP(March[[#This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IFERROR(VLOOKUP(March[[#This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IFERROR(VLOOKUP(March[[#This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IFERROR(VLOOKUP(March[[#This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IFERROR(VLOOKUP(March[[#This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IFERROR(VLOOKUP(March[[#This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IFERROR(VLOOKUP(March[[#This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IFERROR(VLOOKUP(March[[#This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IFERROR(VLOOKUP(March[[#This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IFERROR(VLOOKUP(March[[#This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IFERROR(VLOOKUP(March[[#This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IFERROR(VLOOKUP(March[[#This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IFERROR(VLOOKUP(March[[#This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IFERROR(VLOOKUP(March[[#This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IFERROR(VLOOKUP(March[[#This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IFERROR(VLOOKUP(March[[#This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IFERROR(VLOOKUP(March[[#This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IFERROR(VLOOKUP(March[[#This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IFERROR(VLOOKUP(March[[#This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IFERROR(VLOOKUP(March[[#This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IFERROR(VLOOKUP(March[[#This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IFERROR(VLOOKUP(March[[#This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IFERROR(VLOOKUP(March[[#This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IFERROR(VLOOKUP(March[[#This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IFERROR(VLOOKUP(March[[#This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IFERROR(VLOOKUP(March[[#This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IFERROR(VLOOKUP(March[[#This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IFERROR(VLOOKUP(March[[#This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IFERROR(VLOOKUP(March[[#This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IFERROR(VLOOKUP(March[[#This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IFERROR(VLOOKUP(March[[#This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IFERROR(VLOOKUP(March[[#This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IFERROR(VLOOKUP(March[[#This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IFERROR(VLOOKUP(March[[#This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IFERROR(VLOOKUP(March[[#This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IFERROR(VLOOKUP(March[[#This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IFERROR(VLOOKUP(March[[#This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IFERROR(VLOOKUP(March[[#This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IFERROR(VLOOKUP(March[[#This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IFERROR(VLOOKUP(March[[#This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IFERROR(VLOOKUP(March[[#This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IFERROR(VLOOKUP(March[[#This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IFERROR(VLOOKUP(March[[#This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IFERROR(VLOOKUP(March[[#This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IFERROR(VLOOKUP(March[[#This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IFERROR(VLOOKUP(March[[#This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IFERROR(VLOOKUP(March[[#This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IFERROR(VLOOKUP(March[[#This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IFERROR(VLOOKUP(March[[#This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IFERROR(VLOOKUP(March[[#This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IFERROR(VLOOKUP(March[[#This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IFERROR(VLOOKUP(March[[#This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IFERROR(VLOOKUP(March[[#This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IFERROR(VLOOKUP(March[[#This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IFERROR(VLOOKUP(March[[#This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IFERROR(VLOOKUP(March[[#This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IFERROR(VLOOKUP(March[[#This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IFERROR(VLOOKUP(March[[#This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IFERROR(VLOOKUP(March[[#This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IFERROR(VLOOKUP(March[[#This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IFERROR(VLOOKUP(March[[#This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IFERROR(VLOOKUP(March[[#This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IFERROR(VLOOKUP(March[[#This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IFERROR(VLOOKUP(March[[#This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IFERROR(VLOOKUP(March[[#This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IFERROR(VLOOKUP(March[[#This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IFERROR(VLOOKUP(March[[#This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IFERROR(VLOOKUP(March[[#This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IFERROR(VLOOKUP(March[[#This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IFERROR(VLOOKUP(March[[#This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IFERROR(VLOOKUP(March[[#This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IFERROR(VLOOKUP(March[[#This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IFERROR(VLOOKUP(March[[#This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IFERROR(VLOOKUP(March[[#This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IFERROR(VLOOKUP(March[[#This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IFERROR(VLOOKUP(March[[#This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IFERROR(VLOOKUP(March[[#This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IFERROR(VLOOKUP(March[[#This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IFERROR(VLOOKUP(March[[#This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IFERROR(VLOOKUP(March[[#This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IFERROR(VLOOKUP(March[[#This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IFERROR(VLOOKUP(March[[#This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IFERROR(VLOOKUP(March[[#This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IFERROR(VLOOKUP(March[[#This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IFERROR(VLOOKUP(March[[#This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IFERROR(VLOOKUP(March[[#This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IFERROR(VLOOKUP(March[[#This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IFERROR(VLOOKUP(March[[#This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IFERROR(VLOOKUP(March[[#This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IFERROR(VLOOKUP(March[[#This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IFERROR(VLOOKUP(March[[#This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IFERROR(VLOOKUP(March[[#This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IFERROR(VLOOKUP(March[[#This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IFERROR(VLOOKUP(March[[#This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IFERROR(VLOOKUP(March[[#This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IFERROR(VLOOKUP(March[[#This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IFERROR(VLOOKUP(March[[#This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IFERROR(VLOOKUP(March[[#This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IFERROR(VLOOKUP(March[[#This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IFERROR(VLOOKUP(March[[#This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IFERROR(VLOOKUP(March[[#This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IFERROR(VLOOKUP(March[[#This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IFERROR(VLOOKUP(March[[#This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IFERROR(VLOOKUP(March[[#This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IFERROR(VLOOKUP(March[[#This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IFERROR(VLOOKUP(March[[#This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IFERROR(VLOOKUP(March[[#This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IFERROR(VLOOKUP(March[[#This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IFERROR(VLOOKUP(March[[#This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IFERROR(VLOOKUP(March[[#This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IFERROR(VLOOKUP(March[[#This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IFERROR(VLOOKUP(March[[#This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IFERROR(VLOOKUP(March[[#This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IFERROR(VLOOKUP(March[[#This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IFERROR(VLOOKUP(March[[#This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IFERROR(VLOOKUP(March[[#This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IFERROR(VLOOKUP(March[[#This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IFERROR(VLOOKUP(March[[#This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IFERROR(VLOOKUP(March[[#This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IFERROR(VLOOKUP(March[[#This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IFERROR(VLOOKUP(March[[#This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IFERROR(VLOOKUP(March[[#This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IFERROR(VLOOKUP(March[[#This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IFERROR(VLOOKUP(March[[#This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IFERROR(VLOOKUP(March[[#This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IFERROR(VLOOKUP(March[[#This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IFERROR(VLOOKUP(March[[#This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IFERROR(VLOOKUP(March[[#This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IFERROR(VLOOKUP(March[[#This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IFERROR(VLOOKUP(March[[#This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IFERROR(VLOOKUP(March[[#This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IFERROR(VLOOKUP(March[[#This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IFERROR(VLOOKUP(March[[#This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IFERROR(VLOOKUP(March[[#This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IFERROR(VLOOKUP(March[[#This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IFERROR(VLOOKUP(March[[#This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IFERROR(VLOOKUP(March[[#This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IFERROR(VLOOKUP(March[[#This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IFERROR(VLOOKUP(March[[#This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IFERROR(VLOOKUP(March[[#This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IFERROR(VLOOKUP(March[[#This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IFERROR(VLOOKUP(March[[#This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IFERROR(VLOOKUP(March[[#This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IFERROR(VLOOKUP(March[[#This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IFERROR(VLOOKUP(March[[#This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IFERROR(VLOOKUP(March[[#This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IFERROR(VLOOKUP(March[[#This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IFERROR(VLOOKUP(March[[#This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IFERROR(VLOOKUP(March[[#This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IFERROR(VLOOKUP(March[[#This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IFERROR(VLOOKUP(March[[#This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IFERROR(VLOOKUP(March[[#This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IFERROR(VLOOKUP(March[[#This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IFERROR(VLOOKUP(March[[#This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IFERROR(VLOOKUP(March[[#This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IFERROR(VLOOKUP(March[[#This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IFERROR(VLOOKUP(March[[#This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IFERROR(VLOOKUP(March[[#This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IFERROR(VLOOKUP(March[[#This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IFERROR(VLOOKUP(March[[#This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IFERROR(VLOOKUP(March[[#This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IFERROR(VLOOKUP(March[[#This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IFERROR(VLOOKUP(March[[#This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IFERROR(VLOOKUP(March[[#This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IFERROR(VLOOKUP(March[[#This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IFERROR(VLOOKUP(March[[#This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IFERROR(VLOOKUP(March[[#This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IFERROR(VLOOKUP(March[[#This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IFERROR(VLOOKUP(March[[#This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IFERROR(VLOOKUP(March[[#This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IFERROR(VLOOKUP(March[[#This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IFERROR(VLOOKUP(March[[#This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IFERROR(VLOOKUP(March[[#This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IFERROR(VLOOKUP(March[[#This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IFERROR(VLOOKUP(March[[#This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IFERROR(VLOOKUP(March[[#This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IFERROR(VLOOKUP(March[[#This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IFERROR(VLOOKUP(March[[#This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IFERROR(VLOOKUP(March[[#This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IFERROR(VLOOKUP(March[[#This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IFERROR(VLOOKUP(March[[#This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IFERROR(VLOOKUP(March[[#This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IFERROR(VLOOKUP(March[[#This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IFERROR(VLOOKUP(March[[#This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IFERROR(VLOOKUP(March[[#This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IFERROR(VLOOKUP(March[[#This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IFERROR(VLOOKUP(March[[#This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IFERROR(VLOOKUP(March[[#This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IFERROR(VLOOKUP(March[[#This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IFERROR(VLOOKUP(March[[#This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IFERROR(VLOOKUP(March[[#This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IFERROR(VLOOKUP(March[[#This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IFERROR(VLOOKUP(March[[#This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IFERROR(VLOOKUP(March[[#This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IFERROR(VLOOKUP(March[[#This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IFERROR(VLOOKUP(March[[#This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IFERROR(VLOOKUP(March[[#This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IFERROR(VLOOKUP(March[[#This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IFERROR(VLOOKUP(March[[#This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IFERROR(VLOOKUP(March[[#This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IFERROR(VLOOKUP(March[[#This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IFERROR(VLOOKUP(March[[#This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IFERROR(VLOOKUP(March[[#This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IFERROR(VLOOKUP(March[[#This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IFERROR(VLOOKUP(March[[#This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IFERROR(VLOOKUP(March[[#This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IFERROR(VLOOKUP(March[[#This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IFERROR(VLOOKUP(March[[#This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IFERROR(VLOOKUP(March[[#This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IFERROR(VLOOKUP(March[[#This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IFERROR(VLOOKUP(March[[#This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IFERROR(VLOOKUP(March[[#This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IFERROR(VLOOKUP(March[[#This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IFERROR(VLOOKUP(March[[#This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IFERROR(VLOOKUP(March[[#This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IFERROR(VLOOKUP(March[[#This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IFERROR(VLOOKUP(March[[#This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IFERROR(VLOOKUP(March[[#This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IFERROR(VLOOKUP(March[[#This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IFERROR(VLOOKUP(March[[#This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IFERROR(VLOOKUP(March[[#This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IFERROR(VLOOKUP(March[[#This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IFERROR(VLOOKUP(March[[#This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IFERROR(VLOOKUP(March[[#This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IFERROR(VLOOKUP(March[[#This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IFERROR(VLOOKUP(March[[#This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IFERROR(VLOOKUP(March[[#This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IFERROR(VLOOKUP(March[[#This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IFERROR(VLOOKUP(March[[#This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IFERROR(VLOOKUP(March[[#This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IFERROR(VLOOKUP(March[[#This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IFERROR(VLOOKUP(March[[#This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IFERROR(VLOOKUP(March[[#This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IFERROR(VLOOKUP(March[[#This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IFERROR(VLOOKUP(March[[#This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IFERROR(VLOOKUP(March[[#This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IFERROR(VLOOKUP(March[[#This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IFERROR(VLOOKUP(March[[#This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IFERROR(VLOOKUP(March[[#This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IFERROR(VLOOKUP(March[[#This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IFERROR(VLOOKUP(March[[#This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IFERROR(VLOOKUP(March[[#This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IFERROR(VLOOKUP(March[[#This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IFERROR(VLOOKUP(March[[#This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IFERROR(VLOOKUP(March[[#This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IFERROR(VLOOKUP(March[[#This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IFERROR(VLOOKUP(March[[#This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IFERROR(VLOOKUP(March[[#This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IFERROR(VLOOKUP(March[[#This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IFERROR(VLOOKUP(March[[#This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IFERROR(VLOOKUP(March[[#This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IFERROR(VLOOKUP(March[[#This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IFERROR(VLOOKUP(March[[#This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IFERROR(VLOOKUP(March[[#This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IFERROR(VLOOKUP(March[[#This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IFERROR(VLOOKUP(March[[#This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IFERROR(VLOOKUP(March[[#This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IFERROR(VLOOKUP(March[[#This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IFERROR(VLOOKUP(March[[#This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IFERROR(VLOOKUP(March[[#This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IFERROR(VLOOKUP(March[[#This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IFERROR(VLOOKUP(March[[#This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IFERROR(VLOOKUP(March[[#This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IFERROR(VLOOKUP(March[[#This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IFERROR(VLOOKUP(March[[#This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IFERROR(VLOOKUP(March[[#This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IFERROR(VLOOKUP(March[[#This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IFERROR(VLOOKUP(March[[#This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IFERROR(VLOOKUP(March[[#This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IFERROR(VLOOKUP(March[[#This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IFERROR(VLOOKUP(March[[#This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IFERROR(VLOOKUP(March[[#This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IFERROR(VLOOKUP(March[[#This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IFERROR(VLOOKUP(March[[#This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IFERROR(VLOOKUP(March[[#This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IFERROR(VLOOKUP(March[[#This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IFERROR(VLOOKUP(March[[#This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IFERROR(VLOOKUP(March[[#This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IFERROR(VLOOKUP(March[[#This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IFERROR(VLOOKUP(March[[#This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IFERROR(VLOOKUP(March[[#This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IFERROR(VLOOKUP(March[[#This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IFERROR(VLOOKUP(March[[#This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IFERROR(VLOOKUP(March[[#This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IFERROR(VLOOKUP(March[[#This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IFERROR(VLOOKUP(March[[#This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IFERROR(VLOOKUP(March[[#This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IFERROR(VLOOKUP(March[[#This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IFERROR(VLOOKUP(March[[#This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IFERROR(VLOOKUP(March[[#This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IFERROR(VLOOKUP(March[[#This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IFERROR(VLOOKUP(March[[#This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IFERROR(VLOOKUP(March[[#This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IFERROR(VLOOKUP(March[[#This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IFERROR(VLOOKUP(March[[#This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IFERROR(VLOOKUP(March[[#This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IFERROR(VLOOKUP(March[[#This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IFERROR(VLOOKUP(March[[#This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IFERROR(VLOOKUP(March[[#This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IFERROR(VLOOKUP(March[[#This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IFERROR(VLOOKUP(March[[#This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IFERROR(VLOOKUP(March[[#This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IFERROR(VLOOKUP(March[[#This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IFERROR(VLOOKUP(March[[#This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IFERROR(VLOOKUP(March[[#This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IFERROR(VLOOKUP(March[[#This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IFERROR(VLOOKUP(March[[#This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IFERROR(VLOOKUP(March[[#This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IFERROR(VLOOKUP(March[[#This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IFERROR(VLOOKUP(March[[#This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IFERROR(VLOOKUP(March[[#This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IFERROR(VLOOKUP(March[[#This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IFERROR(VLOOKUP(March[[#This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IFERROR(VLOOKUP(March[[#This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IFERROR(VLOOKUP(March[[#This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IFERROR(VLOOKUP(March[[#This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IFERROR(VLOOKUP(March[[#This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IFERROR(VLOOKUP(March[[#This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IFERROR(VLOOKUP(March[[#This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IFERROR(VLOOKUP(March[[#This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IFERROR(VLOOKUP(March[[#This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IFERROR(VLOOKUP(March[[#This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IFERROR(VLOOKUP(March[[#This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IFERROR(VLOOKUP(March[[#This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IFERROR(VLOOKUP(March[[#This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IFERROR(VLOOKUP(March[[#This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IFERROR(VLOOKUP(March[[#This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IFERROR(VLOOKUP(March[[#This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IFERROR(VLOOKUP(March[[#This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IFERROR(VLOOKUP(March[[#This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IFERROR(VLOOKUP(March[[#This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IFERROR(VLOOKUP(March[[#This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IFERROR(VLOOKUP(March[[#This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IFERROR(VLOOKUP(March[[#This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IFERROR(VLOOKUP(March[[#This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IFERROR(VLOOKUP(March[[#This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IFERROR(VLOOKUP(March[[#This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IFERROR(VLOOKUP(March[[#This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IFERROR(VLOOKUP(March[[#This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IFERROR(VLOOKUP(March[[#This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IFERROR(VLOOKUP(March[[#This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IFERROR(VLOOKUP(March[[#This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IFERROR(VLOOKUP(March[[#This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IFERROR(VLOOKUP(March[[#This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IFERROR(VLOOKUP(March[[#This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IFERROR(VLOOKUP(March[[#This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IFERROR(VLOOKUP(March[[#This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IFERROR(VLOOKUP(March[[#This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IFERROR(VLOOKUP(March[[#This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IFERROR(VLOOKUP(March[[#This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IFERROR(VLOOKUP(March[[#This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IFERROR(VLOOKUP(March[[#This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IFERROR(VLOOKUP(March[[#This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IFERROR(VLOOKUP(March[[#This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IFERROR(VLOOKUP(March[[#This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IFERROR(VLOOKUP(March[[#This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IFERROR(VLOOKUP(March[[#This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IFERROR(VLOOKUP(March[[#This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IFERROR(VLOOKUP(March[[#This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IFERROR(VLOOKUP(March[[#This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IFERROR(VLOOKUP(March[[#This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IFERROR(VLOOKUP(March[[#This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IFERROR(VLOOKUP(March[[#This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IFERROR(VLOOKUP(March[[#This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IFERROR(VLOOKUP(March[[#This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IFERROR(VLOOKUP(March[[#This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IFERROR(VLOOKUP(March[[#This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IFERROR(VLOOKUP(March[[#This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IFERROR(VLOOKUP(March[[#This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IFERROR(VLOOKUP(March[[#This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IFERROR(VLOOKUP(March[[#This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IFERROR(VLOOKUP(March[[#This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IFERROR(VLOOKUP(March[[#This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IFERROR(VLOOKUP(March[[#This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IFERROR(VLOOKUP(March[[#This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IFERROR(VLOOKUP(March[[#This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IFERROR(VLOOKUP(March[[#This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IFERROR(VLOOKUP(March[[#This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IFERROR(VLOOKUP(March[[#This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IFERROR(VLOOKUP(March[[#This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IFERROR(VLOOKUP(March[[#This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IFERROR(VLOOKUP(March[[#This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IFERROR(VLOOKUP(March[[#This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IFERROR(VLOOKUP(March[[#This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IFERROR(VLOOKUP(March[[#This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IFERROR(VLOOKUP(March[[#This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IFERROR(VLOOKUP(March[[#This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IFERROR(VLOOKUP(March[[#This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IFERROR(VLOOKUP(March[[#This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IFERROR(VLOOKUP(March[[#This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IFERROR(VLOOKUP(March[[#This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IFERROR(VLOOKUP(March[[#This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IFERROR(VLOOKUP(March[[#This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IFERROR(VLOOKUP(March[[#This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IFERROR(VLOOKUP(March[[#This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IFERROR(VLOOKUP(March[[#This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IFERROR(VLOOKUP(March[[#This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IFERROR(VLOOKUP(March[[#This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IFERROR(VLOOKUP(March[[#This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IFERROR(VLOOKUP(March[[#This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IFERROR(VLOOKUP(March[[#This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IFERROR(VLOOKUP(March[[#This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IFERROR(VLOOKUP(March[[#This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IFERROR(VLOOKUP(March[[#This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IFERROR(VLOOKUP(March[[#This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IFERROR(VLOOKUP(March[[#This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IFERROR(VLOOKUP(March[[#This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IFERROR(VLOOKUP(March[[#This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IFERROR(VLOOKUP(March[[#This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IFERROR(VLOOKUP(March[[#This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IFERROR(VLOOKUP(March[[#This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IFERROR(VLOOKUP(March[[#This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IFERROR(VLOOKUP(March[[#This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IFERROR(VLOOKUP(March[[#This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IFERROR(VLOOKUP(March[[#This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IFERROR(VLOOKUP(March[[#This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IFERROR(VLOOKUP(March[[#This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IFERROR(VLOOKUP(March[[#This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IFERROR(VLOOKUP(March[[#This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IFERROR(VLOOKUP(March[[#This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IFERROR(VLOOKUP(March[[#This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IFERROR(VLOOKUP(March[[#This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IFERROR(VLOOKUP(March[[#This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IFERROR(VLOOKUP(March[[#This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IFERROR(VLOOKUP(March[[#This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IFERROR(VLOOKUP(March[[#This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IFERROR(VLOOKUP(March[[#This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IFERROR(VLOOKUP(March[[#This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IFERROR(VLOOKUP(March[[#This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IFERROR(VLOOKUP(March[[#This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IFERROR(VLOOKUP(March[[#This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IFERROR(VLOOKUP(March[[#This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IFERROR(VLOOKUP(March[[#This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IFERROR(VLOOKUP(March[[#This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IFERROR(VLOOKUP(March[[#This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IFERROR(VLOOKUP(March[[#This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IFERROR(VLOOKUP(March[[#This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IFERROR(VLOOKUP(March[[#This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IFERROR(VLOOKUP(March[[#This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IFERROR(VLOOKUP(March[[#This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IFERROR(VLOOKUP(March[[#This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IFERROR(VLOOKUP(March[[#This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IFERROR(VLOOKUP(March[[#This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IFERROR(VLOOKUP(March[[#This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IFERROR(VLOOKUP(March[[#This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IFERROR(VLOOKUP(March[[#This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IFERROR(VLOOKUP(March[[#This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IFERROR(VLOOKUP(March[[#This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IFERROR(VLOOKUP(March[[#This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IFERROR(VLOOKUP(March[[#This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IFERROR(VLOOKUP(March[[#This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IFERROR(VLOOKUP(March[[#This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IFERROR(VLOOKUP(March[[#This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IFERROR(VLOOKUP(March[[#This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IFERROR(VLOOKUP(March[[#This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IFERROR(VLOOKUP(March[[#This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IFERROR(VLOOKUP(March[[#This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IFERROR(VLOOKUP(March[[#This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IFERROR(VLOOKUP(March[[#This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IFERROR(VLOOKUP(March[[#This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IFERROR(VLOOKUP(March[[#This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IFERROR(VLOOKUP(March[[#This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IFERROR(VLOOKUP(March[[#This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IFERROR(VLOOKUP(March[[#This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IFERROR(VLOOKUP(March[[#This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IFERROR(VLOOKUP(March[[#This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IFERROR(VLOOKUP(March[[#This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IFERROR(VLOOKUP(March[[#This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IFERROR(VLOOKUP(March[[#This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IFERROR(VLOOKUP(March[[#This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IFERROR(VLOOKUP(March[[#This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IFERROR(VLOOKUP(March[[#This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IFERROR(VLOOKUP(March[[#This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IFERROR(VLOOKUP(March[[#This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IFERROR(VLOOKUP(March[[#This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IFERROR(VLOOKUP(March[[#This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IFERROR(VLOOKUP(March[[#This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IFERROR(VLOOKUP(March[[#This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IFERROR(VLOOKUP(March[[#This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IFERROR(VLOOKUP(March[[#This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IFERROR(VLOOKUP(March[[#This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IFERROR(VLOOKUP(March[[#This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IFERROR(VLOOKUP(March[[#This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IFERROR(VLOOKUP(March[[#This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IFERROR(VLOOKUP(March[[#This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IFERROR(VLOOKUP(March[[#This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IFERROR(VLOOKUP(March[[#This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IFERROR(VLOOKUP(March[[#This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IFERROR(VLOOKUP(March[[#This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IFERROR(VLOOKUP(March[[#This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IFERROR(VLOOKUP(March[[#This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IFERROR(VLOOKUP(March[[#This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IFERROR(VLOOKUP(March[[#This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IFERROR(VLOOKUP(March[[#This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IFERROR(VLOOKUP(March[[#This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IFERROR(VLOOKUP(March[[#This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IFERROR(VLOOKUP(March[[#This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IFERROR(VLOOKUP(March[[#This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IFERROR(VLOOKUP(March[[#This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IFERROR(VLOOKUP(March[[#This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IFERROR(VLOOKUP(March[[#This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IFERROR(VLOOKUP(March[[#This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IFERROR(VLOOKUP(March[[#This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IFERROR(VLOOKUP(March[[#This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IFERROR(VLOOKUP(March[[#This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IFERROR(VLOOKUP(March[[#This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IFERROR(VLOOKUP(March[[#This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IFERROR(VLOOKUP(March[[#This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IFERROR(VLOOKUP(March[[#This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IFERROR(VLOOKUP(March[[#This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IFERROR(VLOOKUP(March[[#This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IFERROR(VLOOKUP(March[[#This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IFERROR(VLOOKUP(March[[#This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IFERROR(VLOOKUP(March[[#This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IFERROR(VLOOKUP(March[[#This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IFERROR(VLOOKUP(March[[#This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IFERROR(VLOOKUP(March[[#This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IFERROR(VLOOKUP(March[[#This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IFERROR(VLOOKUP(March[[#This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IFERROR(VLOOKUP(March[[#This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IFERROR(VLOOKUP(March[[#This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IFERROR(VLOOKUP(March[[#This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IFERROR(VLOOKUP(March[[#This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IFERROR(VLOOKUP(March[[#This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IFERROR(VLOOKUP(March[[#This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IFERROR(VLOOKUP(March[[#This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IFERROR(VLOOKUP(March[[#This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IFERROR(VLOOKUP(March[[#This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IFERROR(VLOOKUP(March[[#This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IFERROR(VLOOKUP(March[[#This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IFERROR(VLOOKUP(March[[#This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IFERROR(VLOOKUP(March[[#This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IFERROR(VLOOKUP(March[[#This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IFERROR(VLOOKUP(March[[#This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IFERROR(VLOOKUP(March[[#This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IFERROR(VLOOKUP(March[[#This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IFERROR(VLOOKUP(March[[#This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IFERROR(VLOOKUP(March[[#This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IFERROR(VLOOKUP(March[[#This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IFERROR(VLOOKUP(March[[#This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IFERROR(VLOOKUP(March[[#This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IFERROR(VLOOKUP(March[[#This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IFERROR(VLOOKUP(March[[#This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IFERROR(VLOOKUP(March[[#This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IFERROR(VLOOKUP(March[[#This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IFERROR(VLOOKUP(March[[#This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IFERROR(VLOOKUP(March[[#This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IFERROR(VLOOKUP(March[[#This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IFERROR(VLOOKUP(March[[#This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IFERROR(VLOOKUP(March[[#This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IFERROR(VLOOKUP(March[[#This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IFERROR(VLOOKUP(March[[#This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IFERROR(VLOOKUP(March[[#This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IFERROR(VLOOKUP(March[[#This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IFERROR(VLOOKUP(March[[#This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IFERROR(VLOOKUP(March[[#This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IFERROR(VLOOKUP(March[[#This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IFERROR(VLOOKUP(March[[#This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IFERROR(VLOOKUP(March[[#This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IFERROR(VLOOKUP(March[[#This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IFERROR(VLOOKUP(March[[#This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IFERROR(VLOOKUP(March[[#This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IFERROR(VLOOKUP(March[[#This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IFERROR(VLOOKUP(March[[#This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IFERROR(VLOOKUP(March[[#This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IFERROR(VLOOKUP(March[[#This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IFERROR(VLOOKUP(March[[#This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IFERROR(VLOOKUP(March[[#This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IFERROR(VLOOKUP(March[[#This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IFERROR(VLOOKUP(March[[#This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IFERROR(VLOOKUP(March[[#This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IFERROR(VLOOKUP(March[[#This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IFERROR(VLOOKUP(March[[#This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IFERROR(VLOOKUP(March[[#This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IFERROR(VLOOKUP(March[[#This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IFERROR(VLOOKUP(March[[#This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IFERROR(VLOOKUP(March[[#This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IFERROR(VLOOKUP(March[[#This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IFERROR(VLOOKUP(March[[#This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IFERROR(VLOOKUP(March[[#This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IFERROR(VLOOKUP(March[[#This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IFERROR(VLOOKUP(March[[#This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IFERROR(VLOOKUP(March[[#This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IFERROR(VLOOKUP(March[[#This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IFERROR(VLOOKUP(March[[#This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IFERROR(VLOOKUP(March[[#This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IFERROR(VLOOKUP(March[[#This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IFERROR(VLOOKUP(March[[#This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IFERROR(VLOOKUP(March[[#This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IFERROR(VLOOKUP(March[[#This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IFERROR(VLOOKUP(March[[#This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IFERROR(VLOOKUP(March[[#This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IFERROR(VLOOKUP(March[[#This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IFERROR(VLOOKUP(March[[#This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IFERROR(VLOOKUP(March[[#This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IFERROR(VLOOKUP(March[[#This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IFERROR(VLOOKUP(March[[#This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IFERROR(VLOOKUP(March[[#This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IFERROR(VLOOKUP(March[[#This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IFERROR(VLOOKUP(March[[#This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IFERROR(VLOOKUP(March[[#This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IFERROR(VLOOKUP(March[[#This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IFERROR(VLOOKUP(March[[#This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IFERROR(VLOOKUP(March[[#This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IFERROR(VLOOKUP(March[[#This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IFERROR(VLOOKUP(March[[#This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IFERROR(VLOOKUP(March[[#This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IFERROR(VLOOKUP(March[[#This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IFERROR(VLOOKUP(March[[#This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IFERROR(VLOOKUP(March[[#This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IFERROR(VLOOKUP(March[[#This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IFERROR(VLOOKUP(March[[#This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IFERROR(VLOOKUP(March[[#This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IFERROR(VLOOKUP(March[[#This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IFERROR(VLOOKUP(March[[#This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IFERROR(VLOOKUP(March[[#This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IFERROR(VLOOKUP(March[[#This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IFERROR(VLOOKUP(March[[#This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IFERROR(VLOOKUP(March[[#This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IFERROR(VLOOKUP(March[[#This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IFERROR(VLOOKUP(March[[#This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IFERROR(VLOOKUP(March[[#This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IFERROR(VLOOKUP(March[[#This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IFERROR(VLOOKUP(March[[#This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IFERROR(VLOOKUP(March[[#This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IFERROR(VLOOKUP(March[[#This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IFERROR(VLOOKUP(March[[#This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IFERROR(VLOOKUP(March[[#This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IFERROR(VLOOKUP(March[[#This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IFERROR(VLOOKUP(March[[#This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IFERROR(VLOOKUP(March[[#This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IFERROR(VLOOKUP(March[[#This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IFERROR(VLOOKUP(March[[#This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IFERROR(VLOOKUP(March[[#This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IFERROR(VLOOKUP(March[[#This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IFERROR(VLOOKUP(March[[#This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IFERROR(VLOOKUP(March[[#This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IFERROR(VLOOKUP(March[[#This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IFERROR(VLOOKUP(March[[#This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IFERROR(VLOOKUP(March[[#This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IFERROR(VLOOKUP(March[[#This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IFERROR(VLOOKUP(March[[#This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IFERROR(VLOOKUP(March[[#This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IFERROR(VLOOKUP(March[[#This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IFERROR(VLOOKUP(March[[#This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IFERROR(VLOOKUP(March[[#This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IFERROR(VLOOKUP(March[[#This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IFERROR(VLOOKUP(March[[#This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IFERROR(VLOOKUP(March[[#This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IFERROR(VLOOKUP(March[[#This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IFERROR(VLOOKUP(March[[#This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IFERROR(VLOOKUP(March[[#This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IFERROR(VLOOKUP(March[[#This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IFERROR(VLOOKUP(March[[#This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IFERROR(VLOOKUP(March[[#This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IFERROR(VLOOKUP(March[[#This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IFERROR(VLOOKUP(March[[#This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IFERROR(VLOOKUP(March[[#This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IFERROR(VLOOKUP(March[[#This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IFERROR(VLOOKUP(March[[#This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IFERROR(VLOOKUP(March[[#This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IFERROR(VLOOKUP(March[[#This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IFERROR(VLOOKUP(March[[#This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IFERROR(VLOOKUP(March[[#This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IFERROR(VLOOKUP(March[[#This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IFERROR(VLOOKUP(March[[#This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IFERROR(VLOOKUP(March[[#This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IFERROR(VLOOKUP(March[[#This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IFERROR(VLOOKUP(March[[#This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IFERROR(VLOOKUP(March[[#This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IFERROR(VLOOKUP(March[[#This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IFERROR(VLOOKUP(March[[#This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IFERROR(VLOOKUP(March[[#This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IFERROR(VLOOKUP(March[[#This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IFERROR(VLOOKUP(March[[#This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IFERROR(VLOOKUP(March[[#This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IFERROR(VLOOKUP(March[[#This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IFERROR(VLOOKUP(March[[#This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IFERROR(VLOOKUP(March[[#This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IFERROR(VLOOKUP(March[[#This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IFERROR(VLOOKUP(March[[#This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IFERROR(VLOOKUP(March[[#This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IFERROR(VLOOKUP(March[[#This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IFERROR(VLOOKUP(March[[#This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IFERROR(VLOOKUP(March[[#This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IFERROR(VLOOKUP(March[[#This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IFERROR(VLOOKUP(March[[#This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IFERROR(VLOOKUP(March[[#This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IFERROR(VLOOKUP(March[[#This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IFERROR(VLOOKUP(March[[#This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IFERROR(VLOOKUP(March[[#This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IFERROR(VLOOKUP(March[[#This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IFERROR(VLOOKUP(March[[#This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IFERROR(VLOOKUP(March[[#This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IFERROR(VLOOKUP(March[[#This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IFERROR(VLOOKUP(March[[#This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IFERROR(VLOOKUP(March[[#This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IFERROR(VLOOKUP(March[[#This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IFERROR(VLOOKUP(March[[#This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IFERROR(VLOOKUP(March[[#This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IFERROR(VLOOKUP(March[[#This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IFERROR(VLOOKUP(March[[#This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IFERROR(VLOOKUP(March[[#This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IFERROR(VLOOKUP(March[[#This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IFERROR(VLOOKUP(March[[#This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IFERROR(VLOOKUP(March[[#This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IFERROR(VLOOKUP(March[[#This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IFERROR(VLOOKUP(March[[#This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IFERROR(VLOOKUP(March[[#This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IFERROR(VLOOKUP(March[[#This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IFERROR(VLOOKUP(March[[#This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IFERROR(VLOOKUP(March[[#This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IFERROR(VLOOKUP(March[[#This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IFERROR(VLOOKUP(March[[#This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IFERROR(VLOOKUP(March[[#This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IFERROR(VLOOKUP(March[[#This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IFERROR(VLOOKUP(March[[#This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IFERROR(VLOOKUP(March[[#This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IFERROR(VLOOKUP(March[[#This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IFERROR(VLOOKUP(March[[#This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IFERROR(VLOOKUP(March[[#This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IFERROR(VLOOKUP(March[[#This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IFERROR(VLOOKUP(March[[#This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IFERROR(VLOOKUP(March[[#This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IFERROR(VLOOKUP(March[[#This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IFERROR(VLOOKUP(March[[#This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IFERROR(VLOOKUP(March[[#This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IFERROR(VLOOKUP(March[[#This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IFERROR(VLOOKUP(March[[#This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IFERROR(VLOOKUP(March[[#This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IFERROR(VLOOKUP(March[[#This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IFERROR(VLOOKUP(March[[#This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IFERROR(VLOOKUP(March[[#This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IFERROR(VLOOKUP(March[[#This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IFERROR(VLOOKUP(March[[#This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IFERROR(VLOOKUP(March[[#This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IFERROR(VLOOKUP(March[[#This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IFERROR(VLOOKUP(March[[#This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IFERROR(VLOOKUP(March[[#This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IFERROR(VLOOKUP(March[[#This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IFERROR(VLOOKUP(March[[#This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IFERROR(VLOOKUP(March[[#This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IFERROR(VLOOKUP(March[[#This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IFERROR(VLOOKUP(March[[#This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IFERROR(VLOOKUP(March[[#This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IFERROR(VLOOKUP(March[[#This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IFERROR(VLOOKUP(March[[#This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IFERROR(VLOOKUP(March[[#This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IFERROR(VLOOKUP(March[[#This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IFERROR(VLOOKUP(March[[#This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IFERROR(VLOOKUP(March[[#This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IFERROR(VLOOKUP(March[[#This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IFERROR(VLOOKUP(March[[#This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IFERROR(VLOOKUP(March[[#This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IFERROR(VLOOKUP(March[[#This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IFERROR(VLOOKUP(March[[#This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IFERROR(VLOOKUP(March[[#This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IFERROR(VLOOKUP(March[[#This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IFERROR(VLOOKUP(March[[#This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IFERROR(VLOOKUP(March[[#This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IFERROR(VLOOKUP(March[[#This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IFERROR(VLOOKUP(March[[#This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IFERROR(VLOOKUP(March[[#This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IFERROR(VLOOKUP(March[[#This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IFERROR(VLOOKUP(March[[#This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IFERROR(VLOOKUP(March[[#This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IFERROR(VLOOKUP(March[[#This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IFERROR(VLOOKUP(March[[#This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IFERROR(VLOOKUP(March[[#This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IFERROR(VLOOKUP(March[[#This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IFERROR(VLOOKUP(March[[#This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IFERROR(VLOOKUP(March[[#This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IFERROR(VLOOKUP(March[[#This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IFERROR(VLOOKUP(March[[#This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IFERROR(VLOOKUP(March[[#This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IFERROR(VLOOKUP(March[[#This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IFERROR(VLOOKUP(March[[#This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IFERROR(VLOOKUP(March[[#This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IFERROR(VLOOKUP(March[[#This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IFERROR(VLOOKUP(March[[#This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IFERROR(VLOOKUP(March[[#This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IFERROR(VLOOKUP(March[[#This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IFERROR(VLOOKUP(March[[#This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IFERROR(VLOOKUP(March[[#This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IFERROR(VLOOKUP(March[[#This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IFERROR(VLOOKUP(March[[#This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IFERROR(VLOOKUP(March[[#This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IFERROR(VLOOKUP(March[[#This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IFERROR(VLOOKUP(March[[#This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IFERROR(VLOOKUP(March[[#This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IFERROR(VLOOKUP(March[[#This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IFERROR(VLOOKUP(March[[#This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IFERROR(VLOOKUP(March[[#This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IFERROR(VLOOKUP(March[[#This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IFERROR(VLOOKUP(March[[#This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IFERROR(VLOOKUP(March[[#This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IFERROR(VLOOKUP(March[[#This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IFERROR(VLOOKUP(March[[#This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IFERROR(VLOOKUP(March[[#This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IFERROR(VLOOKUP(March[[#This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IFERROR(VLOOKUP(March[[#This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IFERROR(VLOOKUP(March[[#This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IFERROR(VLOOKUP(March[[#This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IFERROR(VLOOKUP(March[[#This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IFERROR(VLOOKUP(March[[#This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IFERROR(VLOOKUP(March[[#This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IFERROR(VLOOKUP(March[[#This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IFERROR(VLOOKUP(March[[#This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IFERROR(VLOOKUP(March[[#This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IFERROR(VLOOKUP(March[[#This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IFERROR(VLOOKUP(March[[#This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IFERROR(VLOOKUP(March[[#This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IFERROR(VLOOKUP(March[[#This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IFERROR(VLOOKUP(March[[#This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IFERROR(VLOOKUP(March[[#This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IFERROR(VLOOKUP(March[[#This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IFERROR(VLOOKUP(March[[#This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IFERROR(VLOOKUP(March[[#This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IFERROR(VLOOKUP(March[[#This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IFERROR(VLOOKUP(March[[#This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IFERROR(VLOOKUP(March[[#This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IFERROR(VLOOKUP(March[[#This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IFERROR(VLOOKUP(March[[#This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IFERROR(VLOOKUP(March[[#This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IFERROR(VLOOKUP(March[[#This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IFERROR(VLOOKUP(March[[#This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IFERROR(VLOOKUP(March[[#This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IFERROR(VLOOKUP(March[[#This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IFERROR(VLOOKUP(March[[#This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IFERROR(VLOOKUP(March[[#This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IFERROR(VLOOKUP(March[[#This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IFERROR(VLOOKUP(March[[#This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IFERROR(VLOOKUP(March[[#This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IFERROR(VLOOKUP(March[[#This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IFERROR(VLOOKUP(March[[#This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IFERROR(VLOOKUP(March[[#This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IFERROR(VLOOKUP(March[[#This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IFERROR(VLOOKUP(March[[#This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IFERROR(VLOOKUP(March[[#This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IFERROR(VLOOKUP(March[[#This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IFERROR(VLOOKUP(March[[#This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IFERROR(VLOOKUP(March[[#This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IFERROR(VLOOKUP(March[[#This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IFERROR(VLOOKUP(March[[#This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IFERROR(VLOOKUP(March[[#This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IFERROR(VLOOKUP(March[[#This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IFERROR(VLOOKUP(March[[#This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IFERROR(VLOOKUP(March[[#This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IFERROR(VLOOKUP(March[[#This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IFERROR(VLOOKUP(March[[#This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IFERROR(VLOOKUP(March[[#This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IFERROR(VLOOKUP(March[[#This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IFERROR(VLOOKUP(March[[#This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IFERROR(VLOOKUP(March[[#This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IFERROR(VLOOKUP(March[[#This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IFERROR(VLOOKUP(March[[#This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IFERROR(VLOOKUP(March[[#This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IFERROR(VLOOKUP(March[[#This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IFERROR(VLOOKUP(March[[#This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IFERROR(VLOOKUP(March[[#This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IFERROR(VLOOKUP(March[[#This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IFERROR(VLOOKUP(March[[#This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IFERROR(VLOOKUP(March[[#This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IFERROR(VLOOKUP(March[[#This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IFERROR(VLOOKUP(March[[#This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IFERROR(VLOOKUP(March[[#This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IFERROR(VLOOKUP(March[[#This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IFERROR(VLOOKUP(March[[#This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IFERROR(VLOOKUP(March[[#This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IFERROR(VLOOKUP(March[[#This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IFERROR(VLOOKUP(March[[#This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IFERROR(VLOOKUP(March[[#This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IFERROR(VLOOKUP(March[[#This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IFERROR(VLOOKUP(March[[#This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IFERROR(VLOOKUP(March[[#This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IFERROR(VLOOKUP(March[[#This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IFERROR(VLOOKUP(March[[#This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IFERROR(VLOOKUP(March[[#This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IFERROR(VLOOKUP(March[[#This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IFERROR(VLOOKUP(March[[#This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IFERROR(VLOOKUP(March[[#This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IFERROR(VLOOKUP(March[[#This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IFERROR(VLOOKUP(March[[#This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IFERROR(VLOOKUP(March[[#This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IFERROR(VLOOKUP(March[[#This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IFERROR(VLOOKUP(March[[#This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IFERROR(VLOOKUP(March[[#This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IFERROR(VLOOKUP(March[[#This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IFERROR(VLOOKUP(March[[#This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IFERROR(VLOOKUP(March[[#This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IFERROR(VLOOKUP(March[[#This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IFERROR(VLOOKUP(March[[#This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IFERROR(VLOOKUP(March[[#This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IFERROR(VLOOKUP(March[[#This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IFERROR(VLOOKUP(March[[#This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IFERROR(VLOOKUP(March[[#This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IFERROR(VLOOKUP(March[[#This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IFERROR(VLOOKUP(March[[#This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IFERROR(VLOOKUP(March[[#This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IFERROR(VLOOKUP(March[[#This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IFERROR(VLOOKUP(March[[#This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IFERROR(VLOOKUP(March[[#This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IFERROR(VLOOKUP(March[[#This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IFERROR(VLOOKUP(March[[#This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IFERROR(VLOOKUP(March[[#This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IFERROR(VLOOKUP(March[[#This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IFERROR(VLOOKUP(March[[#This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IFERROR(VLOOKUP(March[[#This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IFERROR(VLOOKUP(March[[#This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IFERROR(VLOOKUP(March[[#This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IFERROR(VLOOKUP(March[[#This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IFERROR(VLOOKUP(March[[#This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IFERROR(VLOOKUP(March[[#This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IFERROR(VLOOKUP(March[[#This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IFERROR(VLOOKUP(March[[#This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IFERROR(VLOOKUP(March[[#This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IFERROR(VLOOKUP(March[[#This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IFERROR(VLOOKUP(March[[#This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IFERROR(VLOOKUP(March[[#This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IFERROR(VLOOKUP(March[[#This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IFERROR(VLOOKUP(March[[#This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IFERROR(VLOOKUP(March[[#This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IFERROR(VLOOKUP(March[[#This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IFERROR(VLOOKUP(March[[#This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IFERROR(VLOOKUP(March[[#This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IFERROR(VLOOKUP(March[[#This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IFERROR(VLOOKUP(March[[#This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IFERROR(VLOOKUP(March[[#This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IFERROR(VLOOKUP(March[[#This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IFERROR(VLOOKUP(March[[#This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IFERROR(VLOOKUP(March[[#This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IFERROR(VLOOKUP(March[[#This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IFERROR(VLOOKUP(March[[#This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IFERROR(VLOOKUP(March[[#This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IFERROR(VLOOKUP(March[[#This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IFERROR(VLOOKUP(March[[#This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IFERROR(VLOOKUP(March[[#This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IFERROR(VLOOKUP(March[[#This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IFERROR(VLOOKUP(March[[#This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IFERROR(VLOOKUP(March[[#This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IFERROR(VLOOKUP(March[[#This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IFERROR(VLOOKUP(March[[#This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IFERROR(VLOOKUP(March[[#This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IFERROR(VLOOKUP(March[[#This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IFERROR(VLOOKUP(March[[#This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IFERROR(VLOOKUP(March[[#This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IFERROR(VLOOKUP(March[[#This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IFERROR(VLOOKUP(March[[#This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IFERROR(VLOOKUP(March[[#This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IFERROR(VLOOKUP(March[[#This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IFERROR(VLOOKUP(March[[#This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IFERROR(VLOOKUP(March[[#This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IFERROR(VLOOKUP(March[[#This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IFERROR(VLOOKUP(March[[#This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IFERROR(VLOOKUP(March[[#This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IFERROR(VLOOKUP(March[[#This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IFERROR(VLOOKUP(March[[#This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IFERROR(VLOOKUP(March[[#This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IFERROR(VLOOKUP(March[[#This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IFERROR(VLOOKUP(March[[#This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IFERROR(VLOOKUP(March[[#This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IFERROR(VLOOKUP(March[[#This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IFERROR(VLOOKUP(March[[#This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IFERROR(VLOOKUP(March[[#This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IFERROR(VLOOKUP(March[[#This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IFERROR(VLOOKUP(March[[#This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IFERROR(VLOOKUP(March[[#This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IFERROR(VLOOKUP(March[[#This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IFERROR(VLOOKUP(March[[#This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IFERROR(VLOOKUP(March[[#This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IFERROR(VLOOKUP(March[[#This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IFERROR(VLOOKUP(March[[#This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IFERROR(VLOOKUP(March[[#This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IFERROR(VLOOKUP(March[[#This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IFERROR(VLOOKUP(March[[#This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IFERROR(VLOOKUP(March[[#This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IFERROR(VLOOKUP(March[[#This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IFERROR(VLOOKUP(March[[#This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IFERROR(VLOOKUP(March[[#This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IFERROR(VLOOKUP(March[[#This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IFERROR(VLOOKUP(March[[#This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IFERROR(VLOOKUP(March[[#This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IFERROR(VLOOKUP(March[[#This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IFERROR(VLOOKUP(March[[#This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IFERROR(VLOOKUP(March[[#This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IFERROR(VLOOKUP(March[[#This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IFERROR(VLOOKUP(March[[#This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IFERROR(VLOOKUP(March[[#This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IFERROR(VLOOKUP(March[[#This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IFERROR(VLOOKUP(March[[#This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IFERROR(VLOOKUP(March[[#This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IFERROR(VLOOKUP(March[[#This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IFERROR(VLOOKUP(March[[#This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IFERROR(VLOOKUP(March[[#This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IFERROR(VLOOKUP(March[[#This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IFERROR(VLOOKUP(March[[#This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IFERROR(VLOOKUP(March[[#This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IFERROR(VLOOKUP(March[[#This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IFERROR(VLOOKUP(March[[#This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IFERROR(VLOOKUP(March[[#This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IFERROR(VLOOKUP(March[[#This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IFERROR(VLOOKUP(March[[#This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IFERROR(VLOOKUP(March[[#This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IFERROR(VLOOKUP(March[[#This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IFERROR(VLOOKUP(March[[#This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IFERROR(VLOOKUP(March[[#This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IFERROR(VLOOKUP(March[[#This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IFERROR(VLOOKUP(March[[#This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IFERROR(VLOOKUP(March[[#This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IFERROR(VLOOKUP(March[[#This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IFERROR(VLOOKUP(March[[#This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IFERROR(VLOOKUP(March[[#This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IFERROR(VLOOKUP(March[[#This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IFERROR(VLOOKUP(March[[#This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IFERROR(VLOOKUP(March[[#This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IFERROR(VLOOKUP(March[[#This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IFERROR(VLOOKUP(March[[#This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IFERROR(VLOOKUP(March[[#This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IFERROR(VLOOKUP(March[[#This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IFERROR(VLOOKUP(March[[#This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IFERROR(VLOOKUP(March[[#This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IFERROR(VLOOKUP(March[[#This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IFERROR(VLOOKUP(March[[#This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IFERROR(VLOOKUP(March[[#This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IFERROR(VLOOKUP(March[[#This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IFERROR(VLOOKUP(March[[#This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IFERROR(VLOOKUP(March[[#This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IFERROR(VLOOKUP(March[[#This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IFERROR(VLOOKUP(March[[#This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IFERROR(VLOOKUP(March[[#This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IFERROR(VLOOKUP(March[[#This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IFERROR(VLOOKUP(March[[#This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IFERROR(VLOOKUP(March[[#This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IFERROR(VLOOKUP(March[[#This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IFERROR(VLOOKUP(March[[#This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IFERROR(VLOOKUP(March[[#This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IFERROR(VLOOKUP(March[[#This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IFERROR(VLOOKUP(March[[#This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IFERROR(VLOOKUP(March[[#This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IFERROR(VLOOKUP(March[[#This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IFERROR(VLOOKUP(March[[#This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IFERROR(VLOOKUP(March[[#This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IFERROR(VLOOKUP(March[[#This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IFERROR(VLOOKUP(March[[#This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IFERROR(VLOOKUP(March[[#This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IFERROR(VLOOKUP(March[[#This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IFERROR(VLOOKUP(March[[#This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IFERROR(VLOOKUP(March[[#This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IFERROR(VLOOKUP(March[[#This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IFERROR(VLOOKUP(March[[#This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IFERROR(VLOOKUP(March[[#This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IFERROR(VLOOKUP(March[[#This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IFERROR(VLOOKUP(March[[#This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IFERROR(VLOOKUP(March[[#This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IFERROR(VLOOKUP(March[[#This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IFERROR(VLOOKUP(March[[#This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IFERROR(VLOOKUP(March[[#This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IFERROR(VLOOKUP(March[[#This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IFERROR(VLOOKUP(March[[#This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IFERROR(VLOOKUP(March[[#This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IFERROR(VLOOKUP(March[[#This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IFERROR(VLOOKUP(March[[#This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IFERROR(VLOOKUP(March[[#This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IFERROR(VLOOKUP(March[[#This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IFERROR(VLOOKUP(March[[#This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IFERROR(VLOOKUP(March[[#This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IFERROR(VLOOKUP(March[[#This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IFERROR(VLOOKUP(March[[#This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IFERROR(VLOOKUP(March[[#This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IFERROR(VLOOKUP(March[[#This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IFERROR(VLOOKUP(March[[#This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IFERROR(VLOOKUP(March[[#This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IFERROR(VLOOKUP(March[[#This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IFERROR(VLOOKUP(March[[#This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IFERROR(VLOOKUP(March[[#This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IFERROR(VLOOKUP(March[[#This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IFERROR(VLOOKUP(March[[#This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IFERROR(VLOOKUP(March[[#This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IFERROR(VLOOKUP(March[[#This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IFERROR(VLOOKUP(March[[#This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IFERROR(VLOOKUP(March[[#This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IFERROR(VLOOKUP(March[[#This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IFERROR(VLOOKUP(March[[#This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IFERROR(VLOOKUP(March[[#This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IFERROR(VLOOKUP(March[[#This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IFERROR(VLOOKUP(March[[#This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IFERROR(VLOOKUP(March[[#This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IFERROR(VLOOKUP(March[[#This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IFERROR(VLOOKUP(March[[#This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IFERROR(VLOOKUP(March[[#This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IFERROR(VLOOKUP(March[[#This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IFERROR(VLOOKUP(March[[#This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IFERROR(VLOOKUP(March[[#This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IFERROR(VLOOKUP(March[[#This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IFERROR(VLOOKUP(March[[#This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IFERROR(VLOOKUP(March[[#This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IFERROR(VLOOKUP(March[[#This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IFERROR(VLOOKUP(March[[#This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IFERROR(VLOOKUP(March[[#This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IFERROR(VLOOKUP(March[[#This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IFERROR(VLOOKUP(March[[#This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IFERROR(VLOOKUP(March[[#This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IFERROR(VLOOKUP(March[[#This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IFERROR(VLOOKUP(March[[#This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IFERROR(VLOOKUP(March[[#This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IFERROR(VLOOKUP(March[[#This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IFERROR(VLOOKUP(March[[#This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IFERROR(VLOOKUP(March[[#This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IFERROR(VLOOKUP(March[[#This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IFERROR(VLOOKUP(March[[#This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IFERROR(VLOOKUP(March[[#This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IFERROR(VLOOKUP(March[[#This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IFERROR(VLOOKUP(March[[#This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IFERROR(VLOOKUP(March[[#This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IFERROR(VLOOKUP(March[[#This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IFERROR(VLOOKUP(March[[#This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IFERROR(VLOOKUP(March[[#This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IFERROR(VLOOKUP(March[[#This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IFERROR(VLOOKUP(March[[#This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IFERROR(VLOOKUP(March[[#This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IFERROR(VLOOKUP(March[[#This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IFERROR(VLOOKUP(March[[#This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IFERROR(VLOOKUP(March[[#This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IFERROR(VLOOKUP(March[[#This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IFERROR(VLOOKUP(March[[#This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IFERROR(VLOOKUP(March[[#This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IFERROR(VLOOKUP(March[[#This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IFERROR(VLOOKUP(March[[#This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IFERROR(VLOOKUP(March[[#This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IFERROR(VLOOKUP(March[[#This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IFERROR(VLOOKUP(March[[#This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IFERROR(VLOOKUP(March[[#This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IFERROR(VLOOKUP(March[[#This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IFERROR(VLOOKUP(March[[#This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IFERROR(VLOOKUP(March[[#This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IFERROR(VLOOKUP(March[[#This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IFERROR(VLOOKUP(March[[#This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IFERROR(VLOOKUP(March[[#This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IFERROR(VLOOKUP(March[[#This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IFERROR(VLOOKUP(March[[#This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IFERROR(VLOOKUP(March[[#This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IFERROR(VLOOKUP(March[[#This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IFERROR(VLOOKUP(March[[#This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IFERROR(VLOOKUP(March[[#This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IFERROR(VLOOKUP(March[[#This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IFERROR(VLOOKUP(March[[#This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IFERROR(VLOOKUP(March[[#This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IFERROR(VLOOKUP(March[[#This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IFERROR(VLOOKUP(March[[#This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IFERROR(VLOOKUP(March[[#This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IFERROR(VLOOKUP(March[[#This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IFERROR(VLOOKUP(March[[#This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IFERROR(VLOOKUP(March[[#This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IFERROR(VLOOKUP(March[[#This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IFERROR(VLOOKUP(March[[#This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IFERROR(VLOOKUP(March[[#This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IFERROR(VLOOKUP(March[[#This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IFERROR(VLOOKUP(March[[#This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IFERROR(VLOOKUP(March[[#This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IFERROR(VLOOKUP(March[[#This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IFERROR(VLOOKUP(March[[#This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IFERROR(VLOOKUP(March[[#This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IFERROR(VLOOKUP(March[[#This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IFERROR(VLOOKUP(March[[#This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IFERROR(VLOOKUP(March[[#This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IFERROR(VLOOKUP(March[[#This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IFERROR(VLOOKUP(March[[#This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IFERROR(VLOOKUP(March[[#This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IFERROR(VLOOKUP(March[[#This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IFERROR(VLOOKUP(March[[#This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IFERROR(VLOOKUP(March[[#This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IFERROR(VLOOKUP(March[[#This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IFERROR(VLOOKUP(March[[#This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IFERROR(VLOOKUP(March[[#This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IFERROR(VLOOKUP(March[[#This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IFERROR(VLOOKUP(March[[#This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IFERROR(VLOOKUP(March[[#This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IFERROR(VLOOKUP(March[[#This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IFERROR(VLOOKUP(March[[#This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IFERROR(VLOOKUP(March[[#This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IFERROR(VLOOKUP(March[[#This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IFERROR(VLOOKUP(March[[#This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IFERROR(VLOOKUP(March[[#This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IFERROR(VLOOKUP(March[[#This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IFERROR(VLOOKUP(March[[#This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IFERROR(VLOOKUP(March[[#This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IFERROR(VLOOKUP(March[[#This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IFERROR(VLOOKUP(March[[#This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IFERROR(VLOOKUP(March[[#This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IFERROR(VLOOKUP(March[[#This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IFERROR(VLOOKUP(March[[#This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IFERROR(VLOOKUP(March[[#This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IFERROR(VLOOKUP(March[[#This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IFERROR(VLOOKUP(March[[#This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IFERROR(VLOOKUP(March[[#This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IFERROR(VLOOKUP(March[[#This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IFERROR(VLOOKUP(March[[#This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IFERROR(VLOOKUP(March[[#This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IFERROR(VLOOKUP(March[[#This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IFERROR(VLOOKUP(March[[#This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IFERROR(VLOOKUP(March[[#This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IFERROR(VLOOKUP(March[[#This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IFERROR(VLOOKUP(March[[#This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IFERROR(VLOOKUP(March[[#This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IFERROR(VLOOKUP(March[[#This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IFERROR(VLOOKUP(March[[#This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IFERROR(VLOOKUP(March[[#This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IFERROR(VLOOKUP(March[[#This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IFERROR(VLOOKUP(March[[#This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IFERROR(VLOOKUP(March[[#This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IFERROR(VLOOKUP(March[[#This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IFERROR(VLOOKUP(March[[#This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IFERROR(VLOOKUP(March[[#This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IFERROR(VLOOKUP(March[[#This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IFERROR(VLOOKUP(March[[#This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IFERROR(VLOOKUP(March[[#This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IFERROR(VLOOKUP(March[[#This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IFERROR(VLOOKUP(March[[#This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IFERROR(VLOOKUP(March[[#This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IFERROR(VLOOKUP(March[[#This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IFERROR(VLOOKUP(March[[#This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IFERROR(VLOOKUP(March[[#This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IFERROR(VLOOKUP(March[[#This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IFERROR(VLOOKUP(March[[#This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IFERROR(VLOOKUP(March[[#This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IFERROR(VLOOKUP(March[[#This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IFERROR(VLOOKUP(March[[#This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IFERROR(VLOOKUP(March[[#This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IFERROR(VLOOKUP(March[[#This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IFERROR(VLOOKUP(March[[#This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IFERROR(VLOOKUP(March[[#This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IFERROR(VLOOKUP(March[[#This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IFERROR(VLOOKUP(March[[#This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IFERROR(VLOOKUP(March[[#This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IFERROR(VLOOKUP(March[[#This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IFERROR(VLOOKUP(March[[#This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IFERROR(VLOOKUP(March[[#This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IFERROR(VLOOKUP(March[[#This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IFERROR(VLOOKUP(March[[#This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IFERROR(VLOOKUP(March[[#This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IFERROR(VLOOKUP(March[[#This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IFERROR(VLOOKUP(March[[#This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IFERROR(VLOOKUP(March[[#This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IFERROR(VLOOKUP(March[[#This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IFERROR(VLOOKUP(March[[#This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IFERROR(VLOOKUP(March[[#This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IFERROR(VLOOKUP(March[[#This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IFERROR(VLOOKUP(March[[#This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IFERROR(VLOOKUP(March[[#This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IFERROR(VLOOKUP(March[[#This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IFERROR(VLOOKUP(March[[#This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IFERROR(VLOOKUP(March[[#This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IFERROR(VLOOKUP(March[[#This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IFERROR(VLOOKUP(March[[#This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IFERROR(VLOOKUP(March[[#This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IFERROR(VLOOKUP(March[[#This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IFERROR(VLOOKUP(March[[#This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IFERROR(VLOOKUP(March[[#This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IFERROR(VLOOKUP(March[[#This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IFERROR(VLOOKUP(March[[#This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IFERROR(VLOOKUP(March[[#This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IFERROR(VLOOKUP(March[[#This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IFERROR(VLOOKUP(March[[#This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IFERROR(VLOOKUP(March[[#This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IFERROR(VLOOKUP(March[[#This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IFERROR(VLOOKUP(March[[#This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IFERROR(VLOOKUP(March[[#This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IFERROR(VLOOKUP(March[[#This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IFERROR(VLOOKUP(March[[#This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IFERROR(VLOOKUP(March[[#This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IFERROR(VLOOKUP(March[[#This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IFERROR(VLOOKUP(March[[#This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IFERROR(VLOOKUP(March[[#This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IFERROR(VLOOKUP(March[[#This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IFERROR(VLOOKUP(March[[#This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IFERROR(VLOOKUP(March[[#This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IFERROR(VLOOKUP(March[[#This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IFERROR(VLOOKUP(March[[#This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IFERROR(VLOOKUP(March[[#This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IFERROR(VLOOKUP(March[[#This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IFERROR(VLOOKUP(March[[#This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IFERROR(VLOOKUP(March[[#This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IFERROR(VLOOKUP(March[[#This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IFERROR(VLOOKUP(March[[#This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IFERROR(VLOOKUP(March[[#This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IFERROR(VLOOKUP(March[[#This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IFERROR(VLOOKUP(March[[#This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IFERROR(VLOOKUP(March[[#This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IFERROR(VLOOKUP(March[[#This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IFERROR(VLOOKUP(March[[#This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IFERROR(VLOOKUP(March[[#This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IFERROR(VLOOKUP(March[[#This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IFERROR(VLOOKUP(March[[#This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IFERROR(VLOOKUP(March[[#This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IFERROR(VLOOKUP(March[[#This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IFERROR(VLOOKUP(March[[#This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IFERROR(VLOOKUP(March[[#This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IFERROR(VLOOKUP(March[[#This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IFERROR(VLOOKUP(March[[#This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IFERROR(VLOOKUP(March[[#This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IFERROR(VLOOKUP(March[[#This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IFERROR(VLOOKUP(March[[#This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IFERROR(VLOOKUP(March[[#This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IFERROR(VLOOKUP(March[[#This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IFERROR(VLOOKUP(March[[#This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IFERROR(VLOOKUP(March[[#This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IFERROR(VLOOKUP(March[[#This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IFERROR(VLOOKUP(March[[#This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IFERROR(VLOOKUP(March[[#This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IFERROR(VLOOKUP(March[[#This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IFERROR(VLOOKUP(March[[#This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IFERROR(VLOOKUP(March[[#This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IFERROR(VLOOKUP(March[[#This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IFERROR(VLOOKUP(March[[#This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IFERROR(VLOOKUP(March[[#This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IFERROR(VLOOKUP(March[[#This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IFERROR(VLOOKUP(March[[#This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IFERROR(VLOOKUP(March[[#This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IFERROR(VLOOKUP(March[[#This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IFERROR(VLOOKUP(March[[#This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IFERROR(VLOOKUP(March[[#This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IFERROR(VLOOKUP(March[[#This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IFERROR(VLOOKUP(March[[#This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IFERROR(VLOOKUP(March[[#This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IFERROR(VLOOKUP(March[[#This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IFERROR(VLOOKUP(March[[#This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IFERROR(VLOOKUP(March[[#This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IFERROR(VLOOKUP(March[[#This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IFERROR(VLOOKUP(March[[#This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IFERROR(VLOOKUP(March[[#This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IFERROR(VLOOKUP(March[[#This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IFERROR(VLOOKUP(March[[#This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IFERROR(VLOOKUP(March[[#This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IFERROR(VLOOKUP(March[[#This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IFERROR(VLOOKUP(March[[#This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IFERROR(VLOOKUP(March[[#This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IFERROR(VLOOKUP(March[[#This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IFERROR(VLOOKUP(March[[#This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IFERROR(VLOOKUP(March[[#This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IFERROR(VLOOKUP(March[[#This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IFERROR(VLOOKUP(March[[#This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IFERROR(VLOOKUP(March[[#This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IFERROR(VLOOKUP(March[[#This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IFERROR(VLOOKUP(March[[#This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IFERROR(VLOOKUP(March[[#This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IFERROR(VLOOKUP(March[[#This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IFERROR(VLOOKUP(March[[#This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IFERROR(VLOOKUP(March[[#This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IFERROR(VLOOKUP(March[[#This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IFERROR(VLOOKUP(March[[#This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IFERROR(VLOOKUP(March[[#This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IFERROR(VLOOKUP(March[[#This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IFERROR(VLOOKUP(March[[#This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IFERROR(VLOOKUP(March[[#This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IFERROR(VLOOKUP(March[[#This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IFERROR(VLOOKUP(March[[#This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IFERROR(VLOOKUP(March[[#This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IFERROR(VLOOKUP(March[[#This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IFERROR(VLOOKUP(March[[#This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IFERROR(VLOOKUP(March[[#This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IFERROR(VLOOKUP(March[[#This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IFERROR(VLOOKUP(March[[#This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IFERROR(VLOOKUP(March[[#This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IFERROR(VLOOKUP(March[[#This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IFERROR(VLOOKUP(March[[#This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IFERROR(VLOOKUP(March[[#This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IFERROR(VLOOKUP(March[[#This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IFERROR(VLOOKUP(March[[#This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IFERROR(VLOOKUP(March[[#This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IFERROR(VLOOKUP(March[[#This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IFERROR(VLOOKUP(March[[#This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IFERROR(VLOOKUP(March[[#This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IFERROR(VLOOKUP(March[[#This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IFERROR(VLOOKUP(March[[#This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IFERROR(VLOOKUP(March[[#This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IFERROR(VLOOKUP(March[[#This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IFERROR(VLOOKUP(March[[#This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IFERROR(VLOOKUP(March[[#This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IFERROR(VLOOKUP(March[[#This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IFERROR(VLOOKUP(March[[#This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IFERROR(VLOOKUP(March[[#This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IFERROR(VLOOKUP(March[[#This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IFERROR(VLOOKUP(March[[#This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IFERROR(VLOOKUP(March[[#This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IFERROR(VLOOKUP(March[[#This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IFERROR(VLOOKUP(March[[#This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IFERROR(VLOOKUP(March[[#This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IFERROR(VLOOKUP(March[[#This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IFERROR(VLOOKUP(March[[#This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IFERROR(VLOOKUP(March[[#This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IFERROR(VLOOKUP(March[[#This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IFERROR(VLOOKUP(March[[#This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IFERROR(VLOOKUP(March[[#This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IFERROR(VLOOKUP(March[[#This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IFERROR(VLOOKUP(March[[#This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IFERROR(VLOOKUP(March[[#This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IFERROR(VLOOKUP(March[[#This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IFERROR(VLOOKUP(March[[#This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IFERROR(VLOOKUP(March[[#This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IFERROR(VLOOKUP(March[[#This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IFERROR(VLOOKUP(March[[#This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IFERROR(VLOOKUP(March[[#This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IFERROR(VLOOKUP(March[[#This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IFERROR(VLOOKUP(March[[#This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IFERROR(VLOOKUP(March[[#This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IFERROR(VLOOKUP(March[[#This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IFERROR(VLOOKUP(March[[#This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IFERROR(VLOOKUP(March[[#This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IFERROR(VLOOKUP(March[[#This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IFERROR(VLOOKUP(March[[#This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IFERROR(VLOOKUP(March[[#This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IFERROR(VLOOKUP(March[[#This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IFERROR(VLOOKUP(March[[#This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IFERROR(VLOOKUP(March[[#This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IFERROR(VLOOKUP(March[[#This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IFERROR(VLOOKUP(March[[#This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IFERROR(VLOOKUP(March[[#This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IFERROR(VLOOKUP(March[[#This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IFERROR(VLOOKUP(March[[#This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IFERROR(VLOOKUP(March[[#This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IFERROR(VLOOKUP(March[[#This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IFERROR(VLOOKUP(March[[#This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IFERROR(VLOOKUP(March[[#This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IFERROR(VLOOKUP(March[[#This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IFERROR(VLOOKUP(March[[#This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IFERROR(VLOOKUP(March[[#This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IFERROR(VLOOKUP(March[[#This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IFERROR(VLOOKUP(March[[#This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IFERROR(VLOOKUP(March[[#This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IFERROR(VLOOKUP(March[[#This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IFERROR(VLOOKUP(March[[#This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IFERROR(VLOOKUP(March[[#This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IFERROR(VLOOKUP(March[[#This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IFERROR(VLOOKUP(March[[#This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IFERROR(VLOOKUP(March[[#This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IFERROR(VLOOKUP(March[[#This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IFERROR(VLOOKUP(March[[#This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IFERROR(VLOOKUP(March[[#This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IFERROR(VLOOKUP(March[[#This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IFERROR(VLOOKUP(March[[#This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IFERROR(VLOOKUP(March[[#This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IFERROR(VLOOKUP(March[[#This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IFERROR(VLOOKUP(March[[#This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IFERROR(VLOOKUP(March[[#This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IFERROR(VLOOKUP(March[[#This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IFERROR(VLOOKUP(March[[#This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IFERROR(VLOOKUP(March[[#This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IFERROR(VLOOKUP(March[[#This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IFERROR(VLOOKUP(March[[#This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IFERROR(VLOOKUP(March[[#This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IFERROR(VLOOKUP(March[[#This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IFERROR(VLOOKUP(March[[#This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IFERROR(VLOOKUP(March[[#This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IFERROR(VLOOKUP(March[[#This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IFERROR(VLOOKUP(March[[#This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IFERROR(VLOOKUP(March[[#This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IFERROR(VLOOKUP(March[[#This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IFERROR(VLOOKUP(March[[#This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IFERROR(VLOOKUP(March[[#This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IFERROR(VLOOKUP(March[[#This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IFERROR(VLOOKUP(March[[#This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IFERROR(VLOOKUP(March[[#This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IFERROR(VLOOKUP(March[[#This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IFERROR(VLOOKUP(March[[#This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IFERROR(VLOOKUP(March[[#This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IFERROR(VLOOKUP(March[[#This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IFERROR(VLOOKUP(March[[#This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IFERROR(VLOOKUP(March[[#This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IFERROR(VLOOKUP(March[[#This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IFERROR(VLOOKUP(March[[#This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IFERROR(VLOOKUP(March[[#This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IFERROR(VLOOKUP(March[[#This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IFERROR(VLOOKUP(March[[#This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IFERROR(VLOOKUP(March[[#This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IFERROR(VLOOKUP(March[[#This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IFERROR(VLOOKUP(March[[#This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IFERROR(VLOOKUP(March[[#This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IFERROR(VLOOKUP(March[[#This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IFERROR(VLOOKUP(March[[#This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IFERROR(VLOOKUP(March[[#This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IFERROR(VLOOKUP(March[[#This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IFERROR(VLOOKUP(March[[#This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IFERROR(VLOOKUP(March[[#This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IFERROR(VLOOKUP(March[[#This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IFERROR(VLOOKUP(March[[#This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IFERROR(VLOOKUP(March[[#This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IFERROR(VLOOKUP(March[[#This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IFERROR(VLOOKUP(March[[#This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IFERROR(VLOOKUP(March[[#This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IFERROR(VLOOKUP(March[[#This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IFERROR(VLOOKUP(March[[#This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IFERROR(VLOOKUP(March[[#This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IFERROR(VLOOKUP(March[[#This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IFERROR(VLOOKUP(March[[#This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IFERROR(VLOOKUP(March[[#This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IFERROR(VLOOKUP(March[[#This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IFERROR(VLOOKUP(March[[#This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IFERROR(VLOOKUP(March[[#This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IFERROR(VLOOKUP(March[[#This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IFERROR(VLOOKUP(March[[#This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IFERROR(VLOOKUP(March[[#This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IFERROR(VLOOKUP(March[[#This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IFERROR(VLOOKUP(March[[#This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IFERROR(VLOOKUP(March[[#This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IFERROR(VLOOKUP(March[[#This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IFERROR(VLOOKUP(March[[#This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IFERROR(VLOOKUP(March[[#This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IFERROR(VLOOKUP(March[[#This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IFERROR(VLOOKUP(March[[#This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IFERROR(VLOOKUP(March[[#This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IFERROR(VLOOKUP(March[[#This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IFERROR(VLOOKUP(March[[#This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IFERROR(VLOOKUP(March[[#This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IFERROR(VLOOKUP(March[[#This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IFERROR(VLOOKUP(March[[#This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IFERROR(VLOOKUP(March[[#This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IFERROR(VLOOKUP(March[[#This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IFERROR(VLOOKUP(March[[#This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IFERROR(VLOOKUP(March[[#This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IFERROR(VLOOKUP(March[[#This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IFERROR(VLOOKUP(March[[#This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IFERROR(VLOOKUP(March[[#This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IFERROR(VLOOKUP(March[[#This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IFERROR(VLOOKUP(March[[#This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IFERROR(VLOOKUP(March[[#This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IFERROR(VLOOKUP(March[[#This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IFERROR(VLOOKUP(March[[#This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IFERROR(VLOOKUP(March[[#This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IFERROR(VLOOKUP(March[[#This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IFERROR(VLOOKUP(March[[#This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IFERROR(VLOOKUP(March[[#This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IFERROR(VLOOKUP(March[[#This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IFERROR(VLOOKUP(March[[#This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IFERROR(VLOOKUP(March[[#This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IFERROR(VLOOKUP(March[[#This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IFERROR(VLOOKUP(March[[#This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SUBTOTAL(103,March[Location Filled9])</f>
        <v>0</v>
      </c>
    </row>
  </sheetData>
  <sheetProtection algorithmName="SHA-512" hashValue="dsLPG0BXmPFCY9jZEfk4c0hFe4g/HAsVHKoJH+t4V53TLRQU6bxnFAf0P20TH/DQAE5ZllvFOLKMlTCRaxW1nA==" saltValue="AGdcrzq3BomzQwWnTgWASg==" spinCount="100000" sheet="1" objects="1" scenarios="1"/>
  <mergeCells count="13">
    <mergeCell ref="CG2:CM2"/>
    <mergeCell ref="A1:J2"/>
    <mergeCell ref="K1:AF1"/>
    <mergeCell ref="AL1:AQ2"/>
    <mergeCell ref="BM1:BR2"/>
    <mergeCell ref="K2:P2"/>
    <mergeCell ref="Q2:V2"/>
    <mergeCell ref="X2:AD2"/>
    <mergeCell ref="AE2:AK2"/>
    <mergeCell ref="AR2:AX2"/>
    <mergeCell ref="BF2:BL2"/>
    <mergeCell ref="BS2:BY2"/>
    <mergeCell ref="BZ2:CF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2"/>
  <sheetViews>
    <sheetView workbookViewId="0">
      <pane ySplit="3" topLeftCell="A4" activePane="bottomLeft" state="frozen"/>
      <selection pane="bottomLeft" activeCell="A4" sqref="A4"/>
    </sheetView>
  </sheetViews>
  <sheetFormatPr defaultColWidth="10.83203125" defaultRowHeight="15.5"/>
  <cols>
    <col min="1" max="16384" width="10.83203125" style="24"/>
  </cols>
  <sheetData>
    <row r="1" spans="1:91" ht="21">
      <c r="A1" s="60" t="s">
        <v>103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43"/>
      <c r="AH1" s="43"/>
      <c r="AI1" s="43"/>
      <c r="AJ1" s="43"/>
      <c r="AK1" s="43"/>
      <c r="AL1" s="70" t="s">
        <v>154</v>
      </c>
      <c r="AM1" s="70"/>
      <c r="AN1" s="70"/>
      <c r="AO1" s="70"/>
      <c r="AP1" s="70"/>
      <c r="AQ1" s="70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71" t="s">
        <v>156</v>
      </c>
      <c r="BN1" s="71"/>
      <c r="BO1" s="71"/>
      <c r="BP1" s="71"/>
      <c r="BQ1" s="71"/>
      <c r="BR1" s="71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2" t="s">
        <v>153</v>
      </c>
      <c r="L2" s="62"/>
      <c r="M2" s="62"/>
      <c r="N2" s="62"/>
      <c r="O2" s="62"/>
      <c r="P2" s="62"/>
      <c r="Q2" s="63" t="s">
        <v>104</v>
      </c>
      <c r="R2" s="63"/>
      <c r="S2" s="63"/>
      <c r="T2" s="63"/>
      <c r="U2" s="63"/>
      <c r="V2" s="63"/>
      <c r="W2" s="48"/>
      <c r="X2" s="64" t="s">
        <v>105</v>
      </c>
      <c r="Y2" s="64"/>
      <c r="Z2" s="64"/>
      <c r="AA2" s="64"/>
      <c r="AB2" s="64"/>
      <c r="AC2" s="64"/>
      <c r="AD2" s="64"/>
      <c r="AE2" s="65" t="s">
        <v>106</v>
      </c>
      <c r="AF2" s="65"/>
      <c r="AG2" s="65"/>
      <c r="AH2" s="65"/>
      <c r="AI2" s="65"/>
      <c r="AJ2" s="65"/>
      <c r="AK2" s="65"/>
      <c r="AL2" s="70"/>
      <c r="AM2" s="70"/>
      <c r="AN2" s="70"/>
      <c r="AO2" s="70"/>
      <c r="AP2" s="70"/>
      <c r="AQ2" s="70"/>
      <c r="AR2" s="66" t="s">
        <v>107</v>
      </c>
      <c r="AS2" s="66"/>
      <c r="AT2" s="66"/>
      <c r="AU2" s="66"/>
      <c r="AV2" s="66"/>
      <c r="AW2" s="66"/>
      <c r="AX2" s="66"/>
      <c r="AY2" s="49" t="s">
        <v>216</v>
      </c>
      <c r="AZ2" s="49"/>
      <c r="BA2" s="49"/>
      <c r="BB2" s="49"/>
      <c r="BC2" s="49"/>
      <c r="BD2" s="49"/>
      <c r="BE2" s="49"/>
      <c r="BF2" s="69" t="s">
        <v>155</v>
      </c>
      <c r="BG2" s="69"/>
      <c r="BH2" s="69"/>
      <c r="BI2" s="69"/>
      <c r="BJ2" s="69"/>
      <c r="BK2" s="69"/>
      <c r="BL2" s="69"/>
      <c r="BM2" s="71"/>
      <c r="BN2" s="71"/>
      <c r="BO2" s="71"/>
      <c r="BP2" s="71"/>
      <c r="BQ2" s="71"/>
      <c r="BR2" s="71"/>
      <c r="BS2" s="67" t="s">
        <v>109</v>
      </c>
      <c r="BT2" s="67"/>
      <c r="BU2" s="67"/>
      <c r="BV2" s="67"/>
      <c r="BW2" s="67"/>
      <c r="BX2" s="67"/>
      <c r="BY2" s="67"/>
      <c r="BZ2" s="68" t="s">
        <v>110</v>
      </c>
      <c r="CA2" s="68"/>
      <c r="CB2" s="68"/>
      <c r="CC2" s="68"/>
      <c r="CD2" s="68"/>
      <c r="CE2" s="68"/>
      <c r="CF2" s="68"/>
      <c r="CG2" s="69" t="s">
        <v>108</v>
      </c>
      <c r="CH2" s="69"/>
      <c r="CI2" s="69"/>
      <c r="CJ2" s="69"/>
      <c r="CK2" s="69"/>
      <c r="CL2" s="69"/>
      <c r="CM2" s="69"/>
    </row>
    <row r="3" spans="1:91" ht="93.5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/>
      <c r="B4" s="5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1"/>
      <c r="P4" s="31"/>
      <c r="Q4" s="54"/>
      <c r="R4" s="21" t="str">
        <f>IFERROR(VLOOKUP(April[[#This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IFERROR(VLOOKUP(April[[#This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IFERROR(VLOOKUP(April[[#This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IFERROR(VLOOKUP(April[[#This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IFERROR(VLOOKUP(April[[#This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IFERROR(VLOOKUP(April[[#This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IFERROR(VLOOKUP(April[[#This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IFERROR(VLOOKUP(April[[#This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IFERROR(VLOOKUP(April[[#This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/>
      <c r="P5" s="31"/>
      <c r="Q5" s="54"/>
      <c r="R5" s="21" t="str">
        <f>IFERROR(VLOOKUP(April[[#This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IFERROR(VLOOKUP(April[[#This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IFERROR(VLOOKUP(April[[#This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IFERROR(VLOOKUP(April[[#This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IFERROR(VLOOKUP(April[[#This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IFERROR(VLOOKUP(April[[#This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IFERROR(VLOOKUP(April[[#This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IFERROR(VLOOKUP(April[[#This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IFERROR(VLOOKUP(April[[#This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/>
      <c r="P6" s="31"/>
      <c r="Q6" s="54"/>
      <c r="R6" s="21" t="str">
        <f>IFERROR(VLOOKUP(April[[#This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IFERROR(VLOOKUP(April[[#This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IFERROR(VLOOKUP(April[[#This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IFERROR(VLOOKUP(April[[#This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IFERROR(VLOOKUP(April[[#This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IFERROR(VLOOKUP(April[[#This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IFERROR(VLOOKUP(April[[#This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IFERROR(VLOOKUP(April[[#This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IFERROR(VLOOKUP(April[[#This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1"/>
      <c r="P7" s="31"/>
      <c r="Q7" s="54"/>
      <c r="R7" s="21" t="str">
        <f>IFERROR(VLOOKUP(April[[#This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IFERROR(VLOOKUP(April[[#This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IFERROR(VLOOKUP(April[[#This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IFERROR(VLOOKUP(April[[#This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IFERROR(VLOOKUP(April[[#This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IFERROR(VLOOKUP(April[[#This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IFERROR(VLOOKUP(April[[#This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IFERROR(VLOOKUP(April[[#This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IFERROR(VLOOKUP(April[[#This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  <c r="P8" s="31"/>
      <c r="Q8" s="54"/>
      <c r="R8" s="21" t="str">
        <f>IFERROR(VLOOKUP(April[[#This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IFERROR(VLOOKUP(April[[#This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IFERROR(VLOOKUP(April[[#This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IFERROR(VLOOKUP(April[[#This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IFERROR(VLOOKUP(April[[#This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IFERROR(VLOOKUP(April[[#This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IFERROR(VLOOKUP(April[[#This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IFERROR(VLOOKUP(April[[#This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IFERROR(VLOOKUP(April[[#This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1"/>
      <c r="P9" s="31"/>
      <c r="Q9" s="54"/>
      <c r="R9" s="21" t="str">
        <f>IFERROR(VLOOKUP(April[[#This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IFERROR(VLOOKUP(April[[#This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IFERROR(VLOOKUP(April[[#This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IFERROR(VLOOKUP(April[[#This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IFERROR(VLOOKUP(April[[#This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IFERROR(VLOOKUP(April[[#This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IFERROR(VLOOKUP(April[[#This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IFERROR(VLOOKUP(April[[#This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IFERROR(VLOOKUP(April[[#This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54"/>
      <c r="R10" s="21" t="str">
        <f>IFERROR(VLOOKUP(April[[#This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IFERROR(VLOOKUP(April[[#This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IFERROR(VLOOKUP(April[[#This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IFERROR(VLOOKUP(April[[#This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IFERROR(VLOOKUP(April[[#This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IFERROR(VLOOKUP(April[[#This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IFERROR(VLOOKUP(April[[#This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IFERROR(VLOOKUP(April[[#This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IFERROR(VLOOKUP(April[[#This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1"/>
      <c r="P11" s="31"/>
      <c r="Q11" s="54"/>
      <c r="R11" s="21" t="str">
        <f>IFERROR(VLOOKUP(April[[#This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IFERROR(VLOOKUP(April[[#This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IFERROR(VLOOKUP(April[[#This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IFERROR(VLOOKUP(April[[#This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IFERROR(VLOOKUP(April[[#This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IFERROR(VLOOKUP(April[[#This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IFERROR(VLOOKUP(April[[#This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IFERROR(VLOOKUP(April[[#This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IFERROR(VLOOKUP(April[[#This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54"/>
      <c r="R12" s="21" t="str">
        <f>IFERROR(VLOOKUP(April[[#This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IFERROR(VLOOKUP(April[[#This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IFERROR(VLOOKUP(April[[#This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IFERROR(VLOOKUP(April[[#This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IFERROR(VLOOKUP(April[[#This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IFERROR(VLOOKUP(April[[#This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IFERROR(VLOOKUP(April[[#This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IFERROR(VLOOKUP(April[[#This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IFERROR(VLOOKUP(April[[#This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54"/>
      <c r="R13" s="21" t="str">
        <f>IFERROR(VLOOKUP(April[[#This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IFERROR(VLOOKUP(April[[#This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IFERROR(VLOOKUP(April[[#This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IFERROR(VLOOKUP(April[[#This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IFERROR(VLOOKUP(April[[#This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IFERROR(VLOOKUP(April[[#This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IFERROR(VLOOKUP(April[[#This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IFERROR(VLOOKUP(April[[#This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IFERROR(VLOOKUP(April[[#This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IFERROR(VLOOKUP(April[[#This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IFERROR(VLOOKUP(April[[#This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IFERROR(VLOOKUP(April[[#This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IFERROR(VLOOKUP(April[[#This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IFERROR(VLOOKUP(April[[#This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IFERROR(VLOOKUP(April[[#This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IFERROR(VLOOKUP(April[[#This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IFERROR(VLOOKUP(April[[#This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IFERROR(VLOOKUP(April[[#This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IFERROR(VLOOKUP(April[[#This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IFERROR(VLOOKUP(April[[#This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IFERROR(VLOOKUP(April[[#This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IFERROR(VLOOKUP(April[[#This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IFERROR(VLOOKUP(April[[#This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IFERROR(VLOOKUP(April[[#This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IFERROR(VLOOKUP(April[[#This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IFERROR(VLOOKUP(April[[#This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IFERROR(VLOOKUP(April[[#This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IFERROR(VLOOKUP(April[[#This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IFERROR(VLOOKUP(April[[#This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IFERROR(VLOOKUP(April[[#This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IFERROR(VLOOKUP(April[[#This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IFERROR(VLOOKUP(April[[#This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IFERROR(VLOOKUP(April[[#This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IFERROR(VLOOKUP(April[[#This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IFERROR(VLOOKUP(April[[#This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IFERROR(VLOOKUP(April[[#This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IFERROR(VLOOKUP(April[[#This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IFERROR(VLOOKUP(April[[#This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IFERROR(VLOOKUP(April[[#This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IFERROR(VLOOKUP(April[[#This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IFERROR(VLOOKUP(April[[#This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IFERROR(VLOOKUP(April[[#This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IFERROR(VLOOKUP(April[[#This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IFERROR(VLOOKUP(April[[#This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IFERROR(VLOOKUP(April[[#This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IFERROR(VLOOKUP(April[[#This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IFERROR(VLOOKUP(April[[#This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IFERROR(VLOOKUP(April[[#This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IFERROR(VLOOKUP(April[[#This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IFERROR(VLOOKUP(April[[#This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IFERROR(VLOOKUP(April[[#This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IFERROR(VLOOKUP(April[[#This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IFERROR(VLOOKUP(April[[#This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IFERROR(VLOOKUP(April[[#This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IFERROR(VLOOKUP(April[[#This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IFERROR(VLOOKUP(April[[#This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IFERROR(VLOOKUP(April[[#This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IFERROR(VLOOKUP(April[[#This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IFERROR(VLOOKUP(April[[#This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IFERROR(VLOOKUP(April[[#This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IFERROR(VLOOKUP(April[[#This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IFERROR(VLOOKUP(April[[#This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IFERROR(VLOOKUP(April[[#This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IFERROR(VLOOKUP(April[[#This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IFERROR(VLOOKUP(April[[#This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IFERROR(VLOOKUP(April[[#This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IFERROR(VLOOKUP(April[[#This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IFERROR(VLOOKUP(April[[#This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IFERROR(VLOOKUP(April[[#This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IFERROR(VLOOKUP(April[[#This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IFERROR(VLOOKUP(April[[#This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IFERROR(VLOOKUP(April[[#This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IFERROR(VLOOKUP(April[[#This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IFERROR(VLOOKUP(April[[#This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IFERROR(VLOOKUP(April[[#This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IFERROR(VLOOKUP(April[[#This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IFERROR(VLOOKUP(April[[#This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IFERROR(VLOOKUP(April[[#This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IFERROR(VLOOKUP(April[[#This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IFERROR(VLOOKUP(April[[#This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IFERROR(VLOOKUP(April[[#This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IFERROR(VLOOKUP(April[[#This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IFERROR(VLOOKUP(April[[#This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IFERROR(VLOOKUP(April[[#This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IFERROR(VLOOKUP(April[[#This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IFERROR(VLOOKUP(April[[#This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IFERROR(VLOOKUP(April[[#This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IFERROR(VLOOKUP(April[[#This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IFERROR(VLOOKUP(April[[#This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IFERROR(VLOOKUP(April[[#This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IFERROR(VLOOKUP(April[[#This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IFERROR(VLOOKUP(April[[#This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IFERROR(VLOOKUP(April[[#This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IFERROR(VLOOKUP(April[[#This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IFERROR(VLOOKUP(April[[#This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IFERROR(VLOOKUP(April[[#This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IFERROR(VLOOKUP(April[[#This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IFERROR(VLOOKUP(April[[#This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IFERROR(VLOOKUP(April[[#This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IFERROR(VLOOKUP(April[[#This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IFERROR(VLOOKUP(April[[#This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IFERROR(VLOOKUP(April[[#This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IFERROR(VLOOKUP(April[[#This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IFERROR(VLOOKUP(April[[#This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IFERROR(VLOOKUP(April[[#This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IFERROR(VLOOKUP(April[[#This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IFERROR(VLOOKUP(April[[#This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IFERROR(VLOOKUP(April[[#This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IFERROR(VLOOKUP(April[[#This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IFERROR(VLOOKUP(April[[#This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IFERROR(VLOOKUP(April[[#This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IFERROR(VLOOKUP(April[[#This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IFERROR(VLOOKUP(April[[#This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IFERROR(VLOOKUP(April[[#This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IFERROR(VLOOKUP(April[[#This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IFERROR(VLOOKUP(April[[#This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IFERROR(VLOOKUP(April[[#This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IFERROR(VLOOKUP(April[[#This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IFERROR(VLOOKUP(April[[#This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IFERROR(VLOOKUP(April[[#This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IFERROR(VLOOKUP(April[[#This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IFERROR(VLOOKUP(April[[#This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IFERROR(VLOOKUP(April[[#This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IFERROR(VLOOKUP(April[[#This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IFERROR(VLOOKUP(April[[#This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IFERROR(VLOOKUP(April[[#This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IFERROR(VLOOKUP(April[[#This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IFERROR(VLOOKUP(April[[#This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IFERROR(VLOOKUP(April[[#This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IFERROR(VLOOKUP(April[[#This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IFERROR(VLOOKUP(April[[#This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IFERROR(VLOOKUP(April[[#This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IFERROR(VLOOKUP(April[[#This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IFERROR(VLOOKUP(April[[#This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IFERROR(VLOOKUP(April[[#This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IFERROR(VLOOKUP(April[[#This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IFERROR(VLOOKUP(April[[#This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IFERROR(VLOOKUP(April[[#This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IFERROR(VLOOKUP(April[[#This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IFERROR(VLOOKUP(April[[#This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IFERROR(VLOOKUP(April[[#This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IFERROR(VLOOKUP(April[[#This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IFERROR(VLOOKUP(April[[#This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IFERROR(VLOOKUP(April[[#This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IFERROR(VLOOKUP(April[[#This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IFERROR(VLOOKUP(April[[#This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IFERROR(VLOOKUP(April[[#This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IFERROR(VLOOKUP(April[[#This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IFERROR(VLOOKUP(April[[#This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IFERROR(VLOOKUP(April[[#This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IFERROR(VLOOKUP(April[[#This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IFERROR(VLOOKUP(April[[#This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IFERROR(VLOOKUP(April[[#This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IFERROR(VLOOKUP(April[[#This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IFERROR(VLOOKUP(April[[#This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IFERROR(VLOOKUP(April[[#This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IFERROR(VLOOKUP(April[[#This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IFERROR(VLOOKUP(April[[#This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IFERROR(VLOOKUP(April[[#This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IFERROR(VLOOKUP(April[[#This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IFERROR(VLOOKUP(April[[#This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IFERROR(VLOOKUP(April[[#This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IFERROR(VLOOKUP(April[[#This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IFERROR(VLOOKUP(April[[#This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IFERROR(VLOOKUP(April[[#This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IFERROR(VLOOKUP(April[[#This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IFERROR(VLOOKUP(April[[#This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IFERROR(VLOOKUP(April[[#This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IFERROR(VLOOKUP(April[[#This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IFERROR(VLOOKUP(April[[#This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IFERROR(VLOOKUP(April[[#This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IFERROR(VLOOKUP(April[[#This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IFERROR(VLOOKUP(April[[#This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IFERROR(VLOOKUP(April[[#This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IFERROR(VLOOKUP(April[[#This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IFERROR(VLOOKUP(April[[#This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IFERROR(VLOOKUP(April[[#This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IFERROR(VLOOKUP(April[[#This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IFERROR(VLOOKUP(April[[#This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IFERROR(VLOOKUP(April[[#This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IFERROR(VLOOKUP(April[[#This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IFERROR(VLOOKUP(April[[#This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IFERROR(VLOOKUP(April[[#This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IFERROR(VLOOKUP(April[[#This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IFERROR(VLOOKUP(April[[#This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IFERROR(VLOOKUP(April[[#This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IFERROR(VLOOKUP(April[[#This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IFERROR(VLOOKUP(April[[#This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IFERROR(VLOOKUP(April[[#This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IFERROR(VLOOKUP(April[[#This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IFERROR(VLOOKUP(April[[#This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IFERROR(VLOOKUP(April[[#This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IFERROR(VLOOKUP(April[[#This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IFERROR(VLOOKUP(April[[#This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IFERROR(VLOOKUP(April[[#This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IFERROR(VLOOKUP(April[[#This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IFERROR(VLOOKUP(April[[#This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IFERROR(VLOOKUP(April[[#This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IFERROR(VLOOKUP(April[[#This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IFERROR(VLOOKUP(April[[#This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IFERROR(VLOOKUP(April[[#This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IFERROR(VLOOKUP(April[[#This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IFERROR(VLOOKUP(April[[#This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IFERROR(VLOOKUP(April[[#This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IFERROR(VLOOKUP(April[[#This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IFERROR(VLOOKUP(April[[#This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IFERROR(VLOOKUP(April[[#This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IFERROR(VLOOKUP(April[[#This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IFERROR(VLOOKUP(April[[#This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IFERROR(VLOOKUP(April[[#This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IFERROR(VLOOKUP(April[[#This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IFERROR(VLOOKUP(April[[#This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IFERROR(VLOOKUP(April[[#This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IFERROR(VLOOKUP(April[[#This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IFERROR(VLOOKUP(April[[#This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IFERROR(VLOOKUP(April[[#This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IFERROR(VLOOKUP(April[[#This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IFERROR(VLOOKUP(April[[#This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IFERROR(VLOOKUP(April[[#This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IFERROR(VLOOKUP(April[[#This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IFERROR(VLOOKUP(April[[#This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IFERROR(VLOOKUP(April[[#This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IFERROR(VLOOKUP(April[[#This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IFERROR(VLOOKUP(April[[#This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IFERROR(VLOOKUP(April[[#This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IFERROR(VLOOKUP(April[[#This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IFERROR(VLOOKUP(April[[#This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IFERROR(VLOOKUP(April[[#This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IFERROR(VLOOKUP(April[[#This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IFERROR(VLOOKUP(April[[#This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IFERROR(VLOOKUP(April[[#This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IFERROR(VLOOKUP(April[[#This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IFERROR(VLOOKUP(April[[#This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IFERROR(VLOOKUP(April[[#This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IFERROR(VLOOKUP(April[[#This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IFERROR(VLOOKUP(April[[#This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IFERROR(VLOOKUP(April[[#This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IFERROR(VLOOKUP(April[[#This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IFERROR(VLOOKUP(April[[#This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IFERROR(VLOOKUP(April[[#This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IFERROR(VLOOKUP(April[[#This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IFERROR(VLOOKUP(April[[#This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IFERROR(VLOOKUP(April[[#This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IFERROR(VLOOKUP(April[[#This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IFERROR(VLOOKUP(April[[#This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IFERROR(VLOOKUP(April[[#This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IFERROR(VLOOKUP(April[[#This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IFERROR(VLOOKUP(April[[#This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IFERROR(VLOOKUP(April[[#This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IFERROR(VLOOKUP(April[[#This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IFERROR(VLOOKUP(April[[#This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IFERROR(VLOOKUP(April[[#This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IFERROR(VLOOKUP(April[[#This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IFERROR(VLOOKUP(April[[#This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IFERROR(VLOOKUP(April[[#This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IFERROR(VLOOKUP(April[[#This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IFERROR(VLOOKUP(April[[#This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IFERROR(VLOOKUP(April[[#This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IFERROR(VLOOKUP(April[[#This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IFERROR(VLOOKUP(April[[#This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IFERROR(VLOOKUP(April[[#This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IFERROR(VLOOKUP(April[[#This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IFERROR(VLOOKUP(April[[#This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IFERROR(VLOOKUP(April[[#This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IFERROR(VLOOKUP(April[[#This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IFERROR(VLOOKUP(April[[#This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IFERROR(VLOOKUP(April[[#This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IFERROR(VLOOKUP(April[[#This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IFERROR(VLOOKUP(April[[#This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IFERROR(VLOOKUP(April[[#This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IFERROR(VLOOKUP(April[[#This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IFERROR(VLOOKUP(April[[#This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IFERROR(VLOOKUP(April[[#This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IFERROR(VLOOKUP(April[[#This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IFERROR(VLOOKUP(April[[#This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IFERROR(VLOOKUP(April[[#This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IFERROR(VLOOKUP(April[[#This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IFERROR(VLOOKUP(April[[#This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IFERROR(VLOOKUP(April[[#This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IFERROR(VLOOKUP(April[[#This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IFERROR(VLOOKUP(April[[#This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IFERROR(VLOOKUP(April[[#This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IFERROR(VLOOKUP(April[[#This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IFERROR(VLOOKUP(April[[#This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IFERROR(VLOOKUP(April[[#This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IFERROR(VLOOKUP(April[[#This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IFERROR(VLOOKUP(April[[#This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IFERROR(VLOOKUP(April[[#This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IFERROR(VLOOKUP(April[[#This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IFERROR(VLOOKUP(April[[#This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IFERROR(VLOOKUP(April[[#This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IFERROR(VLOOKUP(April[[#This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IFERROR(VLOOKUP(April[[#This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IFERROR(VLOOKUP(April[[#This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IFERROR(VLOOKUP(April[[#This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IFERROR(VLOOKUP(April[[#This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IFERROR(VLOOKUP(April[[#This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IFERROR(VLOOKUP(April[[#This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IFERROR(VLOOKUP(April[[#This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IFERROR(VLOOKUP(April[[#This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IFERROR(VLOOKUP(April[[#This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IFERROR(VLOOKUP(April[[#This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IFERROR(VLOOKUP(April[[#This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IFERROR(VLOOKUP(April[[#This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IFERROR(VLOOKUP(April[[#This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IFERROR(VLOOKUP(April[[#This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IFERROR(VLOOKUP(April[[#This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IFERROR(VLOOKUP(April[[#This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IFERROR(VLOOKUP(April[[#This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IFERROR(VLOOKUP(April[[#This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IFERROR(VLOOKUP(April[[#This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IFERROR(VLOOKUP(April[[#This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IFERROR(VLOOKUP(April[[#This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IFERROR(VLOOKUP(April[[#This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IFERROR(VLOOKUP(April[[#This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IFERROR(VLOOKUP(April[[#This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IFERROR(VLOOKUP(April[[#This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IFERROR(VLOOKUP(April[[#This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IFERROR(VLOOKUP(April[[#This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IFERROR(VLOOKUP(April[[#This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IFERROR(VLOOKUP(April[[#This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IFERROR(VLOOKUP(April[[#This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IFERROR(VLOOKUP(April[[#This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IFERROR(VLOOKUP(April[[#This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IFERROR(VLOOKUP(April[[#This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IFERROR(VLOOKUP(April[[#This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IFERROR(VLOOKUP(April[[#This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IFERROR(VLOOKUP(April[[#This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IFERROR(VLOOKUP(April[[#This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IFERROR(VLOOKUP(April[[#This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IFERROR(VLOOKUP(April[[#This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IFERROR(VLOOKUP(April[[#This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IFERROR(VLOOKUP(April[[#This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IFERROR(VLOOKUP(April[[#This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IFERROR(VLOOKUP(April[[#This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IFERROR(VLOOKUP(April[[#This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IFERROR(VLOOKUP(April[[#This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IFERROR(VLOOKUP(April[[#This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IFERROR(VLOOKUP(April[[#This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IFERROR(VLOOKUP(April[[#This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IFERROR(VLOOKUP(April[[#This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IFERROR(VLOOKUP(April[[#This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IFERROR(VLOOKUP(April[[#This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IFERROR(VLOOKUP(April[[#This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IFERROR(VLOOKUP(April[[#This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IFERROR(VLOOKUP(April[[#This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IFERROR(VLOOKUP(April[[#This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IFERROR(VLOOKUP(April[[#This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IFERROR(VLOOKUP(April[[#This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IFERROR(VLOOKUP(April[[#This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IFERROR(VLOOKUP(April[[#This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IFERROR(VLOOKUP(April[[#This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IFERROR(VLOOKUP(April[[#This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IFERROR(VLOOKUP(April[[#This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IFERROR(VLOOKUP(April[[#This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IFERROR(VLOOKUP(April[[#This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IFERROR(VLOOKUP(April[[#This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IFERROR(VLOOKUP(April[[#This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IFERROR(VLOOKUP(April[[#This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IFERROR(VLOOKUP(April[[#This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IFERROR(VLOOKUP(April[[#This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IFERROR(VLOOKUP(April[[#This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IFERROR(VLOOKUP(April[[#This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IFERROR(VLOOKUP(April[[#This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IFERROR(VLOOKUP(April[[#This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IFERROR(VLOOKUP(April[[#This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IFERROR(VLOOKUP(April[[#This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IFERROR(VLOOKUP(April[[#This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IFERROR(VLOOKUP(April[[#This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IFERROR(VLOOKUP(April[[#This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IFERROR(VLOOKUP(April[[#This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IFERROR(VLOOKUP(April[[#This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IFERROR(VLOOKUP(April[[#This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IFERROR(VLOOKUP(April[[#This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IFERROR(VLOOKUP(April[[#This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IFERROR(VLOOKUP(April[[#This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IFERROR(VLOOKUP(April[[#This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IFERROR(VLOOKUP(April[[#This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IFERROR(VLOOKUP(April[[#This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IFERROR(VLOOKUP(April[[#This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IFERROR(VLOOKUP(April[[#This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IFERROR(VLOOKUP(April[[#This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IFERROR(VLOOKUP(April[[#This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IFERROR(VLOOKUP(April[[#This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IFERROR(VLOOKUP(April[[#This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IFERROR(VLOOKUP(April[[#This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IFERROR(VLOOKUP(April[[#This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IFERROR(VLOOKUP(April[[#This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IFERROR(VLOOKUP(April[[#This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IFERROR(VLOOKUP(April[[#This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IFERROR(VLOOKUP(April[[#This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IFERROR(VLOOKUP(April[[#This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IFERROR(VLOOKUP(April[[#This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IFERROR(VLOOKUP(April[[#This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IFERROR(VLOOKUP(April[[#This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IFERROR(VLOOKUP(April[[#This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IFERROR(VLOOKUP(April[[#This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IFERROR(VLOOKUP(April[[#This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IFERROR(VLOOKUP(April[[#This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IFERROR(VLOOKUP(April[[#This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IFERROR(VLOOKUP(April[[#This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IFERROR(VLOOKUP(April[[#This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IFERROR(VLOOKUP(April[[#This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IFERROR(VLOOKUP(April[[#This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IFERROR(VLOOKUP(April[[#This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IFERROR(VLOOKUP(April[[#This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IFERROR(VLOOKUP(April[[#This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IFERROR(VLOOKUP(April[[#This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IFERROR(VLOOKUP(April[[#This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IFERROR(VLOOKUP(April[[#This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IFERROR(VLOOKUP(April[[#This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IFERROR(VLOOKUP(April[[#This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IFERROR(VLOOKUP(April[[#This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IFERROR(VLOOKUP(April[[#This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IFERROR(VLOOKUP(April[[#This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IFERROR(VLOOKUP(April[[#This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IFERROR(VLOOKUP(April[[#This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IFERROR(VLOOKUP(April[[#This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IFERROR(VLOOKUP(April[[#This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IFERROR(VLOOKUP(April[[#This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IFERROR(VLOOKUP(April[[#This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IFERROR(VLOOKUP(April[[#This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IFERROR(VLOOKUP(April[[#This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IFERROR(VLOOKUP(April[[#This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IFERROR(VLOOKUP(April[[#This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IFERROR(VLOOKUP(April[[#This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IFERROR(VLOOKUP(April[[#This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IFERROR(VLOOKUP(April[[#This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IFERROR(VLOOKUP(April[[#This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IFERROR(VLOOKUP(April[[#This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IFERROR(VLOOKUP(April[[#This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IFERROR(VLOOKUP(April[[#This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IFERROR(VLOOKUP(April[[#This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IFERROR(VLOOKUP(April[[#This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IFERROR(VLOOKUP(April[[#This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IFERROR(VLOOKUP(April[[#This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IFERROR(VLOOKUP(April[[#This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IFERROR(VLOOKUP(April[[#This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IFERROR(VLOOKUP(April[[#This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IFERROR(VLOOKUP(April[[#This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IFERROR(VLOOKUP(April[[#This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IFERROR(VLOOKUP(April[[#This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IFERROR(VLOOKUP(April[[#This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IFERROR(VLOOKUP(April[[#This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IFERROR(VLOOKUP(April[[#This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IFERROR(VLOOKUP(April[[#This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IFERROR(VLOOKUP(April[[#This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IFERROR(VLOOKUP(April[[#This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IFERROR(VLOOKUP(April[[#This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IFERROR(VLOOKUP(April[[#This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IFERROR(VLOOKUP(April[[#This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IFERROR(VLOOKUP(April[[#This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IFERROR(VLOOKUP(April[[#This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IFERROR(VLOOKUP(April[[#This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IFERROR(VLOOKUP(April[[#This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IFERROR(VLOOKUP(April[[#This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IFERROR(VLOOKUP(April[[#This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IFERROR(VLOOKUP(April[[#This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IFERROR(VLOOKUP(April[[#This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IFERROR(VLOOKUP(April[[#This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IFERROR(VLOOKUP(April[[#This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IFERROR(VLOOKUP(April[[#This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IFERROR(VLOOKUP(April[[#This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IFERROR(VLOOKUP(April[[#This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IFERROR(VLOOKUP(April[[#This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IFERROR(VLOOKUP(April[[#This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IFERROR(VLOOKUP(April[[#This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IFERROR(VLOOKUP(April[[#This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IFERROR(VLOOKUP(April[[#This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IFERROR(VLOOKUP(April[[#This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IFERROR(VLOOKUP(April[[#This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IFERROR(VLOOKUP(April[[#This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IFERROR(VLOOKUP(April[[#This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IFERROR(VLOOKUP(April[[#This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IFERROR(VLOOKUP(April[[#This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IFERROR(VLOOKUP(April[[#This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IFERROR(VLOOKUP(April[[#This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IFERROR(VLOOKUP(April[[#This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IFERROR(VLOOKUP(April[[#This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IFERROR(VLOOKUP(April[[#This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IFERROR(VLOOKUP(April[[#This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IFERROR(VLOOKUP(April[[#This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IFERROR(VLOOKUP(April[[#This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IFERROR(VLOOKUP(April[[#This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IFERROR(VLOOKUP(April[[#This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IFERROR(VLOOKUP(April[[#This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IFERROR(VLOOKUP(April[[#This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IFERROR(VLOOKUP(April[[#This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IFERROR(VLOOKUP(April[[#This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IFERROR(VLOOKUP(April[[#This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IFERROR(VLOOKUP(April[[#This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IFERROR(VLOOKUP(April[[#This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IFERROR(VLOOKUP(April[[#This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IFERROR(VLOOKUP(April[[#This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IFERROR(VLOOKUP(April[[#This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IFERROR(VLOOKUP(April[[#This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IFERROR(VLOOKUP(April[[#This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IFERROR(VLOOKUP(April[[#This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IFERROR(VLOOKUP(April[[#This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IFERROR(VLOOKUP(April[[#This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IFERROR(VLOOKUP(April[[#This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IFERROR(VLOOKUP(April[[#This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IFERROR(VLOOKUP(April[[#This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IFERROR(VLOOKUP(April[[#This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IFERROR(VLOOKUP(April[[#This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IFERROR(VLOOKUP(April[[#This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IFERROR(VLOOKUP(April[[#This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IFERROR(VLOOKUP(April[[#This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IFERROR(VLOOKUP(April[[#This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IFERROR(VLOOKUP(April[[#This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IFERROR(VLOOKUP(April[[#This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IFERROR(VLOOKUP(April[[#This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IFERROR(VLOOKUP(April[[#This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IFERROR(VLOOKUP(April[[#This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IFERROR(VLOOKUP(April[[#This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IFERROR(VLOOKUP(April[[#This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IFERROR(VLOOKUP(April[[#This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IFERROR(VLOOKUP(April[[#This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IFERROR(VLOOKUP(April[[#This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IFERROR(VLOOKUP(April[[#This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IFERROR(VLOOKUP(April[[#This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IFERROR(VLOOKUP(April[[#This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IFERROR(VLOOKUP(April[[#This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IFERROR(VLOOKUP(April[[#This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IFERROR(VLOOKUP(April[[#This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IFERROR(VLOOKUP(April[[#This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IFERROR(VLOOKUP(April[[#This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IFERROR(VLOOKUP(April[[#This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IFERROR(VLOOKUP(April[[#This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IFERROR(VLOOKUP(April[[#This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IFERROR(VLOOKUP(April[[#This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IFERROR(VLOOKUP(April[[#This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IFERROR(VLOOKUP(April[[#This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IFERROR(VLOOKUP(April[[#This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IFERROR(VLOOKUP(April[[#This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IFERROR(VLOOKUP(April[[#This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IFERROR(VLOOKUP(April[[#This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IFERROR(VLOOKUP(April[[#This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IFERROR(VLOOKUP(April[[#This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IFERROR(VLOOKUP(April[[#This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IFERROR(VLOOKUP(April[[#This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IFERROR(VLOOKUP(April[[#This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IFERROR(VLOOKUP(April[[#This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IFERROR(VLOOKUP(April[[#This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IFERROR(VLOOKUP(April[[#This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IFERROR(VLOOKUP(April[[#This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IFERROR(VLOOKUP(April[[#This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IFERROR(VLOOKUP(April[[#This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IFERROR(VLOOKUP(April[[#This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IFERROR(VLOOKUP(April[[#This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IFERROR(VLOOKUP(April[[#This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IFERROR(VLOOKUP(April[[#This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IFERROR(VLOOKUP(April[[#This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IFERROR(VLOOKUP(April[[#This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IFERROR(VLOOKUP(April[[#This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IFERROR(VLOOKUP(April[[#This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IFERROR(VLOOKUP(April[[#This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IFERROR(VLOOKUP(April[[#This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IFERROR(VLOOKUP(April[[#This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IFERROR(VLOOKUP(April[[#This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IFERROR(VLOOKUP(April[[#This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IFERROR(VLOOKUP(April[[#This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IFERROR(VLOOKUP(April[[#This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IFERROR(VLOOKUP(April[[#This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IFERROR(VLOOKUP(April[[#This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IFERROR(VLOOKUP(April[[#This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IFERROR(VLOOKUP(April[[#This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IFERROR(VLOOKUP(April[[#This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IFERROR(VLOOKUP(April[[#This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IFERROR(VLOOKUP(April[[#This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IFERROR(VLOOKUP(April[[#This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IFERROR(VLOOKUP(April[[#This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IFERROR(VLOOKUP(April[[#This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IFERROR(VLOOKUP(April[[#This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IFERROR(VLOOKUP(April[[#This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IFERROR(VLOOKUP(April[[#This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IFERROR(VLOOKUP(April[[#This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IFERROR(VLOOKUP(April[[#This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IFERROR(VLOOKUP(April[[#This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IFERROR(VLOOKUP(April[[#This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IFERROR(VLOOKUP(April[[#This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IFERROR(VLOOKUP(April[[#This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IFERROR(VLOOKUP(April[[#This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IFERROR(VLOOKUP(April[[#This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IFERROR(VLOOKUP(April[[#This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IFERROR(VLOOKUP(April[[#This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IFERROR(VLOOKUP(April[[#This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IFERROR(VLOOKUP(April[[#This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IFERROR(VLOOKUP(April[[#This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IFERROR(VLOOKUP(April[[#This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IFERROR(VLOOKUP(April[[#This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IFERROR(VLOOKUP(April[[#This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IFERROR(VLOOKUP(April[[#This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IFERROR(VLOOKUP(April[[#This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IFERROR(VLOOKUP(April[[#This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IFERROR(VLOOKUP(April[[#This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IFERROR(VLOOKUP(April[[#This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IFERROR(VLOOKUP(April[[#This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IFERROR(VLOOKUP(April[[#This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IFERROR(VLOOKUP(April[[#This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IFERROR(VLOOKUP(April[[#This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IFERROR(VLOOKUP(April[[#This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IFERROR(VLOOKUP(April[[#This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IFERROR(VLOOKUP(April[[#This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IFERROR(VLOOKUP(April[[#This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IFERROR(VLOOKUP(April[[#This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IFERROR(VLOOKUP(April[[#This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IFERROR(VLOOKUP(April[[#This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IFERROR(VLOOKUP(April[[#This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IFERROR(VLOOKUP(April[[#This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IFERROR(VLOOKUP(April[[#This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IFERROR(VLOOKUP(April[[#This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IFERROR(VLOOKUP(April[[#This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IFERROR(VLOOKUP(April[[#This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IFERROR(VLOOKUP(April[[#This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IFERROR(VLOOKUP(April[[#This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IFERROR(VLOOKUP(April[[#This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IFERROR(VLOOKUP(April[[#This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IFERROR(VLOOKUP(April[[#This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IFERROR(VLOOKUP(April[[#This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IFERROR(VLOOKUP(April[[#This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IFERROR(VLOOKUP(April[[#This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IFERROR(VLOOKUP(April[[#This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IFERROR(VLOOKUP(April[[#This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IFERROR(VLOOKUP(April[[#This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IFERROR(VLOOKUP(April[[#This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IFERROR(VLOOKUP(April[[#This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IFERROR(VLOOKUP(April[[#This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IFERROR(VLOOKUP(April[[#This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IFERROR(VLOOKUP(April[[#This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IFERROR(VLOOKUP(April[[#This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IFERROR(VLOOKUP(April[[#This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IFERROR(VLOOKUP(April[[#This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IFERROR(VLOOKUP(April[[#This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IFERROR(VLOOKUP(April[[#This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IFERROR(VLOOKUP(April[[#This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IFERROR(VLOOKUP(April[[#This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IFERROR(VLOOKUP(April[[#This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IFERROR(VLOOKUP(April[[#This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IFERROR(VLOOKUP(April[[#This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IFERROR(VLOOKUP(April[[#This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IFERROR(VLOOKUP(April[[#This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IFERROR(VLOOKUP(April[[#This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IFERROR(VLOOKUP(April[[#This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IFERROR(VLOOKUP(April[[#This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IFERROR(VLOOKUP(April[[#This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IFERROR(VLOOKUP(April[[#This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IFERROR(VLOOKUP(April[[#This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IFERROR(VLOOKUP(April[[#This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IFERROR(VLOOKUP(April[[#This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IFERROR(VLOOKUP(April[[#This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IFERROR(VLOOKUP(April[[#This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IFERROR(VLOOKUP(April[[#This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IFERROR(VLOOKUP(April[[#This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IFERROR(VLOOKUP(April[[#This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IFERROR(VLOOKUP(April[[#This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IFERROR(VLOOKUP(April[[#This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IFERROR(VLOOKUP(April[[#This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IFERROR(VLOOKUP(April[[#This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IFERROR(VLOOKUP(April[[#This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IFERROR(VLOOKUP(April[[#This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IFERROR(VLOOKUP(April[[#This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IFERROR(VLOOKUP(April[[#This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IFERROR(VLOOKUP(April[[#This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IFERROR(VLOOKUP(April[[#This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IFERROR(VLOOKUP(April[[#This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IFERROR(VLOOKUP(April[[#This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IFERROR(VLOOKUP(April[[#This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IFERROR(VLOOKUP(April[[#This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IFERROR(VLOOKUP(April[[#This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IFERROR(VLOOKUP(April[[#This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IFERROR(VLOOKUP(April[[#This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IFERROR(VLOOKUP(April[[#This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IFERROR(VLOOKUP(April[[#This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IFERROR(VLOOKUP(April[[#This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IFERROR(VLOOKUP(April[[#This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IFERROR(VLOOKUP(April[[#This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IFERROR(VLOOKUP(April[[#This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IFERROR(VLOOKUP(April[[#This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IFERROR(VLOOKUP(April[[#This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IFERROR(VLOOKUP(April[[#This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IFERROR(VLOOKUP(April[[#This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IFERROR(VLOOKUP(April[[#This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IFERROR(VLOOKUP(April[[#This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IFERROR(VLOOKUP(April[[#This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IFERROR(VLOOKUP(April[[#This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IFERROR(VLOOKUP(April[[#This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IFERROR(VLOOKUP(April[[#This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IFERROR(VLOOKUP(April[[#This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IFERROR(VLOOKUP(April[[#This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IFERROR(VLOOKUP(April[[#This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IFERROR(VLOOKUP(April[[#This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IFERROR(VLOOKUP(April[[#This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IFERROR(VLOOKUP(April[[#This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IFERROR(VLOOKUP(April[[#This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IFERROR(VLOOKUP(April[[#This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IFERROR(VLOOKUP(April[[#This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IFERROR(VLOOKUP(April[[#This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IFERROR(VLOOKUP(April[[#This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IFERROR(VLOOKUP(April[[#This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IFERROR(VLOOKUP(April[[#This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IFERROR(VLOOKUP(April[[#This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IFERROR(VLOOKUP(April[[#This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IFERROR(VLOOKUP(April[[#This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IFERROR(VLOOKUP(April[[#This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IFERROR(VLOOKUP(April[[#This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IFERROR(VLOOKUP(April[[#This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IFERROR(VLOOKUP(April[[#This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IFERROR(VLOOKUP(April[[#This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IFERROR(VLOOKUP(April[[#This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IFERROR(VLOOKUP(April[[#This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IFERROR(VLOOKUP(April[[#This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IFERROR(VLOOKUP(April[[#This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IFERROR(VLOOKUP(April[[#This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IFERROR(VLOOKUP(April[[#This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IFERROR(VLOOKUP(April[[#This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IFERROR(VLOOKUP(April[[#This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IFERROR(VLOOKUP(April[[#This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IFERROR(VLOOKUP(April[[#This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IFERROR(VLOOKUP(April[[#This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IFERROR(VLOOKUP(April[[#This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IFERROR(VLOOKUP(April[[#This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IFERROR(VLOOKUP(April[[#This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IFERROR(VLOOKUP(April[[#This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IFERROR(VLOOKUP(April[[#This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IFERROR(VLOOKUP(April[[#This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IFERROR(VLOOKUP(April[[#This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IFERROR(VLOOKUP(April[[#This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IFERROR(VLOOKUP(April[[#This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IFERROR(VLOOKUP(April[[#This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IFERROR(VLOOKUP(April[[#This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IFERROR(VLOOKUP(April[[#This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IFERROR(VLOOKUP(April[[#This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IFERROR(VLOOKUP(April[[#This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IFERROR(VLOOKUP(April[[#This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IFERROR(VLOOKUP(April[[#This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IFERROR(VLOOKUP(April[[#This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IFERROR(VLOOKUP(April[[#This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IFERROR(VLOOKUP(April[[#This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IFERROR(VLOOKUP(April[[#This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IFERROR(VLOOKUP(April[[#This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IFERROR(VLOOKUP(April[[#This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IFERROR(VLOOKUP(April[[#This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IFERROR(VLOOKUP(April[[#This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IFERROR(VLOOKUP(April[[#This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IFERROR(VLOOKUP(April[[#This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IFERROR(VLOOKUP(April[[#This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IFERROR(VLOOKUP(April[[#This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IFERROR(VLOOKUP(April[[#This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IFERROR(VLOOKUP(April[[#This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IFERROR(VLOOKUP(April[[#This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IFERROR(VLOOKUP(April[[#This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IFERROR(VLOOKUP(April[[#This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IFERROR(VLOOKUP(April[[#This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IFERROR(VLOOKUP(April[[#This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IFERROR(VLOOKUP(April[[#This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IFERROR(VLOOKUP(April[[#This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IFERROR(VLOOKUP(April[[#This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IFERROR(VLOOKUP(April[[#This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IFERROR(VLOOKUP(April[[#This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IFERROR(VLOOKUP(April[[#This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IFERROR(VLOOKUP(April[[#This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IFERROR(VLOOKUP(April[[#This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IFERROR(VLOOKUP(April[[#This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IFERROR(VLOOKUP(April[[#This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IFERROR(VLOOKUP(April[[#This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IFERROR(VLOOKUP(April[[#This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IFERROR(VLOOKUP(April[[#This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IFERROR(VLOOKUP(April[[#This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IFERROR(VLOOKUP(April[[#This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IFERROR(VLOOKUP(April[[#This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IFERROR(VLOOKUP(April[[#This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IFERROR(VLOOKUP(April[[#This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IFERROR(VLOOKUP(April[[#This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IFERROR(VLOOKUP(April[[#This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IFERROR(VLOOKUP(April[[#This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IFERROR(VLOOKUP(April[[#This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IFERROR(VLOOKUP(April[[#This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IFERROR(VLOOKUP(April[[#This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IFERROR(VLOOKUP(April[[#This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IFERROR(VLOOKUP(April[[#This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IFERROR(VLOOKUP(April[[#This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IFERROR(VLOOKUP(April[[#This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IFERROR(VLOOKUP(April[[#This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IFERROR(VLOOKUP(April[[#This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IFERROR(VLOOKUP(April[[#This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IFERROR(VLOOKUP(April[[#This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IFERROR(VLOOKUP(April[[#This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IFERROR(VLOOKUP(April[[#This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IFERROR(VLOOKUP(April[[#This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IFERROR(VLOOKUP(April[[#This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IFERROR(VLOOKUP(April[[#This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IFERROR(VLOOKUP(April[[#This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IFERROR(VLOOKUP(April[[#This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IFERROR(VLOOKUP(April[[#This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IFERROR(VLOOKUP(April[[#This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IFERROR(VLOOKUP(April[[#This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IFERROR(VLOOKUP(April[[#This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IFERROR(VLOOKUP(April[[#This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IFERROR(VLOOKUP(April[[#This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IFERROR(VLOOKUP(April[[#This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IFERROR(VLOOKUP(April[[#This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IFERROR(VLOOKUP(April[[#This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IFERROR(VLOOKUP(April[[#This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IFERROR(VLOOKUP(April[[#This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IFERROR(VLOOKUP(April[[#This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IFERROR(VLOOKUP(April[[#This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IFERROR(VLOOKUP(April[[#This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IFERROR(VLOOKUP(April[[#This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IFERROR(VLOOKUP(April[[#This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IFERROR(VLOOKUP(April[[#This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IFERROR(VLOOKUP(April[[#This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IFERROR(VLOOKUP(April[[#This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IFERROR(VLOOKUP(April[[#This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IFERROR(VLOOKUP(April[[#This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IFERROR(VLOOKUP(April[[#This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IFERROR(VLOOKUP(April[[#This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IFERROR(VLOOKUP(April[[#This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IFERROR(VLOOKUP(April[[#This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IFERROR(VLOOKUP(April[[#This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IFERROR(VLOOKUP(April[[#This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IFERROR(VLOOKUP(April[[#This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IFERROR(VLOOKUP(April[[#This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IFERROR(VLOOKUP(April[[#This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IFERROR(VLOOKUP(April[[#This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IFERROR(VLOOKUP(April[[#This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IFERROR(VLOOKUP(April[[#This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IFERROR(VLOOKUP(April[[#This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IFERROR(VLOOKUP(April[[#This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IFERROR(VLOOKUP(April[[#This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IFERROR(VLOOKUP(April[[#This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IFERROR(VLOOKUP(April[[#This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IFERROR(VLOOKUP(April[[#This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IFERROR(VLOOKUP(April[[#This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IFERROR(VLOOKUP(April[[#This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IFERROR(VLOOKUP(April[[#This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IFERROR(VLOOKUP(April[[#This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IFERROR(VLOOKUP(April[[#This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IFERROR(VLOOKUP(April[[#This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IFERROR(VLOOKUP(April[[#This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IFERROR(VLOOKUP(April[[#This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IFERROR(VLOOKUP(April[[#This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IFERROR(VLOOKUP(April[[#This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IFERROR(VLOOKUP(April[[#This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IFERROR(VLOOKUP(April[[#This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IFERROR(VLOOKUP(April[[#This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IFERROR(VLOOKUP(April[[#This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IFERROR(VLOOKUP(April[[#This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IFERROR(VLOOKUP(April[[#This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IFERROR(VLOOKUP(April[[#This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IFERROR(VLOOKUP(April[[#This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IFERROR(VLOOKUP(April[[#This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IFERROR(VLOOKUP(April[[#This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IFERROR(VLOOKUP(April[[#This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IFERROR(VLOOKUP(April[[#This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IFERROR(VLOOKUP(April[[#This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IFERROR(VLOOKUP(April[[#This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IFERROR(VLOOKUP(April[[#This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IFERROR(VLOOKUP(April[[#This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IFERROR(VLOOKUP(April[[#This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IFERROR(VLOOKUP(April[[#This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IFERROR(VLOOKUP(April[[#This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IFERROR(VLOOKUP(April[[#This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IFERROR(VLOOKUP(April[[#This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IFERROR(VLOOKUP(April[[#This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IFERROR(VLOOKUP(April[[#This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IFERROR(VLOOKUP(April[[#This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IFERROR(VLOOKUP(April[[#This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IFERROR(VLOOKUP(April[[#This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IFERROR(VLOOKUP(April[[#This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IFERROR(VLOOKUP(April[[#This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IFERROR(VLOOKUP(April[[#This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IFERROR(VLOOKUP(April[[#This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IFERROR(VLOOKUP(April[[#This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IFERROR(VLOOKUP(April[[#This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IFERROR(VLOOKUP(April[[#This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IFERROR(VLOOKUP(April[[#This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IFERROR(VLOOKUP(April[[#This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IFERROR(VLOOKUP(April[[#This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IFERROR(VLOOKUP(April[[#This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IFERROR(VLOOKUP(April[[#This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IFERROR(VLOOKUP(April[[#This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IFERROR(VLOOKUP(April[[#This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IFERROR(VLOOKUP(April[[#This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IFERROR(VLOOKUP(April[[#This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IFERROR(VLOOKUP(April[[#This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IFERROR(VLOOKUP(April[[#This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IFERROR(VLOOKUP(April[[#This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IFERROR(VLOOKUP(April[[#This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IFERROR(VLOOKUP(April[[#This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IFERROR(VLOOKUP(April[[#This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IFERROR(VLOOKUP(April[[#This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IFERROR(VLOOKUP(April[[#This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IFERROR(VLOOKUP(April[[#This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IFERROR(VLOOKUP(April[[#This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IFERROR(VLOOKUP(April[[#This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IFERROR(VLOOKUP(April[[#This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IFERROR(VLOOKUP(April[[#This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IFERROR(VLOOKUP(April[[#This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IFERROR(VLOOKUP(April[[#This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IFERROR(VLOOKUP(April[[#This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IFERROR(VLOOKUP(April[[#This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IFERROR(VLOOKUP(April[[#This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IFERROR(VLOOKUP(April[[#This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IFERROR(VLOOKUP(April[[#This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IFERROR(VLOOKUP(April[[#This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IFERROR(VLOOKUP(April[[#This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IFERROR(VLOOKUP(April[[#This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IFERROR(VLOOKUP(April[[#This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IFERROR(VLOOKUP(April[[#This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IFERROR(VLOOKUP(April[[#This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IFERROR(VLOOKUP(April[[#This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IFERROR(VLOOKUP(April[[#This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IFERROR(VLOOKUP(April[[#This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IFERROR(VLOOKUP(April[[#This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IFERROR(VLOOKUP(April[[#This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IFERROR(VLOOKUP(April[[#This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IFERROR(VLOOKUP(April[[#This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IFERROR(VLOOKUP(April[[#This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IFERROR(VLOOKUP(April[[#This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IFERROR(VLOOKUP(April[[#This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IFERROR(VLOOKUP(April[[#This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IFERROR(VLOOKUP(April[[#This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IFERROR(VLOOKUP(April[[#This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IFERROR(VLOOKUP(April[[#This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IFERROR(VLOOKUP(April[[#This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IFERROR(VLOOKUP(April[[#This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IFERROR(VLOOKUP(April[[#This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IFERROR(VLOOKUP(April[[#This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IFERROR(VLOOKUP(April[[#This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IFERROR(VLOOKUP(April[[#This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IFERROR(VLOOKUP(April[[#This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IFERROR(VLOOKUP(April[[#This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IFERROR(VLOOKUP(April[[#This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IFERROR(VLOOKUP(April[[#This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IFERROR(VLOOKUP(April[[#This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IFERROR(VLOOKUP(April[[#This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IFERROR(VLOOKUP(April[[#This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IFERROR(VLOOKUP(April[[#This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IFERROR(VLOOKUP(April[[#This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IFERROR(VLOOKUP(April[[#This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IFERROR(VLOOKUP(April[[#This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IFERROR(VLOOKUP(April[[#This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IFERROR(VLOOKUP(April[[#This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IFERROR(VLOOKUP(April[[#This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IFERROR(VLOOKUP(April[[#This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IFERROR(VLOOKUP(April[[#This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IFERROR(VLOOKUP(April[[#This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IFERROR(VLOOKUP(April[[#This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IFERROR(VLOOKUP(April[[#This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IFERROR(VLOOKUP(April[[#This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IFERROR(VLOOKUP(April[[#This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IFERROR(VLOOKUP(April[[#This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IFERROR(VLOOKUP(April[[#This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IFERROR(VLOOKUP(April[[#This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IFERROR(VLOOKUP(April[[#This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IFERROR(VLOOKUP(April[[#This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IFERROR(VLOOKUP(April[[#This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IFERROR(VLOOKUP(April[[#This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IFERROR(VLOOKUP(April[[#This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IFERROR(VLOOKUP(April[[#This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IFERROR(VLOOKUP(April[[#This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IFERROR(VLOOKUP(April[[#This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IFERROR(VLOOKUP(April[[#This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IFERROR(VLOOKUP(April[[#This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IFERROR(VLOOKUP(April[[#This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IFERROR(VLOOKUP(April[[#This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IFERROR(VLOOKUP(April[[#This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IFERROR(VLOOKUP(April[[#This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IFERROR(VLOOKUP(April[[#This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IFERROR(VLOOKUP(April[[#This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IFERROR(VLOOKUP(April[[#This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IFERROR(VLOOKUP(April[[#This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IFERROR(VLOOKUP(April[[#This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IFERROR(VLOOKUP(April[[#This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IFERROR(VLOOKUP(April[[#This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IFERROR(VLOOKUP(April[[#This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IFERROR(VLOOKUP(April[[#This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IFERROR(VLOOKUP(April[[#This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IFERROR(VLOOKUP(April[[#This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IFERROR(VLOOKUP(April[[#This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IFERROR(VLOOKUP(April[[#This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IFERROR(VLOOKUP(April[[#This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IFERROR(VLOOKUP(April[[#This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IFERROR(VLOOKUP(April[[#This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IFERROR(VLOOKUP(April[[#This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IFERROR(VLOOKUP(April[[#This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IFERROR(VLOOKUP(April[[#This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IFERROR(VLOOKUP(April[[#This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IFERROR(VLOOKUP(April[[#This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IFERROR(VLOOKUP(April[[#This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IFERROR(VLOOKUP(April[[#This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IFERROR(VLOOKUP(April[[#This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IFERROR(VLOOKUP(April[[#This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IFERROR(VLOOKUP(April[[#This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IFERROR(VLOOKUP(April[[#This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IFERROR(VLOOKUP(April[[#This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IFERROR(VLOOKUP(April[[#This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IFERROR(VLOOKUP(April[[#This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IFERROR(VLOOKUP(April[[#This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IFERROR(VLOOKUP(April[[#This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IFERROR(VLOOKUP(April[[#This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IFERROR(VLOOKUP(April[[#This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IFERROR(VLOOKUP(April[[#This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IFERROR(VLOOKUP(April[[#This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IFERROR(VLOOKUP(April[[#This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IFERROR(VLOOKUP(April[[#This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IFERROR(VLOOKUP(April[[#This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IFERROR(VLOOKUP(April[[#This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IFERROR(VLOOKUP(April[[#This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IFERROR(VLOOKUP(April[[#This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IFERROR(VLOOKUP(April[[#This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IFERROR(VLOOKUP(April[[#This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IFERROR(VLOOKUP(April[[#This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IFERROR(VLOOKUP(April[[#This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IFERROR(VLOOKUP(April[[#This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IFERROR(VLOOKUP(April[[#This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IFERROR(VLOOKUP(April[[#This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IFERROR(VLOOKUP(April[[#This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IFERROR(VLOOKUP(April[[#This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IFERROR(VLOOKUP(April[[#This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IFERROR(VLOOKUP(April[[#This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IFERROR(VLOOKUP(April[[#This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IFERROR(VLOOKUP(April[[#This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IFERROR(VLOOKUP(April[[#This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IFERROR(VLOOKUP(April[[#This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IFERROR(VLOOKUP(April[[#This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IFERROR(VLOOKUP(April[[#This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IFERROR(VLOOKUP(April[[#This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IFERROR(VLOOKUP(April[[#This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IFERROR(VLOOKUP(April[[#This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IFERROR(VLOOKUP(April[[#This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IFERROR(VLOOKUP(April[[#This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IFERROR(VLOOKUP(April[[#This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IFERROR(VLOOKUP(April[[#This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IFERROR(VLOOKUP(April[[#This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IFERROR(VLOOKUP(April[[#This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IFERROR(VLOOKUP(April[[#This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IFERROR(VLOOKUP(April[[#This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IFERROR(VLOOKUP(April[[#This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IFERROR(VLOOKUP(April[[#This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IFERROR(VLOOKUP(April[[#This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IFERROR(VLOOKUP(April[[#This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IFERROR(VLOOKUP(April[[#This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IFERROR(VLOOKUP(April[[#This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IFERROR(VLOOKUP(April[[#This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IFERROR(VLOOKUP(April[[#This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IFERROR(VLOOKUP(April[[#This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IFERROR(VLOOKUP(April[[#This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IFERROR(VLOOKUP(April[[#This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IFERROR(VLOOKUP(April[[#This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IFERROR(VLOOKUP(April[[#This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IFERROR(VLOOKUP(April[[#This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IFERROR(VLOOKUP(April[[#This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IFERROR(VLOOKUP(April[[#This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IFERROR(VLOOKUP(April[[#This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IFERROR(VLOOKUP(April[[#This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IFERROR(VLOOKUP(April[[#This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IFERROR(VLOOKUP(April[[#This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IFERROR(VLOOKUP(April[[#This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IFERROR(VLOOKUP(April[[#This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IFERROR(VLOOKUP(April[[#This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IFERROR(VLOOKUP(April[[#This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IFERROR(VLOOKUP(April[[#This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IFERROR(VLOOKUP(April[[#This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IFERROR(VLOOKUP(April[[#This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IFERROR(VLOOKUP(April[[#This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IFERROR(VLOOKUP(April[[#This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IFERROR(VLOOKUP(April[[#This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IFERROR(VLOOKUP(April[[#This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IFERROR(VLOOKUP(April[[#This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IFERROR(VLOOKUP(April[[#This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IFERROR(VLOOKUP(April[[#This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IFERROR(VLOOKUP(April[[#This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IFERROR(VLOOKUP(April[[#This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IFERROR(VLOOKUP(April[[#This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IFERROR(VLOOKUP(April[[#This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IFERROR(VLOOKUP(April[[#This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IFERROR(VLOOKUP(April[[#This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IFERROR(VLOOKUP(April[[#This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IFERROR(VLOOKUP(April[[#This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IFERROR(VLOOKUP(April[[#This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IFERROR(VLOOKUP(April[[#This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IFERROR(VLOOKUP(April[[#This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IFERROR(VLOOKUP(April[[#This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IFERROR(VLOOKUP(April[[#This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IFERROR(VLOOKUP(April[[#This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IFERROR(VLOOKUP(April[[#This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IFERROR(VLOOKUP(April[[#This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IFERROR(VLOOKUP(April[[#This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IFERROR(VLOOKUP(April[[#This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IFERROR(VLOOKUP(April[[#This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IFERROR(VLOOKUP(April[[#This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IFERROR(VLOOKUP(April[[#This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IFERROR(VLOOKUP(April[[#This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IFERROR(VLOOKUP(April[[#This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IFERROR(VLOOKUP(April[[#This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IFERROR(VLOOKUP(April[[#This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IFERROR(VLOOKUP(April[[#This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IFERROR(VLOOKUP(April[[#This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IFERROR(VLOOKUP(April[[#This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IFERROR(VLOOKUP(April[[#This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IFERROR(VLOOKUP(April[[#This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IFERROR(VLOOKUP(April[[#This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IFERROR(VLOOKUP(April[[#This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IFERROR(VLOOKUP(April[[#This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IFERROR(VLOOKUP(April[[#This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IFERROR(VLOOKUP(April[[#This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IFERROR(VLOOKUP(April[[#This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IFERROR(VLOOKUP(April[[#This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IFERROR(VLOOKUP(April[[#This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IFERROR(VLOOKUP(April[[#This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IFERROR(VLOOKUP(April[[#This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IFERROR(VLOOKUP(April[[#This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IFERROR(VLOOKUP(April[[#This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IFERROR(VLOOKUP(April[[#This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IFERROR(VLOOKUP(April[[#This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IFERROR(VLOOKUP(April[[#This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IFERROR(VLOOKUP(April[[#This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IFERROR(VLOOKUP(April[[#This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IFERROR(VLOOKUP(April[[#This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IFERROR(VLOOKUP(April[[#This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IFERROR(VLOOKUP(April[[#This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IFERROR(VLOOKUP(April[[#This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IFERROR(VLOOKUP(April[[#This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IFERROR(VLOOKUP(April[[#This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IFERROR(VLOOKUP(April[[#This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IFERROR(VLOOKUP(April[[#This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IFERROR(VLOOKUP(April[[#This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IFERROR(VLOOKUP(April[[#This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IFERROR(VLOOKUP(April[[#This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IFERROR(VLOOKUP(April[[#This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IFERROR(VLOOKUP(April[[#This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IFERROR(VLOOKUP(April[[#This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IFERROR(VLOOKUP(April[[#This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IFERROR(VLOOKUP(April[[#This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IFERROR(VLOOKUP(April[[#This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IFERROR(VLOOKUP(April[[#This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IFERROR(VLOOKUP(April[[#This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IFERROR(VLOOKUP(April[[#This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IFERROR(VLOOKUP(April[[#This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IFERROR(VLOOKUP(April[[#This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IFERROR(VLOOKUP(April[[#This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IFERROR(VLOOKUP(April[[#This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IFERROR(VLOOKUP(April[[#This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IFERROR(VLOOKUP(April[[#This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IFERROR(VLOOKUP(April[[#This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IFERROR(VLOOKUP(April[[#This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IFERROR(VLOOKUP(April[[#This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IFERROR(VLOOKUP(April[[#This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IFERROR(VLOOKUP(April[[#This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IFERROR(VLOOKUP(April[[#This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IFERROR(VLOOKUP(April[[#This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IFERROR(VLOOKUP(April[[#This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IFERROR(VLOOKUP(April[[#This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IFERROR(VLOOKUP(April[[#This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IFERROR(VLOOKUP(April[[#This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IFERROR(VLOOKUP(April[[#This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IFERROR(VLOOKUP(April[[#This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IFERROR(VLOOKUP(April[[#This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IFERROR(VLOOKUP(April[[#This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IFERROR(VLOOKUP(April[[#This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IFERROR(VLOOKUP(April[[#This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IFERROR(VLOOKUP(April[[#This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IFERROR(VLOOKUP(April[[#This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IFERROR(VLOOKUP(April[[#This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IFERROR(VLOOKUP(April[[#This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IFERROR(VLOOKUP(April[[#This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IFERROR(VLOOKUP(April[[#This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IFERROR(VLOOKUP(April[[#This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IFERROR(VLOOKUP(April[[#This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IFERROR(VLOOKUP(April[[#This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IFERROR(VLOOKUP(April[[#This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IFERROR(VLOOKUP(April[[#This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IFERROR(VLOOKUP(April[[#This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IFERROR(VLOOKUP(April[[#This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IFERROR(VLOOKUP(April[[#This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IFERROR(VLOOKUP(April[[#This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IFERROR(VLOOKUP(April[[#This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IFERROR(VLOOKUP(April[[#This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IFERROR(VLOOKUP(April[[#This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IFERROR(VLOOKUP(April[[#This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IFERROR(VLOOKUP(April[[#This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IFERROR(VLOOKUP(April[[#This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IFERROR(VLOOKUP(April[[#This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IFERROR(VLOOKUP(April[[#This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IFERROR(VLOOKUP(April[[#This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IFERROR(VLOOKUP(April[[#This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IFERROR(VLOOKUP(April[[#This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IFERROR(VLOOKUP(April[[#This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IFERROR(VLOOKUP(April[[#This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IFERROR(VLOOKUP(April[[#This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IFERROR(VLOOKUP(April[[#This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IFERROR(VLOOKUP(April[[#This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IFERROR(VLOOKUP(April[[#This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IFERROR(VLOOKUP(April[[#This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IFERROR(VLOOKUP(April[[#This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IFERROR(VLOOKUP(April[[#This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IFERROR(VLOOKUP(April[[#This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IFERROR(VLOOKUP(April[[#This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IFERROR(VLOOKUP(April[[#This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IFERROR(VLOOKUP(April[[#This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IFERROR(VLOOKUP(April[[#This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IFERROR(VLOOKUP(April[[#This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IFERROR(VLOOKUP(April[[#This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IFERROR(VLOOKUP(April[[#This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IFERROR(VLOOKUP(April[[#This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IFERROR(VLOOKUP(April[[#This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IFERROR(VLOOKUP(April[[#This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IFERROR(VLOOKUP(April[[#This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IFERROR(VLOOKUP(April[[#This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IFERROR(VLOOKUP(April[[#This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IFERROR(VLOOKUP(April[[#This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IFERROR(VLOOKUP(April[[#This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IFERROR(VLOOKUP(April[[#This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IFERROR(VLOOKUP(April[[#This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IFERROR(VLOOKUP(April[[#This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IFERROR(VLOOKUP(April[[#This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IFERROR(VLOOKUP(April[[#This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IFERROR(VLOOKUP(April[[#This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IFERROR(VLOOKUP(April[[#This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IFERROR(VLOOKUP(April[[#This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IFERROR(VLOOKUP(April[[#This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IFERROR(VLOOKUP(April[[#This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IFERROR(VLOOKUP(April[[#This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IFERROR(VLOOKUP(April[[#This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IFERROR(VLOOKUP(April[[#This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IFERROR(VLOOKUP(April[[#This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IFERROR(VLOOKUP(April[[#This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IFERROR(VLOOKUP(April[[#This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IFERROR(VLOOKUP(April[[#This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IFERROR(VLOOKUP(April[[#This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IFERROR(VLOOKUP(April[[#This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IFERROR(VLOOKUP(April[[#This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IFERROR(VLOOKUP(April[[#This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IFERROR(VLOOKUP(April[[#This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IFERROR(VLOOKUP(April[[#This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IFERROR(VLOOKUP(April[[#This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IFERROR(VLOOKUP(April[[#This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IFERROR(VLOOKUP(April[[#This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IFERROR(VLOOKUP(April[[#This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IFERROR(VLOOKUP(April[[#This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IFERROR(VLOOKUP(April[[#This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IFERROR(VLOOKUP(April[[#This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IFERROR(VLOOKUP(April[[#This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IFERROR(VLOOKUP(April[[#This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IFERROR(VLOOKUP(April[[#This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IFERROR(VLOOKUP(April[[#This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IFERROR(VLOOKUP(April[[#This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IFERROR(VLOOKUP(April[[#This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IFERROR(VLOOKUP(April[[#This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IFERROR(VLOOKUP(April[[#This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IFERROR(VLOOKUP(April[[#This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IFERROR(VLOOKUP(April[[#This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IFERROR(VLOOKUP(April[[#This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IFERROR(VLOOKUP(April[[#This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IFERROR(VLOOKUP(April[[#This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IFERROR(VLOOKUP(April[[#This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IFERROR(VLOOKUP(April[[#This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IFERROR(VLOOKUP(April[[#This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IFERROR(VLOOKUP(April[[#This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IFERROR(VLOOKUP(April[[#This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IFERROR(VLOOKUP(April[[#This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IFERROR(VLOOKUP(April[[#This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IFERROR(VLOOKUP(April[[#This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IFERROR(VLOOKUP(April[[#This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IFERROR(VLOOKUP(April[[#This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IFERROR(VLOOKUP(April[[#This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IFERROR(VLOOKUP(April[[#This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IFERROR(VLOOKUP(April[[#This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IFERROR(VLOOKUP(April[[#This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IFERROR(VLOOKUP(April[[#This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IFERROR(VLOOKUP(April[[#This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IFERROR(VLOOKUP(April[[#This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IFERROR(VLOOKUP(April[[#This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IFERROR(VLOOKUP(April[[#This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IFERROR(VLOOKUP(April[[#This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IFERROR(VLOOKUP(April[[#This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IFERROR(VLOOKUP(April[[#This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IFERROR(VLOOKUP(April[[#This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IFERROR(VLOOKUP(April[[#This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IFERROR(VLOOKUP(April[[#This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IFERROR(VLOOKUP(April[[#This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IFERROR(VLOOKUP(April[[#This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IFERROR(VLOOKUP(April[[#This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IFERROR(VLOOKUP(April[[#This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IFERROR(VLOOKUP(April[[#This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IFERROR(VLOOKUP(April[[#This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IFERROR(VLOOKUP(April[[#This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IFERROR(VLOOKUP(April[[#This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IFERROR(VLOOKUP(April[[#This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IFERROR(VLOOKUP(April[[#This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IFERROR(VLOOKUP(April[[#This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IFERROR(VLOOKUP(April[[#This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IFERROR(VLOOKUP(April[[#This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IFERROR(VLOOKUP(April[[#This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IFERROR(VLOOKUP(April[[#This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IFERROR(VLOOKUP(April[[#This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IFERROR(VLOOKUP(April[[#This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IFERROR(VLOOKUP(April[[#This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IFERROR(VLOOKUP(April[[#This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IFERROR(VLOOKUP(April[[#This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IFERROR(VLOOKUP(April[[#This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IFERROR(VLOOKUP(April[[#This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IFERROR(VLOOKUP(April[[#This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IFERROR(VLOOKUP(April[[#This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IFERROR(VLOOKUP(April[[#This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IFERROR(VLOOKUP(April[[#This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IFERROR(VLOOKUP(April[[#This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IFERROR(VLOOKUP(April[[#This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IFERROR(VLOOKUP(April[[#This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IFERROR(VLOOKUP(April[[#This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IFERROR(VLOOKUP(April[[#This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IFERROR(VLOOKUP(April[[#This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IFERROR(VLOOKUP(April[[#This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IFERROR(VLOOKUP(April[[#This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IFERROR(VLOOKUP(April[[#This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IFERROR(VLOOKUP(April[[#This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IFERROR(VLOOKUP(April[[#This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IFERROR(VLOOKUP(April[[#This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IFERROR(VLOOKUP(April[[#This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IFERROR(VLOOKUP(April[[#This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IFERROR(VLOOKUP(April[[#This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IFERROR(VLOOKUP(April[[#This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IFERROR(VLOOKUP(April[[#This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IFERROR(VLOOKUP(April[[#This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IFERROR(VLOOKUP(April[[#This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IFERROR(VLOOKUP(April[[#This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IFERROR(VLOOKUP(April[[#This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IFERROR(VLOOKUP(April[[#This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IFERROR(VLOOKUP(April[[#This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IFERROR(VLOOKUP(April[[#This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IFERROR(VLOOKUP(April[[#This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IFERROR(VLOOKUP(April[[#This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IFERROR(VLOOKUP(April[[#This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IFERROR(VLOOKUP(April[[#This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IFERROR(VLOOKUP(April[[#This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IFERROR(VLOOKUP(April[[#This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IFERROR(VLOOKUP(April[[#This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IFERROR(VLOOKUP(April[[#This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IFERROR(VLOOKUP(April[[#This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IFERROR(VLOOKUP(April[[#This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IFERROR(VLOOKUP(April[[#This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IFERROR(VLOOKUP(April[[#This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IFERROR(VLOOKUP(April[[#This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IFERROR(VLOOKUP(April[[#This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IFERROR(VLOOKUP(April[[#This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IFERROR(VLOOKUP(April[[#This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IFERROR(VLOOKUP(April[[#This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IFERROR(VLOOKUP(April[[#This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IFERROR(VLOOKUP(April[[#This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IFERROR(VLOOKUP(April[[#This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IFERROR(VLOOKUP(April[[#This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IFERROR(VLOOKUP(April[[#This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IFERROR(VLOOKUP(April[[#This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IFERROR(VLOOKUP(April[[#This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IFERROR(VLOOKUP(April[[#This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IFERROR(VLOOKUP(April[[#This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IFERROR(VLOOKUP(April[[#This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IFERROR(VLOOKUP(April[[#This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IFERROR(VLOOKUP(April[[#This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IFERROR(VLOOKUP(April[[#This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IFERROR(VLOOKUP(April[[#This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IFERROR(VLOOKUP(April[[#This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IFERROR(VLOOKUP(April[[#This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IFERROR(VLOOKUP(April[[#This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IFERROR(VLOOKUP(April[[#This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IFERROR(VLOOKUP(April[[#This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IFERROR(VLOOKUP(April[[#This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IFERROR(VLOOKUP(April[[#This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IFERROR(VLOOKUP(April[[#This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IFERROR(VLOOKUP(April[[#This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IFERROR(VLOOKUP(April[[#This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IFERROR(VLOOKUP(April[[#This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IFERROR(VLOOKUP(April[[#This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IFERROR(VLOOKUP(April[[#This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IFERROR(VLOOKUP(April[[#This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IFERROR(VLOOKUP(April[[#This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IFERROR(VLOOKUP(April[[#This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IFERROR(VLOOKUP(April[[#This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IFERROR(VLOOKUP(April[[#This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IFERROR(VLOOKUP(April[[#This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IFERROR(VLOOKUP(April[[#This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IFERROR(VLOOKUP(April[[#This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IFERROR(VLOOKUP(April[[#This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IFERROR(VLOOKUP(April[[#This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IFERROR(VLOOKUP(April[[#This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IFERROR(VLOOKUP(April[[#This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IFERROR(VLOOKUP(April[[#This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IFERROR(VLOOKUP(April[[#This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IFERROR(VLOOKUP(April[[#This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IFERROR(VLOOKUP(April[[#This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IFERROR(VLOOKUP(April[[#This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IFERROR(VLOOKUP(April[[#This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IFERROR(VLOOKUP(April[[#This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IFERROR(VLOOKUP(April[[#This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IFERROR(VLOOKUP(April[[#This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IFERROR(VLOOKUP(April[[#This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IFERROR(VLOOKUP(April[[#This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IFERROR(VLOOKUP(April[[#This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IFERROR(VLOOKUP(April[[#This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IFERROR(VLOOKUP(April[[#This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IFERROR(VLOOKUP(April[[#This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IFERROR(VLOOKUP(April[[#This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IFERROR(VLOOKUP(April[[#This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IFERROR(VLOOKUP(April[[#This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IFERROR(VLOOKUP(April[[#This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IFERROR(VLOOKUP(April[[#This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IFERROR(VLOOKUP(April[[#This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IFERROR(VLOOKUP(April[[#This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IFERROR(VLOOKUP(April[[#This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IFERROR(VLOOKUP(April[[#This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IFERROR(VLOOKUP(April[[#This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IFERROR(VLOOKUP(April[[#This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IFERROR(VLOOKUP(April[[#This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IFERROR(VLOOKUP(April[[#This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IFERROR(VLOOKUP(April[[#This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IFERROR(VLOOKUP(April[[#This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IFERROR(VLOOKUP(April[[#This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IFERROR(VLOOKUP(April[[#This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IFERROR(VLOOKUP(April[[#This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IFERROR(VLOOKUP(April[[#This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IFERROR(VLOOKUP(April[[#This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IFERROR(VLOOKUP(April[[#This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IFERROR(VLOOKUP(April[[#This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IFERROR(VLOOKUP(April[[#This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IFERROR(VLOOKUP(April[[#This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IFERROR(VLOOKUP(April[[#This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IFERROR(VLOOKUP(April[[#This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IFERROR(VLOOKUP(April[[#This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IFERROR(VLOOKUP(April[[#This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IFERROR(VLOOKUP(April[[#This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IFERROR(VLOOKUP(April[[#This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IFERROR(VLOOKUP(April[[#This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IFERROR(VLOOKUP(April[[#This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IFERROR(VLOOKUP(April[[#This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IFERROR(VLOOKUP(April[[#This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IFERROR(VLOOKUP(April[[#This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IFERROR(VLOOKUP(April[[#This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IFERROR(VLOOKUP(April[[#This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IFERROR(VLOOKUP(April[[#This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IFERROR(VLOOKUP(April[[#This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IFERROR(VLOOKUP(April[[#This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IFERROR(VLOOKUP(April[[#This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IFERROR(VLOOKUP(April[[#This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IFERROR(VLOOKUP(April[[#This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IFERROR(VLOOKUP(April[[#This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IFERROR(VLOOKUP(April[[#This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IFERROR(VLOOKUP(April[[#This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IFERROR(VLOOKUP(April[[#This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IFERROR(VLOOKUP(April[[#This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IFERROR(VLOOKUP(April[[#This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IFERROR(VLOOKUP(April[[#This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IFERROR(VLOOKUP(April[[#This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IFERROR(VLOOKUP(April[[#This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IFERROR(VLOOKUP(April[[#This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IFERROR(VLOOKUP(April[[#This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IFERROR(VLOOKUP(April[[#This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IFERROR(VLOOKUP(April[[#This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IFERROR(VLOOKUP(April[[#This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IFERROR(VLOOKUP(April[[#This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IFERROR(VLOOKUP(April[[#This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IFERROR(VLOOKUP(April[[#This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IFERROR(VLOOKUP(April[[#This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IFERROR(VLOOKUP(April[[#This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IFERROR(VLOOKUP(April[[#This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IFERROR(VLOOKUP(April[[#This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IFERROR(VLOOKUP(April[[#This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IFERROR(VLOOKUP(April[[#This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IFERROR(VLOOKUP(April[[#This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IFERROR(VLOOKUP(April[[#This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IFERROR(VLOOKUP(April[[#This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IFERROR(VLOOKUP(April[[#This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IFERROR(VLOOKUP(April[[#This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IFERROR(VLOOKUP(April[[#This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IFERROR(VLOOKUP(April[[#This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IFERROR(VLOOKUP(April[[#This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IFERROR(VLOOKUP(April[[#This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IFERROR(VLOOKUP(April[[#This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IFERROR(VLOOKUP(April[[#This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IFERROR(VLOOKUP(April[[#This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IFERROR(VLOOKUP(April[[#This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IFERROR(VLOOKUP(April[[#This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IFERROR(VLOOKUP(April[[#This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IFERROR(VLOOKUP(April[[#This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IFERROR(VLOOKUP(April[[#This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IFERROR(VLOOKUP(April[[#This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IFERROR(VLOOKUP(April[[#This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IFERROR(VLOOKUP(April[[#This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IFERROR(VLOOKUP(April[[#This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IFERROR(VLOOKUP(April[[#This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IFERROR(VLOOKUP(April[[#This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IFERROR(VLOOKUP(April[[#This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IFERROR(VLOOKUP(April[[#This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IFERROR(VLOOKUP(April[[#This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IFERROR(VLOOKUP(April[[#This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IFERROR(VLOOKUP(April[[#This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IFERROR(VLOOKUP(April[[#This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IFERROR(VLOOKUP(April[[#This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IFERROR(VLOOKUP(April[[#This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IFERROR(VLOOKUP(April[[#This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IFERROR(VLOOKUP(April[[#This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IFERROR(VLOOKUP(April[[#This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IFERROR(VLOOKUP(April[[#This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IFERROR(VLOOKUP(April[[#This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IFERROR(VLOOKUP(April[[#This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IFERROR(VLOOKUP(April[[#This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IFERROR(VLOOKUP(April[[#This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IFERROR(VLOOKUP(April[[#This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IFERROR(VLOOKUP(April[[#This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IFERROR(VLOOKUP(April[[#This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IFERROR(VLOOKUP(April[[#This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IFERROR(VLOOKUP(April[[#This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IFERROR(VLOOKUP(April[[#This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IFERROR(VLOOKUP(April[[#This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IFERROR(VLOOKUP(April[[#This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IFERROR(VLOOKUP(April[[#This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IFERROR(VLOOKUP(April[[#This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IFERROR(VLOOKUP(April[[#This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IFERROR(VLOOKUP(April[[#This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IFERROR(VLOOKUP(April[[#This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IFERROR(VLOOKUP(April[[#This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IFERROR(VLOOKUP(April[[#This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IFERROR(VLOOKUP(April[[#This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IFERROR(VLOOKUP(April[[#This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IFERROR(VLOOKUP(April[[#This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IFERROR(VLOOKUP(April[[#This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IFERROR(VLOOKUP(April[[#This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IFERROR(VLOOKUP(April[[#This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IFERROR(VLOOKUP(April[[#This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IFERROR(VLOOKUP(April[[#This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IFERROR(VLOOKUP(April[[#This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IFERROR(VLOOKUP(April[[#This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IFERROR(VLOOKUP(April[[#This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IFERROR(VLOOKUP(April[[#This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IFERROR(VLOOKUP(April[[#This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IFERROR(VLOOKUP(April[[#This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IFERROR(VLOOKUP(April[[#This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IFERROR(VLOOKUP(April[[#This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IFERROR(VLOOKUP(April[[#This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IFERROR(VLOOKUP(April[[#This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IFERROR(VLOOKUP(April[[#This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IFERROR(VLOOKUP(April[[#This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IFERROR(VLOOKUP(April[[#This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IFERROR(VLOOKUP(April[[#This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IFERROR(VLOOKUP(April[[#This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IFERROR(VLOOKUP(April[[#This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IFERROR(VLOOKUP(April[[#This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IFERROR(VLOOKUP(April[[#This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IFERROR(VLOOKUP(April[[#This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IFERROR(VLOOKUP(April[[#This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IFERROR(VLOOKUP(April[[#This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IFERROR(VLOOKUP(April[[#This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IFERROR(VLOOKUP(April[[#This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IFERROR(VLOOKUP(April[[#This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IFERROR(VLOOKUP(April[[#This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IFERROR(VLOOKUP(April[[#This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IFERROR(VLOOKUP(April[[#This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IFERROR(VLOOKUP(April[[#This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IFERROR(VLOOKUP(April[[#This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IFERROR(VLOOKUP(April[[#This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IFERROR(VLOOKUP(April[[#This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IFERROR(VLOOKUP(April[[#This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IFERROR(VLOOKUP(April[[#This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IFERROR(VLOOKUP(April[[#This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IFERROR(VLOOKUP(April[[#This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IFERROR(VLOOKUP(April[[#This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IFERROR(VLOOKUP(April[[#This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IFERROR(VLOOKUP(April[[#This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IFERROR(VLOOKUP(April[[#This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IFERROR(VLOOKUP(April[[#This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IFERROR(VLOOKUP(April[[#This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IFERROR(VLOOKUP(April[[#This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IFERROR(VLOOKUP(April[[#This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IFERROR(VLOOKUP(April[[#This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IFERROR(VLOOKUP(April[[#This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IFERROR(VLOOKUP(April[[#This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IFERROR(VLOOKUP(April[[#This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IFERROR(VLOOKUP(April[[#This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IFERROR(VLOOKUP(April[[#This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IFERROR(VLOOKUP(April[[#This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IFERROR(VLOOKUP(April[[#This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IFERROR(VLOOKUP(April[[#This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IFERROR(VLOOKUP(April[[#This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IFERROR(VLOOKUP(April[[#This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IFERROR(VLOOKUP(April[[#This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IFERROR(VLOOKUP(April[[#This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IFERROR(VLOOKUP(April[[#This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IFERROR(VLOOKUP(April[[#This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IFERROR(VLOOKUP(April[[#This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IFERROR(VLOOKUP(April[[#This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IFERROR(VLOOKUP(April[[#This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IFERROR(VLOOKUP(April[[#This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IFERROR(VLOOKUP(April[[#This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IFERROR(VLOOKUP(April[[#This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IFERROR(VLOOKUP(April[[#This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IFERROR(VLOOKUP(April[[#This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IFERROR(VLOOKUP(April[[#This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IFERROR(VLOOKUP(April[[#This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IFERROR(VLOOKUP(April[[#This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IFERROR(VLOOKUP(April[[#This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IFERROR(VLOOKUP(April[[#This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IFERROR(VLOOKUP(April[[#This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IFERROR(VLOOKUP(April[[#This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IFERROR(VLOOKUP(April[[#This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IFERROR(VLOOKUP(April[[#This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IFERROR(VLOOKUP(April[[#This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IFERROR(VLOOKUP(April[[#This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IFERROR(VLOOKUP(April[[#This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IFERROR(VLOOKUP(April[[#This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IFERROR(VLOOKUP(April[[#This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IFERROR(VLOOKUP(April[[#This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IFERROR(VLOOKUP(April[[#This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IFERROR(VLOOKUP(April[[#This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IFERROR(VLOOKUP(April[[#This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IFERROR(VLOOKUP(April[[#This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IFERROR(VLOOKUP(April[[#This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IFERROR(VLOOKUP(April[[#This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IFERROR(VLOOKUP(April[[#This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IFERROR(VLOOKUP(April[[#This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IFERROR(VLOOKUP(April[[#This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IFERROR(VLOOKUP(April[[#This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IFERROR(VLOOKUP(April[[#This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IFERROR(VLOOKUP(April[[#This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IFERROR(VLOOKUP(April[[#This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IFERROR(VLOOKUP(April[[#This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IFERROR(VLOOKUP(April[[#This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IFERROR(VLOOKUP(April[[#This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IFERROR(VLOOKUP(April[[#This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IFERROR(VLOOKUP(April[[#This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IFERROR(VLOOKUP(April[[#This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IFERROR(VLOOKUP(April[[#This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IFERROR(VLOOKUP(April[[#This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IFERROR(VLOOKUP(April[[#This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IFERROR(VLOOKUP(April[[#This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IFERROR(VLOOKUP(April[[#This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IFERROR(VLOOKUP(April[[#This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IFERROR(VLOOKUP(April[[#This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IFERROR(VLOOKUP(April[[#This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IFERROR(VLOOKUP(April[[#This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IFERROR(VLOOKUP(April[[#This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IFERROR(VLOOKUP(April[[#This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IFERROR(VLOOKUP(April[[#This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IFERROR(VLOOKUP(April[[#This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IFERROR(VLOOKUP(April[[#This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IFERROR(VLOOKUP(April[[#This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IFERROR(VLOOKUP(April[[#This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IFERROR(VLOOKUP(April[[#This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IFERROR(VLOOKUP(April[[#This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IFERROR(VLOOKUP(April[[#This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IFERROR(VLOOKUP(April[[#This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IFERROR(VLOOKUP(April[[#This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IFERROR(VLOOKUP(April[[#This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IFERROR(VLOOKUP(April[[#This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IFERROR(VLOOKUP(April[[#This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IFERROR(VLOOKUP(April[[#This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IFERROR(VLOOKUP(April[[#This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IFERROR(VLOOKUP(April[[#This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IFERROR(VLOOKUP(April[[#This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IFERROR(VLOOKUP(April[[#This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IFERROR(VLOOKUP(April[[#This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IFERROR(VLOOKUP(April[[#This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IFERROR(VLOOKUP(April[[#This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IFERROR(VLOOKUP(April[[#This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IFERROR(VLOOKUP(April[[#This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IFERROR(VLOOKUP(April[[#This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IFERROR(VLOOKUP(April[[#This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IFERROR(VLOOKUP(April[[#This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IFERROR(VLOOKUP(April[[#This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IFERROR(VLOOKUP(April[[#This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IFERROR(VLOOKUP(April[[#This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IFERROR(VLOOKUP(April[[#This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IFERROR(VLOOKUP(April[[#This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IFERROR(VLOOKUP(April[[#This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IFERROR(VLOOKUP(April[[#This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IFERROR(VLOOKUP(April[[#This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IFERROR(VLOOKUP(April[[#This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IFERROR(VLOOKUP(April[[#This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IFERROR(VLOOKUP(April[[#This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IFERROR(VLOOKUP(April[[#This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IFERROR(VLOOKUP(April[[#This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IFERROR(VLOOKUP(April[[#This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IFERROR(VLOOKUP(April[[#This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IFERROR(VLOOKUP(April[[#This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IFERROR(VLOOKUP(April[[#This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IFERROR(VLOOKUP(April[[#This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IFERROR(VLOOKUP(April[[#This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IFERROR(VLOOKUP(April[[#This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IFERROR(VLOOKUP(April[[#This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IFERROR(VLOOKUP(April[[#This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IFERROR(VLOOKUP(April[[#This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IFERROR(VLOOKUP(April[[#This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IFERROR(VLOOKUP(April[[#This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IFERROR(VLOOKUP(April[[#This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IFERROR(VLOOKUP(April[[#This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IFERROR(VLOOKUP(April[[#This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IFERROR(VLOOKUP(April[[#This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IFERROR(VLOOKUP(April[[#This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IFERROR(VLOOKUP(April[[#This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IFERROR(VLOOKUP(April[[#This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IFERROR(VLOOKUP(April[[#This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SUBTOTAL(103,April[Location Filled9])</f>
        <v>0</v>
      </c>
    </row>
  </sheetData>
  <sheetProtection algorithmName="SHA-512" hashValue="65Kq2AUClu+i70yxn6fw6hQQCyHkL2TuvXDrNkyg82tSrOxgdnS9PBj0FikE1fp/+HDilkzudihxvVJTVXZpBg==" saltValue="0TKEcKROeJ5qbOLybJtCrA==" spinCount="100000" sheet="1" objects="1" scenarios="1"/>
  <mergeCells count="13">
    <mergeCell ref="AR2:AX2"/>
    <mergeCell ref="BS2:BY2"/>
    <mergeCell ref="BZ2:CF2"/>
    <mergeCell ref="CG2:CM2"/>
    <mergeCell ref="AL1:AQ2"/>
    <mergeCell ref="BM1:BR2"/>
    <mergeCell ref="BF2:BL2"/>
    <mergeCell ref="A1:J2"/>
    <mergeCell ref="K1:AF1"/>
    <mergeCell ref="K2:P2"/>
    <mergeCell ref="Q2:V2"/>
    <mergeCell ref="X2:AD2"/>
    <mergeCell ref="AE2:AK2"/>
  </mergeCells>
  <dataValidations count="19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L4:AL201 BM4:BM201">
      <formula1>INDIRECT("Disease_Type")</formula1>
    </dataValidation>
    <dataValidation type="list" allowBlank="1" showInputMessage="1" showErrorMessage="1" sqref="M4:M201 AN4:AN201 BO4:BO201">
      <formula1>INDIRECT("Disease_Descrip")</formula1>
    </dataValidation>
    <dataValidation type="list" allowBlank="1" showInputMessage="1" showErrorMessage="1" sqref="N4:N201 AO4:AO201 BP4:BP201">
      <formula1>INDIRECT("Dz_Abx_Num")</formula1>
    </dataValidation>
    <dataValidation type="list" allowBlank="1" showInputMessage="1" showErrorMessage="1" sqref="O4:O201 AP4:AP201 BQ4:BQ201">
      <formula1>INDIRECT("Diagnostics_Offer_YN")</formula1>
    </dataValidation>
    <dataValidation type="list" allowBlank="1" showInputMessage="1" showErrorMessage="1" sqref="P4:P201 AQ4:AQ201 BR4:BR201">
      <formula1>INDIRECT("Diagnostics_Performed_YN")</formula1>
    </dataValidation>
    <dataValidation type="list" allowBlank="1" showInputMessage="1" showErrorMessage="1" sqref="Q4:Q201 X4:X201 AE4:AE201 AR4:AR201 AY4:AY201 BF4:BF201 BS4:BS201 BZ4:BZ201 CG4:CG201">
      <formula1>INDIRECT("Drug_Name")</formula1>
    </dataValidation>
    <dataValidation type="list" allowBlank="1" showInputMessage="1" showErrorMessage="1" sqref="T4:T201 AA4:AA201 AH4:AH201 AU4:AU201 BB4:BB201 BI4:BI201 BV4:BV201 CC4:CC201 CJ4:CJ201">
      <formula1>INDIRECT("Abx_Freq")</formula1>
    </dataValidation>
    <dataValidation type="list" allowBlank="1" showInputMessage="1" showErrorMessage="1" sqref="U4:U201 AB4:AB201 AI4:AI201 AV4:AV201 BC4:BC201 BJ4:BJ201 BW4:BW201 CD4:CD201 CK4:CK201">
      <formula1>INDIRECT("Abx_Route")</formula1>
    </dataValidation>
    <dataValidation type="list" allowBlank="1" showInputMessage="1" showErrorMessage="1" sqref="W4:W201 AD4:AD201 AK4:AK201 AX4:AX201 BE4:BE201 BL4:BL201 BY4:BY201 CF4:CF201 CM4:CM201">
      <formula1>INDIRECT("Prescription_Type")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M4:AM201 BN4:BN201"/>
    <dataValidation allowBlank="1" showInputMessage="1" showErrorMessage="1" prompt="Only type in this column IF Reason for Visit is Other " sqref="H4"/>
    <dataValidation type="decimal" allowBlank="1" showInputMessage="1" showErrorMessage="1" sqref="S4:S201 Z4:Z201 V4:V201 AC4:AC201 AG4:AG201 AJ4:AJ201 AT4:AT201 AW4:AW201 BD4:BD201 BA4:BA201 BH4:BH201 BK4:BK201 BU4:BU201 BX4:BX201 CB4:CB201 CE4:CE201 CI4:CI201 CL4:CL201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Background</vt:lpstr>
      <vt:lpstr>Dataset Dictionary</vt:lpstr>
      <vt:lpstr>Total Patients</vt:lpstr>
      <vt:lpstr>Summary Tables</vt:lpstr>
      <vt:lpstr>Calculations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Data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McNamee</dc:creator>
  <cp:lastModifiedBy>Emma Leof</cp:lastModifiedBy>
  <dcterms:created xsi:type="dcterms:W3CDTF">2020-03-09T15:06:37Z</dcterms:created>
  <dcterms:modified xsi:type="dcterms:W3CDTF">2020-06-17T16:20:28Z</dcterms:modified>
</cp:coreProperties>
</file>