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ofx003\Documents\Clinical Resources and Tools\Tracking Tool\"/>
    </mc:Choice>
  </mc:AlternateContent>
  <bookViews>
    <workbookView xWindow="0" yWindow="1020" windowWidth="27320" windowHeight="12540" firstSheet="7" activeTab="16"/>
  </bookViews>
  <sheets>
    <sheet name="Background" sheetId="5" r:id="rId1"/>
    <sheet name="Dataset Dictionary" sheetId="4" state="hidden" r:id="rId2"/>
    <sheet name="Total Patients" sheetId="8" r:id="rId3"/>
    <sheet name="Summary Tables" sheetId="3" r:id="rId4"/>
    <sheet name="Calculations" sheetId="2" state="hidden" r:id="rId5"/>
    <sheet name="January" sheetId="12" r:id="rId6"/>
    <sheet name="February" sheetId="13" r:id="rId7"/>
    <sheet name="March" sheetId="14" r:id="rId8"/>
    <sheet name="April" sheetId="15" r:id="rId9"/>
    <sheet name="May" sheetId="16" r:id="rId10"/>
    <sheet name="June" sheetId="17" r:id="rId11"/>
    <sheet name="July" sheetId="18" r:id="rId12"/>
    <sheet name="August" sheetId="19" r:id="rId13"/>
    <sheet name="September" sheetId="20" r:id="rId14"/>
    <sheet name="October" sheetId="21" r:id="rId15"/>
    <sheet name="November" sheetId="22" r:id="rId16"/>
    <sheet name="December" sheetId="23" r:id="rId17"/>
    <sheet name="Data Options" sheetId="10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3" i="2" l="1"/>
  <c r="AC79" i="2" l="1"/>
  <c r="M185" i="2" l="1"/>
  <c r="M184" i="2"/>
  <c r="M183" i="2"/>
  <c r="M182" i="2"/>
  <c r="M181" i="2"/>
  <c r="M180" i="2"/>
  <c r="L185" i="2"/>
  <c r="L184" i="2"/>
  <c r="L183" i="2"/>
  <c r="L182" i="2"/>
  <c r="L181" i="2"/>
  <c r="L180" i="2"/>
  <c r="K185" i="2"/>
  <c r="K184" i="2"/>
  <c r="K183" i="2"/>
  <c r="K182" i="2"/>
  <c r="K181" i="2"/>
  <c r="K180" i="2"/>
  <c r="J185" i="2"/>
  <c r="J184" i="2"/>
  <c r="J183" i="2"/>
  <c r="J182" i="2"/>
  <c r="J181" i="2"/>
  <c r="J180" i="2"/>
  <c r="I185" i="2"/>
  <c r="I184" i="2"/>
  <c r="I183" i="2"/>
  <c r="I182" i="2"/>
  <c r="I181" i="2"/>
  <c r="I180" i="2"/>
  <c r="H185" i="2"/>
  <c r="H184" i="2"/>
  <c r="H183" i="2"/>
  <c r="H182" i="2"/>
  <c r="H181" i="2"/>
  <c r="H180" i="2"/>
  <c r="G185" i="2"/>
  <c r="G184" i="2"/>
  <c r="G183" i="2"/>
  <c r="G182" i="2"/>
  <c r="G181" i="2"/>
  <c r="G180" i="2"/>
  <c r="F185" i="2"/>
  <c r="F184" i="2"/>
  <c r="F183" i="2"/>
  <c r="F182" i="2"/>
  <c r="F181" i="2"/>
  <c r="F180" i="2"/>
  <c r="E185" i="2"/>
  <c r="E184" i="2"/>
  <c r="E183" i="2"/>
  <c r="E182" i="2"/>
  <c r="E181" i="2"/>
  <c r="E180" i="2"/>
  <c r="D185" i="2"/>
  <c r="D184" i="2"/>
  <c r="D183" i="2"/>
  <c r="D182" i="2"/>
  <c r="D181" i="2"/>
  <c r="D180" i="2"/>
  <c r="C185" i="2"/>
  <c r="C184" i="2"/>
  <c r="C183" i="2"/>
  <c r="C182" i="2"/>
  <c r="C181" i="2"/>
  <c r="C180" i="2"/>
  <c r="B185" i="2"/>
  <c r="B184" i="2"/>
  <c r="B183" i="2"/>
  <c r="B182" i="2"/>
  <c r="B181" i="2"/>
  <c r="B180" i="2"/>
  <c r="B171" i="2"/>
  <c r="M23" i="2"/>
  <c r="L23" i="2"/>
  <c r="K23" i="2"/>
  <c r="J23" i="2"/>
  <c r="I23" i="2"/>
  <c r="H23" i="2"/>
  <c r="G23" i="2"/>
  <c r="F23" i="2"/>
  <c r="E23" i="2"/>
  <c r="D23" i="2"/>
  <c r="C23" i="2"/>
  <c r="B23" i="2"/>
  <c r="N23" i="2" l="1"/>
  <c r="O185" i="2"/>
  <c r="O184" i="2"/>
  <c r="O183" i="2"/>
  <c r="O182" i="2"/>
  <c r="O181" i="2"/>
  <c r="O180" i="2"/>
  <c r="M176" i="2"/>
  <c r="M175" i="2"/>
  <c r="M174" i="2"/>
  <c r="M173" i="2"/>
  <c r="M172" i="2"/>
  <c r="L176" i="2"/>
  <c r="L175" i="2"/>
  <c r="L174" i="2"/>
  <c r="L173" i="2"/>
  <c r="L172" i="2"/>
  <c r="K176" i="2"/>
  <c r="K175" i="2"/>
  <c r="K174" i="2"/>
  <c r="K173" i="2"/>
  <c r="K172" i="2"/>
  <c r="J176" i="2"/>
  <c r="J175" i="2"/>
  <c r="J174" i="2"/>
  <c r="J173" i="2"/>
  <c r="J172" i="2"/>
  <c r="I176" i="2"/>
  <c r="I175" i="2"/>
  <c r="I174" i="2"/>
  <c r="I173" i="2"/>
  <c r="I172" i="2"/>
  <c r="H176" i="2"/>
  <c r="H175" i="2"/>
  <c r="H174" i="2"/>
  <c r="H173" i="2"/>
  <c r="H172" i="2"/>
  <c r="G176" i="2"/>
  <c r="G175" i="2"/>
  <c r="G174" i="2"/>
  <c r="G173" i="2"/>
  <c r="G172" i="2"/>
  <c r="F176" i="2"/>
  <c r="F175" i="2"/>
  <c r="F174" i="2"/>
  <c r="F173" i="2"/>
  <c r="F172" i="2"/>
  <c r="E176" i="2"/>
  <c r="E175" i="2"/>
  <c r="E174" i="2"/>
  <c r="E173" i="2"/>
  <c r="E172" i="2"/>
  <c r="D176" i="2"/>
  <c r="D174" i="2"/>
  <c r="D173" i="2"/>
  <c r="D172" i="2"/>
  <c r="C176" i="2"/>
  <c r="C175" i="2"/>
  <c r="C174" i="2"/>
  <c r="C173" i="2"/>
  <c r="C172" i="2"/>
  <c r="B176" i="2"/>
  <c r="B175" i="2"/>
  <c r="B174" i="2"/>
  <c r="B173" i="2"/>
  <c r="B172" i="2"/>
  <c r="D175" i="2"/>
  <c r="M171" i="2"/>
  <c r="L171" i="2"/>
  <c r="K171" i="2"/>
  <c r="J171" i="2"/>
  <c r="I171" i="2"/>
  <c r="H171" i="2"/>
  <c r="G171" i="2"/>
  <c r="F171" i="2"/>
  <c r="E171" i="2"/>
  <c r="D171" i="2"/>
  <c r="C171" i="2"/>
  <c r="B161" i="2"/>
  <c r="O171" i="2" l="1"/>
  <c r="O176" i="2"/>
  <c r="O175" i="2"/>
  <c r="O174" i="2"/>
  <c r="O173" i="2"/>
  <c r="O172" i="2"/>
  <c r="M164" i="2"/>
  <c r="M163" i="2"/>
  <c r="M162" i="2"/>
  <c r="M161" i="2"/>
  <c r="L164" i="2"/>
  <c r="L163" i="2"/>
  <c r="L162" i="2"/>
  <c r="L161" i="2"/>
  <c r="K164" i="2"/>
  <c r="K163" i="2"/>
  <c r="K162" i="2"/>
  <c r="K161" i="2"/>
  <c r="J164" i="2"/>
  <c r="J163" i="2"/>
  <c r="J162" i="2"/>
  <c r="J161" i="2"/>
  <c r="I164" i="2"/>
  <c r="I163" i="2"/>
  <c r="I162" i="2"/>
  <c r="I161" i="2"/>
  <c r="H164" i="2"/>
  <c r="H163" i="2"/>
  <c r="H162" i="2"/>
  <c r="H161" i="2"/>
  <c r="G164" i="2"/>
  <c r="G163" i="2"/>
  <c r="G162" i="2"/>
  <c r="G161" i="2"/>
  <c r="F164" i="2"/>
  <c r="F163" i="2"/>
  <c r="F162" i="2"/>
  <c r="F161" i="2"/>
  <c r="E164" i="2"/>
  <c r="E163" i="2"/>
  <c r="E162" i="2"/>
  <c r="E161" i="2"/>
  <c r="D164" i="2"/>
  <c r="D163" i="2"/>
  <c r="D162" i="2"/>
  <c r="D161" i="2"/>
  <c r="C164" i="2"/>
  <c r="C163" i="2"/>
  <c r="C162" i="2"/>
  <c r="C161" i="2"/>
  <c r="B164" i="2"/>
  <c r="O164" i="2" s="1"/>
  <c r="B163" i="2"/>
  <c r="O163" i="2" s="1"/>
  <c r="B162" i="2"/>
  <c r="O162" i="2" s="1"/>
  <c r="O161" i="2"/>
  <c r="B154" i="2"/>
  <c r="M155" i="2"/>
  <c r="M154" i="2"/>
  <c r="L155" i="2"/>
  <c r="L154" i="2"/>
  <c r="K155" i="2"/>
  <c r="K154" i="2"/>
  <c r="J155" i="2"/>
  <c r="J154" i="2"/>
  <c r="I155" i="2"/>
  <c r="I154" i="2"/>
  <c r="H155" i="2"/>
  <c r="H154" i="2"/>
  <c r="G155" i="2"/>
  <c r="G154" i="2"/>
  <c r="F155" i="2"/>
  <c r="F154" i="2"/>
  <c r="E155" i="2"/>
  <c r="E154" i="2"/>
  <c r="D155" i="2"/>
  <c r="D154" i="2"/>
  <c r="C155" i="2"/>
  <c r="C154" i="2"/>
  <c r="B155" i="2"/>
  <c r="M26" i="2"/>
  <c r="M25" i="2"/>
  <c r="L26" i="2"/>
  <c r="L25" i="2"/>
  <c r="K26" i="2"/>
  <c r="K25" i="2"/>
  <c r="J26" i="2"/>
  <c r="J25" i="2"/>
  <c r="I26" i="2"/>
  <c r="I25" i="2"/>
  <c r="H26" i="2"/>
  <c r="H25" i="2"/>
  <c r="G26" i="2"/>
  <c r="G25" i="2"/>
  <c r="F26" i="2"/>
  <c r="F25" i="2"/>
  <c r="E26" i="2"/>
  <c r="E25" i="2"/>
  <c r="D26" i="2"/>
  <c r="D25" i="2"/>
  <c r="C26" i="2"/>
  <c r="C25" i="2"/>
  <c r="B26" i="2"/>
  <c r="B25" i="2"/>
  <c r="CH4" i="23"/>
  <c r="CH5" i="23"/>
  <c r="CH6" i="23"/>
  <c r="CH7" i="23"/>
  <c r="CH8" i="23"/>
  <c r="CH9" i="23"/>
  <c r="CH10" i="23"/>
  <c r="CH11" i="23"/>
  <c r="CH12" i="23"/>
  <c r="CH13" i="23"/>
  <c r="CH14" i="23"/>
  <c r="CH15" i="23"/>
  <c r="CH16" i="23"/>
  <c r="CH17" i="23"/>
  <c r="CH18" i="23"/>
  <c r="CH19" i="23"/>
  <c r="CH20" i="23"/>
  <c r="CH21" i="23"/>
  <c r="CH22" i="23"/>
  <c r="CH23" i="23"/>
  <c r="CH24" i="23"/>
  <c r="CH25" i="23"/>
  <c r="CH26" i="23"/>
  <c r="CH27" i="23"/>
  <c r="CH28" i="23"/>
  <c r="CH29" i="23"/>
  <c r="CH30" i="23"/>
  <c r="CH31" i="23"/>
  <c r="CH32" i="23"/>
  <c r="CH33" i="23"/>
  <c r="CH34" i="23"/>
  <c r="CH35" i="23"/>
  <c r="CH36" i="23"/>
  <c r="CH37" i="23"/>
  <c r="CH38" i="23"/>
  <c r="CH39" i="23"/>
  <c r="CH40" i="23"/>
  <c r="CH41" i="23"/>
  <c r="CH42" i="23"/>
  <c r="CH43" i="23"/>
  <c r="CH44" i="23"/>
  <c r="CH45" i="23"/>
  <c r="CH46" i="23"/>
  <c r="CH47" i="23"/>
  <c r="CH48" i="23"/>
  <c r="CH49" i="23"/>
  <c r="CH50" i="23"/>
  <c r="CH51" i="23"/>
  <c r="CH52" i="23"/>
  <c r="CH53" i="23"/>
  <c r="CH54" i="23"/>
  <c r="CH55" i="23"/>
  <c r="CH56" i="23"/>
  <c r="CH57" i="23"/>
  <c r="CH58" i="23"/>
  <c r="CH59" i="23"/>
  <c r="CH60" i="23"/>
  <c r="CH61" i="23"/>
  <c r="CH62" i="23"/>
  <c r="CH63" i="23"/>
  <c r="CH64" i="23"/>
  <c r="CH65" i="23"/>
  <c r="CH66" i="23"/>
  <c r="CH67" i="23"/>
  <c r="CH68" i="23"/>
  <c r="CH69" i="23"/>
  <c r="CH70" i="23"/>
  <c r="CH71" i="23"/>
  <c r="CH72" i="23"/>
  <c r="CH73" i="23"/>
  <c r="CH74" i="23"/>
  <c r="CH75" i="23"/>
  <c r="CH76" i="23"/>
  <c r="CH77" i="23"/>
  <c r="CH78" i="23"/>
  <c r="CH79" i="23"/>
  <c r="CH80" i="23"/>
  <c r="CH81" i="23"/>
  <c r="CH82" i="23"/>
  <c r="CH83" i="23"/>
  <c r="CH84" i="23"/>
  <c r="CH85" i="23"/>
  <c r="CH86" i="23"/>
  <c r="CH87" i="23"/>
  <c r="CH88" i="23"/>
  <c r="CH89" i="23"/>
  <c r="CH90" i="23"/>
  <c r="CH91" i="23"/>
  <c r="CH92" i="23"/>
  <c r="CH93" i="23"/>
  <c r="CH94" i="23"/>
  <c r="CH95" i="23"/>
  <c r="CH96" i="23"/>
  <c r="CH97" i="23"/>
  <c r="CH98" i="23"/>
  <c r="CH99" i="23"/>
  <c r="CH100" i="23"/>
  <c r="CH101" i="23"/>
  <c r="CH102" i="23"/>
  <c r="CH103" i="23"/>
  <c r="CH104" i="23"/>
  <c r="CH105" i="23"/>
  <c r="CH106" i="23"/>
  <c r="CH107" i="23"/>
  <c r="CH108" i="23"/>
  <c r="CH109" i="23"/>
  <c r="CH110" i="23"/>
  <c r="CH111" i="23"/>
  <c r="CH112" i="23"/>
  <c r="CH113" i="23"/>
  <c r="CH114" i="23"/>
  <c r="CH115" i="23"/>
  <c r="CH116" i="23"/>
  <c r="CH117" i="23"/>
  <c r="CH118" i="23"/>
  <c r="CH119" i="23"/>
  <c r="CH120" i="23"/>
  <c r="CH121" i="23"/>
  <c r="CH122" i="23"/>
  <c r="CH123" i="23"/>
  <c r="CH124" i="23"/>
  <c r="CH125" i="23"/>
  <c r="CH126" i="23"/>
  <c r="CH127" i="23"/>
  <c r="CH128" i="23"/>
  <c r="CH129" i="23"/>
  <c r="CH130" i="23"/>
  <c r="CH131" i="23"/>
  <c r="CH132" i="23"/>
  <c r="CH133" i="23"/>
  <c r="CH134" i="23"/>
  <c r="CH135" i="23"/>
  <c r="CH136" i="23"/>
  <c r="CH137" i="23"/>
  <c r="CH138" i="23"/>
  <c r="CH139" i="23"/>
  <c r="CH140" i="23"/>
  <c r="CH141" i="23"/>
  <c r="CH142" i="23"/>
  <c r="CH143" i="23"/>
  <c r="CH144" i="23"/>
  <c r="CH145" i="23"/>
  <c r="CH146" i="23"/>
  <c r="CH147" i="23"/>
  <c r="CH148" i="23"/>
  <c r="CH149" i="23"/>
  <c r="CH150" i="23"/>
  <c r="CH151" i="23"/>
  <c r="CH152" i="23"/>
  <c r="CH153" i="23"/>
  <c r="CH154" i="23"/>
  <c r="CH155" i="23"/>
  <c r="CH156" i="23"/>
  <c r="CH157" i="23"/>
  <c r="CH158" i="23"/>
  <c r="CH159" i="23"/>
  <c r="CH160" i="23"/>
  <c r="CH161" i="23"/>
  <c r="CH162" i="23"/>
  <c r="CH163" i="23"/>
  <c r="CH164" i="23"/>
  <c r="CH165" i="23"/>
  <c r="CH166" i="23"/>
  <c r="CH167" i="23"/>
  <c r="CH168" i="23"/>
  <c r="CH169" i="23"/>
  <c r="CH170" i="23"/>
  <c r="CH171" i="23"/>
  <c r="CH172" i="23"/>
  <c r="CH173" i="23"/>
  <c r="CH174" i="23"/>
  <c r="CH175" i="23"/>
  <c r="CH176" i="23"/>
  <c r="CH177" i="23"/>
  <c r="CH178" i="23"/>
  <c r="CH179" i="23"/>
  <c r="CH180" i="23"/>
  <c r="CH181" i="23"/>
  <c r="CH182" i="23"/>
  <c r="CH183" i="23"/>
  <c r="CH184" i="23"/>
  <c r="CH185" i="23"/>
  <c r="CH186" i="23"/>
  <c r="CH187" i="23"/>
  <c r="CH188" i="23"/>
  <c r="CH189" i="23"/>
  <c r="CH190" i="23"/>
  <c r="CH191" i="23"/>
  <c r="CH192" i="23"/>
  <c r="CH193" i="23"/>
  <c r="CH194" i="23"/>
  <c r="CH195" i="23"/>
  <c r="CH196" i="23"/>
  <c r="CH197" i="23"/>
  <c r="CH198" i="23"/>
  <c r="CH199" i="23"/>
  <c r="CH200" i="23"/>
  <c r="CH201" i="23"/>
  <c r="CA4" i="23"/>
  <c r="CA5" i="23"/>
  <c r="CA6" i="23"/>
  <c r="CA7" i="23"/>
  <c r="CA8" i="23"/>
  <c r="CA9" i="23"/>
  <c r="CA10" i="23"/>
  <c r="CA11" i="23"/>
  <c r="CA12" i="23"/>
  <c r="CA13" i="23"/>
  <c r="CA14" i="23"/>
  <c r="CA15" i="23"/>
  <c r="CA16" i="23"/>
  <c r="CA17" i="23"/>
  <c r="CA18" i="23"/>
  <c r="CA19" i="23"/>
  <c r="CA20" i="23"/>
  <c r="CA21" i="23"/>
  <c r="CA22" i="23"/>
  <c r="CA23" i="23"/>
  <c r="CA24" i="23"/>
  <c r="CA25" i="23"/>
  <c r="CA26" i="23"/>
  <c r="CA27" i="23"/>
  <c r="CA28" i="23"/>
  <c r="CA29" i="23"/>
  <c r="CA30" i="23"/>
  <c r="CA31" i="23"/>
  <c r="CA32" i="23"/>
  <c r="CA33" i="23"/>
  <c r="CA34" i="23"/>
  <c r="CA35" i="23"/>
  <c r="CA36" i="23"/>
  <c r="CA37" i="23"/>
  <c r="CA38" i="23"/>
  <c r="CA39" i="23"/>
  <c r="CA40" i="23"/>
  <c r="CA41" i="23"/>
  <c r="CA42" i="23"/>
  <c r="CA43" i="23"/>
  <c r="CA44" i="23"/>
  <c r="CA45" i="23"/>
  <c r="CA46" i="23"/>
  <c r="CA47" i="23"/>
  <c r="CA48" i="23"/>
  <c r="CA49" i="23"/>
  <c r="CA50" i="23"/>
  <c r="CA51" i="23"/>
  <c r="CA52" i="23"/>
  <c r="CA53" i="23"/>
  <c r="CA54" i="23"/>
  <c r="CA55" i="23"/>
  <c r="CA56" i="23"/>
  <c r="CA57" i="23"/>
  <c r="CA58" i="23"/>
  <c r="CA59" i="23"/>
  <c r="CA60" i="23"/>
  <c r="CA61" i="23"/>
  <c r="CA62" i="23"/>
  <c r="CA63" i="23"/>
  <c r="CA64" i="23"/>
  <c r="CA65" i="23"/>
  <c r="CA66" i="23"/>
  <c r="CA67" i="23"/>
  <c r="CA68" i="23"/>
  <c r="CA69" i="23"/>
  <c r="CA70" i="23"/>
  <c r="CA71" i="23"/>
  <c r="CA72" i="23"/>
  <c r="CA73" i="23"/>
  <c r="CA74" i="23"/>
  <c r="CA75" i="23"/>
  <c r="CA76" i="23"/>
  <c r="CA77" i="23"/>
  <c r="CA78" i="23"/>
  <c r="CA79" i="23"/>
  <c r="CA80" i="23"/>
  <c r="CA81" i="23"/>
  <c r="CA82" i="23"/>
  <c r="CA83" i="23"/>
  <c r="CA84" i="23"/>
  <c r="CA85" i="23"/>
  <c r="CA86" i="23"/>
  <c r="CA87" i="23"/>
  <c r="CA88" i="23"/>
  <c r="CA89" i="23"/>
  <c r="CA90" i="23"/>
  <c r="CA91" i="23"/>
  <c r="CA92" i="23"/>
  <c r="CA93" i="23"/>
  <c r="CA94" i="23"/>
  <c r="CA95" i="23"/>
  <c r="CA96" i="23"/>
  <c r="CA97" i="23"/>
  <c r="CA98" i="23"/>
  <c r="CA99" i="23"/>
  <c r="CA100" i="23"/>
  <c r="CA101" i="23"/>
  <c r="CA102" i="23"/>
  <c r="CA103" i="23"/>
  <c r="CA104" i="23"/>
  <c r="CA105" i="23"/>
  <c r="CA106" i="23"/>
  <c r="CA107" i="23"/>
  <c r="CA108" i="23"/>
  <c r="CA109" i="23"/>
  <c r="CA110" i="23"/>
  <c r="CA111" i="23"/>
  <c r="CA112" i="23"/>
  <c r="CA113" i="23"/>
  <c r="CA114" i="23"/>
  <c r="CA115" i="23"/>
  <c r="CA116" i="23"/>
  <c r="CA117" i="23"/>
  <c r="CA118" i="23"/>
  <c r="CA119" i="23"/>
  <c r="CA120" i="23"/>
  <c r="CA121" i="23"/>
  <c r="CA122" i="23"/>
  <c r="CA123" i="23"/>
  <c r="CA124" i="23"/>
  <c r="CA125" i="23"/>
  <c r="CA126" i="23"/>
  <c r="CA127" i="23"/>
  <c r="CA128" i="23"/>
  <c r="CA129" i="23"/>
  <c r="CA130" i="23"/>
  <c r="CA131" i="23"/>
  <c r="CA132" i="23"/>
  <c r="CA133" i="23"/>
  <c r="CA134" i="23"/>
  <c r="CA135" i="23"/>
  <c r="CA136" i="23"/>
  <c r="CA137" i="23"/>
  <c r="CA138" i="23"/>
  <c r="CA139" i="23"/>
  <c r="CA140" i="23"/>
  <c r="CA141" i="23"/>
  <c r="CA142" i="23"/>
  <c r="CA143" i="23"/>
  <c r="CA144" i="23"/>
  <c r="CA145" i="23"/>
  <c r="CA146" i="23"/>
  <c r="CA147" i="23"/>
  <c r="CA148" i="23"/>
  <c r="CA149" i="23"/>
  <c r="CA150" i="23"/>
  <c r="CA151" i="23"/>
  <c r="CA152" i="23"/>
  <c r="CA153" i="23"/>
  <c r="CA154" i="23"/>
  <c r="CA155" i="23"/>
  <c r="CA156" i="23"/>
  <c r="CA157" i="23"/>
  <c r="CA158" i="23"/>
  <c r="CA159" i="23"/>
  <c r="CA160" i="23"/>
  <c r="CA161" i="23"/>
  <c r="CA162" i="23"/>
  <c r="CA163" i="23"/>
  <c r="CA164" i="23"/>
  <c r="CA165" i="23"/>
  <c r="CA166" i="23"/>
  <c r="CA167" i="23"/>
  <c r="CA168" i="23"/>
  <c r="CA169" i="23"/>
  <c r="CA170" i="23"/>
  <c r="CA171" i="23"/>
  <c r="CA172" i="23"/>
  <c r="CA173" i="23"/>
  <c r="CA174" i="23"/>
  <c r="CA175" i="23"/>
  <c r="CA176" i="23"/>
  <c r="CA177" i="23"/>
  <c r="CA178" i="23"/>
  <c r="CA179" i="23"/>
  <c r="CA180" i="23"/>
  <c r="CA181" i="23"/>
  <c r="CA182" i="23"/>
  <c r="CA183" i="23"/>
  <c r="CA184" i="23"/>
  <c r="CA185" i="23"/>
  <c r="CA186" i="23"/>
  <c r="CA187" i="23"/>
  <c r="CA188" i="23"/>
  <c r="CA189" i="23"/>
  <c r="CA190" i="23"/>
  <c r="CA191" i="23"/>
  <c r="CA192" i="23"/>
  <c r="CA193" i="23"/>
  <c r="CA194" i="23"/>
  <c r="CA195" i="23"/>
  <c r="CA196" i="23"/>
  <c r="CA197" i="23"/>
  <c r="CA198" i="23"/>
  <c r="CA199" i="23"/>
  <c r="CA200" i="23"/>
  <c r="CA201" i="23"/>
  <c r="BT4" i="23"/>
  <c r="BT5" i="23"/>
  <c r="BT6" i="23"/>
  <c r="BT7" i="23"/>
  <c r="BT8" i="23"/>
  <c r="BT9" i="23"/>
  <c r="BT10" i="23"/>
  <c r="BT11" i="23"/>
  <c r="BT12" i="23"/>
  <c r="BT13" i="23"/>
  <c r="BT14" i="23"/>
  <c r="BT15" i="23"/>
  <c r="BT16" i="23"/>
  <c r="BT17" i="23"/>
  <c r="BT18" i="23"/>
  <c r="BT19" i="23"/>
  <c r="BT20" i="23"/>
  <c r="BT21" i="23"/>
  <c r="BT22" i="23"/>
  <c r="BT23" i="23"/>
  <c r="BT24" i="23"/>
  <c r="BT25" i="23"/>
  <c r="BT26" i="23"/>
  <c r="BT27" i="23"/>
  <c r="BT28" i="23"/>
  <c r="BT29" i="23"/>
  <c r="BT30" i="23"/>
  <c r="BT31" i="23"/>
  <c r="BT32" i="23"/>
  <c r="BT33" i="23"/>
  <c r="BT34" i="23"/>
  <c r="BT35" i="23"/>
  <c r="BT36" i="23"/>
  <c r="BT37" i="23"/>
  <c r="BT38" i="23"/>
  <c r="BT39" i="23"/>
  <c r="BT40" i="23"/>
  <c r="BT41" i="23"/>
  <c r="BT42" i="23"/>
  <c r="BT43" i="23"/>
  <c r="BT44" i="23"/>
  <c r="BT45" i="23"/>
  <c r="BT46" i="23"/>
  <c r="BT47" i="23"/>
  <c r="BT48" i="23"/>
  <c r="BT49" i="23"/>
  <c r="BT50" i="23"/>
  <c r="BT51" i="23"/>
  <c r="BT52" i="23"/>
  <c r="BT53" i="23"/>
  <c r="BT54" i="23"/>
  <c r="BT55" i="23"/>
  <c r="BT56" i="23"/>
  <c r="BT57" i="23"/>
  <c r="BT58" i="23"/>
  <c r="BT59" i="23"/>
  <c r="BT60" i="23"/>
  <c r="BT61" i="23"/>
  <c r="BT62" i="23"/>
  <c r="BT63" i="23"/>
  <c r="BT64" i="23"/>
  <c r="BT65" i="23"/>
  <c r="BT66" i="23"/>
  <c r="BT67" i="23"/>
  <c r="BT68" i="23"/>
  <c r="BT69" i="23"/>
  <c r="BT70" i="23"/>
  <c r="BT71" i="23"/>
  <c r="BT72" i="23"/>
  <c r="BT73" i="23"/>
  <c r="BT74" i="23"/>
  <c r="BT75" i="23"/>
  <c r="BT76" i="23"/>
  <c r="BT77" i="23"/>
  <c r="BT78" i="23"/>
  <c r="BT79" i="23"/>
  <c r="BT80" i="23"/>
  <c r="BT81" i="23"/>
  <c r="BT82" i="23"/>
  <c r="BT83" i="23"/>
  <c r="BT84" i="23"/>
  <c r="BT85" i="23"/>
  <c r="BT86" i="23"/>
  <c r="BT87" i="23"/>
  <c r="BT88" i="23"/>
  <c r="BT89" i="23"/>
  <c r="BT90" i="23"/>
  <c r="BT91" i="23"/>
  <c r="BT92" i="23"/>
  <c r="BT93" i="23"/>
  <c r="BT94" i="23"/>
  <c r="BT95" i="23"/>
  <c r="BT96" i="23"/>
  <c r="BT97" i="23"/>
  <c r="BT98" i="23"/>
  <c r="BT99" i="23"/>
  <c r="BT100" i="23"/>
  <c r="BT101" i="23"/>
  <c r="BT102" i="23"/>
  <c r="BT103" i="23"/>
  <c r="BT104" i="23"/>
  <c r="BT105" i="23"/>
  <c r="BT106" i="23"/>
  <c r="BT107" i="23"/>
  <c r="BT108" i="23"/>
  <c r="BT109" i="23"/>
  <c r="BT110" i="23"/>
  <c r="BT111" i="23"/>
  <c r="BT112" i="23"/>
  <c r="BT113" i="23"/>
  <c r="BT114" i="23"/>
  <c r="BT115" i="23"/>
  <c r="BT116" i="23"/>
  <c r="BT117" i="23"/>
  <c r="BT118" i="23"/>
  <c r="BT119" i="23"/>
  <c r="BT120" i="23"/>
  <c r="BT121" i="23"/>
  <c r="BT122" i="23"/>
  <c r="BT123" i="23"/>
  <c r="BT124" i="23"/>
  <c r="BT125" i="23"/>
  <c r="BT126" i="23"/>
  <c r="BT127" i="23"/>
  <c r="BT128" i="23"/>
  <c r="BT129" i="23"/>
  <c r="BT130" i="23"/>
  <c r="BT131" i="23"/>
  <c r="BT132" i="23"/>
  <c r="BT133" i="23"/>
  <c r="BT134" i="23"/>
  <c r="BT135" i="23"/>
  <c r="BT136" i="23"/>
  <c r="BT137" i="23"/>
  <c r="BT138" i="23"/>
  <c r="BT139" i="23"/>
  <c r="BT140" i="23"/>
  <c r="BT141" i="23"/>
  <c r="BT142" i="23"/>
  <c r="BT143" i="23"/>
  <c r="BT144" i="23"/>
  <c r="BT145" i="23"/>
  <c r="BT146" i="23"/>
  <c r="BT147" i="23"/>
  <c r="BT148" i="23"/>
  <c r="BT149" i="23"/>
  <c r="BT150" i="23"/>
  <c r="BT151" i="23"/>
  <c r="BT152" i="23"/>
  <c r="BT153" i="23"/>
  <c r="BT154" i="23"/>
  <c r="BT155" i="23"/>
  <c r="BT156" i="23"/>
  <c r="BT157" i="23"/>
  <c r="BT158" i="23"/>
  <c r="BT159" i="23"/>
  <c r="BT160" i="23"/>
  <c r="BT161" i="23"/>
  <c r="BT162" i="23"/>
  <c r="BT163" i="23"/>
  <c r="BT164" i="23"/>
  <c r="BT165" i="23"/>
  <c r="BT166" i="23"/>
  <c r="BT167" i="23"/>
  <c r="BT168" i="23"/>
  <c r="BT169" i="23"/>
  <c r="BT170" i="23"/>
  <c r="BT171" i="23"/>
  <c r="BT172" i="23"/>
  <c r="BT173" i="23"/>
  <c r="BT174" i="23"/>
  <c r="BT175" i="23"/>
  <c r="BT176" i="23"/>
  <c r="BT177" i="23"/>
  <c r="BT178" i="23"/>
  <c r="BT179" i="23"/>
  <c r="BT180" i="23"/>
  <c r="BT181" i="23"/>
  <c r="BT182" i="23"/>
  <c r="BT183" i="23"/>
  <c r="BT184" i="23"/>
  <c r="BT185" i="23"/>
  <c r="BT186" i="23"/>
  <c r="BT187" i="23"/>
  <c r="BT188" i="23"/>
  <c r="BT189" i="23"/>
  <c r="BT190" i="23"/>
  <c r="BT191" i="23"/>
  <c r="BT192" i="23"/>
  <c r="BT193" i="23"/>
  <c r="BT194" i="23"/>
  <c r="BT195" i="23"/>
  <c r="BT196" i="23"/>
  <c r="BT197" i="23"/>
  <c r="BT198" i="23"/>
  <c r="BT199" i="23"/>
  <c r="BT200" i="23"/>
  <c r="BT201" i="23"/>
  <c r="BG4" i="23"/>
  <c r="BG5" i="23"/>
  <c r="BG6" i="23"/>
  <c r="BG7" i="23"/>
  <c r="BG8" i="23"/>
  <c r="BG9" i="23"/>
  <c r="BG10" i="23"/>
  <c r="BG11" i="23"/>
  <c r="BG12" i="23"/>
  <c r="BG13" i="23"/>
  <c r="BG14" i="23"/>
  <c r="BG15" i="23"/>
  <c r="BG16" i="23"/>
  <c r="BG17" i="23"/>
  <c r="BG18" i="23"/>
  <c r="BG19" i="23"/>
  <c r="BG20" i="23"/>
  <c r="BG21" i="23"/>
  <c r="BG22" i="23"/>
  <c r="BG23" i="23"/>
  <c r="BG24" i="23"/>
  <c r="BG25" i="23"/>
  <c r="BG26" i="23"/>
  <c r="BG27" i="23"/>
  <c r="BG28" i="23"/>
  <c r="BG29" i="23"/>
  <c r="BG30" i="23"/>
  <c r="BG31" i="23"/>
  <c r="BG32" i="23"/>
  <c r="BG33" i="23"/>
  <c r="BG34" i="23"/>
  <c r="BG35" i="23"/>
  <c r="BG36" i="23"/>
  <c r="BG37" i="23"/>
  <c r="BG38" i="23"/>
  <c r="BG39" i="23"/>
  <c r="BG40" i="23"/>
  <c r="BG41" i="23"/>
  <c r="BG42" i="23"/>
  <c r="BG43" i="23"/>
  <c r="BG44" i="23"/>
  <c r="BG45" i="23"/>
  <c r="BG46" i="23"/>
  <c r="BG47" i="23"/>
  <c r="BG48" i="23"/>
  <c r="BG49" i="23"/>
  <c r="BG50" i="23"/>
  <c r="BG51" i="23"/>
  <c r="BG52" i="23"/>
  <c r="BG53" i="23"/>
  <c r="BG54" i="23"/>
  <c r="BG55" i="23"/>
  <c r="BG56" i="23"/>
  <c r="BG57" i="23"/>
  <c r="BG58" i="23"/>
  <c r="BG59" i="23"/>
  <c r="BG60" i="23"/>
  <c r="BG61" i="23"/>
  <c r="BG62" i="23"/>
  <c r="BG63" i="23"/>
  <c r="BG64" i="23"/>
  <c r="BG65" i="23"/>
  <c r="BG66" i="23"/>
  <c r="BG67" i="23"/>
  <c r="BG68" i="23"/>
  <c r="BG69" i="23"/>
  <c r="BG70" i="23"/>
  <c r="BG71" i="23"/>
  <c r="BG72" i="23"/>
  <c r="BG73" i="23"/>
  <c r="BG74" i="23"/>
  <c r="BG75" i="23"/>
  <c r="BG76" i="23"/>
  <c r="BG77" i="23"/>
  <c r="BG78" i="23"/>
  <c r="BG79" i="23"/>
  <c r="BG80" i="23"/>
  <c r="BG81" i="23"/>
  <c r="BG82" i="23"/>
  <c r="BG83" i="23"/>
  <c r="BG84" i="23"/>
  <c r="BG85" i="23"/>
  <c r="BG86" i="23"/>
  <c r="BG87" i="23"/>
  <c r="BG88" i="23"/>
  <c r="BG89" i="23"/>
  <c r="BG90" i="23"/>
  <c r="BG91" i="23"/>
  <c r="BG92" i="23"/>
  <c r="BG93" i="23"/>
  <c r="BG94" i="23"/>
  <c r="BG95" i="23"/>
  <c r="BG96" i="23"/>
  <c r="BG97" i="23"/>
  <c r="BG98" i="23"/>
  <c r="BG99" i="23"/>
  <c r="BG100" i="23"/>
  <c r="BG101" i="23"/>
  <c r="BG102" i="23"/>
  <c r="BG103" i="23"/>
  <c r="BG104" i="23"/>
  <c r="BG105" i="23"/>
  <c r="BG106" i="23"/>
  <c r="BG107" i="23"/>
  <c r="BG108" i="23"/>
  <c r="BG109" i="23"/>
  <c r="BG110" i="23"/>
  <c r="BG111" i="23"/>
  <c r="BG112" i="23"/>
  <c r="BG113" i="23"/>
  <c r="BG114" i="23"/>
  <c r="BG115" i="23"/>
  <c r="BG116" i="23"/>
  <c r="BG117" i="23"/>
  <c r="BG118" i="23"/>
  <c r="BG119" i="23"/>
  <c r="BG120" i="23"/>
  <c r="BG121" i="23"/>
  <c r="BG122" i="23"/>
  <c r="BG123" i="23"/>
  <c r="BG124" i="23"/>
  <c r="BG125" i="23"/>
  <c r="BG126" i="23"/>
  <c r="BG127" i="23"/>
  <c r="BG128" i="23"/>
  <c r="BG129" i="23"/>
  <c r="BG130" i="23"/>
  <c r="BG131" i="23"/>
  <c r="BG132" i="23"/>
  <c r="BG133" i="23"/>
  <c r="BG134" i="23"/>
  <c r="BG135" i="23"/>
  <c r="BG136" i="23"/>
  <c r="BG137" i="23"/>
  <c r="BG138" i="23"/>
  <c r="BG139" i="23"/>
  <c r="BG140" i="23"/>
  <c r="BG141" i="23"/>
  <c r="BG142" i="23"/>
  <c r="BG143" i="23"/>
  <c r="BG144" i="23"/>
  <c r="BG145" i="23"/>
  <c r="BG146" i="23"/>
  <c r="BG147" i="23"/>
  <c r="BG148" i="23"/>
  <c r="BG149" i="23"/>
  <c r="BG150" i="23"/>
  <c r="BG151" i="23"/>
  <c r="BG152" i="23"/>
  <c r="BG153" i="23"/>
  <c r="BG154" i="23"/>
  <c r="BG155" i="23"/>
  <c r="BG156" i="23"/>
  <c r="BG157" i="23"/>
  <c r="BG158" i="23"/>
  <c r="BG159" i="23"/>
  <c r="BG160" i="23"/>
  <c r="BG161" i="23"/>
  <c r="BG162" i="23"/>
  <c r="BG163" i="23"/>
  <c r="BG164" i="23"/>
  <c r="BG165" i="23"/>
  <c r="BG166" i="23"/>
  <c r="BG167" i="23"/>
  <c r="BG168" i="23"/>
  <c r="BG169" i="23"/>
  <c r="BG170" i="23"/>
  <c r="BG171" i="23"/>
  <c r="BG172" i="23"/>
  <c r="BG173" i="23"/>
  <c r="BG174" i="23"/>
  <c r="BG175" i="23"/>
  <c r="BG176" i="23"/>
  <c r="BG177" i="23"/>
  <c r="BG178" i="23"/>
  <c r="BG179" i="23"/>
  <c r="BG180" i="23"/>
  <c r="BG181" i="23"/>
  <c r="BG182" i="23"/>
  <c r="BG183" i="23"/>
  <c r="BG184" i="23"/>
  <c r="BG185" i="23"/>
  <c r="BG186" i="23"/>
  <c r="BG187" i="23"/>
  <c r="BG188" i="23"/>
  <c r="BG189" i="23"/>
  <c r="BG190" i="23"/>
  <c r="BG191" i="23"/>
  <c r="BG192" i="23"/>
  <c r="BG193" i="23"/>
  <c r="BG194" i="23"/>
  <c r="BG195" i="23"/>
  <c r="BG196" i="23"/>
  <c r="BG197" i="23"/>
  <c r="BG198" i="23"/>
  <c r="BG199" i="23"/>
  <c r="BG200" i="23"/>
  <c r="BG201" i="23"/>
  <c r="AZ4" i="23"/>
  <c r="AZ5" i="23"/>
  <c r="AZ6" i="23"/>
  <c r="AZ7" i="23"/>
  <c r="AZ8" i="23"/>
  <c r="AZ9" i="23"/>
  <c r="AZ10" i="23"/>
  <c r="AZ11" i="23"/>
  <c r="AZ12" i="23"/>
  <c r="AZ13" i="23"/>
  <c r="AZ14" i="23"/>
  <c r="AZ15" i="23"/>
  <c r="AZ16" i="23"/>
  <c r="AZ17" i="23"/>
  <c r="AZ18" i="23"/>
  <c r="AZ19" i="23"/>
  <c r="AZ20" i="23"/>
  <c r="AZ21" i="23"/>
  <c r="AZ22" i="23"/>
  <c r="AZ23" i="23"/>
  <c r="AZ24" i="23"/>
  <c r="AZ25" i="23"/>
  <c r="AZ26" i="23"/>
  <c r="AZ27" i="23"/>
  <c r="AZ28" i="23"/>
  <c r="AZ29" i="23"/>
  <c r="AZ30" i="23"/>
  <c r="AZ31" i="23"/>
  <c r="AZ32" i="23"/>
  <c r="AZ33" i="23"/>
  <c r="AZ34" i="23"/>
  <c r="AZ35" i="23"/>
  <c r="AZ36" i="23"/>
  <c r="AZ37" i="23"/>
  <c r="AZ38" i="23"/>
  <c r="AZ39" i="23"/>
  <c r="AZ40" i="23"/>
  <c r="AZ41" i="23"/>
  <c r="AZ42" i="23"/>
  <c r="AZ43" i="23"/>
  <c r="AZ44" i="23"/>
  <c r="AZ45" i="23"/>
  <c r="AZ46" i="23"/>
  <c r="AZ47" i="23"/>
  <c r="AZ48" i="23"/>
  <c r="AZ49" i="23"/>
  <c r="AZ50" i="23"/>
  <c r="AZ51" i="23"/>
  <c r="AZ52" i="23"/>
  <c r="AZ53" i="23"/>
  <c r="AZ54" i="23"/>
  <c r="AZ55" i="23"/>
  <c r="AZ56" i="23"/>
  <c r="AZ57" i="23"/>
  <c r="AZ58" i="23"/>
  <c r="AZ59" i="23"/>
  <c r="AZ60" i="23"/>
  <c r="AZ61" i="23"/>
  <c r="AZ62" i="23"/>
  <c r="AZ63" i="23"/>
  <c r="AZ64" i="23"/>
  <c r="AZ65" i="23"/>
  <c r="AZ66" i="23"/>
  <c r="AZ67" i="23"/>
  <c r="AZ68" i="23"/>
  <c r="AZ69" i="23"/>
  <c r="AZ70" i="23"/>
  <c r="AZ71" i="23"/>
  <c r="AZ72" i="23"/>
  <c r="AZ73" i="23"/>
  <c r="AZ74" i="23"/>
  <c r="AZ75" i="23"/>
  <c r="AZ76" i="23"/>
  <c r="AZ77" i="23"/>
  <c r="AZ78" i="23"/>
  <c r="AZ79" i="23"/>
  <c r="AZ80" i="23"/>
  <c r="AZ81" i="23"/>
  <c r="AZ82" i="23"/>
  <c r="AZ83" i="23"/>
  <c r="AZ84" i="23"/>
  <c r="AZ85" i="23"/>
  <c r="AZ86" i="23"/>
  <c r="AZ87" i="23"/>
  <c r="AZ88" i="23"/>
  <c r="AZ89" i="23"/>
  <c r="AZ90" i="23"/>
  <c r="AZ91" i="23"/>
  <c r="AZ92" i="23"/>
  <c r="AZ93" i="23"/>
  <c r="AZ94" i="23"/>
  <c r="AZ95" i="23"/>
  <c r="AZ96" i="23"/>
  <c r="AZ97" i="23"/>
  <c r="AZ98" i="23"/>
  <c r="AZ99" i="23"/>
  <c r="AZ100" i="23"/>
  <c r="AZ101" i="23"/>
  <c r="AZ102" i="23"/>
  <c r="AZ103" i="23"/>
  <c r="AZ104" i="23"/>
  <c r="AZ105" i="23"/>
  <c r="AZ106" i="23"/>
  <c r="AZ107" i="23"/>
  <c r="AZ108" i="23"/>
  <c r="AZ109" i="23"/>
  <c r="AZ110" i="23"/>
  <c r="AZ111" i="23"/>
  <c r="AZ112" i="23"/>
  <c r="AZ113" i="23"/>
  <c r="AZ114" i="23"/>
  <c r="AZ115" i="23"/>
  <c r="AZ116" i="23"/>
  <c r="AZ117" i="23"/>
  <c r="AZ118" i="23"/>
  <c r="AZ119" i="23"/>
  <c r="AZ120" i="23"/>
  <c r="AZ121" i="23"/>
  <c r="AZ122" i="23"/>
  <c r="AZ123" i="23"/>
  <c r="AZ124" i="23"/>
  <c r="AZ125" i="23"/>
  <c r="AZ126" i="23"/>
  <c r="AZ127" i="23"/>
  <c r="AZ128" i="23"/>
  <c r="AZ129" i="23"/>
  <c r="AZ130" i="23"/>
  <c r="AZ131" i="23"/>
  <c r="AZ132" i="23"/>
  <c r="AZ133" i="23"/>
  <c r="AZ134" i="23"/>
  <c r="AZ135" i="23"/>
  <c r="AZ136" i="23"/>
  <c r="AZ137" i="23"/>
  <c r="AZ138" i="23"/>
  <c r="AZ139" i="23"/>
  <c r="AZ140" i="23"/>
  <c r="AZ141" i="23"/>
  <c r="AZ142" i="23"/>
  <c r="AZ143" i="23"/>
  <c r="AZ144" i="23"/>
  <c r="AZ145" i="23"/>
  <c r="AZ146" i="23"/>
  <c r="AZ147" i="23"/>
  <c r="AZ148" i="23"/>
  <c r="AZ149" i="23"/>
  <c r="AZ150" i="23"/>
  <c r="AZ151" i="23"/>
  <c r="AZ152" i="23"/>
  <c r="AZ153" i="23"/>
  <c r="AZ154" i="23"/>
  <c r="AZ155" i="23"/>
  <c r="AZ156" i="23"/>
  <c r="AZ157" i="23"/>
  <c r="AZ158" i="23"/>
  <c r="AZ159" i="23"/>
  <c r="AZ160" i="23"/>
  <c r="AZ161" i="23"/>
  <c r="AZ162" i="23"/>
  <c r="AZ163" i="23"/>
  <c r="AZ164" i="23"/>
  <c r="AZ165" i="23"/>
  <c r="AZ166" i="23"/>
  <c r="AZ167" i="23"/>
  <c r="AZ168" i="23"/>
  <c r="AZ169" i="23"/>
  <c r="AZ170" i="23"/>
  <c r="AZ171" i="23"/>
  <c r="AZ172" i="23"/>
  <c r="AZ173" i="23"/>
  <c r="AZ174" i="23"/>
  <c r="AZ175" i="23"/>
  <c r="AZ176" i="23"/>
  <c r="AZ177" i="23"/>
  <c r="AZ178" i="23"/>
  <c r="AZ179" i="23"/>
  <c r="AZ180" i="23"/>
  <c r="AZ181" i="23"/>
  <c r="AZ182" i="23"/>
  <c r="AZ183" i="23"/>
  <c r="AZ184" i="23"/>
  <c r="AZ185" i="23"/>
  <c r="AZ186" i="23"/>
  <c r="AZ187" i="23"/>
  <c r="AZ188" i="23"/>
  <c r="AZ189" i="23"/>
  <c r="AZ190" i="23"/>
  <c r="AZ191" i="23"/>
  <c r="AZ192" i="23"/>
  <c r="AZ193" i="23"/>
  <c r="AZ194" i="23"/>
  <c r="AZ195" i="23"/>
  <c r="AZ196" i="23"/>
  <c r="AZ197" i="23"/>
  <c r="AZ198" i="23"/>
  <c r="AZ199" i="23"/>
  <c r="AZ200" i="23"/>
  <c r="AZ201" i="23"/>
  <c r="AS4" i="23"/>
  <c r="AS5" i="23"/>
  <c r="AS6" i="23"/>
  <c r="AS7" i="23"/>
  <c r="AS8" i="23"/>
  <c r="AS9" i="23"/>
  <c r="AS10" i="23"/>
  <c r="AS11" i="23"/>
  <c r="AS12" i="23"/>
  <c r="AS13" i="23"/>
  <c r="AS14" i="23"/>
  <c r="AS15" i="23"/>
  <c r="AS16" i="23"/>
  <c r="AS17" i="23"/>
  <c r="AS18" i="23"/>
  <c r="AS19" i="23"/>
  <c r="AS20" i="23"/>
  <c r="AS21" i="23"/>
  <c r="AS22" i="23"/>
  <c r="AS23" i="23"/>
  <c r="AS24" i="23"/>
  <c r="AS25" i="23"/>
  <c r="AS26" i="23"/>
  <c r="AS27" i="23"/>
  <c r="AS28" i="23"/>
  <c r="AS29" i="23"/>
  <c r="AS30" i="23"/>
  <c r="AS31" i="23"/>
  <c r="AS32" i="23"/>
  <c r="AS33" i="23"/>
  <c r="AS34" i="23"/>
  <c r="AS35" i="23"/>
  <c r="AS36" i="23"/>
  <c r="AS37" i="23"/>
  <c r="AS38" i="23"/>
  <c r="AS39" i="23"/>
  <c r="AS40" i="23"/>
  <c r="AS41" i="23"/>
  <c r="AS42" i="23"/>
  <c r="AS43" i="23"/>
  <c r="AS44" i="23"/>
  <c r="AS45" i="23"/>
  <c r="AS46" i="23"/>
  <c r="AS47" i="23"/>
  <c r="AS48" i="23"/>
  <c r="AS49" i="23"/>
  <c r="AS50" i="23"/>
  <c r="AS51" i="23"/>
  <c r="AS52" i="23"/>
  <c r="AS53" i="23"/>
  <c r="AS54" i="23"/>
  <c r="AS55" i="23"/>
  <c r="AS56" i="23"/>
  <c r="AS57" i="23"/>
  <c r="AS58" i="23"/>
  <c r="AS59" i="23"/>
  <c r="AS60" i="23"/>
  <c r="AS61" i="23"/>
  <c r="AS62" i="23"/>
  <c r="AS63" i="23"/>
  <c r="AS64" i="23"/>
  <c r="AS65" i="23"/>
  <c r="AS66" i="23"/>
  <c r="AS67" i="23"/>
  <c r="AS68" i="23"/>
  <c r="AS69" i="23"/>
  <c r="AS70" i="23"/>
  <c r="AS71" i="23"/>
  <c r="AS72" i="23"/>
  <c r="AS73" i="23"/>
  <c r="AS74" i="23"/>
  <c r="AS75" i="23"/>
  <c r="AS76" i="23"/>
  <c r="AS77" i="23"/>
  <c r="AS78" i="23"/>
  <c r="AS79" i="23"/>
  <c r="AS80" i="23"/>
  <c r="AS81" i="23"/>
  <c r="AS82" i="23"/>
  <c r="AS83" i="23"/>
  <c r="AS84" i="23"/>
  <c r="AS85" i="23"/>
  <c r="AS86" i="23"/>
  <c r="AS87" i="23"/>
  <c r="AS88" i="23"/>
  <c r="AS89" i="23"/>
  <c r="AS90" i="23"/>
  <c r="AS91" i="23"/>
  <c r="AS92" i="23"/>
  <c r="AS93" i="23"/>
  <c r="AS94" i="23"/>
  <c r="AS95" i="23"/>
  <c r="AS96" i="23"/>
  <c r="AS97" i="23"/>
  <c r="AS98" i="23"/>
  <c r="AS99" i="23"/>
  <c r="AS100" i="23"/>
  <c r="AS101" i="23"/>
  <c r="AS102" i="23"/>
  <c r="AS103" i="23"/>
  <c r="AS104" i="23"/>
  <c r="AS105" i="23"/>
  <c r="AS106" i="23"/>
  <c r="AS107" i="23"/>
  <c r="AS108" i="23"/>
  <c r="AS109" i="23"/>
  <c r="AS110" i="23"/>
  <c r="AS111" i="23"/>
  <c r="AS112" i="23"/>
  <c r="AS113" i="23"/>
  <c r="AS114" i="23"/>
  <c r="AS115" i="23"/>
  <c r="AS116" i="23"/>
  <c r="AS117" i="23"/>
  <c r="AS118" i="23"/>
  <c r="AS119" i="23"/>
  <c r="AS120" i="23"/>
  <c r="AS121" i="23"/>
  <c r="AS122" i="23"/>
  <c r="AS123" i="23"/>
  <c r="AS124" i="23"/>
  <c r="AS125" i="23"/>
  <c r="AS126" i="23"/>
  <c r="AS127" i="23"/>
  <c r="AS128" i="23"/>
  <c r="AS129" i="23"/>
  <c r="AS130" i="23"/>
  <c r="AS131" i="23"/>
  <c r="AS132" i="23"/>
  <c r="AS133" i="23"/>
  <c r="AS134" i="23"/>
  <c r="AS135" i="23"/>
  <c r="AS136" i="23"/>
  <c r="AS137" i="23"/>
  <c r="AS138" i="23"/>
  <c r="AS139" i="23"/>
  <c r="AS140" i="23"/>
  <c r="AS141" i="23"/>
  <c r="AS142" i="23"/>
  <c r="AS143" i="23"/>
  <c r="AS144" i="23"/>
  <c r="AS145" i="23"/>
  <c r="AS146" i="23"/>
  <c r="AS147" i="23"/>
  <c r="AS148" i="23"/>
  <c r="AS149" i="23"/>
  <c r="AS150" i="23"/>
  <c r="AS151" i="23"/>
  <c r="AS152" i="23"/>
  <c r="AS153" i="23"/>
  <c r="AS154" i="23"/>
  <c r="AS155" i="23"/>
  <c r="AS156" i="23"/>
  <c r="AS157" i="23"/>
  <c r="AS158" i="23"/>
  <c r="AS159" i="23"/>
  <c r="AS160" i="23"/>
  <c r="AS161" i="23"/>
  <c r="AS162" i="23"/>
  <c r="AS163" i="23"/>
  <c r="AS164" i="23"/>
  <c r="AS165" i="23"/>
  <c r="AS166" i="23"/>
  <c r="AS167" i="23"/>
  <c r="AS168" i="23"/>
  <c r="AS169" i="23"/>
  <c r="AS170" i="23"/>
  <c r="AS171" i="23"/>
  <c r="AS172" i="23"/>
  <c r="AS173" i="23"/>
  <c r="AS174" i="23"/>
  <c r="AS175" i="23"/>
  <c r="AS176" i="23"/>
  <c r="AS177" i="23"/>
  <c r="AS178" i="23"/>
  <c r="AS179" i="23"/>
  <c r="AS180" i="23"/>
  <c r="AS181" i="23"/>
  <c r="AS182" i="23"/>
  <c r="AS183" i="23"/>
  <c r="AS184" i="23"/>
  <c r="AS185" i="23"/>
  <c r="AS186" i="23"/>
  <c r="AS187" i="23"/>
  <c r="AS188" i="23"/>
  <c r="AS189" i="23"/>
  <c r="AS190" i="23"/>
  <c r="AS191" i="23"/>
  <c r="AS192" i="23"/>
  <c r="AS193" i="23"/>
  <c r="AS194" i="23"/>
  <c r="AS195" i="23"/>
  <c r="AS196" i="23"/>
  <c r="AS197" i="23"/>
  <c r="AS198" i="23"/>
  <c r="AS199" i="23"/>
  <c r="AS200" i="23"/>
  <c r="AS201" i="23"/>
  <c r="AF4" i="23"/>
  <c r="AF5" i="23"/>
  <c r="AF6" i="23"/>
  <c r="AF7" i="23"/>
  <c r="AF8" i="23"/>
  <c r="AF9" i="23"/>
  <c r="AF10" i="23"/>
  <c r="AF11" i="23"/>
  <c r="AF12" i="23"/>
  <c r="AF13" i="23"/>
  <c r="AF14" i="23"/>
  <c r="AF15" i="23"/>
  <c r="AF16" i="23"/>
  <c r="AF17" i="23"/>
  <c r="AF18" i="23"/>
  <c r="AF19" i="23"/>
  <c r="AF20" i="23"/>
  <c r="AF21" i="23"/>
  <c r="AF22" i="23"/>
  <c r="AF23" i="23"/>
  <c r="AF24" i="23"/>
  <c r="AF25" i="23"/>
  <c r="AF26" i="23"/>
  <c r="AF27" i="23"/>
  <c r="AF28" i="23"/>
  <c r="AF29" i="23"/>
  <c r="AF30" i="23"/>
  <c r="AF31" i="23"/>
  <c r="AF32" i="23"/>
  <c r="AF33" i="23"/>
  <c r="AF34" i="23"/>
  <c r="AF35" i="23"/>
  <c r="AF36" i="23"/>
  <c r="AF37" i="23"/>
  <c r="AF38" i="23"/>
  <c r="AF39" i="23"/>
  <c r="AF40" i="23"/>
  <c r="AF41" i="23"/>
  <c r="AF42" i="23"/>
  <c r="AF43" i="23"/>
  <c r="AF44" i="23"/>
  <c r="AF45" i="23"/>
  <c r="AF46" i="23"/>
  <c r="AF47" i="23"/>
  <c r="AF48" i="23"/>
  <c r="AF49" i="23"/>
  <c r="AF50" i="23"/>
  <c r="AF51" i="23"/>
  <c r="AF52" i="23"/>
  <c r="AF53" i="23"/>
  <c r="AF54" i="23"/>
  <c r="AF55" i="23"/>
  <c r="AF56" i="23"/>
  <c r="AF57" i="23"/>
  <c r="AF58" i="23"/>
  <c r="AF59" i="23"/>
  <c r="AF60" i="23"/>
  <c r="AF61" i="23"/>
  <c r="AF62" i="23"/>
  <c r="AF63" i="23"/>
  <c r="AF64" i="23"/>
  <c r="AF65" i="23"/>
  <c r="AF66" i="23"/>
  <c r="AF67" i="23"/>
  <c r="AF68" i="23"/>
  <c r="AF69" i="23"/>
  <c r="AF70" i="23"/>
  <c r="AF71" i="23"/>
  <c r="AF72" i="23"/>
  <c r="AF73" i="23"/>
  <c r="AF74" i="23"/>
  <c r="AF75" i="23"/>
  <c r="AF76" i="23"/>
  <c r="AF77" i="23"/>
  <c r="AF78" i="23"/>
  <c r="AF79" i="23"/>
  <c r="AF80" i="23"/>
  <c r="AF81" i="23"/>
  <c r="AF82" i="23"/>
  <c r="AF83" i="23"/>
  <c r="AF84" i="23"/>
  <c r="AF85" i="23"/>
  <c r="AF86" i="23"/>
  <c r="AF87" i="23"/>
  <c r="AF88" i="23"/>
  <c r="AF89" i="23"/>
  <c r="AF90" i="23"/>
  <c r="AF91" i="23"/>
  <c r="AF92" i="23"/>
  <c r="AF93" i="23"/>
  <c r="AF94" i="23"/>
  <c r="AF95" i="23"/>
  <c r="AF96" i="23"/>
  <c r="AF97" i="23"/>
  <c r="AF98" i="23"/>
  <c r="AF99" i="23"/>
  <c r="AF100" i="23"/>
  <c r="AF101" i="23"/>
  <c r="AF102" i="23"/>
  <c r="AF103" i="23"/>
  <c r="AF104" i="23"/>
  <c r="AF105" i="23"/>
  <c r="AF106" i="23"/>
  <c r="AF107" i="23"/>
  <c r="AF108" i="23"/>
  <c r="AF109" i="23"/>
  <c r="AF110" i="23"/>
  <c r="AF111" i="23"/>
  <c r="AF112" i="23"/>
  <c r="AF113" i="23"/>
  <c r="AF114" i="23"/>
  <c r="AF115" i="23"/>
  <c r="AF116" i="23"/>
  <c r="AF117" i="23"/>
  <c r="AF118" i="23"/>
  <c r="AF119" i="23"/>
  <c r="AF120" i="23"/>
  <c r="AF121" i="23"/>
  <c r="AF122" i="23"/>
  <c r="AF123" i="23"/>
  <c r="AF124" i="23"/>
  <c r="AF125" i="23"/>
  <c r="AF126" i="23"/>
  <c r="AF127" i="23"/>
  <c r="AF128" i="23"/>
  <c r="AF129" i="23"/>
  <c r="AF130" i="23"/>
  <c r="AF131" i="23"/>
  <c r="AF132" i="23"/>
  <c r="AF133" i="23"/>
  <c r="AF134" i="23"/>
  <c r="AF135" i="23"/>
  <c r="AF136" i="23"/>
  <c r="AF137" i="23"/>
  <c r="AF138" i="23"/>
  <c r="AF139" i="23"/>
  <c r="AF140" i="23"/>
  <c r="AF141" i="23"/>
  <c r="AF142" i="23"/>
  <c r="AF143" i="23"/>
  <c r="AF144" i="23"/>
  <c r="AF145" i="23"/>
  <c r="AF146" i="23"/>
  <c r="AF147" i="23"/>
  <c r="AF148" i="23"/>
  <c r="AF149" i="23"/>
  <c r="AF150" i="23"/>
  <c r="AF151" i="23"/>
  <c r="AF152" i="23"/>
  <c r="AF153" i="23"/>
  <c r="AF154" i="23"/>
  <c r="AF155" i="23"/>
  <c r="AF156" i="23"/>
  <c r="AF157" i="23"/>
  <c r="AF158" i="23"/>
  <c r="AF159" i="23"/>
  <c r="AF160" i="23"/>
  <c r="AF161" i="23"/>
  <c r="AF162" i="23"/>
  <c r="AF163" i="23"/>
  <c r="AF164" i="23"/>
  <c r="AF165" i="23"/>
  <c r="AF166" i="23"/>
  <c r="AF167" i="23"/>
  <c r="AF168" i="23"/>
  <c r="AF169" i="23"/>
  <c r="AF170" i="23"/>
  <c r="AF171" i="23"/>
  <c r="AF172" i="23"/>
  <c r="AF173" i="23"/>
  <c r="AF174" i="23"/>
  <c r="AF175" i="23"/>
  <c r="AF176" i="23"/>
  <c r="AF177" i="23"/>
  <c r="AF178" i="23"/>
  <c r="AF179" i="23"/>
  <c r="AF180" i="23"/>
  <c r="AF181" i="23"/>
  <c r="AF182" i="23"/>
  <c r="AF183" i="23"/>
  <c r="AF184" i="23"/>
  <c r="AF185" i="23"/>
  <c r="AF186" i="23"/>
  <c r="AF187" i="23"/>
  <c r="AF188" i="23"/>
  <c r="AF189" i="23"/>
  <c r="AF190" i="23"/>
  <c r="AF191" i="23"/>
  <c r="AF192" i="23"/>
  <c r="AF193" i="23"/>
  <c r="AF194" i="23"/>
  <c r="AF195" i="23"/>
  <c r="AF196" i="23"/>
  <c r="AF197" i="23"/>
  <c r="AF198" i="23"/>
  <c r="AF199" i="23"/>
  <c r="AF200" i="23"/>
  <c r="AF201" i="23"/>
  <c r="Y4" i="23"/>
  <c r="Y5" i="23"/>
  <c r="Y6" i="23"/>
  <c r="Y7" i="23"/>
  <c r="Y8" i="23"/>
  <c r="Y9" i="23"/>
  <c r="Y10" i="23"/>
  <c r="Y11" i="23"/>
  <c r="Y12" i="23"/>
  <c r="Y13" i="23"/>
  <c r="Y14" i="23"/>
  <c r="Y15" i="23"/>
  <c r="Y16" i="23"/>
  <c r="Y17" i="23"/>
  <c r="Y18" i="23"/>
  <c r="Y19" i="23"/>
  <c r="Y20" i="23"/>
  <c r="Y21" i="23"/>
  <c r="Y22" i="23"/>
  <c r="Y23" i="23"/>
  <c r="Y24" i="23"/>
  <c r="Y25" i="23"/>
  <c r="Y26" i="23"/>
  <c r="Y27" i="23"/>
  <c r="Y28" i="23"/>
  <c r="Y29" i="23"/>
  <c r="Y30" i="23"/>
  <c r="Y31" i="23"/>
  <c r="Y32" i="23"/>
  <c r="Y33" i="23"/>
  <c r="Y34" i="23"/>
  <c r="Y35" i="23"/>
  <c r="Y36" i="23"/>
  <c r="Y37" i="23"/>
  <c r="Y38" i="23"/>
  <c r="Y39" i="23"/>
  <c r="Y40" i="23"/>
  <c r="Y41" i="23"/>
  <c r="Y42" i="23"/>
  <c r="Y43" i="23"/>
  <c r="Y44" i="23"/>
  <c r="Y45" i="23"/>
  <c r="Y46" i="23"/>
  <c r="Y47" i="23"/>
  <c r="Y48" i="23"/>
  <c r="Y49" i="23"/>
  <c r="Y50" i="23"/>
  <c r="Y51" i="23"/>
  <c r="Y52" i="23"/>
  <c r="Y53" i="23"/>
  <c r="Y54" i="23"/>
  <c r="Y55" i="23"/>
  <c r="Y56" i="23"/>
  <c r="Y57" i="23"/>
  <c r="Y58" i="23"/>
  <c r="Y59" i="23"/>
  <c r="Y60" i="23"/>
  <c r="Y61" i="23"/>
  <c r="Y62" i="23"/>
  <c r="Y63" i="23"/>
  <c r="Y64" i="23"/>
  <c r="Y65" i="23"/>
  <c r="Y66" i="23"/>
  <c r="Y67" i="23"/>
  <c r="Y68" i="23"/>
  <c r="Y69" i="23"/>
  <c r="Y70" i="23"/>
  <c r="Y71" i="23"/>
  <c r="Y72" i="23"/>
  <c r="Y73" i="23"/>
  <c r="Y74" i="23"/>
  <c r="Y75" i="23"/>
  <c r="Y76" i="23"/>
  <c r="Y77" i="23"/>
  <c r="Y78" i="23"/>
  <c r="Y79" i="23"/>
  <c r="Y80" i="23"/>
  <c r="Y81" i="23"/>
  <c r="Y82" i="23"/>
  <c r="Y83" i="23"/>
  <c r="Y84" i="23"/>
  <c r="Y85" i="23"/>
  <c r="Y86" i="23"/>
  <c r="Y87" i="23"/>
  <c r="Y88" i="23"/>
  <c r="Y89" i="23"/>
  <c r="Y90" i="23"/>
  <c r="Y91" i="23"/>
  <c r="Y92" i="23"/>
  <c r="Y93" i="23"/>
  <c r="Y94" i="23"/>
  <c r="Y95" i="23"/>
  <c r="Y96" i="23"/>
  <c r="Y97" i="23"/>
  <c r="Y98" i="23"/>
  <c r="Y99" i="23"/>
  <c r="Y100" i="23"/>
  <c r="Y101" i="23"/>
  <c r="Y102" i="23"/>
  <c r="Y103" i="23"/>
  <c r="Y104" i="23"/>
  <c r="Y105" i="23"/>
  <c r="Y106" i="23"/>
  <c r="Y107" i="23"/>
  <c r="Y108" i="23"/>
  <c r="Y109" i="23"/>
  <c r="Y110" i="23"/>
  <c r="Y111" i="23"/>
  <c r="Y112" i="23"/>
  <c r="Y113" i="23"/>
  <c r="Y114" i="23"/>
  <c r="Y115" i="23"/>
  <c r="Y116" i="23"/>
  <c r="Y117" i="23"/>
  <c r="Y118" i="23"/>
  <c r="Y119" i="23"/>
  <c r="Y120" i="23"/>
  <c r="Y121" i="23"/>
  <c r="Y122" i="23"/>
  <c r="Y123" i="23"/>
  <c r="Y124" i="23"/>
  <c r="Y125" i="23"/>
  <c r="Y126" i="23"/>
  <c r="Y127" i="23"/>
  <c r="Y128" i="23"/>
  <c r="Y129" i="23"/>
  <c r="Y130" i="23"/>
  <c r="Y131" i="23"/>
  <c r="Y132" i="23"/>
  <c r="Y133" i="23"/>
  <c r="Y134" i="23"/>
  <c r="Y135" i="23"/>
  <c r="Y136" i="23"/>
  <c r="Y137" i="23"/>
  <c r="Y138" i="23"/>
  <c r="Y139" i="23"/>
  <c r="Y140" i="23"/>
  <c r="Y141" i="23"/>
  <c r="Y142" i="23"/>
  <c r="Y143" i="23"/>
  <c r="Y144" i="23"/>
  <c r="Y145" i="23"/>
  <c r="Y146" i="23"/>
  <c r="Y147" i="23"/>
  <c r="Y148" i="23"/>
  <c r="Y149" i="23"/>
  <c r="Y150" i="23"/>
  <c r="Y151" i="23"/>
  <c r="Y152" i="23"/>
  <c r="Y153" i="23"/>
  <c r="Y154" i="23"/>
  <c r="Y155" i="23"/>
  <c r="Y156" i="23"/>
  <c r="Y157" i="23"/>
  <c r="Y158" i="23"/>
  <c r="Y159" i="23"/>
  <c r="Y160" i="23"/>
  <c r="Y161" i="23"/>
  <c r="Y162" i="23"/>
  <c r="Y163" i="23"/>
  <c r="Y164" i="23"/>
  <c r="Y165" i="23"/>
  <c r="Y166" i="23"/>
  <c r="Y167" i="23"/>
  <c r="Y168" i="23"/>
  <c r="Y169" i="23"/>
  <c r="Y170" i="23"/>
  <c r="Y171" i="23"/>
  <c r="Y172" i="23"/>
  <c r="Y173" i="23"/>
  <c r="Y174" i="23"/>
  <c r="Y175" i="23"/>
  <c r="Y176" i="23"/>
  <c r="Y177" i="23"/>
  <c r="Y178" i="23"/>
  <c r="Y179" i="23"/>
  <c r="Y180" i="23"/>
  <c r="Y181" i="23"/>
  <c r="Y182" i="23"/>
  <c r="Y183" i="23"/>
  <c r="Y184" i="23"/>
  <c r="Y185" i="23"/>
  <c r="Y186" i="23"/>
  <c r="Y187" i="23"/>
  <c r="Y188" i="23"/>
  <c r="Y189" i="23"/>
  <c r="Y190" i="23"/>
  <c r="Y191" i="23"/>
  <c r="Y192" i="23"/>
  <c r="Y193" i="23"/>
  <c r="Y194" i="23"/>
  <c r="Y195" i="23"/>
  <c r="Y196" i="23"/>
  <c r="Y197" i="23"/>
  <c r="Y198" i="23"/>
  <c r="Y199" i="23"/>
  <c r="Y200" i="23"/>
  <c r="Y201" i="23"/>
  <c r="R4" i="23"/>
  <c r="R5" i="23"/>
  <c r="R6" i="23"/>
  <c r="R7" i="23"/>
  <c r="R8" i="23"/>
  <c r="R9" i="23"/>
  <c r="R10" i="23"/>
  <c r="R11" i="23"/>
  <c r="R12" i="23"/>
  <c r="R13" i="23"/>
  <c r="R14" i="23"/>
  <c r="R15" i="23"/>
  <c r="R16" i="23"/>
  <c r="R17" i="23"/>
  <c r="R18" i="23"/>
  <c r="R19" i="23"/>
  <c r="R20" i="23"/>
  <c r="R21" i="23"/>
  <c r="R22" i="23"/>
  <c r="R23" i="23"/>
  <c r="R24" i="23"/>
  <c r="R25" i="23"/>
  <c r="R26" i="23"/>
  <c r="R27" i="23"/>
  <c r="R28" i="23"/>
  <c r="R29" i="23"/>
  <c r="R30" i="23"/>
  <c r="R31" i="23"/>
  <c r="R32" i="23"/>
  <c r="R33" i="23"/>
  <c r="R34" i="23"/>
  <c r="R35" i="23"/>
  <c r="R36" i="23"/>
  <c r="R37" i="23"/>
  <c r="R38" i="23"/>
  <c r="R39" i="23"/>
  <c r="R40" i="23"/>
  <c r="R41" i="23"/>
  <c r="R42" i="23"/>
  <c r="R43" i="23"/>
  <c r="R44" i="23"/>
  <c r="R45" i="23"/>
  <c r="R46" i="23"/>
  <c r="R47" i="23"/>
  <c r="R48" i="23"/>
  <c r="R49" i="23"/>
  <c r="R50" i="23"/>
  <c r="R51" i="23"/>
  <c r="R52" i="23"/>
  <c r="R53" i="23"/>
  <c r="R54" i="23"/>
  <c r="R55" i="23"/>
  <c r="R56" i="23"/>
  <c r="R57" i="23"/>
  <c r="R58" i="23"/>
  <c r="R59" i="23"/>
  <c r="R60" i="23"/>
  <c r="R61" i="23"/>
  <c r="R62" i="23"/>
  <c r="R63" i="23"/>
  <c r="R64" i="23"/>
  <c r="R65" i="23"/>
  <c r="R66" i="23"/>
  <c r="R67" i="23"/>
  <c r="R68" i="23"/>
  <c r="R69" i="23"/>
  <c r="R70" i="23"/>
  <c r="R71" i="23"/>
  <c r="R72" i="23"/>
  <c r="R73" i="23"/>
  <c r="R74" i="23"/>
  <c r="R75" i="23"/>
  <c r="R76" i="23"/>
  <c r="R77" i="23"/>
  <c r="R78" i="23"/>
  <c r="R79" i="23"/>
  <c r="R80" i="23"/>
  <c r="R81" i="23"/>
  <c r="R82" i="23"/>
  <c r="R83" i="23"/>
  <c r="R84" i="23"/>
  <c r="R85" i="23"/>
  <c r="R86" i="23"/>
  <c r="R87" i="23"/>
  <c r="R88" i="23"/>
  <c r="R89" i="23"/>
  <c r="R90" i="23"/>
  <c r="R91" i="23"/>
  <c r="R92" i="23"/>
  <c r="R93" i="23"/>
  <c r="R94" i="23"/>
  <c r="R95" i="23"/>
  <c r="R96" i="23"/>
  <c r="R97" i="23"/>
  <c r="R98" i="23"/>
  <c r="R99" i="23"/>
  <c r="R100" i="23"/>
  <c r="R101" i="23"/>
  <c r="R102" i="23"/>
  <c r="R103" i="23"/>
  <c r="R104" i="23"/>
  <c r="R105" i="23"/>
  <c r="R106" i="23"/>
  <c r="R107" i="23"/>
  <c r="R108" i="23"/>
  <c r="R109" i="23"/>
  <c r="R110" i="23"/>
  <c r="R111" i="23"/>
  <c r="R112" i="23"/>
  <c r="R113" i="23"/>
  <c r="R114" i="23"/>
  <c r="R115" i="23"/>
  <c r="R116" i="23"/>
  <c r="R117" i="23"/>
  <c r="R118" i="23"/>
  <c r="R119" i="23"/>
  <c r="R120" i="23"/>
  <c r="R121" i="23"/>
  <c r="R122" i="23"/>
  <c r="R123" i="23"/>
  <c r="R124" i="23"/>
  <c r="R125" i="23"/>
  <c r="R126" i="23"/>
  <c r="R127" i="23"/>
  <c r="R128" i="23"/>
  <c r="R129" i="23"/>
  <c r="R130" i="23"/>
  <c r="R131" i="23"/>
  <c r="R132" i="23"/>
  <c r="R133" i="23"/>
  <c r="R134" i="23"/>
  <c r="R135" i="23"/>
  <c r="R136" i="23"/>
  <c r="R137" i="23"/>
  <c r="R138" i="23"/>
  <c r="R139" i="23"/>
  <c r="R140" i="23"/>
  <c r="R141" i="23"/>
  <c r="R142" i="23"/>
  <c r="R143" i="23"/>
  <c r="R144" i="23"/>
  <c r="R145" i="23"/>
  <c r="R146" i="23"/>
  <c r="R147" i="23"/>
  <c r="R148" i="23"/>
  <c r="R149" i="23"/>
  <c r="R150" i="23"/>
  <c r="R151" i="23"/>
  <c r="R152" i="23"/>
  <c r="R153" i="23"/>
  <c r="R154" i="23"/>
  <c r="R155" i="23"/>
  <c r="R156" i="23"/>
  <c r="R157" i="23"/>
  <c r="R158" i="23"/>
  <c r="R159" i="23"/>
  <c r="R160" i="23"/>
  <c r="R161" i="23"/>
  <c r="R162" i="23"/>
  <c r="R163" i="23"/>
  <c r="R164" i="23"/>
  <c r="R165" i="23"/>
  <c r="R166" i="23"/>
  <c r="R167" i="23"/>
  <c r="R168" i="23"/>
  <c r="R169" i="23"/>
  <c r="R170" i="23"/>
  <c r="R171" i="23"/>
  <c r="R172" i="23"/>
  <c r="R173" i="23"/>
  <c r="R174" i="23"/>
  <c r="R175" i="23"/>
  <c r="R176" i="23"/>
  <c r="R177" i="23"/>
  <c r="R178" i="23"/>
  <c r="R179" i="23"/>
  <c r="R180" i="23"/>
  <c r="R181" i="23"/>
  <c r="R182" i="23"/>
  <c r="R183" i="23"/>
  <c r="R184" i="23"/>
  <c r="R185" i="23"/>
  <c r="R186" i="23"/>
  <c r="R187" i="23"/>
  <c r="R188" i="23"/>
  <c r="R189" i="23"/>
  <c r="R190" i="23"/>
  <c r="R191" i="23"/>
  <c r="R192" i="23"/>
  <c r="R193" i="23"/>
  <c r="R194" i="23"/>
  <c r="R195" i="23"/>
  <c r="R196" i="23"/>
  <c r="R197" i="23"/>
  <c r="R198" i="23"/>
  <c r="R199" i="23"/>
  <c r="R200" i="23"/>
  <c r="R201" i="23"/>
  <c r="CH4" i="22"/>
  <c r="CH5" i="22"/>
  <c r="CH6" i="22"/>
  <c r="CH7" i="22"/>
  <c r="CH8" i="22"/>
  <c r="CH9" i="22"/>
  <c r="CH10" i="22"/>
  <c r="CH11" i="22"/>
  <c r="CH12" i="22"/>
  <c r="CH13" i="22"/>
  <c r="CH14" i="22"/>
  <c r="CH15" i="22"/>
  <c r="CH16" i="22"/>
  <c r="CH17" i="22"/>
  <c r="CH18" i="22"/>
  <c r="CH19" i="22"/>
  <c r="CH20" i="22"/>
  <c r="CH21" i="22"/>
  <c r="CH22" i="22"/>
  <c r="CH23" i="22"/>
  <c r="CH24" i="22"/>
  <c r="CH25" i="22"/>
  <c r="CH26" i="22"/>
  <c r="CH27" i="22"/>
  <c r="CH28" i="22"/>
  <c r="CH29" i="22"/>
  <c r="CH30" i="22"/>
  <c r="CH31" i="22"/>
  <c r="CH32" i="22"/>
  <c r="CH33" i="22"/>
  <c r="CH34" i="22"/>
  <c r="CH35" i="22"/>
  <c r="CH36" i="22"/>
  <c r="CH37" i="22"/>
  <c r="CH38" i="22"/>
  <c r="CH39" i="22"/>
  <c r="CH40" i="22"/>
  <c r="CH41" i="22"/>
  <c r="CH42" i="22"/>
  <c r="CH43" i="22"/>
  <c r="CH44" i="22"/>
  <c r="CH45" i="22"/>
  <c r="CH46" i="22"/>
  <c r="CH47" i="22"/>
  <c r="CH48" i="22"/>
  <c r="CH49" i="22"/>
  <c r="CH50" i="22"/>
  <c r="CH51" i="22"/>
  <c r="CH52" i="22"/>
  <c r="CH53" i="22"/>
  <c r="CH54" i="22"/>
  <c r="CH55" i="22"/>
  <c r="CH56" i="22"/>
  <c r="CH57" i="22"/>
  <c r="CH58" i="22"/>
  <c r="CH59" i="22"/>
  <c r="CH60" i="22"/>
  <c r="CH61" i="22"/>
  <c r="CH62" i="22"/>
  <c r="CH63" i="22"/>
  <c r="CH64" i="22"/>
  <c r="CH65" i="22"/>
  <c r="CH66" i="22"/>
  <c r="CH67" i="22"/>
  <c r="CH68" i="22"/>
  <c r="CH69" i="22"/>
  <c r="CH70" i="22"/>
  <c r="CH71" i="22"/>
  <c r="CH72" i="22"/>
  <c r="CH73" i="22"/>
  <c r="CH74" i="22"/>
  <c r="CH75" i="22"/>
  <c r="CH76" i="22"/>
  <c r="CH77" i="22"/>
  <c r="CH78" i="22"/>
  <c r="CH79" i="22"/>
  <c r="CH80" i="22"/>
  <c r="CH81" i="22"/>
  <c r="CH82" i="22"/>
  <c r="CH83" i="22"/>
  <c r="CH84" i="22"/>
  <c r="CH85" i="22"/>
  <c r="CH86" i="22"/>
  <c r="CH87" i="22"/>
  <c r="CH88" i="22"/>
  <c r="CH89" i="22"/>
  <c r="CH90" i="22"/>
  <c r="CH91" i="22"/>
  <c r="CH92" i="22"/>
  <c r="CH93" i="22"/>
  <c r="CH94" i="22"/>
  <c r="CH95" i="22"/>
  <c r="CH96" i="22"/>
  <c r="CH97" i="22"/>
  <c r="CH98" i="22"/>
  <c r="CH99" i="22"/>
  <c r="CH100" i="22"/>
  <c r="CH101" i="22"/>
  <c r="CH102" i="22"/>
  <c r="CH103" i="22"/>
  <c r="CH104" i="22"/>
  <c r="CH105" i="22"/>
  <c r="CH106" i="22"/>
  <c r="CH107" i="22"/>
  <c r="CH108" i="22"/>
  <c r="CH109" i="22"/>
  <c r="CH110" i="22"/>
  <c r="CH111" i="22"/>
  <c r="CH112" i="22"/>
  <c r="CH113" i="22"/>
  <c r="CH114" i="22"/>
  <c r="CH115" i="22"/>
  <c r="CH116" i="22"/>
  <c r="CH117" i="22"/>
  <c r="CH118" i="22"/>
  <c r="CH119" i="22"/>
  <c r="CH120" i="22"/>
  <c r="CH121" i="22"/>
  <c r="CH122" i="22"/>
  <c r="CH123" i="22"/>
  <c r="CH124" i="22"/>
  <c r="CH125" i="22"/>
  <c r="CH126" i="22"/>
  <c r="CH127" i="22"/>
  <c r="CH128" i="22"/>
  <c r="CH129" i="22"/>
  <c r="CH130" i="22"/>
  <c r="CH131" i="22"/>
  <c r="CH132" i="22"/>
  <c r="CH133" i="22"/>
  <c r="CH134" i="22"/>
  <c r="CH135" i="22"/>
  <c r="CH136" i="22"/>
  <c r="CH137" i="22"/>
  <c r="CH138" i="22"/>
  <c r="CH139" i="22"/>
  <c r="CH140" i="22"/>
  <c r="CH141" i="22"/>
  <c r="CH142" i="22"/>
  <c r="CH143" i="22"/>
  <c r="CH144" i="22"/>
  <c r="CH145" i="22"/>
  <c r="CH146" i="22"/>
  <c r="CH147" i="22"/>
  <c r="CH148" i="22"/>
  <c r="CH149" i="22"/>
  <c r="CH150" i="22"/>
  <c r="CH151" i="22"/>
  <c r="CH152" i="22"/>
  <c r="CH153" i="22"/>
  <c r="CH154" i="22"/>
  <c r="CH155" i="22"/>
  <c r="CH156" i="22"/>
  <c r="CH157" i="22"/>
  <c r="CH158" i="22"/>
  <c r="CH159" i="22"/>
  <c r="CH160" i="22"/>
  <c r="CH161" i="22"/>
  <c r="CH162" i="22"/>
  <c r="CH163" i="22"/>
  <c r="CH164" i="22"/>
  <c r="CH165" i="22"/>
  <c r="CH166" i="22"/>
  <c r="CH167" i="22"/>
  <c r="CH168" i="22"/>
  <c r="CH169" i="22"/>
  <c r="CH170" i="22"/>
  <c r="CH171" i="22"/>
  <c r="CH172" i="22"/>
  <c r="CH173" i="22"/>
  <c r="CH174" i="22"/>
  <c r="CH175" i="22"/>
  <c r="CH176" i="22"/>
  <c r="CH177" i="22"/>
  <c r="CH178" i="22"/>
  <c r="CH179" i="22"/>
  <c r="CH180" i="22"/>
  <c r="CH181" i="22"/>
  <c r="CH182" i="22"/>
  <c r="CH183" i="22"/>
  <c r="CH184" i="22"/>
  <c r="CH185" i="22"/>
  <c r="CH186" i="22"/>
  <c r="CH187" i="22"/>
  <c r="CH188" i="22"/>
  <c r="CH189" i="22"/>
  <c r="CH190" i="22"/>
  <c r="CH191" i="22"/>
  <c r="CH192" i="22"/>
  <c r="CH193" i="22"/>
  <c r="CH194" i="22"/>
  <c r="CH195" i="22"/>
  <c r="CH196" i="22"/>
  <c r="CH197" i="22"/>
  <c r="CH198" i="22"/>
  <c r="CH199" i="22"/>
  <c r="CH200" i="22"/>
  <c r="CH201" i="22"/>
  <c r="CA4" i="22"/>
  <c r="CA5" i="22"/>
  <c r="CA6" i="22"/>
  <c r="CA7" i="22"/>
  <c r="CA8" i="22"/>
  <c r="CA9" i="22"/>
  <c r="CA10" i="22"/>
  <c r="CA11" i="22"/>
  <c r="CA12" i="22"/>
  <c r="CA13" i="22"/>
  <c r="CA14" i="22"/>
  <c r="CA15" i="22"/>
  <c r="CA16" i="22"/>
  <c r="CA17" i="22"/>
  <c r="CA18" i="22"/>
  <c r="CA19" i="22"/>
  <c r="CA20" i="22"/>
  <c r="CA21" i="22"/>
  <c r="CA22" i="22"/>
  <c r="CA23" i="22"/>
  <c r="CA24" i="22"/>
  <c r="CA25" i="22"/>
  <c r="CA26" i="22"/>
  <c r="CA27" i="22"/>
  <c r="CA28" i="22"/>
  <c r="CA29" i="22"/>
  <c r="CA30" i="22"/>
  <c r="CA31" i="22"/>
  <c r="CA32" i="22"/>
  <c r="CA33" i="22"/>
  <c r="CA34" i="22"/>
  <c r="CA35" i="22"/>
  <c r="CA36" i="22"/>
  <c r="CA37" i="22"/>
  <c r="CA38" i="22"/>
  <c r="CA39" i="22"/>
  <c r="CA40" i="22"/>
  <c r="CA41" i="22"/>
  <c r="CA42" i="22"/>
  <c r="CA43" i="22"/>
  <c r="CA44" i="22"/>
  <c r="CA45" i="22"/>
  <c r="CA46" i="22"/>
  <c r="CA47" i="22"/>
  <c r="CA48" i="22"/>
  <c r="CA49" i="22"/>
  <c r="CA50" i="22"/>
  <c r="CA51" i="22"/>
  <c r="CA52" i="22"/>
  <c r="CA53" i="22"/>
  <c r="CA54" i="22"/>
  <c r="CA55" i="22"/>
  <c r="CA56" i="22"/>
  <c r="CA57" i="22"/>
  <c r="CA58" i="22"/>
  <c r="CA59" i="22"/>
  <c r="CA60" i="22"/>
  <c r="CA61" i="22"/>
  <c r="CA62" i="22"/>
  <c r="CA63" i="22"/>
  <c r="CA64" i="22"/>
  <c r="CA65" i="22"/>
  <c r="CA66" i="22"/>
  <c r="CA67" i="22"/>
  <c r="CA68" i="22"/>
  <c r="CA69" i="22"/>
  <c r="CA70" i="22"/>
  <c r="CA71" i="22"/>
  <c r="CA72" i="22"/>
  <c r="CA73" i="22"/>
  <c r="CA74" i="22"/>
  <c r="CA75" i="22"/>
  <c r="CA76" i="22"/>
  <c r="CA77" i="22"/>
  <c r="CA78" i="22"/>
  <c r="CA79" i="22"/>
  <c r="CA80" i="22"/>
  <c r="CA81" i="22"/>
  <c r="CA82" i="22"/>
  <c r="CA83" i="22"/>
  <c r="CA84" i="22"/>
  <c r="CA85" i="22"/>
  <c r="CA86" i="22"/>
  <c r="CA87" i="22"/>
  <c r="CA88" i="22"/>
  <c r="CA89" i="22"/>
  <c r="CA90" i="22"/>
  <c r="CA91" i="22"/>
  <c r="CA92" i="22"/>
  <c r="CA93" i="22"/>
  <c r="CA94" i="22"/>
  <c r="CA95" i="22"/>
  <c r="CA96" i="22"/>
  <c r="CA97" i="22"/>
  <c r="CA98" i="22"/>
  <c r="CA99" i="22"/>
  <c r="CA100" i="22"/>
  <c r="CA101" i="22"/>
  <c r="CA102" i="22"/>
  <c r="CA103" i="22"/>
  <c r="CA104" i="22"/>
  <c r="CA105" i="22"/>
  <c r="CA106" i="22"/>
  <c r="CA107" i="22"/>
  <c r="CA108" i="22"/>
  <c r="CA109" i="22"/>
  <c r="CA110" i="22"/>
  <c r="CA111" i="22"/>
  <c r="CA112" i="22"/>
  <c r="CA113" i="22"/>
  <c r="CA114" i="22"/>
  <c r="CA115" i="22"/>
  <c r="CA116" i="22"/>
  <c r="CA117" i="22"/>
  <c r="CA118" i="22"/>
  <c r="CA119" i="22"/>
  <c r="CA120" i="22"/>
  <c r="CA121" i="22"/>
  <c r="CA122" i="22"/>
  <c r="CA123" i="22"/>
  <c r="CA124" i="22"/>
  <c r="CA125" i="22"/>
  <c r="CA126" i="22"/>
  <c r="CA127" i="22"/>
  <c r="CA128" i="22"/>
  <c r="CA129" i="22"/>
  <c r="CA130" i="22"/>
  <c r="CA131" i="22"/>
  <c r="CA132" i="22"/>
  <c r="CA133" i="22"/>
  <c r="CA134" i="22"/>
  <c r="CA135" i="22"/>
  <c r="CA136" i="22"/>
  <c r="CA137" i="22"/>
  <c r="CA138" i="22"/>
  <c r="CA139" i="22"/>
  <c r="CA140" i="22"/>
  <c r="CA141" i="22"/>
  <c r="CA142" i="22"/>
  <c r="CA143" i="22"/>
  <c r="CA144" i="22"/>
  <c r="CA145" i="22"/>
  <c r="CA146" i="22"/>
  <c r="CA147" i="22"/>
  <c r="CA148" i="22"/>
  <c r="CA149" i="22"/>
  <c r="CA150" i="22"/>
  <c r="CA151" i="22"/>
  <c r="CA152" i="22"/>
  <c r="CA153" i="22"/>
  <c r="CA154" i="22"/>
  <c r="CA155" i="22"/>
  <c r="CA156" i="22"/>
  <c r="CA157" i="22"/>
  <c r="CA158" i="22"/>
  <c r="CA159" i="22"/>
  <c r="CA160" i="22"/>
  <c r="CA161" i="22"/>
  <c r="CA162" i="22"/>
  <c r="CA163" i="22"/>
  <c r="CA164" i="22"/>
  <c r="CA165" i="22"/>
  <c r="CA166" i="22"/>
  <c r="CA167" i="22"/>
  <c r="CA168" i="22"/>
  <c r="CA169" i="22"/>
  <c r="CA170" i="22"/>
  <c r="CA171" i="22"/>
  <c r="CA172" i="22"/>
  <c r="CA173" i="22"/>
  <c r="CA174" i="22"/>
  <c r="CA175" i="22"/>
  <c r="CA176" i="22"/>
  <c r="CA177" i="22"/>
  <c r="CA178" i="22"/>
  <c r="CA179" i="22"/>
  <c r="CA180" i="22"/>
  <c r="CA181" i="22"/>
  <c r="CA182" i="22"/>
  <c r="CA183" i="22"/>
  <c r="CA184" i="22"/>
  <c r="CA185" i="22"/>
  <c r="CA186" i="22"/>
  <c r="CA187" i="22"/>
  <c r="CA188" i="22"/>
  <c r="CA189" i="22"/>
  <c r="CA190" i="22"/>
  <c r="CA191" i="22"/>
  <c r="CA192" i="22"/>
  <c r="CA193" i="22"/>
  <c r="CA194" i="22"/>
  <c r="CA195" i="22"/>
  <c r="CA196" i="22"/>
  <c r="CA197" i="22"/>
  <c r="CA198" i="22"/>
  <c r="CA199" i="22"/>
  <c r="CA200" i="22"/>
  <c r="CA201" i="22"/>
  <c r="BT4" i="22"/>
  <c r="BT5" i="22"/>
  <c r="BT6" i="22"/>
  <c r="BT7" i="22"/>
  <c r="BT8" i="22"/>
  <c r="BT9" i="22"/>
  <c r="BT10" i="22"/>
  <c r="BT11" i="22"/>
  <c r="BT12" i="22"/>
  <c r="BT13" i="22"/>
  <c r="BT14" i="22"/>
  <c r="BT15" i="22"/>
  <c r="BT16" i="22"/>
  <c r="BT17" i="22"/>
  <c r="BT18" i="22"/>
  <c r="BT19" i="22"/>
  <c r="BT20" i="22"/>
  <c r="BT21" i="22"/>
  <c r="BT22" i="22"/>
  <c r="BT23" i="22"/>
  <c r="BT24" i="22"/>
  <c r="BT25" i="22"/>
  <c r="BT26" i="22"/>
  <c r="BT27" i="22"/>
  <c r="BT28" i="22"/>
  <c r="BT29" i="22"/>
  <c r="BT30" i="22"/>
  <c r="BT31" i="22"/>
  <c r="BT32" i="22"/>
  <c r="BT33" i="22"/>
  <c r="BT34" i="22"/>
  <c r="BT35" i="22"/>
  <c r="BT36" i="22"/>
  <c r="BT37" i="22"/>
  <c r="BT38" i="22"/>
  <c r="BT39" i="22"/>
  <c r="BT40" i="22"/>
  <c r="BT41" i="22"/>
  <c r="BT42" i="22"/>
  <c r="BT43" i="22"/>
  <c r="BT44" i="22"/>
  <c r="BT45" i="22"/>
  <c r="BT46" i="22"/>
  <c r="BT47" i="22"/>
  <c r="BT48" i="22"/>
  <c r="BT49" i="22"/>
  <c r="BT50" i="22"/>
  <c r="BT51" i="22"/>
  <c r="BT52" i="22"/>
  <c r="BT53" i="22"/>
  <c r="BT54" i="22"/>
  <c r="BT55" i="22"/>
  <c r="BT56" i="22"/>
  <c r="BT57" i="22"/>
  <c r="BT58" i="22"/>
  <c r="BT59" i="22"/>
  <c r="BT60" i="22"/>
  <c r="BT61" i="22"/>
  <c r="BT62" i="22"/>
  <c r="BT63" i="22"/>
  <c r="BT64" i="22"/>
  <c r="BT65" i="22"/>
  <c r="BT66" i="22"/>
  <c r="BT67" i="22"/>
  <c r="BT68" i="22"/>
  <c r="BT69" i="22"/>
  <c r="BT70" i="22"/>
  <c r="BT71" i="22"/>
  <c r="BT72" i="22"/>
  <c r="BT73" i="22"/>
  <c r="BT74" i="22"/>
  <c r="BT75" i="22"/>
  <c r="BT76" i="22"/>
  <c r="BT77" i="22"/>
  <c r="BT78" i="22"/>
  <c r="BT79" i="22"/>
  <c r="BT80" i="22"/>
  <c r="BT81" i="22"/>
  <c r="BT82" i="22"/>
  <c r="BT83" i="22"/>
  <c r="BT84" i="22"/>
  <c r="BT85" i="22"/>
  <c r="BT86" i="22"/>
  <c r="BT87" i="22"/>
  <c r="BT88" i="22"/>
  <c r="BT89" i="22"/>
  <c r="BT90" i="22"/>
  <c r="BT91" i="22"/>
  <c r="BT92" i="22"/>
  <c r="BT93" i="22"/>
  <c r="BT94" i="22"/>
  <c r="BT95" i="22"/>
  <c r="BT96" i="22"/>
  <c r="BT97" i="22"/>
  <c r="BT98" i="22"/>
  <c r="BT99" i="22"/>
  <c r="BT100" i="22"/>
  <c r="BT101" i="22"/>
  <c r="BT102" i="22"/>
  <c r="BT103" i="22"/>
  <c r="BT104" i="22"/>
  <c r="BT105" i="22"/>
  <c r="BT106" i="22"/>
  <c r="BT107" i="22"/>
  <c r="BT108" i="22"/>
  <c r="BT109" i="22"/>
  <c r="BT110" i="22"/>
  <c r="BT111" i="22"/>
  <c r="BT112" i="22"/>
  <c r="BT113" i="22"/>
  <c r="BT114" i="22"/>
  <c r="BT115" i="22"/>
  <c r="BT116" i="22"/>
  <c r="BT117" i="22"/>
  <c r="BT118" i="22"/>
  <c r="BT119" i="22"/>
  <c r="BT120" i="22"/>
  <c r="BT121" i="22"/>
  <c r="BT122" i="22"/>
  <c r="BT123" i="22"/>
  <c r="BT124" i="22"/>
  <c r="BT125" i="22"/>
  <c r="BT126" i="22"/>
  <c r="BT127" i="22"/>
  <c r="BT128" i="22"/>
  <c r="BT129" i="22"/>
  <c r="BT130" i="22"/>
  <c r="BT131" i="22"/>
  <c r="BT132" i="22"/>
  <c r="BT133" i="22"/>
  <c r="BT134" i="22"/>
  <c r="BT135" i="22"/>
  <c r="BT136" i="22"/>
  <c r="BT137" i="22"/>
  <c r="BT138" i="22"/>
  <c r="BT139" i="22"/>
  <c r="BT140" i="22"/>
  <c r="BT141" i="22"/>
  <c r="BT142" i="22"/>
  <c r="BT143" i="22"/>
  <c r="BT144" i="22"/>
  <c r="BT145" i="22"/>
  <c r="BT146" i="22"/>
  <c r="BT147" i="22"/>
  <c r="BT148" i="22"/>
  <c r="BT149" i="22"/>
  <c r="BT150" i="22"/>
  <c r="BT151" i="22"/>
  <c r="BT152" i="22"/>
  <c r="BT153" i="22"/>
  <c r="BT154" i="22"/>
  <c r="BT155" i="22"/>
  <c r="BT156" i="22"/>
  <c r="BT157" i="22"/>
  <c r="BT158" i="22"/>
  <c r="BT159" i="22"/>
  <c r="BT160" i="22"/>
  <c r="BT161" i="22"/>
  <c r="BT162" i="22"/>
  <c r="BT163" i="22"/>
  <c r="BT164" i="22"/>
  <c r="BT165" i="22"/>
  <c r="BT166" i="22"/>
  <c r="BT167" i="22"/>
  <c r="BT168" i="22"/>
  <c r="BT169" i="22"/>
  <c r="BT170" i="22"/>
  <c r="BT171" i="22"/>
  <c r="BT172" i="22"/>
  <c r="BT173" i="22"/>
  <c r="BT174" i="22"/>
  <c r="BT175" i="22"/>
  <c r="BT176" i="22"/>
  <c r="BT177" i="22"/>
  <c r="BT178" i="22"/>
  <c r="BT179" i="22"/>
  <c r="BT180" i="22"/>
  <c r="BT181" i="22"/>
  <c r="BT182" i="22"/>
  <c r="BT183" i="22"/>
  <c r="BT184" i="22"/>
  <c r="BT185" i="22"/>
  <c r="BT186" i="22"/>
  <c r="BT187" i="22"/>
  <c r="BT188" i="22"/>
  <c r="BT189" i="22"/>
  <c r="BT190" i="22"/>
  <c r="BT191" i="22"/>
  <c r="BT192" i="22"/>
  <c r="BT193" i="22"/>
  <c r="BT194" i="22"/>
  <c r="BT195" i="22"/>
  <c r="BT196" i="22"/>
  <c r="BT197" i="22"/>
  <c r="BT198" i="22"/>
  <c r="BT199" i="22"/>
  <c r="BT200" i="22"/>
  <c r="BT201" i="22"/>
  <c r="BG4" i="22"/>
  <c r="BG5" i="22"/>
  <c r="BG6" i="22"/>
  <c r="BG7" i="22"/>
  <c r="BG8" i="22"/>
  <c r="BG9" i="22"/>
  <c r="BG10" i="22"/>
  <c r="BG11" i="22"/>
  <c r="BG12" i="22"/>
  <c r="BG13" i="22"/>
  <c r="BG14" i="22"/>
  <c r="BG15" i="22"/>
  <c r="BG16" i="22"/>
  <c r="BG17" i="22"/>
  <c r="BG18" i="22"/>
  <c r="BG19" i="22"/>
  <c r="BG20" i="22"/>
  <c r="BG21" i="22"/>
  <c r="BG22" i="22"/>
  <c r="BG23" i="22"/>
  <c r="BG24" i="22"/>
  <c r="BG25" i="22"/>
  <c r="BG26" i="22"/>
  <c r="BG27" i="22"/>
  <c r="BG28" i="22"/>
  <c r="BG29" i="22"/>
  <c r="BG30" i="22"/>
  <c r="BG31" i="22"/>
  <c r="BG32" i="22"/>
  <c r="BG33" i="22"/>
  <c r="BG34" i="22"/>
  <c r="BG35" i="22"/>
  <c r="BG36" i="22"/>
  <c r="BG37" i="22"/>
  <c r="BG38" i="22"/>
  <c r="BG39" i="22"/>
  <c r="BG40" i="22"/>
  <c r="BG41" i="22"/>
  <c r="BG42" i="22"/>
  <c r="BG43" i="22"/>
  <c r="BG44" i="22"/>
  <c r="BG45" i="22"/>
  <c r="BG46" i="22"/>
  <c r="BG47" i="22"/>
  <c r="BG48" i="22"/>
  <c r="BG49" i="22"/>
  <c r="BG50" i="22"/>
  <c r="BG51" i="22"/>
  <c r="BG52" i="22"/>
  <c r="BG53" i="22"/>
  <c r="BG54" i="22"/>
  <c r="BG55" i="22"/>
  <c r="BG56" i="22"/>
  <c r="BG57" i="22"/>
  <c r="BG58" i="22"/>
  <c r="BG59" i="22"/>
  <c r="BG60" i="22"/>
  <c r="BG61" i="22"/>
  <c r="BG62" i="22"/>
  <c r="BG63" i="22"/>
  <c r="BG64" i="22"/>
  <c r="BG65" i="22"/>
  <c r="BG66" i="22"/>
  <c r="BG67" i="22"/>
  <c r="BG68" i="22"/>
  <c r="BG69" i="22"/>
  <c r="BG70" i="22"/>
  <c r="BG71" i="22"/>
  <c r="BG72" i="22"/>
  <c r="BG73" i="22"/>
  <c r="BG74" i="22"/>
  <c r="BG75" i="22"/>
  <c r="BG76" i="22"/>
  <c r="BG77" i="22"/>
  <c r="BG78" i="22"/>
  <c r="BG79" i="22"/>
  <c r="BG80" i="22"/>
  <c r="BG81" i="22"/>
  <c r="BG82" i="22"/>
  <c r="BG83" i="22"/>
  <c r="BG84" i="22"/>
  <c r="BG85" i="22"/>
  <c r="BG86" i="22"/>
  <c r="BG87" i="22"/>
  <c r="BG88" i="22"/>
  <c r="BG89" i="22"/>
  <c r="BG90" i="22"/>
  <c r="BG91" i="22"/>
  <c r="BG92" i="22"/>
  <c r="BG93" i="22"/>
  <c r="BG94" i="22"/>
  <c r="BG95" i="22"/>
  <c r="BG96" i="22"/>
  <c r="BG97" i="22"/>
  <c r="BG98" i="22"/>
  <c r="BG99" i="22"/>
  <c r="BG100" i="22"/>
  <c r="BG101" i="22"/>
  <c r="BG102" i="22"/>
  <c r="BG103" i="22"/>
  <c r="BG104" i="22"/>
  <c r="BG105" i="22"/>
  <c r="BG106" i="22"/>
  <c r="BG107" i="22"/>
  <c r="BG108" i="22"/>
  <c r="BG109" i="22"/>
  <c r="BG110" i="22"/>
  <c r="BG111" i="22"/>
  <c r="BG112" i="22"/>
  <c r="BG113" i="22"/>
  <c r="BG114" i="22"/>
  <c r="BG115" i="22"/>
  <c r="BG116" i="22"/>
  <c r="BG117" i="22"/>
  <c r="BG118" i="22"/>
  <c r="BG119" i="22"/>
  <c r="BG120" i="22"/>
  <c r="BG121" i="22"/>
  <c r="BG122" i="22"/>
  <c r="BG123" i="22"/>
  <c r="BG124" i="22"/>
  <c r="BG125" i="22"/>
  <c r="BG126" i="22"/>
  <c r="BG127" i="22"/>
  <c r="BG128" i="22"/>
  <c r="BG129" i="22"/>
  <c r="BG130" i="22"/>
  <c r="BG131" i="22"/>
  <c r="BG132" i="22"/>
  <c r="BG133" i="22"/>
  <c r="BG134" i="22"/>
  <c r="BG135" i="22"/>
  <c r="BG136" i="22"/>
  <c r="BG137" i="22"/>
  <c r="BG138" i="22"/>
  <c r="BG139" i="22"/>
  <c r="BG140" i="22"/>
  <c r="BG141" i="22"/>
  <c r="BG142" i="22"/>
  <c r="BG143" i="22"/>
  <c r="BG144" i="22"/>
  <c r="BG145" i="22"/>
  <c r="BG146" i="22"/>
  <c r="BG147" i="22"/>
  <c r="BG148" i="22"/>
  <c r="BG149" i="22"/>
  <c r="BG150" i="22"/>
  <c r="BG151" i="22"/>
  <c r="BG152" i="22"/>
  <c r="BG153" i="22"/>
  <c r="BG154" i="22"/>
  <c r="BG155" i="22"/>
  <c r="BG156" i="22"/>
  <c r="BG157" i="22"/>
  <c r="BG158" i="22"/>
  <c r="BG159" i="22"/>
  <c r="BG160" i="22"/>
  <c r="BG161" i="22"/>
  <c r="BG162" i="22"/>
  <c r="BG163" i="22"/>
  <c r="BG164" i="22"/>
  <c r="BG165" i="22"/>
  <c r="BG166" i="22"/>
  <c r="BG167" i="22"/>
  <c r="BG168" i="22"/>
  <c r="BG169" i="22"/>
  <c r="BG170" i="22"/>
  <c r="BG171" i="22"/>
  <c r="BG172" i="22"/>
  <c r="BG173" i="22"/>
  <c r="BG174" i="22"/>
  <c r="BG175" i="22"/>
  <c r="BG176" i="22"/>
  <c r="BG177" i="22"/>
  <c r="BG178" i="22"/>
  <c r="BG179" i="22"/>
  <c r="BG180" i="22"/>
  <c r="BG181" i="22"/>
  <c r="BG182" i="22"/>
  <c r="BG183" i="22"/>
  <c r="BG184" i="22"/>
  <c r="BG185" i="22"/>
  <c r="BG186" i="22"/>
  <c r="BG187" i="22"/>
  <c r="BG188" i="22"/>
  <c r="BG189" i="22"/>
  <c r="BG190" i="22"/>
  <c r="BG191" i="22"/>
  <c r="BG192" i="22"/>
  <c r="BG193" i="22"/>
  <c r="BG194" i="22"/>
  <c r="BG195" i="22"/>
  <c r="BG196" i="22"/>
  <c r="BG197" i="22"/>
  <c r="BG198" i="22"/>
  <c r="BG199" i="22"/>
  <c r="BG200" i="22"/>
  <c r="BG201" i="22"/>
  <c r="AZ4" i="22"/>
  <c r="AZ5" i="22"/>
  <c r="AZ6" i="22"/>
  <c r="AZ7" i="22"/>
  <c r="AZ8" i="22"/>
  <c r="AZ9" i="22"/>
  <c r="AZ10" i="22"/>
  <c r="AZ11" i="22"/>
  <c r="AZ12" i="22"/>
  <c r="AZ13" i="22"/>
  <c r="AZ14" i="22"/>
  <c r="AZ15" i="22"/>
  <c r="AZ16" i="22"/>
  <c r="AZ17" i="22"/>
  <c r="AZ18" i="22"/>
  <c r="AZ19" i="22"/>
  <c r="AZ20" i="22"/>
  <c r="AZ21" i="22"/>
  <c r="AZ22" i="22"/>
  <c r="AZ23" i="22"/>
  <c r="AZ24" i="22"/>
  <c r="AZ25" i="22"/>
  <c r="AZ26" i="22"/>
  <c r="AZ27" i="22"/>
  <c r="AZ28" i="22"/>
  <c r="AZ29" i="22"/>
  <c r="AZ30" i="22"/>
  <c r="AZ31" i="22"/>
  <c r="AZ32" i="22"/>
  <c r="AZ33" i="22"/>
  <c r="AZ34" i="22"/>
  <c r="AZ35" i="22"/>
  <c r="AZ36" i="22"/>
  <c r="AZ37" i="22"/>
  <c r="AZ38" i="22"/>
  <c r="AZ39" i="22"/>
  <c r="AZ40" i="22"/>
  <c r="AZ41" i="22"/>
  <c r="AZ42" i="22"/>
  <c r="AZ43" i="22"/>
  <c r="AZ44" i="22"/>
  <c r="AZ45" i="22"/>
  <c r="AZ46" i="22"/>
  <c r="AZ47" i="22"/>
  <c r="AZ48" i="22"/>
  <c r="AZ49" i="22"/>
  <c r="AZ50" i="22"/>
  <c r="AZ51" i="22"/>
  <c r="AZ52" i="22"/>
  <c r="AZ53" i="22"/>
  <c r="AZ54" i="22"/>
  <c r="AZ55" i="22"/>
  <c r="AZ56" i="22"/>
  <c r="AZ57" i="22"/>
  <c r="AZ58" i="22"/>
  <c r="AZ59" i="22"/>
  <c r="AZ60" i="22"/>
  <c r="AZ61" i="22"/>
  <c r="AZ62" i="22"/>
  <c r="AZ63" i="22"/>
  <c r="AZ64" i="22"/>
  <c r="AZ65" i="22"/>
  <c r="AZ66" i="22"/>
  <c r="AZ67" i="22"/>
  <c r="AZ68" i="22"/>
  <c r="AZ69" i="22"/>
  <c r="AZ70" i="22"/>
  <c r="AZ71" i="22"/>
  <c r="AZ72" i="22"/>
  <c r="AZ73" i="22"/>
  <c r="AZ74" i="22"/>
  <c r="AZ75" i="22"/>
  <c r="AZ76" i="22"/>
  <c r="AZ77" i="22"/>
  <c r="AZ78" i="22"/>
  <c r="AZ79" i="22"/>
  <c r="AZ80" i="22"/>
  <c r="AZ81" i="22"/>
  <c r="AZ82" i="22"/>
  <c r="AZ83" i="22"/>
  <c r="AZ84" i="22"/>
  <c r="AZ85" i="22"/>
  <c r="AZ86" i="22"/>
  <c r="AZ87" i="22"/>
  <c r="AZ88" i="22"/>
  <c r="AZ89" i="22"/>
  <c r="AZ90" i="22"/>
  <c r="AZ91" i="22"/>
  <c r="AZ92" i="22"/>
  <c r="AZ93" i="22"/>
  <c r="AZ94" i="22"/>
  <c r="AZ95" i="22"/>
  <c r="AZ96" i="22"/>
  <c r="AZ97" i="22"/>
  <c r="AZ98" i="22"/>
  <c r="AZ99" i="22"/>
  <c r="AZ100" i="22"/>
  <c r="AZ101" i="22"/>
  <c r="AZ102" i="22"/>
  <c r="AZ103" i="22"/>
  <c r="AZ104" i="22"/>
  <c r="AZ105" i="22"/>
  <c r="AZ106" i="22"/>
  <c r="AZ107" i="22"/>
  <c r="AZ108" i="22"/>
  <c r="AZ109" i="22"/>
  <c r="AZ110" i="22"/>
  <c r="AZ111" i="22"/>
  <c r="AZ112" i="22"/>
  <c r="AZ113" i="22"/>
  <c r="AZ114" i="22"/>
  <c r="AZ115" i="22"/>
  <c r="AZ116" i="22"/>
  <c r="AZ117" i="22"/>
  <c r="AZ118" i="22"/>
  <c r="AZ119" i="22"/>
  <c r="AZ120" i="22"/>
  <c r="AZ121" i="22"/>
  <c r="AZ122" i="22"/>
  <c r="AZ123" i="22"/>
  <c r="AZ124" i="22"/>
  <c r="AZ125" i="22"/>
  <c r="AZ126" i="22"/>
  <c r="AZ127" i="22"/>
  <c r="AZ128" i="22"/>
  <c r="AZ129" i="22"/>
  <c r="AZ130" i="22"/>
  <c r="AZ131" i="22"/>
  <c r="AZ132" i="22"/>
  <c r="AZ133" i="22"/>
  <c r="AZ134" i="22"/>
  <c r="AZ135" i="22"/>
  <c r="AZ136" i="22"/>
  <c r="AZ137" i="22"/>
  <c r="AZ138" i="22"/>
  <c r="AZ139" i="22"/>
  <c r="AZ140" i="22"/>
  <c r="AZ141" i="22"/>
  <c r="AZ142" i="22"/>
  <c r="AZ143" i="22"/>
  <c r="AZ144" i="22"/>
  <c r="AZ145" i="22"/>
  <c r="AZ146" i="22"/>
  <c r="AZ147" i="22"/>
  <c r="AZ148" i="22"/>
  <c r="AZ149" i="22"/>
  <c r="AZ150" i="22"/>
  <c r="AZ151" i="22"/>
  <c r="AZ152" i="22"/>
  <c r="AZ153" i="22"/>
  <c r="AZ154" i="22"/>
  <c r="AZ155" i="22"/>
  <c r="AZ156" i="22"/>
  <c r="AZ157" i="22"/>
  <c r="AZ158" i="22"/>
  <c r="AZ159" i="22"/>
  <c r="AZ160" i="22"/>
  <c r="AZ161" i="22"/>
  <c r="AZ162" i="22"/>
  <c r="AZ163" i="22"/>
  <c r="AZ164" i="22"/>
  <c r="AZ165" i="22"/>
  <c r="AZ166" i="22"/>
  <c r="AZ167" i="22"/>
  <c r="AZ168" i="22"/>
  <c r="AZ169" i="22"/>
  <c r="AZ170" i="22"/>
  <c r="AZ171" i="22"/>
  <c r="AZ172" i="22"/>
  <c r="AZ173" i="22"/>
  <c r="AZ174" i="22"/>
  <c r="AZ175" i="22"/>
  <c r="AZ176" i="22"/>
  <c r="AZ177" i="22"/>
  <c r="AZ178" i="22"/>
  <c r="AZ179" i="22"/>
  <c r="AZ180" i="22"/>
  <c r="AZ181" i="22"/>
  <c r="AZ182" i="22"/>
  <c r="AZ183" i="22"/>
  <c r="AZ184" i="22"/>
  <c r="AZ185" i="22"/>
  <c r="AZ186" i="22"/>
  <c r="AZ187" i="22"/>
  <c r="AZ188" i="22"/>
  <c r="AZ189" i="22"/>
  <c r="AZ190" i="22"/>
  <c r="AZ191" i="22"/>
  <c r="AZ192" i="22"/>
  <c r="AZ193" i="22"/>
  <c r="AZ194" i="22"/>
  <c r="AZ195" i="22"/>
  <c r="AZ196" i="22"/>
  <c r="AZ197" i="22"/>
  <c r="AZ198" i="22"/>
  <c r="AZ199" i="22"/>
  <c r="AZ200" i="22"/>
  <c r="AZ201" i="22"/>
  <c r="AS4" i="22"/>
  <c r="AS5" i="22"/>
  <c r="AS6" i="22"/>
  <c r="AS7" i="22"/>
  <c r="AS8" i="22"/>
  <c r="AS9" i="22"/>
  <c r="AS10" i="22"/>
  <c r="AS11" i="22"/>
  <c r="AS12" i="22"/>
  <c r="AS13" i="22"/>
  <c r="AS14" i="22"/>
  <c r="AS15" i="22"/>
  <c r="AS16" i="22"/>
  <c r="AS17" i="22"/>
  <c r="AS18" i="22"/>
  <c r="AS19" i="22"/>
  <c r="AS20" i="22"/>
  <c r="AS21" i="22"/>
  <c r="AS22" i="22"/>
  <c r="AS23" i="22"/>
  <c r="AS24" i="22"/>
  <c r="AS25" i="22"/>
  <c r="AS26" i="22"/>
  <c r="AS27" i="22"/>
  <c r="AS28" i="22"/>
  <c r="AS29" i="22"/>
  <c r="AS30" i="22"/>
  <c r="AS31" i="22"/>
  <c r="AS32" i="22"/>
  <c r="AS33" i="22"/>
  <c r="AS34" i="22"/>
  <c r="AS35" i="22"/>
  <c r="AS36" i="22"/>
  <c r="AS37" i="22"/>
  <c r="AS38" i="22"/>
  <c r="AS39" i="22"/>
  <c r="AS40" i="22"/>
  <c r="AS41" i="22"/>
  <c r="AS42" i="22"/>
  <c r="AS43" i="22"/>
  <c r="AS44" i="22"/>
  <c r="AS45" i="22"/>
  <c r="AS46" i="22"/>
  <c r="AS47" i="22"/>
  <c r="AS48" i="22"/>
  <c r="AS49" i="22"/>
  <c r="AS50" i="22"/>
  <c r="AS51" i="22"/>
  <c r="AS52" i="22"/>
  <c r="AS53" i="22"/>
  <c r="AS54" i="22"/>
  <c r="AS55" i="22"/>
  <c r="AS56" i="22"/>
  <c r="AS57" i="22"/>
  <c r="AS58" i="22"/>
  <c r="AS59" i="22"/>
  <c r="AS60" i="22"/>
  <c r="AS61" i="22"/>
  <c r="AS62" i="22"/>
  <c r="AS63" i="22"/>
  <c r="AS64" i="22"/>
  <c r="AS65" i="22"/>
  <c r="AS66" i="22"/>
  <c r="AS67" i="22"/>
  <c r="AS68" i="22"/>
  <c r="AS69" i="22"/>
  <c r="AS70" i="22"/>
  <c r="AS71" i="22"/>
  <c r="AS72" i="22"/>
  <c r="AS73" i="22"/>
  <c r="AS74" i="22"/>
  <c r="AS75" i="22"/>
  <c r="AS76" i="22"/>
  <c r="AS77" i="22"/>
  <c r="AS78" i="22"/>
  <c r="AS79" i="22"/>
  <c r="AS80" i="22"/>
  <c r="AS81" i="22"/>
  <c r="AS82" i="22"/>
  <c r="AS83" i="22"/>
  <c r="AS84" i="22"/>
  <c r="AS85" i="22"/>
  <c r="AS86" i="22"/>
  <c r="AS87" i="22"/>
  <c r="AS88" i="22"/>
  <c r="AS89" i="22"/>
  <c r="AS90" i="22"/>
  <c r="AS91" i="22"/>
  <c r="AS92" i="22"/>
  <c r="AS93" i="22"/>
  <c r="AS94" i="22"/>
  <c r="AS95" i="22"/>
  <c r="AS96" i="22"/>
  <c r="AS97" i="22"/>
  <c r="AS98" i="22"/>
  <c r="AS99" i="22"/>
  <c r="AS100" i="22"/>
  <c r="AS101" i="22"/>
  <c r="AS102" i="22"/>
  <c r="AS103" i="22"/>
  <c r="AS104" i="22"/>
  <c r="AS105" i="22"/>
  <c r="AS106" i="22"/>
  <c r="AS107" i="22"/>
  <c r="AS108" i="22"/>
  <c r="AS109" i="22"/>
  <c r="AS110" i="22"/>
  <c r="AS111" i="22"/>
  <c r="AS112" i="22"/>
  <c r="AS113" i="22"/>
  <c r="AS114" i="22"/>
  <c r="AS115" i="22"/>
  <c r="AS116" i="22"/>
  <c r="AS117" i="22"/>
  <c r="AS118" i="22"/>
  <c r="AS119" i="22"/>
  <c r="AS120" i="22"/>
  <c r="AS121" i="22"/>
  <c r="AS122" i="22"/>
  <c r="AS123" i="22"/>
  <c r="AS124" i="22"/>
  <c r="AS125" i="22"/>
  <c r="AS126" i="22"/>
  <c r="AS127" i="22"/>
  <c r="AS128" i="22"/>
  <c r="AS129" i="22"/>
  <c r="AS130" i="22"/>
  <c r="AS131" i="22"/>
  <c r="AS132" i="22"/>
  <c r="AS133" i="22"/>
  <c r="AS134" i="22"/>
  <c r="AS135" i="22"/>
  <c r="AS136" i="22"/>
  <c r="AS137" i="22"/>
  <c r="AS138" i="22"/>
  <c r="AS139" i="22"/>
  <c r="AS140" i="22"/>
  <c r="AS141" i="22"/>
  <c r="AS142" i="22"/>
  <c r="AS143" i="22"/>
  <c r="AS144" i="22"/>
  <c r="AS145" i="22"/>
  <c r="AS146" i="22"/>
  <c r="AS147" i="22"/>
  <c r="AS148" i="22"/>
  <c r="AS149" i="22"/>
  <c r="AS150" i="22"/>
  <c r="AS151" i="22"/>
  <c r="AS152" i="22"/>
  <c r="AS153" i="22"/>
  <c r="AS154" i="22"/>
  <c r="AS155" i="22"/>
  <c r="AS156" i="22"/>
  <c r="AS157" i="22"/>
  <c r="AS158" i="22"/>
  <c r="AS159" i="22"/>
  <c r="AS160" i="22"/>
  <c r="AS161" i="22"/>
  <c r="AS162" i="22"/>
  <c r="AS163" i="22"/>
  <c r="AS164" i="22"/>
  <c r="AS165" i="22"/>
  <c r="AS166" i="22"/>
  <c r="AS167" i="22"/>
  <c r="AS168" i="22"/>
  <c r="AS169" i="22"/>
  <c r="AS170" i="22"/>
  <c r="AS171" i="22"/>
  <c r="AS172" i="22"/>
  <c r="AS173" i="22"/>
  <c r="AS174" i="22"/>
  <c r="AS175" i="22"/>
  <c r="AS176" i="22"/>
  <c r="AS177" i="22"/>
  <c r="AS178" i="22"/>
  <c r="AS179" i="22"/>
  <c r="AS180" i="22"/>
  <c r="AS181" i="22"/>
  <c r="AS182" i="22"/>
  <c r="AS183" i="22"/>
  <c r="AS184" i="22"/>
  <c r="AS185" i="22"/>
  <c r="AS186" i="22"/>
  <c r="AS187" i="22"/>
  <c r="AS188" i="22"/>
  <c r="AS189" i="22"/>
  <c r="AS190" i="22"/>
  <c r="AS191" i="22"/>
  <c r="AS192" i="22"/>
  <c r="AS193" i="22"/>
  <c r="AS194" i="22"/>
  <c r="AS195" i="22"/>
  <c r="AS196" i="22"/>
  <c r="AS197" i="22"/>
  <c r="AS198" i="22"/>
  <c r="AS199" i="22"/>
  <c r="AS200" i="22"/>
  <c r="AS201" i="22"/>
  <c r="AF4" i="22"/>
  <c r="AF5" i="22"/>
  <c r="AF6" i="22"/>
  <c r="AF7" i="22"/>
  <c r="AF8" i="22"/>
  <c r="AF9" i="22"/>
  <c r="AF10" i="22"/>
  <c r="AF11" i="22"/>
  <c r="AF12" i="22"/>
  <c r="AF13" i="22"/>
  <c r="AF14" i="22"/>
  <c r="AF15" i="22"/>
  <c r="AF16" i="22"/>
  <c r="AF17" i="22"/>
  <c r="AF18" i="22"/>
  <c r="AF19" i="22"/>
  <c r="AF20" i="22"/>
  <c r="AF21" i="22"/>
  <c r="AF22" i="22"/>
  <c r="AF23" i="22"/>
  <c r="AF24" i="22"/>
  <c r="AF25" i="22"/>
  <c r="AF26" i="22"/>
  <c r="AF27" i="22"/>
  <c r="AF28" i="22"/>
  <c r="AF29" i="22"/>
  <c r="AF30" i="22"/>
  <c r="AF31" i="22"/>
  <c r="AF32" i="22"/>
  <c r="AF33" i="22"/>
  <c r="AF34" i="22"/>
  <c r="AF35" i="22"/>
  <c r="AF36" i="22"/>
  <c r="AF37" i="22"/>
  <c r="AF38" i="22"/>
  <c r="AF39" i="22"/>
  <c r="AF40" i="22"/>
  <c r="AF41" i="22"/>
  <c r="AF42" i="22"/>
  <c r="AF43" i="22"/>
  <c r="AF44" i="22"/>
  <c r="AF45" i="22"/>
  <c r="AF46" i="22"/>
  <c r="AF47" i="22"/>
  <c r="AF48" i="22"/>
  <c r="AF49" i="22"/>
  <c r="AF50" i="22"/>
  <c r="AF51" i="22"/>
  <c r="AF52" i="22"/>
  <c r="AF53" i="22"/>
  <c r="AF54" i="22"/>
  <c r="AF55" i="22"/>
  <c r="AF56" i="22"/>
  <c r="AF57" i="22"/>
  <c r="AF58" i="22"/>
  <c r="AF59" i="22"/>
  <c r="AF60" i="22"/>
  <c r="AF61" i="22"/>
  <c r="AF62" i="22"/>
  <c r="AF63" i="22"/>
  <c r="AF64" i="22"/>
  <c r="AF65" i="22"/>
  <c r="AF66" i="22"/>
  <c r="AF67" i="22"/>
  <c r="AF68" i="22"/>
  <c r="AF69" i="22"/>
  <c r="AF70" i="22"/>
  <c r="AF71" i="22"/>
  <c r="AF72" i="22"/>
  <c r="AF73" i="22"/>
  <c r="AF74" i="22"/>
  <c r="AF75" i="22"/>
  <c r="AF76" i="22"/>
  <c r="AF77" i="22"/>
  <c r="AF78" i="22"/>
  <c r="AF79" i="22"/>
  <c r="AF80" i="22"/>
  <c r="AF81" i="22"/>
  <c r="AF82" i="22"/>
  <c r="AF83" i="22"/>
  <c r="AF84" i="22"/>
  <c r="AF85" i="22"/>
  <c r="AF86" i="22"/>
  <c r="AF87" i="22"/>
  <c r="AF88" i="22"/>
  <c r="AF89" i="22"/>
  <c r="AF90" i="22"/>
  <c r="AF91" i="22"/>
  <c r="AF92" i="22"/>
  <c r="AF93" i="22"/>
  <c r="AF94" i="22"/>
  <c r="AF95" i="22"/>
  <c r="AF96" i="22"/>
  <c r="AF97" i="22"/>
  <c r="AF98" i="22"/>
  <c r="AF99" i="22"/>
  <c r="AF100" i="22"/>
  <c r="AF101" i="22"/>
  <c r="AF102" i="22"/>
  <c r="AF103" i="22"/>
  <c r="AF104" i="22"/>
  <c r="AF105" i="22"/>
  <c r="AF106" i="22"/>
  <c r="AF107" i="22"/>
  <c r="AF108" i="22"/>
  <c r="AF109" i="22"/>
  <c r="AF110" i="22"/>
  <c r="AF111" i="22"/>
  <c r="AF112" i="22"/>
  <c r="AF113" i="22"/>
  <c r="AF114" i="22"/>
  <c r="AF115" i="22"/>
  <c r="AF116" i="22"/>
  <c r="AF117" i="22"/>
  <c r="AF118" i="22"/>
  <c r="AF119" i="22"/>
  <c r="AF120" i="22"/>
  <c r="AF121" i="22"/>
  <c r="AF122" i="22"/>
  <c r="AF123" i="22"/>
  <c r="AF124" i="22"/>
  <c r="AF125" i="22"/>
  <c r="AF126" i="22"/>
  <c r="AF127" i="22"/>
  <c r="AF128" i="22"/>
  <c r="AF129" i="22"/>
  <c r="AF130" i="22"/>
  <c r="AF131" i="22"/>
  <c r="AF132" i="22"/>
  <c r="AF133" i="22"/>
  <c r="AF134" i="22"/>
  <c r="AF135" i="22"/>
  <c r="AF136" i="22"/>
  <c r="AF137" i="22"/>
  <c r="AF138" i="22"/>
  <c r="AF139" i="22"/>
  <c r="AF140" i="22"/>
  <c r="AF141" i="22"/>
  <c r="AF142" i="22"/>
  <c r="AF143" i="22"/>
  <c r="AF144" i="22"/>
  <c r="AF145" i="22"/>
  <c r="AF146" i="22"/>
  <c r="AF147" i="22"/>
  <c r="AF148" i="22"/>
  <c r="AF149" i="22"/>
  <c r="AF150" i="22"/>
  <c r="AF151" i="22"/>
  <c r="AF152" i="22"/>
  <c r="AF153" i="22"/>
  <c r="AF154" i="22"/>
  <c r="AF155" i="22"/>
  <c r="AF156" i="22"/>
  <c r="AF157" i="22"/>
  <c r="AF158" i="22"/>
  <c r="AF159" i="22"/>
  <c r="AF160" i="22"/>
  <c r="AF161" i="22"/>
  <c r="AF162" i="22"/>
  <c r="AF163" i="22"/>
  <c r="AF164" i="22"/>
  <c r="AF165" i="22"/>
  <c r="AF166" i="22"/>
  <c r="AF167" i="22"/>
  <c r="AF168" i="22"/>
  <c r="AF169" i="22"/>
  <c r="AF170" i="22"/>
  <c r="AF171" i="22"/>
  <c r="AF172" i="22"/>
  <c r="AF173" i="22"/>
  <c r="AF174" i="22"/>
  <c r="AF175" i="22"/>
  <c r="AF176" i="22"/>
  <c r="AF177" i="22"/>
  <c r="AF178" i="22"/>
  <c r="AF179" i="22"/>
  <c r="AF180" i="22"/>
  <c r="AF181" i="22"/>
  <c r="AF182" i="22"/>
  <c r="AF183" i="22"/>
  <c r="AF184" i="22"/>
  <c r="AF185" i="22"/>
  <c r="AF186" i="22"/>
  <c r="AF187" i="22"/>
  <c r="AF188" i="22"/>
  <c r="AF189" i="22"/>
  <c r="AF190" i="22"/>
  <c r="AF191" i="22"/>
  <c r="AF192" i="22"/>
  <c r="AF193" i="22"/>
  <c r="AF194" i="22"/>
  <c r="AF195" i="22"/>
  <c r="AF196" i="22"/>
  <c r="AF197" i="22"/>
  <c r="AF198" i="22"/>
  <c r="AF199" i="22"/>
  <c r="AF200" i="22"/>
  <c r="AF201" i="22"/>
  <c r="Y4" i="22"/>
  <c r="Y5" i="22"/>
  <c r="Y6" i="22"/>
  <c r="Y7" i="22"/>
  <c r="Y8" i="22"/>
  <c r="Y9" i="22"/>
  <c r="Y10" i="22"/>
  <c r="Y11" i="22"/>
  <c r="Y12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Y25" i="22"/>
  <c r="Y26" i="22"/>
  <c r="Y27" i="22"/>
  <c r="Y28" i="22"/>
  <c r="Y29" i="22"/>
  <c r="Y30" i="22"/>
  <c r="Y31" i="22"/>
  <c r="Y32" i="22"/>
  <c r="Y33" i="22"/>
  <c r="Y34" i="22"/>
  <c r="Y35" i="22"/>
  <c r="Y36" i="22"/>
  <c r="Y37" i="22"/>
  <c r="Y38" i="22"/>
  <c r="Y39" i="22"/>
  <c r="Y40" i="22"/>
  <c r="Y41" i="22"/>
  <c r="Y42" i="22"/>
  <c r="Y43" i="22"/>
  <c r="Y44" i="22"/>
  <c r="Y45" i="22"/>
  <c r="Y46" i="22"/>
  <c r="Y47" i="22"/>
  <c r="Y48" i="22"/>
  <c r="Y49" i="22"/>
  <c r="Y50" i="22"/>
  <c r="Y51" i="22"/>
  <c r="Y52" i="22"/>
  <c r="Y53" i="22"/>
  <c r="Y54" i="22"/>
  <c r="Y55" i="22"/>
  <c r="Y56" i="22"/>
  <c r="Y57" i="22"/>
  <c r="Y58" i="22"/>
  <c r="Y59" i="22"/>
  <c r="Y60" i="22"/>
  <c r="Y61" i="22"/>
  <c r="Y62" i="22"/>
  <c r="Y63" i="22"/>
  <c r="Y64" i="22"/>
  <c r="Y65" i="22"/>
  <c r="Y66" i="22"/>
  <c r="Y67" i="22"/>
  <c r="Y68" i="22"/>
  <c r="Y69" i="22"/>
  <c r="Y70" i="22"/>
  <c r="Y71" i="22"/>
  <c r="Y72" i="22"/>
  <c r="Y73" i="22"/>
  <c r="Y74" i="22"/>
  <c r="Y75" i="22"/>
  <c r="Y76" i="22"/>
  <c r="Y77" i="22"/>
  <c r="Y78" i="22"/>
  <c r="Y79" i="22"/>
  <c r="Y80" i="22"/>
  <c r="Y81" i="22"/>
  <c r="Y82" i="22"/>
  <c r="Y83" i="22"/>
  <c r="Y84" i="22"/>
  <c r="Y85" i="22"/>
  <c r="Y86" i="22"/>
  <c r="Y87" i="22"/>
  <c r="Y88" i="22"/>
  <c r="Y89" i="22"/>
  <c r="Y90" i="22"/>
  <c r="Y91" i="22"/>
  <c r="Y92" i="22"/>
  <c r="Y93" i="22"/>
  <c r="Y94" i="22"/>
  <c r="Y95" i="22"/>
  <c r="Y96" i="22"/>
  <c r="Y97" i="22"/>
  <c r="Y98" i="22"/>
  <c r="Y99" i="22"/>
  <c r="Y100" i="22"/>
  <c r="Y101" i="22"/>
  <c r="Y102" i="22"/>
  <c r="Y103" i="22"/>
  <c r="Y104" i="22"/>
  <c r="Y105" i="22"/>
  <c r="Y106" i="22"/>
  <c r="Y107" i="22"/>
  <c r="Y108" i="22"/>
  <c r="Y109" i="22"/>
  <c r="Y110" i="22"/>
  <c r="Y111" i="22"/>
  <c r="Y112" i="22"/>
  <c r="Y113" i="22"/>
  <c r="Y114" i="22"/>
  <c r="Y115" i="22"/>
  <c r="Y116" i="22"/>
  <c r="Y117" i="22"/>
  <c r="Y118" i="22"/>
  <c r="Y119" i="22"/>
  <c r="Y120" i="22"/>
  <c r="Y121" i="22"/>
  <c r="Y122" i="22"/>
  <c r="Y123" i="22"/>
  <c r="Y124" i="22"/>
  <c r="Y125" i="22"/>
  <c r="Y126" i="22"/>
  <c r="Y127" i="22"/>
  <c r="Y128" i="22"/>
  <c r="Y129" i="22"/>
  <c r="Y130" i="22"/>
  <c r="Y131" i="22"/>
  <c r="Y132" i="22"/>
  <c r="Y133" i="22"/>
  <c r="Y134" i="22"/>
  <c r="Y135" i="22"/>
  <c r="Y136" i="22"/>
  <c r="Y137" i="22"/>
  <c r="Y138" i="22"/>
  <c r="Y139" i="22"/>
  <c r="Y140" i="22"/>
  <c r="Y141" i="22"/>
  <c r="Y142" i="22"/>
  <c r="Y143" i="22"/>
  <c r="Y144" i="22"/>
  <c r="Y145" i="22"/>
  <c r="Y146" i="22"/>
  <c r="Y147" i="22"/>
  <c r="Y148" i="22"/>
  <c r="Y149" i="22"/>
  <c r="Y150" i="22"/>
  <c r="Y151" i="22"/>
  <c r="Y152" i="22"/>
  <c r="Y153" i="22"/>
  <c r="Y154" i="22"/>
  <c r="Y155" i="22"/>
  <c r="Y156" i="22"/>
  <c r="Y157" i="22"/>
  <c r="Y158" i="22"/>
  <c r="Y159" i="22"/>
  <c r="Y160" i="22"/>
  <c r="Y161" i="22"/>
  <c r="Y162" i="22"/>
  <c r="Y163" i="22"/>
  <c r="Y164" i="22"/>
  <c r="Y165" i="22"/>
  <c r="Y166" i="22"/>
  <c r="Y167" i="22"/>
  <c r="Y168" i="22"/>
  <c r="Y169" i="22"/>
  <c r="Y170" i="22"/>
  <c r="Y171" i="22"/>
  <c r="Y172" i="22"/>
  <c r="Y173" i="22"/>
  <c r="Y174" i="22"/>
  <c r="Y175" i="22"/>
  <c r="Y176" i="22"/>
  <c r="Y177" i="22"/>
  <c r="Y178" i="22"/>
  <c r="Y179" i="22"/>
  <c r="Y180" i="22"/>
  <c r="Y181" i="22"/>
  <c r="Y182" i="22"/>
  <c r="Y183" i="22"/>
  <c r="Y184" i="22"/>
  <c r="Y185" i="22"/>
  <c r="Y186" i="22"/>
  <c r="Y187" i="22"/>
  <c r="Y188" i="22"/>
  <c r="Y189" i="22"/>
  <c r="Y190" i="22"/>
  <c r="Y191" i="22"/>
  <c r="Y192" i="22"/>
  <c r="Y193" i="22"/>
  <c r="Y194" i="22"/>
  <c r="Y195" i="22"/>
  <c r="Y196" i="22"/>
  <c r="Y197" i="22"/>
  <c r="Y198" i="22"/>
  <c r="Y199" i="22"/>
  <c r="Y200" i="22"/>
  <c r="Y201" i="22"/>
  <c r="R4" i="22"/>
  <c r="R5" i="22"/>
  <c r="R6" i="22"/>
  <c r="R7" i="22"/>
  <c r="R8" i="22"/>
  <c r="R9" i="22"/>
  <c r="R10" i="22"/>
  <c r="R11" i="22"/>
  <c r="R12" i="22"/>
  <c r="R13" i="22"/>
  <c r="R14" i="22"/>
  <c r="R15" i="22"/>
  <c r="R16" i="22"/>
  <c r="R17" i="22"/>
  <c r="R18" i="22"/>
  <c r="R19" i="22"/>
  <c r="R20" i="22"/>
  <c r="R21" i="22"/>
  <c r="R22" i="22"/>
  <c r="R23" i="22"/>
  <c r="R24" i="22"/>
  <c r="R25" i="22"/>
  <c r="R26" i="22"/>
  <c r="R27" i="22"/>
  <c r="R28" i="22"/>
  <c r="R29" i="22"/>
  <c r="R30" i="22"/>
  <c r="R31" i="22"/>
  <c r="R32" i="22"/>
  <c r="R33" i="22"/>
  <c r="R34" i="22"/>
  <c r="R35" i="22"/>
  <c r="R36" i="22"/>
  <c r="R37" i="22"/>
  <c r="R38" i="22"/>
  <c r="R39" i="22"/>
  <c r="R40" i="22"/>
  <c r="R41" i="22"/>
  <c r="R42" i="22"/>
  <c r="R43" i="22"/>
  <c r="R44" i="22"/>
  <c r="R45" i="22"/>
  <c r="R46" i="22"/>
  <c r="R47" i="22"/>
  <c r="R48" i="22"/>
  <c r="R49" i="22"/>
  <c r="R50" i="22"/>
  <c r="R51" i="22"/>
  <c r="R52" i="22"/>
  <c r="R53" i="22"/>
  <c r="R54" i="22"/>
  <c r="R55" i="22"/>
  <c r="R56" i="22"/>
  <c r="R57" i="22"/>
  <c r="R58" i="22"/>
  <c r="R59" i="22"/>
  <c r="R60" i="22"/>
  <c r="R61" i="22"/>
  <c r="R62" i="22"/>
  <c r="R63" i="22"/>
  <c r="R64" i="22"/>
  <c r="R65" i="22"/>
  <c r="R66" i="22"/>
  <c r="R67" i="22"/>
  <c r="R68" i="22"/>
  <c r="R69" i="22"/>
  <c r="R70" i="22"/>
  <c r="R71" i="22"/>
  <c r="R72" i="22"/>
  <c r="R73" i="22"/>
  <c r="R74" i="22"/>
  <c r="R75" i="22"/>
  <c r="R76" i="22"/>
  <c r="R77" i="22"/>
  <c r="R78" i="22"/>
  <c r="R79" i="22"/>
  <c r="R80" i="22"/>
  <c r="R81" i="22"/>
  <c r="R82" i="22"/>
  <c r="R83" i="22"/>
  <c r="R84" i="22"/>
  <c r="R85" i="22"/>
  <c r="R86" i="22"/>
  <c r="R87" i="22"/>
  <c r="R88" i="22"/>
  <c r="R89" i="22"/>
  <c r="R90" i="22"/>
  <c r="R91" i="22"/>
  <c r="R92" i="22"/>
  <c r="R93" i="22"/>
  <c r="R94" i="22"/>
  <c r="R95" i="22"/>
  <c r="R96" i="22"/>
  <c r="R97" i="22"/>
  <c r="R98" i="22"/>
  <c r="R99" i="22"/>
  <c r="R100" i="22"/>
  <c r="R101" i="22"/>
  <c r="R102" i="22"/>
  <c r="R103" i="22"/>
  <c r="R104" i="22"/>
  <c r="R105" i="22"/>
  <c r="R106" i="22"/>
  <c r="R107" i="22"/>
  <c r="R108" i="22"/>
  <c r="R109" i="22"/>
  <c r="R110" i="22"/>
  <c r="R111" i="22"/>
  <c r="R112" i="22"/>
  <c r="R113" i="22"/>
  <c r="R114" i="22"/>
  <c r="R115" i="22"/>
  <c r="R116" i="22"/>
  <c r="R117" i="22"/>
  <c r="R118" i="22"/>
  <c r="R119" i="22"/>
  <c r="R120" i="22"/>
  <c r="R121" i="22"/>
  <c r="R122" i="22"/>
  <c r="R123" i="22"/>
  <c r="R124" i="22"/>
  <c r="R125" i="22"/>
  <c r="R126" i="22"/>
  <c r="R127" i="22"/>
  <c r="R128" i="22"/>
  <c r="R129" i="22"/>
  <c r="R130" i="22"/>
  <c r="R131" i="22"/>
  <c r="R132" i="22"/>
  <c r="R133" i="22"/>
  <c r="R134" i="22"/>
  <c r="R135" i="22"/>
  <c r="R136" i="22"/>
  <c r="R137" i="22"/>
  <c r="R138" i="22"/>
  <c r="R139" i="22"/>
  <c r="R140" i="22"/>
  <c r="R141" i="22"/>
  <c r="R142" i="22"/>
  <c r="R143" i="22"/>
  <c r="R144" i="22"/>
  <c r="R145" i="22"/>
  <c r="R146" i="22"/>
  <c r="R147" i="22"/>
  <c r="R148" i="22"/>
  <c r="R149" i="22"/>
  <c r="R150" i="22"/>
  <c r="R151" i="22"/>
  <c r="R152" i="22"/>
  <c r="R153" i="22"/>
  <c r="R154" i="22"/>
  <c r="R155" i="22"/>
  <c r="R156" i="22"/>
  <c r="R157" i="22"/>
  <c r="R158" i="22"/>
  <c r="R159" i="22"/>
  <c r="R160" i="22"/>
  <c r="R161" i="22"/>
  <c r="R162" i="22"/>
  <c r="R163" i="22"/>
  <c r="R164" i="22"/>
  <c r="R165" i="22"/>
  <c r="R166" i="22"/>
  <c r="R167" i="22"/>
  <c r="R168" i="22"/>
  <c r="R169" i="22"/>
  <c r="R170" i="22"/>
  <c r="R171" i="22"/>
  <c r="R172" i="22"/>
  <c r="R173" i="22"/>
  <c r="R174" i="22"/>
  <c r="R175" i="22"/>
  <c r="R176" i="22"/>
  <c r="R177" i="22"/>
  <c r="R178" i="22"/>
  <c r="R179" i="22"/>
  <c r="R180" i="22"/>
  <c r="R181" i="22"/>
  <c r="R182" i="22"/>
  <c r="R183" i="22"/>
  <c r="R184" i="22"/>
  <c r="R185" i="22"/>
  <c r="R186" i="22"/>
  <c r="R187" i="22"/>
  <c r="R188" i="22"/>
  <c r="R189" i="22"/>
  <c r="R190" i="22"/>
  <c r="R191" i="22"/>
  <c r="R192" i="22"/>
  <c r="R193" i="22"/>
  <c r="R194" i="22"/>
  <c r="R195" i="22"/>
  <c r="R196" i="22"/>
  <c r="R197" i="22"/>
  <c r="R198" i="22"/>
  <c r="R199" i="22"/>
  <c r="R200" i="22"/>
  <c r="R201" i="22"/>
  <c r="CH4" i="21"/>
  <c r="CH5" i="21"/>
  <c r="CH6" i="21"/>
  <c r="CH7" i="21"/>
  <c r="CH8" i="21"/>
  <c r="CH9" i="21"/>
  <c r="CH10" i="21"/>
  <c r="CH11" i="21"/>
  <c r="CH12" i="21"/>
  <c r="CH13" i="21"/>
  <c r="CH14" i="21"/>
  <c r="CH15" i="21"/>
  <c r="CH16" i="21"/>
  <c r="CH17" i="21"/>
  <c r="CH18" i="21"/>
  <c r="CH19" i="21"/>
  <c r="CH20" i="21"/>
  <c r="CH21" i="21"/>
  <c r="CH22" i="21"/>
  <c r="CH23" i="21"/>
  <c r="CH24" i="21"/>
  <c r="CH25" i="21"/>
  <c r="CH26" i="21"/>
  <c r="CH27" i="21"/>
  <c r="CH28" i="21"/>
  <c r="CH29" i="21"/>
  <c r="CH30" i="21"/>
  <c r="CH31" i="21"/>
  <c r="CH32" i="21"/>
  <c r="CH33" i="21"/>
  <c r="CH34" i="21"/>
  <c r="CH35" i="21"/>
  <c r="CH36" i="21"/>
  <c r="CH37" i="21"/>
  <c r="CH38" i="21"/>
  <c r="CH39" i="21"/>
  <c r="CH40" i="21"/>
  <c r="CH41" i="21"/>
  <c r="CH42" i="21"/>
  <c r="CH43" i="21"/>
  <c r="CH44" i="21"/>
  <c r="CH45" i="21"/>
  <c r="CH46" i="21"/>
  <c r="CH47" i="21"/>
  <c r="CH48" i="21"/>
  <c r="CH49" i="21"/>
  <c r="CH50" i="21"/>
  <c r="CH51" i="21"/>
  <c r="CH52" i="21"/>
  <c r="CH53" i="21"/>
  <c r="CH54" i="21"/>
  <c r="CH55" i="21"/>
  <c r="CH56" i="21"/>
  <c r="CH57" i="21"/>
  <c r="CH58" i="21"/>
  <c r="CH59" i="21"/>
  <c r="CH60" i="21"/>
  <c r="CH61" i="21"/>
  <c r="CH62" i="21"/>
  <c r="CH63" i="21"/>
  <c r="CH64" i="21"/>
  <c r="CH65" i="21"/>
  <c r="CH66" i="21"/>
  <c r="CH67" i="21"/>
  <c r="CH68" i="21"/>
  <c r="CH69" i="21"/>
  <c r="CH70" i="21"/>
  <c r="CH71" i="21"/>
  <c r="CH72" i="21"/>
  <c r="CH73" i="21"/>
  <c r="CH74" i="21"/>
  <c r="CH75" i="21"/>
  <c r="CH76" i="21"/>
  <c r="CH77" i="21"/>
  <c r="CH78" i="21"/>
  <c r="CH79" i="21"/>
  <c r="CH80" i="21"/>
  <c r="CH81" i="21"/>
  <c r="CH82" i="21"/>
  <c r="CH83" i="21"/>
  <c r="CH84" i="21"/>
  <c r="CH85" i="21"/>
  <c r="CH86" i="21"/>
  <c r="CH87" i="21"/>
  <c r="CH88" i="21"/>
  <c r="CH89" i="21"/>
  <c r="CH90" i="21"/>
  <c r="CH91" i="21"/>
  <c r="CH92" i="21"/>
  <c r="CH93" i="21"/>
  <c r="CH94" i="21"/>
  <c r="CH95" i="21"/>
  <c r="CH96" i="21"/>
  <c r="CH97" i="21"/>
  <c r="CH98" i="21"/>
  <c r="CH99" i="21"/>
  <c r="CH100" i="21"/>
  <c r="CH101" i="21"/>
  <c r="CH102" i="21"/>
  <c r="CH103" i="21"/>
  <c r="CH104" i="21"/>
  <c r="CH105" i="21"/>
  <c r="CH106" i="21"/>
  <c r="CH107" i="21"/>
  <c r="CH108" i="21"/>
  <c r="CH109" i="21"/>
  <c r="CH110" i="21"/>
  <c r="CH111" i="21"/>
  <c r="CH112" i="21"/>
  <c r="CH113" i="21"/>
  <c r="CH114" i="21"/>
  <c r="CH115" i="21"/>
  <c r="CH116" i="21"/>
  <c r="CH117" i="21"/>
  <c r="CH118" i="21"/>
  <c r="CH119" i="21"/>
  <c r="CH120" i="21"/>
  <c r="CH121" i="21"/>
  <c r="CH122" i="21"/>
  <c r="CH123" i="21"/>
  <c r="CH124" i="21"/>
  <c r="CH125" i="21"/>
  <c r="CH126" i="21"/>
  <c r="CH127" i="21"/>
  <c r="CH128" i="21"/>
  <c r="CH129" i="21"/>
  <c r="CH130" i="21"/>
  <c r="CH131" i="21"/>
  <c r="CH132" i="21"/>
  <c r="CH133" i="21"/>
  <c r="CH134" i="21"/>
  <c r="CH135" i="21"/>
  <c r="CH136" i="21"/>
  <c r="CH137" i="21"/>
  <c r="CH138" i="21"/>
  <c r="CH139" i="21"/>
  <c r="CH140" i="21"/>
  <c r="CH141" i="21"/>
  <c r="CH142" i="21"/>
  <c r="CH143" i="21"/>
  <c r="CH144" i="21"/>
  <c r="CH145" i="21"/>
  <c r="CH146" i="21"/>
  <c r="CH147" i="21"/>
  <c r="CH148" i="21"/>
  <c r="CH149" i="21"/>
  <c r="CH150" i="21"/>
  <c r="CH151" i="21"/>
  <c r="CH152" i="21"/>
  <c r="CH153" i="21"/>
  <c r="CH154" i="21"/>
  <c r="CH155" i="21"/>
  <c r="CH156" i="21"/>
  <c r="CH157" i="21"/>
  <c r="CH158" i="21"/>
  <c r="CH159" i="21"/>
  <c r="CH160" i="21"/>
  <c r="CH161" i="21"/>
  <c r="CH162" i="21"/>
  <c r="CH163" i="21"/>
  <c r="CH164" i="21"/>
  <c r="CH165" i="21"/>
  <c r="CH166" i="21"/>
  <c r="CH167" i="21"/>
  <c r="CH168" i="21"/>
  <c r="CH169" i="21"/>
  <c r="CH170" i="21"/>
  <c r="CH171" i="21"/>
  <c r="CH172" i="21"/>
  <c r="CH173" i="21"/>
  <c r="CH174" i="21"/>
  <c r="CH175" i="21"/>
  <c r="CH176" i="21"/>
  <c r="CH177" i="21"/>
  <c r="CH178" i="21"/>
  <c r="CH179" i="21"/>
  <c r="CH180" i="21"/>
  <c r="CH181" i="21"/>
  <c r="CH182" i="21"/>
  <c r="CH183" i="21"/>
  <c r="CH184" i="21"/>
  <c r="CH185" i="21"/>
  <c r="CH186" i="21"/>
  <c r="CH187" i="21"/>
  <c r="CH188" i="21"/>
  <c r="CH189" i="21"/>
  <c r="CH190" i="21"/>
  <c r="CH191" i="21"/>
  <c r="CH192" i="21"/>
  <c r="CH193" i="21"/>
  <c r="CH194" i="21"/>
  <c r="CH195" i="21"/>
  <c r="CH196" i="21"/>
  <c r="CH197" i="21"/>
  <c r="CH198" i="21"/>
  <c r="CH199" i="21"/>
  <c r="CH200" i="21"/>
  <c r="CH201" i="21"/>
  <c r="CA4" i="21"/>
  <c r="CA5" i="21"/>
  <c r="CA6" i="21"/>
  <c r="CA7" i="21"/>
  <c r="CA8" i="21"/>
  <c r="CA9" i="21"/>
  <c r="CA10" i="21"/>
  <c r="CA11" i="21"/>
  <c r="CA12" i="21"/>
  <c r="CA13" i="21"/>
  <c r="CA14" i="21"/>
  <c r="CA15" i="21"/>
  <c r="CA16" i="21"/>
  <c r="CA17" i="21"/>
  <c r="CA18" i="21"/>
  <c r="CA19" i="21"/>
  <c r="CA20" i="21"/>
  <c r="CA21" i="21"/>
  <c r="CA22" i="21"/>
  <c r="CA23" i="21"/>
  <c r="CA24" i="21"/>
  <c r="CA25" i="21"/>
  <c r="CA26" i="21"/>
  <c r="CA27" i="21"/>
  <c r="CA28" i="21"/>
  <c r="CA29" i="21"/>
  <c r="CA30" i="21"/>
  <c r="CA31" i="21"/>
  <c r="CA32" i="21"/>
  <c r="CA33" i="21"/>
  <c r="CA34" i="21"/>
  <c r="CA35" i="21"/>
  <c r="CA36" i="21"/>
  <c r="CA37" i="21"/>
  <c r="CA38" i="21"/>
  <c r="CA39" i="21"/>
  <c r="CA40" i="21"/>
  <c r="CA41" i="21"/>
  <c r="CA42" i="21"/>
  <c r="CA43" i="21"/>
  <c r="CA44" i="21"/>
  <c r="CA45" i="21"/>
  <c r="CA46" i="21"/>
  <c r="CA47" i="21"/>
  <c r="CA48" i="21"/>
  <c r="CA49" i="21"/>
  <c r="CA50" i="21"/>
  <c r="CA51" i="21"/>
  <c r="CA52" i="21"/>
  <c r="CA53" i="21"/>
  <c r="CA54" i="21"/>
  <c r="CA55" i="21"/>
  <c r="CA56" i="21"/>
  <c r="CA57" i="21"/>
  <c r="CA58" i="21"/>
  <c r="CA59" i="21"/>
  <c r="CA60" i="21"/>
  <c r="CA61" i="21"/>
  <c r="CA62" i="21"/>
  <c r="CA63" i="21"/>
  <c r="CA64" i="21"/>
  <c r="CA65" i="21"/>
  <c r="CA66" i="21"/>
  <c r="CA67" i="21"/>
  <c r="CA68" i="21"/>
  <c r="CA69" i="21"/>
  <c r="CA70" i="21"/>
  <c r="CA71" i="21"/>
  <c r="CA72" i="21"/>
  <c r="CA73" i="21"/>
  <c r="CA74" i="21"/>
  <c r="CA75" i="21"/>
  <c r="CA76" i="21"/>
  <c r="CA77" i="21"/>
  <c r="CA78" i="21"/>
  <c r="CA79" i="21"/>
  <c r="CA80" i="21"/>
  <c r="CA81" i="21"/>
  <c r="CA82" i="21"/>
  <c r="CA83" i="21"/>
  <c r="CA84" i="21"/>
  <c r="CA85" i="21"/>
  <c r="CA86" i="21"/>
  <c r="CA87" i="21"/>
  <c r="CA88" i="21"/>
  <c r="CA89" i="21"/>
  <c r="CA90" i="21"/>
  <c r="CA91" i="21"/>
  <c r="CA92" i="21"/>
  <c r="CA93" i="21"/>
  <c r="CA94" i="21"/>
  <c r="CA95" i="21"/>
  <c r="CA96" i="21"/>
  <c r="CA97" i="21"/>
  <c r="CA98" i="21"/>
  <c r="CA99" i="21"/>
  <c r="CA100" i="21"/>
  <c r="CA101" i="21"/>
  <c r="CA102" i="21"/>
  <c r="CA103" i="21"/>
  <c r="CA104" i="21"/>
  <c r="CA105" i="21"/>
  <c r="CA106" i="21"/>
  <c r="CA107" i="21"/>
  <c r="CA108" i="21"/>
  <c r="CA109" i="21"/>
  <c r="CA110" i="21"/>
  <c r="CA111" i="21"/>
  <c r="CA112" i="21"/>
  <c r="CA113" i="21"/>
  <c r="CA114" i="21"/>
  <c r="CA115" i="21"/>
  <c r="CA116" i="21"/>
  <c r="CA117" i="21"/>
  <c r="CA118" i="21"/>
  <c r="CA119" i="21"/>
  <c r="CA120" i="21"/>
  <c r="CA121" i="21"/>
  <c r="CA122" i="21"/>
  <c r="CA123" i="21"/>
  <c r="CA124" i="21"/>
  <c r="CA125" i="21"/>
  <c r="CA126" i="21"/>
  <c r="CA127" i="21"/>
  <c r="CA128" i="21"/>
  <c r="CA129" i="21"/>
  <c r="CA130" i="21"/>
  <c r="CA131" i="21"/>
  <c r="CA132" i="21"/>
  <c r="CA133" i="21"/>
  <c r="CA134" i="21"/>
  <c r="CA135" i="21"/>
  <c r="CA136" i="21"/>
  <c r="CA137" i="21"/>
  <c r="CA138" i="21"/>
  <c r="CA139" i="21"/>
  <c r="CA140" i="21"/>
  <c r="CA141" i="21"/>
  <c r="CA142" i="21"/>
  <c r="CA143" i="21"/>
  <c r="CA144" i="21"/>
  <c r="CA145" i="21"/>
  <c r="CA146" i="21"/>
  <c r="CA147" i="21"/>
  <c r="CA148" i="21"/>
  <c r="CA149" i="21"/>
  <c r="CA150" i="21"/>
  <c r="CA151" i="21"/>
  <c r="CA152" i="21"/>
  <c r="CA153" i="21"/>
  <c r="CA154" i="21"/>
  <c r="CA155" i="21"/>
  <c r="CA156" i="21"/>
  <c r="CA157" i="21"/>
  <c r="CA158" i="21"/>
  <c r="CA159" i="21"/>
  <c r="CA160" i="21"/>
  <c r="CA161" i="21"/>
  <c r="CA162" i="21"/>
  <c r="CA163" i="21"/>
  <c r="CA164" i="21"/>
  <c r="CA165" i="21"/>
  <c r="CA166" i="21"/>
  <c r="CA167" i="21"/>
  <c r="CA168" i="21"/>
  <c r="CA169" i="21"/>
  <c r="CA170" i="21"/>
  <c r="CA171" i="21"/>
  <c r="CA172" i="21"/>
  <c r="CA173" i="21"/>
  <c r="CA174" i="21"/>
  <c r="CA175" i="21"/>
  <c r="CA176" i="21"/>
  <c r="CA177" i="21"/>
  <c r="CA178" i="21"/>
  <c r="CA179" i="21"/>
  <c r="CA180" i="21"/>
  <c r="CA181" i="21"/>
  <c r="CA182" i="21"/>
  <c r="CA183" i="21"/>
  <c r="CA184" i="21"/>
  <c r="CA185" i="21"/>
  <c r="CA186" i="21"/>
  <c r="CA187" i="21"/>
  <c r="CA188" i="21"/>
  <c r="CA189" i="21"/>
  <c r="CA190" i="21"/>
  <c r="CA191" i="21"/>
  <c r="CA192" i="21"/>
  <c r="CA193" i="21"/>
  <c r="CA194" i="21"/>
  <c r="CA195" i="21"/>
  <c r="CA196" i="21"/>
  <c r="CA197" i="21"/>
  <c r="CA198" i="21"/>
  <c r="CA199" i="21"/>
  <c r="CA200" i="21"/>
  <c r="CA201" i="21"/>
  <c r="BT4" i="21"/>
  <c r="BT5" i="21"/>
  <c r="BT6" i="21"/>
  <c r="BT7" i="21"/>
  <c r="BT8" i="21"/>
  <c r="BT9" i="21"/>
  <c r="BT10" i="21"/>
  <c r="BT11" i="21"/>
  <c r="BT12" i="21"/>
  <c r="BT13" i="21"/>
  <c r="BT14" i="21"/>
  <c r="BT15" i="21"/>
  <c r="BT16" i="21"/>
  <c r="BT17" i="21"/>
  <c r="BT18" i="21"/>
  <c r="BT19" i="21"/>
  <c r="BT20" i="21"/>
  <c r="BT21" i="21"/>
  <c r="BT22" i="21"/>
  <c r="BT23" i="21"/>
  <c r="BT24" i="21"/>
  <c r="BT25" i="21"/>
  <c r="BT26" i="21"/>
  <c r="BT27" i="21"/>
  <c r="BT28" i="21"/>
  <c r="BT29" i="21"/>
  <c r="BT30" i="21"/>
  <c r="BT31" i="21"/>
  <c r="BT32" i="21"/>
  <c r="BT33" i="21"/>
  <c r="BT34" i="21"/>
  <c r="BT35" i="21"/>
  <c r="BT36" i="21"/>
  <c r="BT37" i="21"/>
  <c r="BT38" i="21"/>
  <c r="BT39" i="21"/>
  <c r="BT40" i="21"/>
  <c r="BT41" i="21"/>
  <c r="BT42" i="21"/>
  <c r="BT43" i="21"/>
  <c r="BT44" i="21"/>
  <c r="BT45" i="21"/>
  <c r="BT46" i="21"/>
  <c r="BT47" i="21"/>
  <c r="BT48" i="21"/>
  <c r="BT49" i="21"/>
  <c r="BT50" i="21"/>
  <c r="BT51" i="21"/>
  <c r="BT52" i="21"/>
  <c r="BT53" i="21"/>
  <c r="BT54" i="21"/>
  <c r="BT55" i="21"/>
  <c r="BT56" i="21"/>
  <c r="BT57" i="21"/>
  <c r="BT58" i="21"/>
  <c r="BT59" i="21"/>
  <c r="BT60" i="21"/>
  <c r="BT61" i="21"/>
  <c r="BT62" i="21"/>
  <c r="BT63" i="21"/>
  <c r="BT64" i="21"/>
  <c r="BT65" i="21"/>
  <c r="BT66" i="21"/>
  <c r="BT67" i="21"/>
  <c r="BT68" i="21"/>
  <c r="BT69" i="21"/>
  <c r="BT70" i="21"/>
  <c r="BT71" i="21"/>
  <c r="BT72" i="21"/>
  <c r="BT73" i="21"/>
  <c r="BT74" i="21"/>
  <c r="BT75" i="21"/>
  <c r="BT76" i="21"/>
  <c r="BT77" i="21"/>
  <c r="BT78" i="21"/>
  <c r="BT79" i="21"/>
  <c r="BT80" i="21"/>
  <c r="BT81" i="21"/>
  <c r="BT82" i="21"/>
  <c r="BT83" i="21"/>
  <c r="BT84" i="21"/>
  <c r="BT85" i="21"/>
  <c r="BT86" i="21"/>
  <c r="BT87" i="21"/>
  <c r="BT88" i="21"/>
  <c r="BT89" i="21"/>
  <c r="BT90" i="21"/>
  <c r="BT91" i="21"/>
  <c r="BT92" i="21"/>
  <c r="BT93" i="21"/>
  <c r="BT94" i="21"/>
  <c r="BT95" i="21"/>
  <c r="BT96" i="21"/>
  <c r="BT97" i="21"/>
  <c r="BT98" i="21"/>
  <c r="BT99" i="21"/>
  <c r="BT100" i="21"/>
  <c r="BT101" i="21"/>
  <c r="BT102" i="21"/>
  <c r="BT103" i="21"/>
  <c r="BT104" i="21"/>
  <c r="BT105" i="21"/>
  <c r="BT106" i="21"/>
  <c r="BT107" i="21"/>
  <c r="BT108" i="21"/>
  <c r="BT109" i="21"/>
  <c r="BT110" i="21"/>
  <c r="BT111" i="21"/>
  <c r="BT112" i="21"/>
  <c r="BT113" i="21"/>
  <c r="BT114" i="21"/>
  <c r="BT115" i="21"/>
  <c r="BT116" i="21"/>
  <c r="BT117" i="21"/>
  <c r="BT118" i="21"/>
  <c r="BT119" i="21"/>
  <c r="BT120" i="21"/>
  <c r="BT121" i="21"/>
  <c r="BT122" i="21"/>
  <c r="BT123" i="21"/>
  <c r="BT124" i="21"/>
  <c r="BT125" i="21"/>
  <c r="BT126" i="21"/>
  <c r="BT127" i="21"/>
  <c r="BT128" i="21"/>
  <c r="BT129" i="21"/>
  <c r="BT130" i="21"/>
  <c r="BT131" i="21"/>
  <c r="BT132" i="21"/>
  <c r="BT133" i="21"/>
  <c r="BT134" i="21"/>
  <c r="BT135" i="21"/>
  <c r="BT136" i="21"/>
  <c r="BT137" i="21"/>
  <c r="BT138" i="21"/>
  <c r="BT139" i="21"/>
  <c r="BT140" i="21"/>
  <c r="BT141" i="21"/>
  <c r="BT142" i="21"/>
  <c r="BT143" i="21"/>
  <c r="BT144" i="21"/>
  <c r="BT145" i="21"/>
  <c r="BT146" i="21"/>
  <c r="BT147" i="21"/>
  <c r="BT148" i="21"/>
  <c r="BT149" i="21"/>
  <c r="BT150" i="21"/>
  <c r="BT151" i="21"/>
  <c r="BT152" i="21"/>
  <c r="BT153" i="21"/>
  <c r="BT154" i="21"/>
  <c r="BT155" i="21"/>
  <c r="BT156" i="21"/>
  <c r="BT157" i="21"/>
  <c r="BT158" i="21"/>
  <c r="BT159" i="21"/>
  <c r="BT160" i="21"/>
  <c r="BT161" i="21"/>
  <c r="BT162" i="21"/>
  <c r="BT163" i="21"/>
  <c r="BT164" i="21"/>
  <c r="BT165" i="21"/>
  <c r="BT166" i="21"/>
  <c r="BT167" i="21"/>
  <c r="BT168" i="21"/>
  <c r="BT169" i="21"/>
  <c r="BT170" i="21"/>
  <c r="BT171" i="21"/>
  <c r="BT172" i="21"/>
  <c r="BT173" i="21"/>
  <c r="BT174" i="21"/>
  <c r="BT175" i="21"/>
  <c r="BT176" i="21"/>
  <c r="BT177" i="21"/>
  <c r="BT178" i="21"/>
  <c r="BT179" i="21"/>
  <c r="BT180" i="21"/>
  <c r="BT181" i="21"/>
  <c r="BT182" i="21"/>
  <c r="BT183" i="21"/>
  <c r="BT184" i="21"/>
  <c r="BT185" i="21"/>
  <c r="BT186" i="21"/>
  <c r="BT187" i="21"/>
  <c r="BT188" i="21"/>
  <c r="BT189" i="21"/>
  <c r="BT190" i="21"/>
  <c r="BT191" i="21"/>
  <c r="BT192" i="21"/>
  <c r="BT193" i="21"/>
  <c r="BT194" i="21"/>
  <c r="BT195" i="21"/>
  <c r="BT196" i="21"/>
  <c r="BT197" i="21"/>
  <c r="BT198" i="21"/>
  <c r="BT199" i="21"/>
  <c r="BT200" i="21"/>
  <c r="BT201" i="21"/>
  <c r="BG4" i="21"/>
  <c r="BG5" i="21"/>
  <c r="BG6" i="21"/>
  <c r="BG7" i="21"/>
  <c r="BG8" i="21"/>
  <c r="BG9" i="21"/>
  <c r="BG10" i="21"/>
  <c r="BG11" i="21"/>
  <c r="BG12" i="21"/>
  <c r="BG13" i="21"/>
  <c r="BG14" i="21"/>
  <c r="BG15" i="21"/>
  <c r="BG16" i="21"/>
  <c r="BG17" i="21"/>
  <c r="BG18" i="21"/>
  <c r="BG19" i="21"/>
  <c r="BG20" i="21"/>
  <c r="BG21" i="21"/>
  <c r="BG22" i="21"/>
  <c r="BG23" i="21"/>
  <c r="BG24" i="21"/>
  <c r="BG25" i="21"/>
  <c r="BG26" i="21"/>
  <c r="BG27" i="21"/>
  <c r="BG28" i="21"/>
  <c r="BG29" i="21"/>
  <c r="BG30" i="21"/>
  <c r="BG31" i="21"/>
  <c r="BG32" i="21"/>
  <c r="BG33" i="21"/>
  <c r="BG34" i="21"/>
  <c r="BG35" i="21"/>
  <c r="BG36" i="21"/>
  <c r="BG37" i="21"/>
  <c r="BG38" i="21"/>
  <c r="BG39" i="21"/>
  <c r="BG40" i="21"/>
  <c r="BG41" i="21"/>
  <c r="BG42" i="21"/>
  <c r="BG43" i="21"/>
  <c r="BG44" i="21"/>
  <c r="BG45" i="21"/>
  <c r="BG46" i="21"/>
  <c r="BG47" i="21"/>
  <c r="BG48" i="21"/>
  <c r="BG49" i="21"/>
  <c r="BG50" i="21"/>
  <c r="BG51" i="21"/>
  <c r="BG52" i="21"/>
  <c r="BG53" i="21"/>
  <c r="BG54" i="21"/>
  <c r="BG55" i="21"/>
  <c r="BG56" i="21"/>
  <c r="BG57" i="21"/>
  <c r="BG58" i="21"/>
  <c r="BG59" i="21"/>
  <c r="BG60" i="21"/>
  <c r="BG61" i="21"/>
  <c r="BG62" i="21"/>
  <c r="BG63" i="21"/>
  <c r="BG64" i="21"/>
  <c r="BG65" i="21"/>
  <c r="BG66" i="21"/>
  <c r="BG67" i="21"/>
  <c r="BG68" i="21"/>
  <c r="BG69" i="21"/>
  <c r="BG70" i="21"/>
  <c r="BG71" i="21"/>
  <c r="BG72" i="21"/>
  <c r="BG73" i="21"/>
  <c r="BG74" i="21"/>
  <c r="BG75" i="21"/>
  <c r="BG76" i="21"/>
  <c r="BG77" i="21"/>
  <c r="BG78" i="21"/>
  <c r="BG79" i="21"/>
  <c r="BG80" i="21"/>
  <c r="BG81" i="21"/>
  <c r="BG82" i="21"/>
  <c r="BG83" i="21"/>
  <c r="BG84" i="21"/>
  <c r="BG85" i="21"/>
  <c r="BG86" i="21"/>
  <c r="BG87" i="21"/>
  <c r="BG88" i="21"/>
  <c r="BG89" i="21"/>
  <c r="BG90" i="21"/>
  <c r="BG91" i="21"/>
  <c r="BG92" i="21"/>
  <c r="BG93" i="21"/>
  <c r="BG94" i="21"/>
  <c r="BG95" i="21"/>
  <c r="BG96" i="21"/>
  <c r="BG97" i="21"/>
  <c r="BG98" i="21"/>
  <c r="BG99" i="21"/>
  <c r="BG100" i="21"/>
  <c r="BG101" i="21"/>
  <c r="BG102" i="21"/>
  <c r="BG103" i="21"/>
  <c r="BG104" i="21"/>
  <c r="BG105" i="21"/>
  <c r="BG106" i="21"/>
  <c r="BG107" i="21"/>
  <c r="BG108" i="21"/>
  <c r="BG109" i="21"/>
  <c r="BG110" i="21"/>
  <c r="BG111" i="21"/>
  <c r="BG112" i="21"/>
  <c r="BG113" i="21"/>
  <c r="BG114" i="21"/>
  <c r="BG115" i="21"/>
  <c r="BG116" i="21"/>
  <c r="BG117" i="21"/>
  <c r="BG118" i="21"/>
  <c r="BG119" i="21"/>
  <c r="BG120" i="21"/>
  <c r="BG121" i="21"/>
  <c r="BG122" i="21"/>
  <c r="BG123" i="21"/>
  <c r="BG124" i="21"/>
  <c r="BG125" i="21"/>
  <c r="BG126" i="21"/>
  <c r="BG127" i="21"/>
  <c r="BG128" i="21"/>
  <c r="BG129" i="21"/>
  <c r="BG130" i="21"/>
  <c r="BG131" i="21"/>
  <c r="BG132" i="21"/>
  <c r="BG133" i="21"/>
  <c r="BG134" i="21"/>
  <c r="BG135" i="21"/>
  <c r="BG136" i="21"/>
  <c r="BG137" i="21"/>
  <c r="BG138" i="21"/>
  <c r="BG139" i="21"/>
  <c r="BG140" i="21"/>
  <c r="BG141" i="21"/>
  <c r="BG142" i="21"/>
  <c r="BG143" i="21"/>
  <c r="BG144" i="21"/>
  <c r="BG145" i="21"/>
  <c r="BG146" i="21"/>
  <c r="BG147" i="21"/>
  <c r="BG148" i="21"/>
  <c r="BG149" i="21"/>
  <c r="BG150" i="21"/>
  <c r="BG151" i="21"/>
  <c r="BG152" i="21"/>
  <c r="BG153" i="21"/>
  <c r="BG154" i="21"/>
  <c r="BG155" i="21"/>
  <c r="BG156" i="21"/>
  <c r="BG157" i="21"/>
  <c r="BG158" i="21"/>
  <c r="BG159" i="21"/>
  <c r="BG160" i="21"/>
  <c r="BG161" i="21"/>
  <c r="BG162" i="21"/>
  <c r="BG163" i="21"/>
  <c r="BG164" i="21"/>
  <c r="BG165" i="21"/>
  <c r="BG166" i="21"/>
  <c r="BG167" i="21"/>
  <c r="BG168" i="21"/>
  <c r="BG169" i="21"/>
  <c r="BG170" i="21"/>
  <c r="BG171" i="21"/>
  <c r="BG172" i="21"/>
  <c r="BG173" i="21"/>
  <c r="BG174" i="21"/>
  <c r="BG175" i="21"/>
  <c r="BG176" i="21"/>
  <c r="BG177" i="21"/>
  <c r="BG178" i="21"/>
  <c r="BG179" i="21"/>
  <c r="BG180" i="21"/>
  <c r="BG181" i="21"/>
  <c r="BG182" i="21"/>
  <c r="BG183" i="21"/>
  <c r="BG184" i="21"/>
  <c r="BG185" i="21"/>
  <c r="BG186" i="21"/>
  <c r="BG187" i="21"/>
  <c r="BG188" i="21"/>
  <c r="BG189" i="21"/>
  <c r="BG190" i="21"/>
  <c r="BG191" i="21"/>
  <c r="BG192" i="21"/>
  <c r="BG193" i="21"/>
  <c r="BG194" i="21"/>
  <c r="BG195" i="21"/>
  <c r="BG196" i="21"/>
  <c r="BG197" i="21"/>
  <c r="BG198" i="21"/>
  <c r="BG199" i="21"/>
  <c r="BG200" i="21"/>
  <c r="BG201" i="21"/>
  <c r="AZ4" i="21"/>
  <c r="AZ5" i="21"/>
  <c r="AZ6" i="21"/>
  <c r="AZ7" i="21"/>
  <c r="AZ8" i="21"/>
  <c r="AZ9" i="21"/>
  <c r="AZ10" i="21"/>
  <c r="AZ11" i="21"/>
  <c r="AZ12" i="21"/>
  <c r="AZ13" i="21"/>
  <c r="AZ14" i="21"/>
  <c r="AZ15" i="21"/>
  <c r="AZ16" i="21"/>
  <c r="AZ17" i="21"/>
  <c r="AZ18" i="21"/>
  <c r="AZ19" i="21"/>
  <c r="AZ20" i="21"/>
  <c r="AZ21" i="21"/>
  <c r="AZ22" i="21"/>
  <c r="AZ23" i="21"/>
  <c r="AZ24" i="21"/>
  <c r="AZ25" i="21"/>
  <c r="AZ26" i="21"/>
  <c r="AZ27" i="21"/>
  <c r="AZ28" i="21"/>
  <c r="AZ29" i="21"/>
  <c r="AZ30" i="21"/>
  <c r="AZ31" i="21"/>
  <c r="AZ32" i="21"/>
  <c r="AZ33" i="21"/>
  <c r="AZ34" i="21"/>
  <c r="AZ35" i="21"/>
  <c r="AZ36" i="21"/>
  <c r="AZ37" i="21"/>
  <c r="AZ38" i="21"/>
  <c r="AZ39" i="21"/>
  <c r="AZ40" i="21"/>
  <c r="AZ41" i="21"/>
  <c r="AZ42" i="21"/>
  <c r="AZ43" i="21"/>
  <c r="AZ44" i="21"/>
  <c r="AZ45" i="21"/>
  <c r="AZ46" i="21"/>
  <c r="AZ47" i="21"/>
  <c r="AZ48" i="21"/>
  <c r="AZ49" i="21"/>
  <c r="AZ50" i="21"/>
  <c r="AZ51" i="21"/>
  <c r="AZ52" i="21"/>
  <c r="AZ53" i="21"/>
  <c r="AZ54" i="21"/>
  <c r="AZ55" i="21"/>
  <c r="AZ56" i="21"/>
  <c r="AZ57" i="21"/>
  <c r="AZ58" i="21"/>
  <c r="AZ59" i="21"/>
  <c r="AZ60" i="21"/>
  <c r="AZ61" i="21"/>
  <c r="AZ62" i="21"/>
  <c r="AZ63" i="21"/>
  <c r="AZ64" i="21"/>
  <c r="AZ65" i="21"/>
  <c r="AZ66" i="21"/>
  <c r="AZ67" i="21"/>
  <c r="AZ68" i="21"/>
  <c r="AZ69" i="21"/>
  <c r="AZ70" i="21"/>
  <c r="AZ71" i="21"/>
  <c r="AZ72" i="21"/>
  <c r="AZ73" i="21"/>
  <c r="AZ74" i="21"/>
  <c r="AZ75" i="21"/>
  <c r="AZ76" i="21"/>
  <c r="AZ77" i="21"/>
  <c r="AZ78" i="21"/>
  <c r="AZ79" i="21"/>
  <c r="AZ80" i="21"/>
  <c r="AZ81" i="21"/>
  <c r="AZ82" i="21"/>
  <c r="AZ83" i="21"/>
  <c r="AZ84" i="21"/>
  <c r="AZ85" i="21"/>
  <c r="AZ86" i="21"/>
  <c r="AZ87" i="21"/>
  <c r="AZ88" i="21"/>
  <c r="AZ89" i="21"/>
  <c r="AZ90" i="21"/>
  <c r="AZ91" i="21"/>
  <c r="AZ92" i="21"/>
  <c r="AZ93" i="21"/>
  <c r="AZ94" i="21"/>
  <c r="AZ95" i="21"/>
  <c r="AZ96" i="21"/>
  <c r="AZ97" i="21"/>
  <c r="AZ98" i="21"/>
  <c r="AZ99" i="21"/>
  <c r="AZ100" i="21"/>
  <c r="AZ101" i="21"/>
  <c r="AZ102" i="21"/>
  <c r="AZ103" i="21"/>
  <c r="AZ104" i="21"/>
  <c r="AZ105" i="21"/>
  <c r="AZ106" i="21"/>
  <c r="AZ107" i="21"/>
  <c r="AZ108" i="21"/>
  <c r="AZ109" i="21"/>
  <c r="AZ110" i="21"/>
  <c r="AZ111" i="21"/>
  <c r="AZ112" i="21"/>
  <c r="AZ113" i="21"/>
  <c r="AZ114" i="21"/>
  <c r="AZ115" i="21"/>
  <c r="AZ116" i="21"/>
  <c r="AZ117" i="21"/>
  <c r="AZ118" i="21"/>
  <c r="AZ119" i="21"/>
  <c r="AZ120" i="21"/>
  <c r="AZ121" i="21"/>
  <c r="AZ122" i="21"/>
  <c r="AZ123" i="21"/>
  <c r="AZ124" i="21"/>
  <c r="AZ125" i="21"/>
  <c r="AZ126" i="21"/>
  <c r="AZ127" i="21"/>
  <c r="AZ128" i="21"/>
  <c r="AZ129" i="21"/>
  <c r="AZ130" i="21"/>
  <c r="AZ131" i="21"/>
  <c r="AZ132" i="21"/>
  <c r="AZ133" i="21"/>
  <c r="AZ134" i="21"/>
  <c r="AZ135" i="21"/>
  <c r="AZ136" i="21"/>
  <c r="AZ137" i="21"/>
  <c r="AZ138" i="21"/>
  <c r="AZ139" i="21"/>
  <c r="AZ140" i="21"/>
  <c r="AZ141" i="21"/>
  <c r="AZ142" i="21"/>
  <c r="AZ143" i="21"/>
  <c r="AZ144" i="21"/>
  <c r="AZ145" i="21"/>
  <c r="AZ146" i="21"/>
  <c r="AZ147" i="21"/>
  <c r="AZ148" i="21"/>
  <c r="AZ149" i="21"/>
  <c r="AZ150" i="21"/>
  <c r="AZ151" i="21"/>
  <c r="AZ152" i="21"/>
  <c r="AZ153" i="21"/>
  <c r="AZ154" i="21"/>
  <c r="AZ155" i="21"/>
  <c r="AZ156" i="21"/>
  <c r="AZ157" i="21"/>
  <c r="AZ158" i="21"/>
  <c r="AZ159" i="21"/>
  <c r="AZ160" i="21"/>
  <c r="AZ161" i="21"/>
  <c r="AZ162" i="21"/>
  <c r="AZ163" i="21"/>
  <c r="AZ164" i="21"/>
  <c r="AZ165" i="21"/>
  <c r="AZ166" i="21"/>
  <c r="AZ167" i="21"/>
  <c r="AZ168" i="21"/>
  <c r="AZ169" i="21"/>
  <c r="AZ170" i="21"/>
  <c r="AZ171" i="21"/>
  <c r="AZ172" i="21"/>
  <c r="AZ173" i="21"/>
  <c r="AZ174" i="21"/>
  <c r="AZ175" i="21"/>
  <c r="AZ176" i="21"/>
  <c r="AZ177" i="21"/>
  <c r="AZ178" i="21"/>
  <c r="AZ179" i="21"/>
  <c r="AZ180" i="21"/>
  <c r="AZ181" i="21"/>
  <c r="AZ182" i="21"/>
  <c r="AZ183" i="21"/>
  <c r="AZ184" i="21"/>
  <c r="AZ185" i="21"/>
  <c r="AZ186" i="21"/>
  <c r="AZ187" i="21"/>
  <c r="AZ188" i="21"/>
  <c r="AZ189" i="21"/>
  <c r="AZ190" i="21"/>
  <c r="AZ191" i="21"/>
  <c r="AZ192" i="21"/>
  <c r="AZ193" i="21"/>
  <c r="AZ194" i="21"/>
  <c r="AZ195" i="21"/>
  <c r="AZ196" i="21"/>
  <c r="AZ197" i="21"/>
  <c r="AZ198" i="21"/>
  <c r="AZ199" i="21"/>
  <c r="AZ200" i="21"/>
  <c r="AZ201" i="21"/>
  <c r="AS4" i="21"/>
  <c r="AS5" i="21"/>
  <c r="AS6" i="21"/>
  <c r="AS7" i="21"/>
  <c r="AS8" i="21"/>
  <c r="AS9" i="21"/>
  <c r="AS10" i="21"/>
  <c r="AS11" i="21"/>
  <c r="AS12" i="21"/>
  <c r="AS13" i="21"/>
  <c r="AS14" i="21"/>
  <c r="AS15" i="21"/>
  <c r="AS16" i="21"/>
  <c r="AS17" i="21"/>
  <c r="AS18" i="21"/>
  <c r="AS19" i="21"/>
  <c r="AS20" i="21"/>
  <c r="AS21" i="21"/>
  <c r="AS22" i="21"/>
  <c r="AS23" i="21"/>
  <c r="AS24" i="21"/>
  <c r="AS25" i="21"/>
  <c r="AS26" i="21"/>
  <c r="AS27" i="21"/>
  <c r="AS28" i="21"/>
  <c r="AS29" i="21"/>
  <c r="AS30" i="21"/>
  <c r="AS31" i="21"/>
  <c r="AS32" i="21"/>
  <c r="AS33" i="21"/>
  <c r="AS34" i="21"/>
  <c r="AS35" i="21"/>
  <c r="AS36" i="21"/>
  <c r="AS37" i="21"/>
  <c r="AS38" i="21"/>
  <c r="AS39" i="21"/>
  <c r="AS40" i="21"/>
  <c r="AS41" i="21"/>
  <c r="AS42" i="21"/>
  <c r="AS43" i="21"/>
  <c r="AS44" i="21"/>
  <c r="AS45" i="21"/>
  <c r="AS46" i="21"/>
  <c r="AS47" i="21"/>
  <c r="AS48" i="21"/>
  <c r="AS49" i="21"/>
  <c r="AS50" i="21"/>
  <c r="AS51" i="21"/>
  <c r="AS52" i="21"/>
  <c r="AS53" i="21"/>
  <c r="AS54" i="21"/>
  <c r="AS55" i="21"/>
  <c r="AS56" i="21"/>
  <c r="AS57" i="21"/>
  <c r="AS58" i="21"/>
  <c r="AS59" i="21"/>
  <c r="AS60" i="21"/>
  <c r="AS61" i="21"/>
  <c r="AS62" i="21"/>
  <c r="AS63" i="21"/>
  <c r="AS64" i="21"/>
  <c r="AS65" i="21"/>
  <c r="AS66" i="21"/>
  <c r="AS67" i="21"/>
  <c r="AS68" i="21"/>
  <c r="AS69" i="21"/>
  <c r="AS70" i="21"/>
  <c r="AS71" i="21"/>
  <c r="AS72" i="21"/>
  <c r="AS73" i="21"/>
  <c r="AS74" i="21"/>
  <c r="AS75" i="21"/>
  <c r="AS76" i="21"/>
  <c r="AS77" i="21"/>
  <c r="AS78" i="21"/>
  <c r="AS79" i="21"/>
  <c r="AS80" i="21"/>
  <c r="AS81" i="21"/>
  <c r="AS82" i="21"/>
  <c r="AS83" i="21"/>
  <c r="AS84" i="21"/>
  <c r="AS85" i="21"/>
  <c r="AS86" i="21"/>
  <c r="AS87" i="21"/>
  <c r="AS88" i="21"/>
  <c r="AS89" i="21"/>
  <c r="AS90" i="21"/>
  <c r="AS91" i="21"/>
  <c r="AS92" i="21"/>
  <c r="AS93" i="21"/>
  <c r="AS94" i="21"/>
  <c r="AS95" i="21"/>
  <c r="AS96" i="21"/>
  <c r="AS97" i="21"/>
  <c r="AS98" i="21"/>
  <c r="AS99" i="21"/>
  <c r="AS100" i="21"/>
  <c r="AS101" i="21"/>
  <c r="AS102" i="21"/>
  <c r="AS103" i="21"/>
  <c r="AS104" i="21"/>
  <c r="AS105" i="21"/>
  <c r="AS106" i="21"/>
  <c r="AS107" i="21"/>
  <c r="AS108" i="21"/>
  <c r="AS109" i="21"/>
  <c r="AS110" i="21"/>
  <c r="AS111" i="21"/>
  <c r="AS112" i="21"/>
  <c r="AS113" i="21"/>
  <c r="AS114" i="21"/>
  <c r="AS115" i="21"/>
  <c r="AS116" i="21"/>
  <c r="AS117" i="21"/>
  <c r="AS118" i="21"/>
  <c r="AS119" i="21"/>
  <c r="AS120" i="21"/>
  <c r="AS121" i="21"/>
  <c r="AS122" i="21"/>
  <c r="AS123" i="21"/>
  <c r="AS124" i="21"/>
  <c r="AS125" i="21"/>
  <c r="AS126" i="21"/>
  <c r="AS127" i="21"/>
  <c r="AS128" i="21"/>
  <c r="AS129" i="21"/>
  <c r="AS130" i="21"/>
  <c r="AS131" i="21"/>
  <c r="AS132" i="21"/>
  <c r="AS133" i="21"/>
  <c r="AS134" i="21"/>
  <c r="AS135" i="21"/>
  <c r="AS136" i="21"/>
  <c r="AS137" i="21"/>
  <c r="AS138" i="21"/>
  <c r="AS139" i="21"/>
  <c r="AS140" i="21"/>
  <c r="AS141" i="21"/>
  <c r="AS142" i="21"/>
  <c r="AS143" i="21"/>
  <c r="AS144" i="21"/>
  <c r="AS145" i="21"/>
  <c r="AS146" i="21"/>
  <c r="AS147" i="21"/>
  <c r="AS148" i="21"/>
  <c r="AS149" i="21"/>
  <c r="AS150" i="21"/>
  <c r="AS151" i="21"/>
  <c r="AS152" i="21"/>
  <c r="AS153" i="21"/>
  <c r="AS154" i="21"/>
  <c r="AS155" i="21"/>
  <c r="AS156" i="21"/>
  <c r="AS157" i="21"/>
  <c r="AS158" i="21"/>
  <c r="AS159" i="21"/>
  <c r="AS160" i="21"/>
  <c r="AS161" i="21"/>
  <c r="AS162" i="21"/>
  <c r="AS163" i="21"/>
  <c r="AS164" i="21"/>
  <c r="AS165" i="21"/>
  <c r="AS166" i="21"/>
  <c r="AS167" i="21"/>
  <c r="AS168" i="21"/>
  <c r="AS169" i="21"/>
  <c r="AS170" i="21"/>
  <c r="AS171" i="21"/>
  <c r="AS172" i="21"/>
  <c r="AS173" i="21"/>
  <c r="AS174" i="21"/>
  <c r="AS175" i="21"/>
  <c r="AS176" i="21"/>
  <c r="AS177" i="21"/>
  <c r="AS178" i="21"/>
  <c r="AS179" i="21"/>
  <c r="AS180" i="21"/>
  <c r="AS181" i="21"/>
  <c r="AS182" i="21"/>
  <c r="AS183" i="21"/>
  <c r="AS184" i="21"/>
  <c r="AS185" i="21"/>
  <c r="AS186" i="21"/>
  <c r="AS187" i="21"/>
  <c r="AS188" i="21"/>
  <c r="AS189" i="21"/>
  <c r="AS190" i="21"/>
  <c r="AS191" i="21"/>
  <c r="AS192" i="21"/>
  <c r="AS193" i="21"/>
  <c r="AS194" i="21"/>
  <c r="AS195" i="21"/>
  <c r="AS196" i="21"/>
  <c r="AS197" i="21"/>
  <c r="AS198" i="21"/>
  <c r="AS199" i="21"/>
  <c r="AS200" i="21"/>
  <c r="AS201" i="21"/>
  <c r="AF4" i="21"/>
  <c r="AF5" i="21"/>
  <c r="AF6" i="21"/>
  <c r="AF7" i="21"/>
  <c r="AF8" i="21"/>
  <c r="AF9" i="21"/>
  <c r="AF10" i="21"/>
  <c r="AF11" i="21"/>
  <c r="AF12" i="21"/>
  <c r="AF13" i="21"/>
  <c r="AF14" i="21"/>
  <c r="AF15" i="21"/>
  <c r="AF16" i="21"/>
  <c r="AF17" i="21"/>
  <c r="AF18" i="21"/>
  <c r="AF19" i="21"/>
  <c r="AF20" i="21"/>
  <c r="AF21" i="21"/>
  <c r="AF22" i="21"/>
  <c r="AF23" i="21"/>
  <c r="AF24" i="21"/>
  <c r="AF25" i="21"/>
  <c r="AF26" i="21"/>
  <c r="AF27" i="21"/>
  <c r="AF28" i="21"/>
  <c r="AF29" i="21"/>
  <c r="AF30" i="21"/>
  <c r="AF31" i="21"/>
  <c r="AF32" i="21"/>
  <c r="AF33" i="21"/>
  <c r="AF34" i="21"/>
  <c r="AF35" i="21"/>
  <c r="AF36" i="21"/>
  <c r="AF37" i="21"/>
  <c r="AF38" i="21"/>
  <c r="AF39" i="21"/>
  <c r="AF40" i="21"/>
  <c r="AF41" i="21"/>
  <c r="AF42" i="21"/>
  <c r="AF43" i="21"/>
  <c r="AF44" i="21"/>
  <c r="AF45" i="21"/>
  <c r="AF46" i="21"/>
  <c r="AF47" i="21"/>
  <c r="AF48" i="21"/>
  <c r="AF49" i="21"/>
  <c r="AF50" i="21"/>
  <c r="AF51" i="21"/>
  <c r="AF52" i="21"/>
  <c r="AF53" i="21"/>
  <c r="AF54" i="21"/>
  <c r="AF55" i="21"/>
  <c r="AF56" i="21"/>
  <c r="AF57" i="21"/>
  <c r="AF58" i="21"/>
  <c r="AF59" i="21"/>
  <c r="AF60" i="21"/>
  <c r="AF61" i="21"/>
  <c r="AF62" i="21"/>
  <c r="AF63" i="21"/>
  <c r="AF64" i="21"/>
  <c r="AF65" i="21"/>
  <c r="AF66" i="21"/>
  <c r="AF67" i="21"/>
  <c r="AF68" i="21"/>
  <c r="AF69" i="21"/>
  <c r="AF70" i="21"/>
  <c r="AF71" i="21"/>
  <c r="AF72" i="21"/>
  <c r="AF73" i="21"/>
  <c r="AF74" i="21"/>
  <c r="AF75" i="21"/>
  <c r="AF76" i="21"/>
  <c r="AF77" i="21"/>
  <c r="AF78" i="21"/>
  <c r="AF79" i="21"/>
  <c r="AF80" i="21"/>
  <c r="AF81" i="21"/>
  <c r="AF82" i="21"/>
  <c r="AF83" i="21"/>
  <c r="AF84" i="21"/>
  <c r="AF85" i="21"/>
  <c r="AF86" i="21"/>
  <c r="AF87" i="21"/>
  <c r="AF88" i="21"/>
  <c r="AF89" i="21"/>
  <c r="AF90" i="21"/>
  <c r="AF91" i="21"/>
  <c r="AF92" i="21"/>
  <c r="AF93" i="21"/>
  <c r="AF94" i="21"/>
  <c r="AF95" i="21"/>
  <c r="AF96" i="21"/>
  <c r="AF97" i="21"/>
  <c r="AF98" i="21"/>
  <c r="AF99" i="21"/>
  <c r="AF100" i="21"/>
  <c r="AF101" i="21"/>
  <c r="AF102" i="21"/>
  <c r="AF103" i="21"/>
  <c r="AF104" i="21"/>
  <c r="AF105" i="21"/>
  <c r="AF106" i="21"/>
  <c r="AF107" i="21"/>
  <c r="AF108" i="21"/>
  <c r="AF109" i="21"/>
  <c r="AF110" i="21"/>
  <c r="AF111" i="21"/>
  <c r="AF112" i="21"/>
  <c r="AF113" i="21"/>
  <c r="AF114" i="21"/>
  <c r="AF115" i="21"/>
  <c r="AF116" i="21"/>
  <c r="AF117" i="21"/>
  <c r="AF118" i="21"/>
  <c r="AF119" i="21"/>
  <c r="AF120" i="21"/>
  <c r="AF121" i="21"/>
  <c r="AF122" i="21"/>
  <c r="AF123" i="21"/>
  <c r="AF124" i="21"/>
  <c r="AF125" i="21"/>
  <c r="AF126" i="21"/>
  <c r="AF127" i="21"/>
  <c r="AF128" i="21"/>
  <c r="AF129" i="21"/>
  <c r="AF130" i="21"/>
  <c r="AF131" i="21"/>
  <c r="AF132" i="21"/>
  <c r="AF133" i="21"/>
  <c r="AF134" i="21"/>
  <c r="AF135" i="21"/>
  <c r="AF136" i="21"/>
  <c r="AF137" i="21"/>
  <c r="AF138" i="21"/>
  <c r="AF139" i="21"/>
  <c r="AF140" i="21"/>
  <c r="AF141" i="21"/>
  <c r="AF142" i="21"/>
  <c r="AF143" i="21"/>
  <c r="AF144" i="21"/>
  <c r="AF145" i="21"/>
  <c r="AF146" i="21"/>
  <c r="AF147" i="21"/>
  <c r="AF148" i="21"/>
  <c r="AF149" i="21"/>
  <c r="AF150" i="21"/>
  <c r="AF151" i="21"/>
  <c r="AF152" i="21"/>
  <c r="AF153" i="21"/>
  <c r="AF154" i="21"/>
  <c r="AF155" i="21"/>
  <c r="AF156" i="21"/>
  <c r="AF157" i="21"/>
  <c r="AF158" i="21"/>
  <c r="AF159" i="21"/>
  <c r="AF160" i="21"/>
  <c r="AF161" i="21"/>
  <c r="AF162" i="21"/>
  <c r="AF163" i="21"/>
  <c r="AF164" i="21"/>
  <c r="AF165" i="21"/>
  <c r="AF166" i="21"/>
  <c r="AF167" i="21"/>
  <c r="AF168" i="21"/>
  <c r="AF169" i="21"/>
  <c r="AF170" i="21"/>
  <c r="AF171" i="21"/>
  <c r="AF172" i="21"/>
  <c r="AF173" i="21"/>
  <c r="AF174" i="21"/>
  <c r="AF175" i="21"/>
  <c r="AF176" i="21"/>
  <c r="AF177" i="21"/>
  <c r="AF178" i="21"/>
  <c r="AF179" i="21"/>
  <c r="AF180" i="21"/>
  <c r="AF181" i="21"/>
  <c r="AF182" i="21"/>
  <c r="AF183" i="21"/>
  <c r="AF184" i="21"/>
  <c r="AF185" i="21"/>
  <c r="AF186" i="21"/>
  <c r="AF187" i="21"/>
  <c r="AF188" i="21"/>
  <c r="AF189" i="21"/>
  <c r="AF190" i="21"/>
  <c r="AF191" i="21"/>
  <c r="AF192" i="21"/>
  <c r="AF193" i="21"/>
  <c r="AF194" i="21"/>
  <c r="AF195" i="21"/>
  <c r="AF196" i="21"/>
  <c r="AF197" i="21"/>
  <c r="AF198" i="21"/>
  <c r="AF199" i="21"/>
  <c r="AF200" i="21"/>
  <c r="AF201" i="21"/>
  <c r="Y4" i="21"/>
  <c r="Y5" i="21"/>
  <c r="Y6" i="21"/>
  <c r="Y7" i="21"/>
  <c r="Y8" i="21"/>
  <c r="Y9" i="21"/>
  <c r="Y10" i="21"/>
  <c r="Y11" i="21"/>
  <c r="Y12" i="21"/>
  <c r="Y13" i="21"/>
  <c r="Y14" i="21"/>
  <c r="Y15" i="21"/>
  <c r="Y16" i="21"/>
  <c r="Y17" i="21"/>
  <c r="Y18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8" i="21"/>
  <c r="Y39" i="21"/>
  <c r="Y40" i="21"/>
  <c r="Y41" i="21"/>
  <c r="Y42" i="21"/>
  <c r="Y43" i="21"/>
  <c r="Y44" i="21"/>
  <c r="Y45" i="21"/>
  <c r="Y46" i="21"/>
  <c r="Y47" i="21"/>
  <c r="Y48" i="21"/>
  <c r="Y49" i="21"/>
  <c r="Y50" i="21"/>
  <c r="Y51" i="21"/>
  <c r="Y52" i="21"/>
  <c r="Y53" i="21"/>
  <c r="Y54" i="21"/>
  <c r="Y55" i="21"/>
  <c r="Y56" i="21"/>
  <c r="Y57" i="21"/>
  <c r="Y58" i="21"/>
  <c r="Y59" i="21"/>
  <c r="Y60" i="21"/>
  <c r="Y61" i="21"/>
  <c r="Y62" i="21"/>
  <c r="Y63" i="21"/>
  <c r="Y64" i="21"/>
  <c r="Y65" i="21"/>
  <c r="Y66" i="21"/>
  <c r="Y67" i="21"/>
  <c r="Y68" i="21"/>
  <c r="Y69" i="21"/>
  <c r="Y70" i="21"/>
  <c r="Y71" i="21"/>
  <c r="Y72" i="21"/>
  <c r="Y73" i="21"/>
  <c r="Y74" i="21"/>
  <c r="Y75" i="21"/>
  <c r="Y76" i="21"/>
  <c r="Y77" i="21"/>
  <c r="Y78" i="21"/>
  <c r="Y79" i="21"/>
  <c r="Y80" i="21"/>
  <c r="Y81" i="21"/>
  <c r="Y82" i="21"/>
  <c r="Y83" i="21"/>
  <c r="Y84" i="21"/>
  <c r="Y85" i="21"/>
  <c r="Y86" i="21"/>
  <c r="Y87" i="21"/>
  <c r="Y88" i="21"/>
  <c r="Y89" i="21"/>
  <c r="Y90" i="21"/>
  <c r="Y91" i="21"/>
  <c r="Y92" i="21"/>
  <c r="Y93" i="21"/>
  <c r="Y94" i="21"/>
  <c r="Y95" i="21"/>
  <c r="Y96" i="21"/>
  <c r="Y97" i="21"/>
  <c r="Y98" i="21"/>
  <c r="Y99" i="21"/>
  <c r="Y100" i="21"/>
  <c r="Y101" i="21"/>
  <c r="Y102" i="21"/>
  <c r="Y103" i="21"/>
  <c r="Y104" i="21"/>
  <c r="Y105" i="21"/>
  <c r="Y106" i="21"/>
  <c r="Y107" i="21"/>
  <c r="Y108" i="21"/>
  <c r="Y109" i="21"/>
  <c r="Y110" i="21"/>
  <c r="Y111" i="21"/>
  <c r="Y112" i="21"/>
  <c r="Y113" i="21"/>
  <c r="Y114" i="21"/>
  <c r="Y115" i="21"/>
  <c r="Y116" i="21"/>
  <c r="Y117" i="21"/>
  <c r="Y118" i="21"/>
  <c r="Y119" i="21"/>
  <c r="Y120" i="21"/>
  <c r="Y121" i="21"/>
  <c r="Y122" i="21"/>
  <c r="Y123" i="21"/>
  <c r="Y124" i="21"/>
  <c r="Y125" i="21"/>
  <c r="Y126" i="21"/>
  <c r="Y127" i="21"/>
  <c r="Y128" i="21"/>
  <c r="Y129" i="21"/>
  <c r="Y130" i="21"/>
  <c r="Y131" i="21"/>
  <c r="Y132" i="21"/>
  <c r="Y133" i="21"/>
  <c r="Y134" i="21"/>
  <c r="Y135" i="21"/>
  <c r="Y136" i="21"/>
  <c r="Y137" i="21"/>
  <c r="Y138" i="21"/>
  <c r="Y139" i="21"/>
  <c r="Y140" i="21"/>
  <c r="Y141" i="21"/>
  <c r="Y142" i="21"/>
  <c r="Y143" i="21"/>
  <c r="Y144" i="21"/>
  <c r="Y145" i="21"/>
  <c r="Y146" i="21"/>
  <c r="Y147" i="21"/>
  <c r="Y148" i="21"/>
  <c r="Y149" i="21"/>
  <c r="Y150" i="21"/>
  <c r="Y151" i="21"/>
  <c r="Y152" i="21"/>
  <c r="Y153" i="21"/>
  <c r="Y154" i="21"/>
  <c r="Y155" i="21"/>
  <c r="Y156" i="21"/>
  <c r="Y157" i="21"/>
  <c r="Y158" i="21"/>
  <c r="Y159" i="21"/>
  <c r="Y160" i="21"/>
  <c r="Y161" i="21"/>
  <c r="Y162" i="21"/>
  <c r="Y163" i="21"/>
  <c r="Y164" i="21"/>
  <c r="Y165" i="21"/>
  <c r="Y166" i="21"/>
  <c r="Y167" i="21"/>
  <c r="Y168" i="21"/>
  <c r="Y169" i="21"/>
  <c r="Y170" i="21"/>
  <c r="Y171" i="21"/>
  <c r="Y172" i="21"/>
  <c r="Y173" i="21"/>
  <c r="Y174" i="21"/>
  <c r="Y175" i="21"/>
  <c r="Y176" i="21"/>
  <c r="Y177" i="21"/>
  <c r="Y178" i="21"/>
  <c r="Y179" i="21"/>
  <c r="Y180" i="21"/>
  <c r="Y181" i="21"/>
  <c r="Y182" i="21"/>
  <c r="Y183" i="21"/>
  <c r="Y184" i="21"/>
  <c r="Y185" i="21"/>
  <c r="Y186" i="21"/>
  <c r="Y187" i="21"/>
  <c r="Y188" i="21"/>
  <c r="Y189" i="21"/>
  <c r="Y190" i="21"/>
  <c r="Y191" i="21"/>
  <c r="Y192" i="21"/>
  <c r="Y193" i="21"/>
  <c r="Y194" i="21"/>
  <c r="Y195" i="21"/>
  <c r="Y196" i="21"/>
  <c r="Y197" i="21"/>
  <c r="Y198" i="21"/>
  <c r="Y199" i="21"/>
  <c r="Y200" i="21"/>
  <c r="Y201" i="21"/>
  <c r="R4" i="21"/>
  <c r="R5" i="21"/>
  <c r="R6" i="21"/>
  <c r="R7" i="21"/>
  <c r="R8" i="21"/>
  <c r="R9" i="21"/>
  <c r="R10" i="21"/>
  <c r="R11" i="21"/>
  <c r="R12" i="21"/>
  <c r="R13" i="21"/>
  <c r="R14" i="21"/>
  <c r="R15" i="21"/>
  <c r="R16" i="21"/>
  <c r="R17" i="21"/>
  <c r="R18" i="21"/>
  <c r="R19" i="21"/>
  <c r="R20" i="21"/>
  <c r="R21" i="21"/>
  <c r="R22" i="21"/>
  <c r="R23" i="21"/>
  <c r="R24" i="21"/>
  <c r="R25" i="21"/>
  <c r="R26" i="21"/>
  <c r="R27" i="21"/>
  <c r="R28" i="21"/>
  <c r="R29" i="21"/>
  <c r="R30" i="21"/>
  <c r="R31" i="21"/>
  <c r="R32" i="21"/>
  <c r="R33" i="21"/>
  <c r="R34" i="21"/>
  <c r="R35" i="21"/>
  <c r="R36" i="21"/>
  <c r="R37" i="21"/>
  <c r="R38" i="21"/>
  <c r="R39" i="21"/>
  <c r="R40" i="21"/>
  <c r="R41" i="21"/>
  <c r="R42" i="21"/>
  <c r="R43" i="21"/>
  <c r="R44" i="21"/>
  <c r="R45" i="21"/>
  <c r="R46" i="21"/>
  <c r="R47" i="21"/>
  <c r="R48" i="21"/>
  <c r="R49" i="21"/>
  <c r="R50" i="21"/>
  <c r="R51" i="21"/>
  <c r="R52" i="21"/>
  <c r="R53" i="21"/>
  <c r="R54" i="21"/>
  <c r="R55" i="21"/>
  <c r="R56" i="21"/>
  <c r="R57" i="21"/>
  <c r="R58" i="21"/>
  <c r="R59" i="21"/>
  <c r="R60" i="21"/>
  <c r="R61" i="21"/>
  <c r="R62" i="21"/>
  <c r="R63" i="21"/>
  <c r="R64" i="21"/>
  <c r="R65" i="21"/>
  <c r="R66" i="21"/>
  <c r="R67" i="21"/>
  <c r="R68" i="21"/>
  <c r="R69" i="21"/>
  <c r="R70" i="21"/>
  <c r="R71" i="21"/>
  <c r="R72" i="21"/>
  <c r="R73" i="21"/>
  <c r="R74" i="21"/>
  <c r="R75" i="21"/>
  <c r="R76" i="21"/>
  <c r="R77" i="21"/>
  <c r="R78" i="21"/>
  <c r="R79" i="21"/>
  <c r="R80" i="21"/>
  <c r="R81" i="21"/>
  <c r="R82" i="21"/>
  <c r="R83" i="21"/>
  <c r="R84" i="21"/>
  <c r="R85" i="21"/>
  <c r="R86" i="21"/>
  <c r="R87" i="21"/>
  <c r="R88" i="21"/>
  <c r="R89" i="21"/>
  <c r="R90" i="21"/>
  <c r="R91" i="21"/>
  <c r="R92" i="21"/>
  <c r="R93" i="21"/>
  <c r="R94" i="21"/>
  <c r="R95" i="21"/>
  <c r="R96" i="21"/>
  <c r="R97" i="21"/>
  <c r="R98" i="21"/>
  <c r="R99" i="21"/>
  <c r="R100" i="21"/>
  <c r="R101" i="21"/>
  <c r="R102" i="21"/>
  <c r="R103" i="21"/>
  <c r="R104" i="21"/>
  <c r="R105" i="21"/>
  <c r="R106" i="21"/>
  <c r="R107" i="21"/>
  <c r="R108" i="21"/>
  <c r="R109" i="21"/>
  <c r="R110" i="21"/>
  <c r="R111" i="21"/>
  <c r="R112" i="21"/>
  <c r="R113" i="21"/>
  <c r="R114" i="21"/>
  <c r="R115" i="21"/>
  <c r="R116" i="21"/>
  <c r="R117" i="21"/>
  <c r="R118" i="21"/>
  <c r="R119" i="21"/>
  <c r="R120" i="21"/>
  <c r="R121" i="21"/>
  <c r="R122" i="21"/>
  <c r="R123" i="21"/>
  <c r="R124" i="21"/>
  <c r="R125" i="21"/>
  <c r="R126" i="21"/>
  <c r="R127" i="21"/>
  <c r="R128" i="21"/>
  <c r="R129" i="21"/>
  <c r="R130" i="21"/>
  <c r="R131" i="21"/>
  <c r="R132" i="21"/>
  <c r="R133" i="21"/>
  <c r="R134" i="21"/>
  <c r="R135" i="21"/>
  <c r="R136" i="21"/>
  <c r="R137" i="21"/>
  <c r="R138" i="21"/>
  <c r="R139" i="21"/>
  <c r="R140" i="21"/>
  <c r="R141" i="21"/>
  <c r="R142" i="21"/>
  <c r="R143" i="21"/>
  <c r="R144" i="21"/>
  <c r="R145" i="21"/>
  <c r="R146" i="21"/>
  <c r="R147" i="21"/>
  <c r="R148" i="21"/>
  <c r="R149" i="21"/>
  <c r="R150" i="21"/>
  <c r="R151" i="21"/>
  <c r="R152" i="21"/>
  <c r="R153" i="21"/>
  <c r="R154" i="21"/>
  <c r="R155" i="21"/>
  <c r="R156" i="21"/>
  <c r="R157" i="21"/>
  <c r="R158" i="21"/>
  <c r="R159" i="21"/>
  <c r="R160" i="21"/>
  <c r="R161" i="21"/>
  <c r="R162" i="21"/>
  <c r="R163" i="21"/>
  <c r="R164" i="21"/>
  <c r="R165" i="21"/>
  <c r="R166" i="21"/>
  <c r="R167" i="21"/>
  <c r="R168" i="21"/>
  <c r="R169" i="21"/>
  <c r="R170" i="21"/>
  <c r="R171" i="21"/>
  <c r="R172" i="21"/>
  <c r="R173" i="21"/>
  <c r="R174" i="21"/>
  <c r="R175" i="21"/>
  <c r="R176" i="21"/>
  <c r="R177" i="21"/>
  <c r="R178" i="21"/>
  <c r="R179" i="21"/>
  <c r="R180" i="21"/>
  <c r="R181" i="21"/>
  <c r="R182" i="21"/>
  <c r="R183" i="21"/>
  <c r="R184" i="21"/>
  <c r="R185" i="21"/>
  <c r="R186" i="21"/>
  <c r="R187" i="21"/>
  <c r="R188" i="21"/>
  <c r="R189" i="21"/>
  <c r="R190" i="21"/>
  <c r="R191" i="21"/>
  <c r="R192" i="21"/>
  <c r="R193" i="21"/>
  <c r="R194" i="21"/>
  <c r="R195" i="21"/>
  <c r="R196" i="21"/>
  <c r="R197" i="21"/>
  <c r="R198" i="21"/>
  <c r="R199" i="21"/>
  <c r="R200" i="21"/>
  <c r="R201" i="21"/>
  <c r="CH4" i="20"/>
  <c r="CH5" i="20"/>
  <c r="CH6" i="20"/>
  <c r="CH7" i="20"/>
  <c r="CH8" i="20"/>
  <c r="CH9" i="20"/>
  <c r="CH10" i="20"/>
  <c r="CH11" i="20"/>
  <c r="CH12" i="20"/>
  <c r="CH13" i="20"/>
  <c r="CH14" i="20"/>
  <c r="CH15" i="20"/>
  <c r="CH16" i="20"/>
  <c r="CH17" i="20"/>
  <c r="CH18" i="20"/>
  <c r="CH19" i="20"/>
  <c r="CH20" i="20"/>
  <c r="CH21" i="20"/>
  <c r="CH22" i="20"/>
  <c r="CH23" i="20"/>
  <c r="CH24" i="20"/>
  <c r="CH25" i="20"/>
  <c r="CH26" i="20"/>
  <c r="CH27" i="20"/>
  <c r="CH28" i="20"/>
  <c r="CH29" i="20"/>
  <c r="CH30" i="20"/>
  <c r="CH31" i="20"/>
  <c r="CH32" i="20"/>
  <c r="CH33" i="20"/>
  <c r="CH34" i="20"/>
  <c r="CH35" i="20"/>
  <c r="CH36" i="20"/>
  <c r="CH37" i="20"/>
  <c r="CH38" i="20"/>
  <c r="CH39" i="20"/>
  <c r="CH40" i="20"/>
  <c r="CH41" i="20"/>
  <c r="CH42" i="20"/>
  <c r="CH43" i="20"/>
  <c r="CH44" i="20"/>
  <c r="CH45" i="20"/>
  <c r="CH46" i="20"/>
  <c r="CH47" i="20"/>
  <c r="CH48" i="20"/>
  <c r="CH49" i="20"/>
  <c r="CH50" i="20"/>
  <c r="CH51" i="20"/>
  <c r="CH52" i="20"/>
  <c r="CH53" i="20"/>
  <c r="CH54" i="20"/>
  <c r="CH55" i="20"/>
  <c r="CH56" i="20"/>
  <c r="CH57" i="20"/>
  <c r="CH58" i="20"/>
  <c r="CH59" i="20"/>
  <c r="CH60" i="20"/>
  <c r="CH61" i="20"/>
  <c r="CH62" i="20"/>
  <c r="CH63" i="20"/>
  <c r="CH64" i="20"/>
  <c r="CH65" i="20"/>
  <c r="CH66" i="20"/>
  <c r="CH67" i="20"/>
  <c r="CH68" i="20"/>
  <c r="CH69" i="20"/>
  <c r="CH70" i="20"/>
  <c r="CH71" i="20"/>
  <c r="CH72" i="20"/>
  <c r="CH73" i="20"/>
  <c r="CH74" i="20"/>
  <c r="CH75" i="20"/>
  <c r="CH76" i="20"/>
  <c r="CH77" i="20"/>
  <c r="CH78" i="20"/>
  <c r="CH79" i="20"/>
  <c r="CH80" i="20"/>
  <c r="CH81" i="20"/>
  <c r="CH82" i="20"/>
  <c r="CH83" i="20"/>
  <c r="CH84" i="20"/>
  <c r="CH85" i="20"/>
  <c r="CH86" i="20"/>
  <c r="CH87" i="20"/>
  <c r="CH88" i="20"/>
  <c r="CH89" i="20"/>
  <c r="CH90" i="20"/>
  <c r="CH91" i="20"/>
  <c r="CH92" i="20"/>
  <c r="CH93" i="20"/>
  <c r="CH94" i="20"/>
  <c r="CH95" i="20"/>
  <c r="CH96" i="20"/>
  <c r="CH97" i="20"/>
  <c r="CH98" i="20"/>
  <c r="CH99" i="20"/>
  <c r="CH100" i="20"/>
  <c r="CH101" i="20"/>
  <c r="CH102" i="20"/>
  <c r="CH103" i="20"/>
  <c r="CH104" i="20"/>
  <c r="CH105" i="20"/>
  <c r="CH106" i="20"/>
  <c r="CH107" i="20"/>
  <c r="CH108" i="20"/>
  <c r="CH109" i="20"/>
  <c r="CH110" i="20"/>
  <c r="CH111" i="20"/>
  <c r="CH112" i="20"/>
  <c r="CH113" i="20"/>
  <c r="CH114" i="20"/>
  <c r="CH115" i="20"/>
  <c r="CH116" i="20"/>
  <c r="CH117" i="20"/>
  <c r="CH118" i="20"/>
  <c r="CH119" i="20"/>
  <c r="CH120" i="20"/>
  <c r="CH121" i="20"/>
  <c r="CH122" i="20"/>
  <c r="CH123" i="20"/>
  <c r="CH124" i="20"/>
  <c r="CH125" i="20"/>
  <c r="CH126" i="20"/>
  <c r="CH127" i="20"/>
  <c r="CH128" i="20"/>
  <c r="CH129" i="20"/>
  <c r="CH130" i="20"/>
  <c r="CH131" i="20"/>
  <c r="CH132" i="20"/>
  <c r="CH133" i="20"/>
  <c r="CH134" i="20"/>
  <c r="CH135" i="20"/>
  <c r="CH136" i="20"/>
  <c r="CH137" i="20"/>
  <c r="CH138" i="20"/>
  <c r="CH139" i="20"/>
  <c r="CH140" i="20"/>
  <c r="CH141" i="20"/>
  <c r="CH142" i="20"/>
  <c r="CH143" i="20"/>
  <c r="CH144" i="20"/>
  <c r="CH145" i="20"/>
  <c r="CH146" i="20"/>
  <c r="CH147" i="20"/>
  <c r="CH148" i="20"/>
  <c r="CH149" i="20"/>
  <c r="CH150" i="20"/>
  <c r="CH151" i="20"/>
  <c r="CH152" i="20"/>
  <c r="CH153" i="20"/>
  <c r="CH154" i="20"/>
  <c r="CH155" i="20"/>
  <c r="CH156" i="20"/>
  <c r="CH157" i="20"/>
  <c r="CH158" i="20"/>
  <c r="CH159" i="20"/>
  <c r="CH160" i="20"/>
  <c r="CH161" i="20"/>
  <c r="CH162" i="20"/>
  <c r="CH163" i="20"/>
  <c r="CH164" i="20"/>
  <c r="CH165" i="20"/>
  <c r="CH166" i="20"/>
  <c r="CH167" i="20"/>
  <c r="CH168" i="20"/>
  <c r="CH169" i="20"/>
  <c r="CH170" i="20"/>
  <c r="CH171" i="20"/>
  <c r="CH172" i="20"/>
  <c r="CH173" i="20"/>
  <c r="CH174" i="20"/>
  <c r="CH175" i="20"/>
  <c r="CH176" i="20"/>
  <c r="CH177" i="20"/>
  <c r="CH178" i="20"/>
  <c r="CH179" i="20"/>
  <c r="CH180" i="20"/>
  <c r="CH181" i="20"/>
  <c r="CH182" i="20"/>
  <c r="CH183" i="20"/>
  <c r="CH184" i="20"/>
  <c r="CH185" i="20"/>
  <c r="CH186" i="20"/>
  <c r="CH187" i="20"/>
  <c r="CH188" i="20"/>
  <c r="CH189" i="20"/>
  <c r="CH190" i="20"/>
  <c r="CH191" i="20"/>
  <c r="CH192" i="20"/>
  <c r="CH193" i="20"/>
  <c r="CH194" i="20"/>
  <c r="CH195" i="20"/>
  <c r="CH196" i="20"/>
  <c r="CH197" i="20"/>
  <c r="CH198" i="20"/>
  <c r="CH199" i="20"/>
  <c r="CH200" i="20"/>
  <c r="CH201" i="20"/>
  <c r="CA4" i="20"/>
  <c r="CA5" i="20"/>
  <c r="CA6" i="20"/>
  <c r="CA7" i="20"/>
  <c r="CA8" i="20"/>
  <c r="CA9" i="20"/>
  <c r="CA10" i="20"/>
  <c r="CA11" i="20"/>
  <c r="CA12" i="20"/>
  <c r="CA13" i="20"/>
  <c r="CA14" i="20"/>
  <c r="CA15" i="20"/>
  <c r="CA16" i="20"/>
  <c r="CA17" i="20"/>
  <c r="CA18" i="20"/>
  <c r="CA19" i="20"/>
  <c r="CA20" i="20"/>
  <c r="CA21" i="20"/>
  <c r="CA22" i="20"/>
  <c r="CA23" i="20"/>
  <c r="CA24" i="20"/>
  <c r="CA25" i="20"/>
  <c r="CA26" i="20"/>
  <c r="CA27" i="20"/>
  <c r="CA28" i="20"/>
  <c r="CA29" i="20"/>
  <c r="CA30" i="20"/>
  <c r="CA31" i="20"/>
  <c r="CA32" i="20"/>
  <c r="CA33" i="20"/>
  <c r="CA34" i="20"/>
  <c r="CA35" i="20"/>
  <c r="CA36" i="20"/>
  <c r="CA37" i="20"/>
  <c r="CA38" i="20"/>
  <c r="CA39" i="20"/>
  <c r="CA40" i="20"/>
  <c r="CA41" i="20"/>
  <c r="CA42" i="20"/>
  <c r="CA43" i="20"/>
  <c r="CA44" i="20"/>
  <c r="CA45" i="20"/>
  <c r="CA46" i="20"/>
  <c r="CA47" i="20"/>
  <c r="CA48" i="20"/>
  <c r="CA49" i="20"/>
  <c r="CA50" i="20"/>
  <c r="CA51" i="20"/>
  <c r="CA52" i="20"/>
  <c r="CA53" i="20"/>
  <c r="CA54" i="20"/>
  <c r="CA55" i="20"/>
  <c r="CA56" i="20"/>
  <c r="CA57" i="20"/>
  <c r="CA58" i="20"/>
  <c r="CA59" i="20"/>
  <c r="CA60" i="20"/>
  <c r="CA61" i="20"/>
  <c r="CA62" i="20"/>
  <c r="CA63" i="20"/>
  <c r="CA64" i="20"/>
  <c r="CA65" i="20"/>
  <c r="CA66" i="20"/>
  <c r="CA67" i="20"/>
  <c r="CA68" i="20"/>
  <c r="CA69" i="20"/>
  <c r="CA70" i="20"/>
  <c r="CA71" i="20"/>
  <c r="CA72" i="20"/>
  <c r="CA73" i="20"/>
  <c r="CA74" i="20"/>
  <c r="CA75" i="20"/>
  <c r="CA76" i="20"/>
  <c r="CA77" i="20"/>
  <c r="CA78" i="20"/>
  <c r="CA79" i="20"/>
  <c r="CA80" i="20"/>
  <c r="CA81" i="20"/>
  <c r="CA82" i="20"/>
  <c r="CA83" i="20"/>
  <c r="CA84" i="20"/>
  <c r="CA85" i="20"/>
  <c r="CA86" i="20"/>
  <c r="CA87" i="20"/>
  <c r="CA88" i="20"/>
  <c r="CA89" i="20"/>
  <c r="CA90" i="20"/>
  <c r="CA91" i="20"/>
  <c r="CA92" i="20"/>
  <c r="CA93" i="20"/>
  <c r="CA94" i="20"/>
  <c r="CA95" i="20"/>
  <c r="CA96" i="20"/>
  <c r="CA97" i="20"/>
  <c r="CA98" i="20"/>
  <c r="CA99" i="20"/>
  <c r="CA100" i="20"/>
  <c r="CA101" i="20"/>
  <c r="CA102" i="20"/>
  <c r="CA103" i="20"/>
  <c r="CA104" i="20"/>
  <c r="CA105" i="20"/>
  <c r="CA106" i="20"/>
  <c r="CA107" i="20"/>
  <c r="CA108" i="20"/>
  <c r="CA109" i="20"/>
  <c r="CA110" i="20"/>
  <c r="CA111" i="20"/>
  <c r="CA112" i="20"/>
  <c r="CA113" i="20"/>
  <c r="CA114" i="20"/>
  <c r="CA115" i="20"/>
  <c r="CA116" i="20"/>
  <c r="CA117" i="20"/>
  <c r="CA118" i="20"/>
  <c r="CA119" i="20"/>
  <c r="CA120" i="20"/>
  <c r="CA121" i="20"/>
  <c r="CA122" i="20"/>
  <c r="CA123" i="20"/>
  <c r="CA124" i="20"/>
  <c r="CA125" i="20"/>
  <c r="CA126" i="20"/>
  <c r="CA127" i="20"/>
  <c r="CA128" i="20"/>
  <c r="CA129" i="20"/>
  <c r="CA130" i="20"/>
  <c r="CA131" i="20"/>
  <c r="CA132" i="20"/>
  <c r="CA133" i="20"/>
  <c r="CA134" i="20"/>
  <c r="CA135" i="20"/>
  <c r="CA136" i="20"/>
  <c r="CA137" i="20"/>
  <c r="CA138" i="20"/>
  <c r="CA139" i="20"/>
  <c r="CA140" i="20"/>
  <c r="CA141" i="20"/>
  <c r="CA142" i="20"/>
  <c r="CA143" i="20"/>
  <c r="CA144" i="20"/>
  <c r="CA145" i="20"/>
  <c r="CA146" i="20"/>
  <c r="CA147" i="20"/>
  <c r="CA148" i="20"/>
  <c r="CA149" i="20"/>
  <c r="CA150" i="20"/>
  <c r="CA151" i="20"/>
  <c r="CA152" i="20"/>
  <c r="CA153" i="20"/>
  <c r="CA154" i="20"/>
  <c r="CA155" i="20"/>
  <c r="CA156" i="20"/>
  <c r="CA157" i="20"/>
  <c r="CA158" i="20"/>
  <c r="CA159" i="20"/>
  <c r="CA160" i="20"/>
  <c r="CA161" i="20"/>
  <c r="CA162" i="20"/>
  <c r="CA163" i="20"/>
  <c r="CA164" i="20"/>
  <c r="CA165" i="20"/>
  <c r="CA166" i="20"/>
  <c r="CA167" i="20"/>
  <c r="CA168" i="20"/>
  <c r="CA169" i="20"/>
  <c r="CA170" i="20"/>
  <c r="CA171" i="20"/>
  <c r="CA172" i="20"/>
  <c r="CA173" i="20"/>
  <c r="CA174" i="20"/>
  <c r="CA175" i="20"/>
  <c r="CA176" i="20"/>
  <c r="CA177" i="20"/>
  <c r="CA178" i="20"/>
  <c r="CA179" i="20"/>
  <c r="CA180" i="20"/>
  <c r="CA181" i="20"/>
  <c r="CA182" i="20"/>
  <c r="CA183" i="20"/>
  <c r="CA184" i="20"/>
  <c r="CA185" i="20"/>
  <c r="CA186" i="20"/>
  <c r="CA187" i="20"/>
  <c r="CA188" i="20"/>
  <c r="CA189" i="20"/>
  <c r="CA190" i="20"/>
  <c r="CA191" i="20"/>
  <c r="CA192" i="20"/>
  <c r="CA193" i="20"/>
  <c r="CA194" i="20"/>
  <c r="CA195" i="20"/>
  <c r="CA196" i="20"/>
  <c r="CA197" i="20"/>
  <c r="CA198" i="20"/>
  <c r="CA199" i="20"/>
  <c r="CA200" i="20"/>
  <c r="CA201" i="20"/>
  <c r="BT4" i="20"/>
  <c r="BT5" i="20"/>
  <c r="BT6" i="20"/>
  <c r="BT7" i="20"/>
  <c r="BT8" i="20"/>
  <c r="BT9" i="20"/>
  <c r="BT10" i="20"/>
  <c r="BT11" i="20"/>
  <c r="BT12" i="20"/>
  <c r="BT13" i="20"/>
  <c r="BT14" i="20"/>
  <c r="BT15" i="20"/>
  <c r="BT16" i="20"/>
  <c r="BT17" i="20"/>
  <c r="BT18" i="20"/>
  <c r="BT19" i="20"/>
  <c r="BT20" i="20"/>
  <c r="BT21" i="20"/>
  <c r="BT22" i="20"/>
  <c r="BT23" i="20"/>
  <c r="BT24" i="20"/>
  <c r="BT25" i="20"/>
  <c r="BT26" i="20"/>
  <c r="BT27" i="20"/>
  <c r="BT28" i="20"/>
  <c r="BT29" i="20"/>
  <c r="BT30" i="20"/>
  <c r="BT31" i="20"/>
  <c r="BT32" i="20"/>
  <c r="BT33" i="20"/>
  <c r="BT34" i="20"/>
  <c r="BT35" i="20"/>
  <c r="BT36" i="20"/>
  <c r="BT37" i="20"/>
  <c r="BT38" i="20"/>
  <c r="BT39" i="20"/>
  <c r="BT40" i="20"/>
  <c r="BT41" i="20"/>
  <c r="BT42" i="20"/>
  <c r="BT43" i="20"/>
  <c r="BT44" i="20"/>
  <c r="BT45" i="20"/>
  <c r="BT46" i="20"/>
  <c r="BT47" i="20"/>
  <c r="BT48" i="20"/>
  <c r="BT49" i="20"/>
  <c r="BT50" i="20"/>
  <c r="BT51" i="20"/>
  <c r="BT52" i="20"/>
  <c r="BT53" i="20"/>
  <c r="BT54" i="20"/>
  <c r="BT55" i="20"/>
  <c r="BT56" i="20"/>
  <c r="BT57" i="20"/>
  <c r="BT58" i="20"/>
  <c r="BT59" i="20"/>
  <c r="BT60" i="20"/>
  <c r="BT61" i="20"/>
  <c r="BT62" i="20"/>
  <c r="BT63" i="20"/>
  <c r="BT64" i="20"/>
  <c r="BT65" i="20"/>
  <c r="BT66" i="20"/>
  <c r="BT67" i="20"/>
  <c r="BT68" i="20"/>
  <c r="BT69" i="20"/>
  <c r="BT70" i="20"/>
  <c r="BT71" i="20"/>
  <c r="BT72" i="20"/>
  <c r="BT73" i="20"/>
  <c r="BT74" i="20"/>
  <c r="BT75" i="20"/>
  <c r="BT76" i="20"/>
  <c r="BT77" i="20"/>
  <c r="BT78" i="20"/>
  <c r="BT79" i="20"/>
  <c r="BT80" i="20"/>
  <c r="BT81" i="20"/>
  <c r="BT82" i="20"/>
  <c r="BT83" i="20"/>
  <c r="BT84" i="20"/>
  <c r="BT85" i="20"/>
  <c r="BT86" i="20"/>
  <c r="BT87" i="20"/>
  <c r="BT88" i="20"/>
  <c r="BT89" i="20"/>
  <c r="BT90" i="20"/>
  <c r="BT91" i="20"/>
  <c r="BT92" i="20"/>
  <c r="BT93" i="20"/>
  <c r="BT94" i="20"/>
  <c r="BT95" i="20"/>
  <c r="BT96" i="20"/>
  <c r="BT97" i="20"/>
  <c r="BT98" i="20"/>
  <c r="BT99" i="20"/>
  <c r="BT100" i="20"/>
  <c r="BT101" i="20"/>
  <c r="BT102" i="20"/>
  <c r="BT103" i="20"/>
  <c r="BT104" i="20"/>
  <c r="BT105" i="20"/>
  <c r="BT106" i="20"/>
  <c r="BT107" i="20"/>
  <c r="BT108" i="20"/>
  <c r="BT109" i="20"/>
  <c r="BT110" i="20"/>
  <c r="BT111" i="20"/>
  <c r="BT112" i="20"/>
  <c r="BT113" i="20"/>
  <c r="BT114" i="20"/>
  <c r="BT115" i="20"/>
  <c r="BT116" i="20"/>
  <c r="BT117" i="20"/>
  <c r="BT118" i="20"/>
  <c r="BT119" i="20"/>
  <c r="BT120" i="20"/>
  <c r="BT121" i="20"/>
  <c r="BT122" i="20"/>
  <c r="BT123" i="20"/>
  <c r="BT124" i="20"/>
  <c r="BT125" i="20"/>
  <c r="BT126" i="20"/>
  <c r="BT127" i="20"/>
  <c r="BT128" i="20"/>
  <c r="BT129" i="20"/>
  <c r="BT130" i="20"/>
  <c r="BT131" i="20"/>
  <c r="BT132" i="20"/>
  <c r="BT133" i="20"/>
  <c r="BT134" i="20"/>
  <c r="BT135" i="20"/>
  <c r="BT136" i="20"/>
  <c r="BT137" i="20"/>
  <c r="BT138" i="20"/>
  <c r="BT139" i="20"/>
  <c r="BT140" i="20"/>
  <c r="BT141" i="20"/>
  <c r="BT142" i="20"/>
  <c r="BT143" i="20"/>
  <c r="BT144" i="20"/>
  <c r="BT145" i="20"/>
  <c r="BT146" i="20"/>
  <c r="BT147" i="20"/>
  <c r="BT148" i="20"/>
  <c r="BT149" i="20"/>
  <c r="BT150" i="20"/>
  <c r="BT151" i="20"/>
  <c r="BT152" i="20"/>
  <c r="BT153" i="20"/>
  <c r="BT154" i="20"/>
  <c r="BT155" i="20"/>
  <c r="BT156" i="20"/>
  <c r="BT157" i="20"/>
  <c r="BT158" i="20"/>
  <c r="BT159" i="20"/>
  <c r="BT160" i="20"/>
  <c r="BT161" i="20"/>
  <c r="BT162" i="20"/>
  <c r="BT163" i="20"/>
  <c r="BT164" i="20"/>
  <c r="BT165" i="20"/>
  <c r="BT166" i="20"/>
  <c r="BT167" i="20"/>
  <c r="BT168" i="20"/>
  <c r="BT169" i="20"/>
  <c r="BT170" i="20"/>
  <c r="BT171" i="20"/>
  <c r="BT172" i="20"/>
  <c r="BT173" i="20"/>
  <c r="BT174" i="20"/>
  <c r="BT175" i="20"/>
  <c r="BT176" i="20"/>
  <c r="BT177" i="20"/>
  <c r="BT178" i="20"/>
  <c r="BT179" i="20"/>
  <c r="BT180" i="20"/>
  <c r="BT181" i="20"/>
  <c r="BT182" i="20"/>
  <c r="BT183" i="20"/>
  <c r="BT184" i="20"/>
  <c r="BT185" i="20"/>
  <c r="BT186" i="20"/>
  <c r="BT187" i="20"/>
  <c r="BT188" i="20"/>
  <c r="BT189" i="20"/>
  <c r="BT190" i="20"/>
  <c r="BT191" i="20"/>
  <c r="BT192" i="20"/>
  <c r="BT193" i="20"/>
  <c r="BT194" i="20"/>
  <c r="BT195" i="20"/>
  <c r="BT196" i="20"/>
  <c r="BT197" i="20"/>
  <c r="BT198" i="20"/>
  <c r="BT199" i="20"/>
  <c r="BT200" i="20"/>
  <c r="BT201" i="20"/>
  <c r="BG4" i="20"/>
  <c r="BG5" i="20"/>
  <c r="BG6" i="20"/>
  <c r="BG7" i="20"/>
  <c r="BG8" i="20"/>
  <c r="BG9" i="20"/>
  <c r="BG10" i="20"/>
  <c r="BG11" i="20"/>
  <c r="BG12" i="20"/>
  <c r="BG13" i="20"/>
  <c r="BG14" i="20"/>
  <c r="BG15" i="20"/>
  <c r="BG16" i="20"/>
  <c r="BG17" i="20"/>
  <c r="BG18" i="20"/>
  <c r="BG19" i="20"/>
  <c r="BG20" i="20"/>
  <c r="BG21" i="20"/>
  <c r="BG22" i="20"/>
  <c r="BG23" i="20"/>
  <c r="BG24" i="20"/>
  <c r="BG25" i="20"/>
  <c r="BG26" i="20"/>
  <c r="BG27" i="20"/>
  <c r="BG28" i="20"/>
  <c r="BG29" i="20"/>
  <c r="BG30" i="20"/>
  <c r="BG31" i="20"/>
  <c r="BG32" i="20"/>
  <c r="BG33" i="20"/>
  <c r="BG34" i="20"/>
  <c r="BG35" i="20"/>
  <c r="BG36" i="20"/>
  <c r="BG37" i="20"/>
  <c r="BG38" i="20"/>
  <c r="BG39" i="20"/>
  <c r="BG40" i="20"/>
  <c r="BG41" i="20"/>
  <c r="BG42" i="20"/>
  <c r="BG43" i="20"/>
  <c r="BG44" i="20"/>
  <c r="BG45" i="20"/>
  <c r="BG46" i="20"/>
  <c r="BG47" i="20"/>
  <c r="BG48" i="20"/>
  <c r="BG49" i="20"/>
  <c r="BG50" i="20"/>
  <c r="BG51" i="20"/>
  <c r="BG52" i="20"/>
  <c r="BG53" i="20"/>
  <c r="BG54" i="20"/>
  <c r="BG55" i="20"/>
  <c r="BG56" i="20"/>
  <c r="BG57" i="20"/>
  <c r="BG58" i="20"/>
  <c r="BG59" i="20"/>
  <c r="BG60" i="20"/>
  <c r="BG61" i="20"/>
  <c r="BG62" i="20"/>
  <c r="BG63" i="20"/>
  <c r="BG64" i="20"/>
  <c r="BG65" i="20"/>
  <c r="BG66" i="20"/>
  <c r="BG67" i="20"/>
  <c r="BG68" i="20"/>
  <c r="BG69" i="20"/>
  <c r="BG70" i="20"/>
  <c r="BG71" i="20"/>
  <c r="BG72" i="20"/>
  <c r="BG73" i="20"/>
  <c r="BG74" i="20"/>
  <c r="BG75" i="20"/>
  <c r="BG76" i="20"/>
  <c r="BG77" i="20"/>
  <c r="BG78" i="20"/>
  <c r="BG79" i="20"/>
  <c r="BG80" i="20"/>
  <c r="BG81" i="20"/>
  <c r="BG82" i="20"/>
  <c r="BG83" i="20"/>
  <c r="BG84" i="20"/>
  <c r="BG85" i="20"/>
  <c r="BG86" i="20"/>
  <c r="BG87" i="20"/>
  <c r="BG88" i="20"/>
  <c r="BG89" i="20"/>
  <c r="BG90" i="20"/>
  <c r="BG91" i="20"/>
  <c r="BG92" i="20"/>
  <c r="BG93" i="20"/>
  <c r="BG94" i="20"/>
  <c r="BG95" i="20"/>
  <c r="BG96" i="20"/>
  <c r="BG97" i="20"/>
  <c r="BG98" i="20"/>
  <c r="BG99" i="20"/>
  <c r="BG100" i="20"/>
  <c r="BG101" i="20"/>
  <c r="BG102" i="20"/>
  <c r="BG103" i="20"/>
  <c r="BG104" i="20"/>
  <c r="BG105" i="20"/>
  <c r="BG106" i="20"/>
  <c r="BG107" i="20"/>
  <c r="BG108" i="20"/>
  <c r="BG109" i="20"/>
  <c r="BG110" i="20"/>
  <c r="BG111" i="20"/>
  <c r="BG112" i="20"/>
  <c r="BG113" i="20"/>
  <c r="BG114" i="20"/>
  <c r="BG115" i="20"/>
  <c r="BG116" i="20"/>
  <c r="BG117" i="20"/>
  <c r="BG118" i="20"/>
  <c r="BG119" i="20"/>
  <c r="BG120" i="20"/>
  <c r="BG121" i="20"/>
  <c r="BG122" i="20"/>
  <c r="BG123" i="20"/>
  <c r="BG124" i="20"/>
  <c r="BG125" i="20"/>
  <c r="BG126" i="20"/>
  <c r="BG127" i="20"/>
  <c r="BG128" i="20"/>
  <c r="BG129" i="20"/>
  <c r="BG130" i="20"/>
  <c r="BG131" i="20"/>
  <c r="BG132" i="20"/>
  <c r="BG133" i="20"/>
  <c r="BG134" i="20"/>
  <c r="BG135" i="20"/>
  <c r="BG136" i="20"/>
  <c r="BG137" i="20"/>
  <c r="BG138" i="20"/>
  <c r="BG139" i="20"/>
  <c r="BG140" i="20"/>
  <c r="BG141" i="20"/>
  <c r="BG142" i="20"/>
  <c r="BG143" i="20"/>
  <c r="BG144" i="20"/>
  <c r="BG145" i="20"/>
  <c r="BG146" i="20"/>
  <c r="BG147" i="20"/>
  <c r="BG148" i="20"/>
  <c r="BG149" i="20"/>
  <c r="BG150" i="20"/>
  <c r="BG151" i="20"/>
  <c r="BG152" i="20"/>
  <c r="BG153" i="20"/>
  <c r="BG154" i="20"/>
  <c r="BG155" i="20"/>
  <c r="BG156" i="20"/>
  <c r="BG157" i="20"/>
  <c r="BG158" i="20"/>
  <c r="BG159" i="20"/>
  <c r="BG160" i="20"/>
  <c r="BG161" i="20"/>
  <c r="BG162" i="20"/>
  <c r="BG163" i="20"/>
  <c r="BG164" i="20"/>
  <c r="BG165" i="20"/>
  <c r="BG166" i="20"/>
  <c r="BG167" i="20"/>
  <c r="BG168" i="20"/>
  <c r="BG169" i="20"/>
  <c r="BG170" i="20"/>
  <c r="BG171" i="20"/>
  <c r="BG172" i="20"/>
  <c r="BG173" i="20"/>
  <c r="BG174" i="20"/>
  <c r="BG175" i="20"/>
  <c r="BG176" i="20"/>
  <c r="BG177" i="20"/>
  <c r="BG178" i="20"/>
  <c r="BG179" i="20"/>
  <c r="BG180" i="20"/>
  <c r="BG181" i="20"/>
  <c r="BG182" i="20"/>
  <c r="BG183" i="20"/>
  <c r="BG184" i="20"/>
  <c r="BG185" i="20"/>
  <c r="BG186" i="20"/>
  <c r="BG187" i="20"/>
  <c r="BG188" i="20"/>
  <c r="BG189" i="20"/>
  <c r="BG190" i="20"/>
  <c r="BG191" i="20"/>
  <c r="BG192" i="20"/>
  <c r="BG193" i="20"/>
  <c r="BG194" i="20"/>
  <c r="BG195" i="20"/>
  <c r="BG196" i="20"/>
  <c r="BG197" i="20"/>
  <c r="BG198" i="20"/>
  <c r="BG199" i="20"/>
  <c r="BG200" i="20"/>
  <c r="BG201" i="20"/>
  <c r="AZ4" i="20"/>
  <c r="AZ5" i="20"/>
  <c r="AZ6" i="20"/>
  <c r="AZ7" i="20"/>
  <c r="AZ8" i="20"/>
  <c r="AZ9" i="20"/>
  <c r="AZ10" i="20"/>
  <c r="AZ11" i="20"/>
  <c r="AZ12" i="20"/>
  <c r="AZ13" i="20"/>
  <c r="AZ14" i="20"/>
  <c r="AZ15" i="20"/>
  <c r="AZ16" i="20"/>
  <c r="AZ17" i="20"/>
  <c r="AZ18" i="20"/>
  <c r="AZ19" i="20"/>
  <c r="AZ20" i="20"/>
  <c r="AZ21" i="20"/>
  <c r="AZ22" i="20"/>
  <c r="AZ23" i="20"/>
  <c r="AZ24" i="20"/>
  <c r="AZ25" i="20"/>
  <c r="AZ26" i="20"/>
  <c r="AZ27" i="20"/>
  <c r="AZ28" i="20"/>
  <c r="AZ29" i="20"/>
  <c r="AZ30" i="20"/>
  <c r="AZ31" i="20"/>
  <c r="AZ32" i="20"/>
  <c r="AZ33" i="20"/>
  <c r="AZ34" i="20"/>
  <c r="AZ35" i="20"/>
  <c r="AZ36" i="20"/>
  <c r="AZ37" i="20"/>
  <c r="AZ38" i="20"/>
  <c r="AZ39" i="20"/>
  <c r="AZ40" i="20"/>
  <c r="AZ41" i="20"/>
  <c r="AZ42" i="20"/>
  <c r="AZ43" i="20"/>
  <c r="AZ44" i="20"/>
  <c r="AZ45" i="20"/>
  <c r="AZ46" i="20"/>
  <c r="AZ47" i="20"/>
  <c r="AZ48" i="20"/>
  <c r="AZ49" i="20"/>
  <c r="AZ50" i="20"/>
  <c r="AZ51" i="20"/>
  <c r="AZ52" i="20"/>
  <c r="AZ53" i="20"/>
  <c r="AZ54" i="20"/>
  <c r="AZ55" i="20"/>
  <c r="AZ56" i="20"/>
  <c r="AZ57" i="20"/>
  <c r="AZ58" i="20"/>
  <c r="AZ59" i="20"/>
  <c r="AZ60" i="20"/>
  <c r="AZ61" i="20"/>
  <c r="AZ62" i="20"/>
  <c r="AZ63" i="20"/>
  <c r="AZ64" i="20"/>
  <c r="AZ65" i="20"/>
  <c r="AZ66" i="20"/>
  <c r="AZ67" i="20"/>
  <c r="AZ68" i="20"/>
  <c r="AZ69" i="20"/>
  <c r="AZ70" i="20"/>
  <c r="AZ71" i="20"/>
  <c r="AZ72" i="20"/>
  <c r="AZ73" i="20"/>
  <c r="AZ74" i="20"/>
  <c r="AZ75" i="20"/>
  <c r="AZ76" i="20"/>
  <c r="AZ77" i="20"/>
  <c r="AZ78" i="20"/>
  <c r="AZ79" i="20"/>
  <c r="AZ80" i="20"/>
  <c r="AZ81" i="20"/>
  <c r="AZ82" i="20"/>
  <c r="AZ83" i="20"/>
  <c r="AZ84" i="20"/>
  <c r="AZ85" i="20"/>
  <c r="AZ86" i="20"/>
  <c r="AZ87" i="20"/>
  <c r="AZ88" i="20"/>
  <c r="AZ89" i="20"/>
  <c r="AZ90" i="20"/>
  <c r="AZ91" i="20"/>
  <c r="AZ92" i="20"/>
  <c r="AZ93" i="20"/>
  <c r="AZ94" i="20"/>
  <c r="AZ95" i="20"/>
  <c r="AZ96" i="20"/>
  <c r="AZ97" i="20"/>
  <c r="AZ98" i="20"/>
  <c r="AZ99" i="20"/>
  <c r="AZ100" i="20"/>
  <c r="AZ101" i="20"/>
  <c r="AZ102" i="20"/>
  <c r="AZ103" i="20"/>
  <c r="AZ104" i="20"/>
  <c r="AZ105" i="20"/>
  <c r="AZ106" i="20"/>
  <c r="AZ107" i="20"/>
  <c r="AZ108" i="20"/>
  <c r="AZ109" i="20"/>
  <c r="AZ110" i="20"/>
  <c r="AZ111" i="20"/>
  <c r="AZ112" i="20"/>
  <c r="AZ113" i="20"/>
  <c r="AZ114" i="20"/>
  <c r="AZ115" i="20"/>
  <c r="AZ116" i="20"/>
  <c r="AZ117" i="20"/>
  <c r="AZ118" i="20"/>
  <c r="AZ119" i="20"/>
  <c r="AZ120" i="20"/>
  <c r="AZ121" i="20"/>
  <c r="AZ122" i="20"/>
  <c r="AZ123" i="20"/>
  <c r="AZ124" i="20"/>
  <c r="AZ125" i="20"/>
  <c r="AZ126" i="20"/>
  <c r="AZ127" i="20"/>
  <c r="AZ128" i="20"/>
  <c r="AZ129" i="20"/>
  <c r="AZ130" i="20"/>
  <c r="AZ131" i="20"/>
  <c r="AZ132" i="20"/>
  <c r="AZ133" i="20"/>
  <c r="AZ134" i="20"/>
  <c r="AZ135" i="20"/>
  <c r="AZ136" i="20"/>
  <c r="AZ137" i="20"/>
  <c r="AZ138" i="20"/>
  <c r="AZ139" i="20"/>
  <c r="AZ140" i="20"/>
  <c r="AZ141" i="20"/>
  <c r="AZ142" i="20"/>
  <c r="AZ143" i="20"/>
  <c r="AZ144" i="20"/>
  <c r="AZ145" i="20"/>
  <c r="AZ146" i="20"/>
  <c r="AZ147" i="20"/>
  <c r="AZ148" i="20"/>
  <c r="AZ149" i="20"/>
  <c r="AZ150" i="20"/>
  <c r="AZ151" i="20"/>
  <c r="AZ152" i="20"/>
  <c r="AZ153" i="20"/>
  <c r="AZ154" i="20"/>
  <c r="AZ155" i="20"/>
  <c r="AZ156" i="20"/>
  <c r="AZ157" i="20"/>
  <c r="AZ158" i="20"/>
  <c r="AZ159" i="20"/>
  <c r="AZ160" i="20"/>
  <c r="AZ161" i="20"/>
  <c r="AZ162" i="20"/>
  <c r="AZ163" i="20"/>
  <c r="AZ164" i="20"/>
  <c r="AZ165" i="20"/>
  <c r="AZ166" i="20"/>
  <c r="AZ167" i="20"/>
  <c r="AZ168" i="20"/>
  <c r="AZ169" i="20"/>
  <c r="AZ170" i="20"/>
  <c r="AZ171" i="20"/>
  <c r="AZ172" i="20"/>
  <c r="AZ173" i="20"/>
  <c r="AZ174" i="20"/>
  <c r="AZ175" i="20"/>
  <c r="AZ176" i="20"/>
  <c r="AZ177" i="20"/>
  <c r="AZ178" i="20"/>
  <c r="AZ179" i="20"/>
  <c r="AZ180" i="20"/>
  <c r="AZ181" i="20"/>
  <c r="AZ182" i="20"/>
  <c r="AZ183" i="20"/>
  <c r="AZ184" i="20"/>
  <c r="AZ185" i="20"/>
  <c r="AZ186" i="20"/>
  <c r="AZ187" i="20"/>
  <c r="AZ188" i="20"/>
  <c r="AZ189" i="20"/>
  <c r="AZ190" i="20"/>
  <c r="AZ191" i="20"/>
  <c r="AZ192" i="20"/>
  <c r="AZ193" i="20"/>
  <c r="AZ194" i="20"/>
  <c r="AZ195" i="20"/>
  <c r="AZ196" i="20"/>
  <c r="AZ197" i="20"/>
  <c r="AZ198" i="20"/>
  <c r="AZ199" i="20"/>
  <c r="AZ200" i="20"/>
  <c r="AZ201" i="20"/>
  <c r="AS4" i="20"/>
  <c r="AS5" i="20"/>
  <c r="AS6" i="20"/>
  <c r="AS7" i="20"/>
  <c r="AS8" i="20"/>
  <c r="AS9" i="20"/>
  <c r="AS10" i="20"/>
  <c r="AS11" i="20"/>
  <c r="AS12" i="20"/>
  <c r="AS13" i="20"/>
  <c r="AS14" i="20"/>
  <c r="AS15" i="20"/>
  <c r="AS16" i="20"/>
  <c r="AS17" i="20"/>
  <c r="AS18" i="20"/>
  <c r="AS19" i="20"/>
  <c r="AS20" i="20"/>
  <c r="AS21" i="20"/>
  <c r="AS22" i="20"/>
  <c r="AS23" i="20"/>
  <c r="AS24" i="20"/>
  <c r="AS25" i="20"/>
  <c r="AS26" i="20"/>
  <c r="AS27" i="20"/>
  <c r="AS28" i="20"/>
  <c r="AS29" i="20"/>
  <c r="AS30" i="20"/>
  <c r="AS31" i="20"/>
  <c r="AS32" i="20"/>
  <c r="AS33" i="20"/>
  <c r="AS34" i="20"/>
  <c r="AS35" i="20"/>
  <c r="AS36" i="20"/>
  <c r="AS37" i="20"/>
  <c r="AS38" i="20"/>
  <c r="AS39" i="20"/>
  <c r="AS40" i="20"/>
  <c r="AS41" i="20"/>
  <c r="AS42" i="20"/>
  <c r="AS43" i="20"/>
  <c r="AS44" i="20"/>
  <c r="AS45" i="20"/>
  <c r="AS46" i="20"/>
  <c r="AS47" i="20"/>
  <c r="AS48" i="20"/>
  <c r="AS49" i="20"/>
  <c r="AS50" i="20"/>
  <c r="AS51" i="20"/>
  <c r="AS52" i="20"/>
  <c r="AS53" i="20"/>
  <c r="AS54" i="20"/>
  <c r="AS55" i="20"/>
  <c r="AS56" i="20"/>
  <c r="AS57" i="20"/>
  <c r="AS58" i="20"/>
  <c r="AS59" i="20"/>
  <c r="AS60" i="20"/>
  <c r="AS61" i="20"/>
  <c r="AS62" i="20"/>
  <c r="AS63" i="20"/>
  <c r="AS64" i="20"/>
  <c r="AS65" i="20"/>
  <c r="AS66" i="20"/>
  <c r="AS67" i="20"/>
  <c r="AS68" i="20"/>
  <c r="AS69" i="20"/>
  <c r="AS70" i="20"/>
  <c r="AS71" i="20"/>
  <c r="AS72" i="20"/>
  <c r="AS73" i="20"/>
  <c r="AS74" i="20"/>
  <c r="AS75" i="20"/>
  <c r="AS76" i="20"/>
  <c r="AS77" i="20"/>
  <c r="AS78" i="20"/>
  <c r="AS79" i="20"/>
  <c r="AS80" i="20"/>
  <c r="AS81" i="20"/>
  <c r="AS82" i="20"/>
  <c r="AS83" i="20"/>
  <c r="AS84" i="20"/>
  <c r="AS85" i="20"/>
  <c r="AS86" i="20"/>
  <c r="AS87" i="20"/>
  <c r="AS88" i="20"/>
  <c r="AS89" i="20"/>
  <c r="AS90" i="20"/>
  <c r="AS91" i="20"/>
  <c r="AS92" i="20"/>
  <c r="AS93" i="20"/>
  <c r="AS94" i="20"/>
  <c r="AS95" i="20"/>
  <c r="AS96" i="20"/>
  <c r="AS97" i="20"/>
  <c r="AS98" i="20"/>
  <c r="AS99" i="20"/>
  <c r="AS100" i="20"/>
  <c r="AS101" i="20"/>
  <c r="AS102" i="20"/>
  <c r="AS103" i="20"/>
  <c r="AS104" i="20"/>
  <c r="AS105" i="20"/>
  <c r="AS106" i="20"/>
  <c r="AS107" i="20"/>
  <c r="AS108" i="20"/>
  <c r="AS109" i="20"/>
  <c r="AS110" i="20"/>
  <c r="AS111" i="20"/>
  <c r="AS112" i="20"/>
  <c r="AS113" i="20"/>
  <c r="AS114" i="20"/>
  <c r="AS115" i="20"/>
  <c r="AS116" i="20"/>
  <c r="AS117" i="20"/>
  <c r="AS118" i="20"/>
  <c r="AS119" i="20"/>
  <c r="AS120" i="20"/>
  <c r="AS121" i="20"/>
  <c r="AS122" i="20"/>
  <c r="AS123" i="20"/>
  <c r="AS124" i="20"/>
  <c r="AS125" i="20"/>
  <c r="AS126" i="20"/>
  <c r="AS127" i="20"/>
  <c r="AS128" i="20"/>
  <c r="AS129" i="20"/>
  <c r="AS130" i="20"/>
  <c r="AS131" i="20"/>
  <c r="AS132" i="20"/>
  <c r="AS133" i="20"/>
  <c r="AS134" i="20"/>
  <c r="AS135" i="20"/>
  <c r="AS136" i="20"/>
  <c r="AS137" i="20"/>
  <c r="AS138" i="20"/>
  <c r="AS139" i="20"/>
  <c r="AS140" i="20"/>
  <c r="AS141" i="20"/>
  <c r="AS142" i="20"/>
  <c r="AS143" i="20"/>
  <c r="AS144" i="20"/>
  <c r="AS145" i="20"/>
  <c r="AS146" i="20"/>
  <c r="AS147" i="20"/>
  <c r="AS148" i="20"/>
  <c r="AS149" i="20"/>
  <c r="AS150" i="20"/>
  <c r="AS151" i="20"/>
  <c r="AS152" i="20"/>
  <c r="AS153" i="20"/>
  <c r="AS154" i="20"/>
  <c r="AS155" i="20"/>
  <c r="AS156" i="20"/>
  <c r="AS157" i="20"/>
  <c r="AS158" i="20"/>
  <c r="AS159" i="20"/>
  <c r="AS160" i="20"/>
  <c r="AS161" i="20"/>
  <c r="AS162" i="20"/>
  <c r="AS163" i="20"/>
  <c r="AS164" i="20"/>
  <c r="AS165" i="20"/>
  <c r="AS166" i="20"/>
  <c r="AS167" i="20"/>
  <c r="AS168" i="20"/>
  <c r="AS169" i="20"/>
  <c r="AS170" i="20"/>
  <c r="AS171" i="20"/>
  <c r="AS172" i="20"/>
  <c r="AS173" i="20"/>
  <c r="AS174" i="20"/>
  <c r="AS175" i="20"/>
  <c r="AS176" i="20"/>
  <c r="AS177" i="20"/>
  <c r="AS178" i="20"/>
  <c r="AS179" i="20"/>
  <c r="AS180" i="20"/>
  <c r="AS181" i="20"/>
  <c r="AS182" i="20"/>
  <c r="AS183" i="20"/>
  <c r="AS184" i="20"/>
  <c r="AS185" i="20"/>
  <c r="AS186" i="20"/>
  <c r="AS187" i="20"/>
  <c r="AS188" i="20"/>
  <c r="AS189" i="20"/>
  <c r="AS190" i="20"/>
  <c r="AS191" i="20"/>
  <c r="AS192" i="20"/>
  <c r="AS193" i="20"/>
  <c r="AS194" i="20"/>
  <c r="AS195" i="20"/>
  <c r="AS196" i="20"/>
  <c r="AS197" i="20"/>
  <c r="AS198" i="20"/>
  <c r="AS199" i="20"/>
  <c r="AS200" i="20"/>
  <c r="AS201" i="20"/>
  <c r="AF4" i="20"/>
  <c r="AF5" i="20"/>
  <c r="AF6" i="20"/>
  <c r="AF7" i="20"/>
  <c r="AF8" i="20"/>
  <c r="AF9" i="20"/>
  <c r="AF10" i="20"/>
  <c r="AF11" i="20"/>
  <c r="AF12" i="20"/>
  <c r="AF13" i="20"/>
  <c r="AF14" i="20"/>
  <c r="AF15" i="20"/>
  <c r="AF16" i="20"/>
  <c r="AF17" i="20"/>
  <c r="AF18" i="20"/>
  <c r="AF19" i="20"/>
  <c r="AF20" i="20"/>
  <c r="AF21" i="20"/>
  <c r="AF22" i="20"/>
  <c r="AF23" i="20"/>
  <c r="AF24" i="20"/>
  <c r="AF25" i="20"/>
  <c r="AF26" i="20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1" i="20"/>
  <c r="AF42" i="20"/>
  <c r="AF43" i="20"/>
  <c r="AF44" i="20"/>
  <c r="AF45" i="20"/>
  <c r="AF46" i="20"/>
  <c r="AF47" i="20"/>
  <c r="AF48" i="20"/>
  <c r="AF49" i="20"/>
  <c r="AF50" i="20"/>
  <c r="AF51" i="20"/>
  <c r="AF52" i="20"/>
  <c r="AF53" i="20"/>
  <c r="AF54" i="20"/>
  <c r="AF55" i="20"/>
  <c r="AF56" i="20"/>
  <c r="AF57" i="20"/>
  <c r="AF58" i="20"/>
  <c r="AF59" i="20"/>
  <c r="AF60" i="20"/>
  <c r="AF61" i="20"/>
  <c r="AF62" i="20"/>
  <c r="AF63" i="20"/>
  <c r="AF64" i="20"/>
  <c r="AF65" i="20"/>
  <c r="AF66" i="20"/>
  <c r="AF67" i="20"/>
  <c r="AF68" i="20"/>
  <c r="AF69" i="20"/>
  <c r="AF70" i="20"/>
  <c r="AF71" i="20"/>
  <c r="AF72" i="20"/>
  <c r="AF73" i="20"/>
  <c r="AF74" i="20"/>
  <c r="AF75" i="20"/>
  <c r="AF76" i="20"/>
  <c r="AF77" i="20"/>
  <c r="AF78" i="20"/>
  <c r="AF79" i="20"/>
  <c r="AF80" i="20"/>
  <c r="AF81" i="20"/>
  <c r="AF82" i="20"/>
  <c r="AF83" i="20"/>
  <c r="AF84" i="20"/>
  <c r="AF85" i="20"/>
  <c r="AF86" i="20"/>
  <c r="AF87" i="20"/>
  <c r="AF88" i="20"/>
  <c r="AF89" i="20"/>
  <c r="AF90" i="20"/>
  <c r="AF91" i="20"/>
  <c r="AF92" i="20"/>
  <c r="AF93" i="20"/>
  <c r="AF94" i="20"/>
  <c r="AF95" i="20"/>
  <c r="AF96" i="20"/>
  <c r="AF97" i="20"/>
  <c r="AF98" i="20"/>
  <c r="AF99" i="20"/>
  <c r="AF100" i="20"/>
  <c r="AF101" i="20"/>
  <c r="AF102" i="20"/>
  <c r="AF103" i="20"/>
  <c r="AF104" i="20"/>
  <c r="AF105" i="20"/>
  <c r="AF106" i="20"/>
  <c r="AF107" i="20"/>
  <c r="AF108" i="20"/>
  <c r="AF109" i="20"/>
  <c r="AF110" i="20"/>
  <c r="AF111" i="20"/>
  <c r="AF112" i="20"/>
  <c r="AF113" i="20"/>
  <c r="AF114" i="20"/>
  <c r="AF115" i="20"/>
  <c r="AF116" i="20"/>
  <c r="AF117" i="20"/>
  <c r="AF118" i="20"/>
  <c r="AF119" i="20"/>
  <c r="AF120" i="20"/>
  <c r="AF121" i="20"/>
  <c r="AF122" i="20"/>
  <c r="AF123" i="20"/>
  <c r="AF124" i="20"/>
  <c r="AF125" i="20"/>
  <c r="AF126" i="20"/>
  <c r="AF127" i="20"/>
  <c r="AF128" i="20"/>
  <c r="AF129" i="20"/>
  <c r="AF130" i="20"/>
  <c r="AF131" i="20"/>
  <c r="AF132" i="20"/>
  <c r="AF133" i="20"/>
  <c r="AF134" i="20"/>
  <c r="AF135" i="20"/>
  <c r="AF136" i="20"/>
  <c r="AF137" i="20"/>
  <c r="AF138" i="20"/>
  <c r="AF139" i="20"/>
  <c r="AF140" i="20"/>
  <c r="AF141" i="20"/>
  <c r="AF142" i="20"/>
  <c r="AF143" i="20"/>
  <c r="AF144" i="20"/>
  <c r="AF145" i="20"/>
  <c r="AF146" i="20"/>
  <c r="AF147" i="20"/>
  <c r="AF148" i="20"/>
  <c r="AF149" i="20"/>
  <c r="AF150" i="20"/>
  <c r="AF151" i="20"/>
  <c r="AF152" i="20"/>
  <c r="AF153" i="20"/>
  <c r="AF154" i="20"/>
  <c r="AF155" i="20"/>
  <c r="AF156" i="20"/>
  <c r="AF157" i="20"/>
  <c r="AF158" i="20"/>
  <c r="AF159" i="20"/>
  <c r="AF160" i="20"/>
  <c r="AF161" i="20"/>
  <c r="AF162" i="20"/>
  <c r="AF163" i="20"/>
  <c r="AF164" i="20"/>
  <c r="AF165" i="20"/>
  <c r="AF166" i="20"/>
  <c r="AF167" i="20"/>
  <c r="AF168" i="20"/>
  <c r="AF169" i="20"/>
  <c r="AF170" i="20"/>
  <c r="AF171" i="20"/>
  <c r="AF172" i="20"/>
  <c r="AF173" i="20"/>
  <c r="AF174" i="20"/>
  <c r="AF175" i="20"/>
  <c r="AF176" i="20"/>
  <c r="AF177" i="20"/>
  <c r="AF178" i="20"/>
  <c r="AF179" i="20"/>
  <c r="AF180" i="20"/>
  <c r="AF181" i="20"/>
  <c r="AF182" i="20"/>
  <c r="AF183" i="20"/>
  <c r="AF184" i="20"/>
  <c r="AF185" i="20"/>
  <c r="AF186" i="20"/>
  <c r="AF187" i="20"/>
  <c r="AF188" i="20"/>
  <c r="AF189" i="20"/>
  <c r="AF190" i="20"/>
  <c r="AF191" i="20"/>
  <c r="AF192" i="20"/>
  <c r="AF193" i="20"/>
  <c r="AF194" i="20"/>
  <c r="AF195" i="20"/>
  <c r="AF196" i="20"/>
  <c r="AF197" i="20"/>
  <c r="AF198" i="20"/>
  <c r="AF199" i="20"/>
  <c r="AF200" i="20"/>
  <c r="AF201" i="20"/>
  <c r="Y4" i="20"/>
  <c r="Y5" i="20"/>
  <c r="Y6" i="20"/>
  <c r="Y7" i="20"/>
  <c r="Y8" i="20"/>
  <c r="Y9" i="20"/>
  <c r="Y10" i="20"/>
  <c r="Y11" i="20"/>
  <c r="Y12" i="20"/>
  <c r="Y13" i="20"/>
  <c r="Y14" i="20"/>
  <c r="Y15" i="20"/>
  <c r="Y16" i="20"/>
  <c r="Y17" i="20"/>
  <c r="Y18" i="20"/>
  <c r="Y19" i="20"/>
  <c r="Y20" i="20"/>
  <c r="Y21" i="20"/>
  <c r="Y22" i="20"/>
  <c r="Y23" i="20"/>
  <c r="Y24" i="20"/>
  <c r="Y25" i="20"/>
  <c r="Y26" i="20"/>
  <c r="Y27" i="20"/>
  <c r="Y28" i="20"/>
  <c r="Y29" i="20"/>
  <c r="Y30" i="20"/>
  <c r="Y31" i="20"/>
  <c r="Y32" i="20"/>
  <c r="Y33" i="20"/>
  <c r="Y34" i="20"/>
  <c r="Y35" i="20"/>
  <c r="Y36" i="20"/>
  <c r="Y37" i="20"/>
  <c r="Y38" i="20"/>
  <c r="Y39" i="20"/>
  <c r="Y40" i="20"/>
  <c r="Y41" i="20"/>
  <c r="Y42" i="20"/>
  <c r="Y43" i="20"/>
  <c r="Y44" i="20"/>
  <c r="Y45" i="20"/>
  <c r="Y46" i="20"/>
  <c r="Y47" i="20"/>
  <c r="Y48" i="20"/>
  <c r="Y49" i="20"/>
  <c r="Y50" i="20"/>
  <c r="Y51" i="20"/>
  <c r="Y52" i="20"/>
  <c r="Y53" i="20"/>
  <c r="Y54" i="20"/>
  <c r="Y55" i="20"/>
  <c r="Y56" i="20"/>
  <c r="Y57" i="20"/>
  <c r="Y58" i="20"/>
  <c r="Y59" i="20"/>
  <c r="Y60" i="20"/>
  <c r="Y61" i="20"/>
  <c r="Y62" i="20"/>
  <c r="Y63" i="20"/>
  <c r="Y64" i="20"/>
  <c r="Y65" i="20"/>
  <c r="Y66" i="20"/>
  <c r="Y67" i="20"/>
  <c r="Y68" i="20"/>
  <c r="Y69" i="20"/>
  <c r="Y70" i="20"/>
  <c r="Y71" i="20"/>
  <c r="Y72" i="20"/>
  <c r="Y73" i="20"/>
  <c r="Y74" i="20"/>
  <c r="Y75" i="20"/>
  <c r="Y76" i="20"/>
  <c r="Y77" i="20"/>
  <c r="Y78" i="20"/>
  <c r="Y79" i="20"/>
  <c r="Y80" i="20"/>
  <c r="Y81" i="20"/>
  <c r="Y82" i="20"/>
  <c r="Y83" i="20"/>
  <c r="Y84" i="20"/>
  <c r="Y85" i="20"/>
  <c r="Y86" i="20"/>
  <c r="Y87" i="20"/>
  <c r="Y88" i="20"/>
  <c r="Y89" i="20"/>
  <c r="Y90" i="20"/>
  <c r="Y91" i="20"/>
  <c r="Y92" i="20"/>
  <c r="Y93" i="20"/>
  <c r="Y94" i="20"/>
  <c r="Y95" i="20"/>
  <c r="Y96" i="20"/>
  <c r="Y97" i="20"/>
  <c r="Y98" i="20"/>
  <c r="Y99" i="20"/>
  <c r="Y100" i="20"/>
  <c r="Y101" i="20"/>
  <c r="Y102" i="20"/>
  <c r="Y103" i="20"/>
  <c r="Y104" i="20"/>
  <c r="Y105" i="20"/>
  <c r="Y106" i="20"/>
  <c r="Y107" i="20"/>
  <c r="Y108" i="20"/>
  <c r="Y109" i="20"/>
  <c r="Y110" i="20"/>
  <c r="Y111" i="20"/>
  <c r="Y112" i="20"/>
  <c r="Y113" i="20"/>
  <c r="Y114" i="20"/>
  <c r="Y115" i="20"/>
  <c r="Y116" i="20"/>
  <c r="Y117" i="20"/>
  <c r="Y118" i="20"/>
  <c r="Y119" i="20"/>
  <c r="Y120" i="20"/>
  <c r="Y121" i="20"/>
  <c r="Y122" i="20"/>
  <c r="Y123" i="20"/>
  <c r="Y124" i="20"/>
  <c r="Y125" i="20"/>
  <c r="Y126" i="20"/>
  <c r="Y127" i="20"/>
  <c r="Y128" i="20"/>
  <c r="Y129" i="20"/>
  <c r="Y130" i="20"/>
  <c r="Y131" i="20"/>
  <c r="Y132" i="20"/>
  <c r="Y133" i="20"/>
  <c r="Y134" i="20"/>
  <c r="Y135" i="20"/>
  <c r="Y136" i="20"/>
  <c r="Y137" i="20"/>
  <c r="Y138" i="20"/>
  <c r="Y139" i="20"/>
  <c r="Y140" i="20"/>
  <c r="Y141" i="20"/>
  <c r="Y142" i="20"/>
  <c r="Y143" i="20"/>
  <c r="Y144" i="20"/>
  <c r="Y145" i="20"/>
  <c r="Y146" i="20"/>
  <c r="Y147" i="20"/>
  <c r="Y148" i="20"/>
  <c r="Y149" i="20"/>
  <c r="Y150" i="20"/>
  <c r="Y151" i="20"/>
  <c r="Y152" i="20"/>
  <c r="Y153" i="20"/>
  <c r="Y154" i="20"/>
  <c r="Y155" i="20"/>
  <c r="Y156" i="20"/>
  <c r="Y157" i="20"/>
  <c r="Y158" i="20"/>
  <c r="Y159" i="20"/>
  <c r="Y160" i="20"/>
  <c r="Y161" i="20"/>
  <c r="Y162" i="20"/>
  <c r="Y163" i="20"/>
  <c r="Y164" i="20"/>
  <c r="Y165" i="20"/>
  <c r="Y166" i="20"/>
  <c r="Y167" i="20"/>
  <c r="Y168" i="20"/>
  <c r="Y169" i="20"/>
  <c r="Y170" i="20"/>
  <c r="Y171" i="20"/>
  <c r="Y172" i="20"/>
  <c r="Y173" i="20"/>
  <c r="Y174" i="20"/>
  <c r="Y175" i="20"/>
  <c r="Y176" i="20"/>
  <c r="Y177" i="20"/>
  <c r="Y178" i="20"/>
  <c r="Y179" i="20"/>
  <c r="Y180" i="20"/>
  <c r="Y181" i="20"/>
  <c r="Y182" i="20"/>
  <c r="Y183" i="20"/>
  <c r="Y184" i="20"/>
  <c r="Y185" i="20"/>
  <c r="Y186" i="20"/>
  <c r="Y187" i="20"/>
  <c r="Y188" i="20"/>
  <c r="Y189" i="20"/>
  <c r="Y190" i="20"/>
  <c r="Y191" i="20"/>
  <c r="Y192" i="20"/>
  <c r="Y193" i="20"/>
  <c r="Y194" i="20"/>
  <c r="Y195" i="20"/>
  <c r="Y196" i="20"/>
  <c r="Y197" i="20"/>
  <c r="Y198" i="20"/>
  <c r="Y199" i="20"/>
  <c r="Y200" i="20"/>
  <c r="Y201" i="20"/>
  <c r="R4" i="20"/>
  <c r="R5" i="20"/>
  <c r="R6" i="20"/>
  <c r="R7" i="20"/>
  <c r="R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5" i="20"/>
  <c r="R36" i="20"/>
  <c r="R37" i="20"/>
  <c r="R38" i="20"/>
  <c r="R39" i="20"/>
  <c r="R40" i="20"/>
  <c r="R41" i="20"/>
  <c r="R42" i="20"/>
  <c r="R43" i="20"/>
  <c r="R44" i="20"/>
  <c r="R45" i="20"/>
  <c r="R46" i="20"/>
  <c r="R47" i="20"/>
  <c r="R48" i="20"/>
  <c r="R49" i="20"/>
  <c r="R50" i="20"/>
  <c r="R51" i="20"/>
  <c r="R52" i="20"/>
  <c r="R53" i="20"/>
  <c r="R54" i="20"/>
  <c r="R55" i="20"/>
  <c r="R56" i="20"/>
  <c r="R57" i="20"/>
  <c r="R58" i="20"/>
  <c r="R59" i="20"/>
  <c r="R60" i="20"/>
  <c r="R61" i="20"/>
  <c r="R62" i="20"/>
  <c r="R63" i="20"/>
  <c r="R64" i="20"/>
  <c r="R65" i="20"/>
  <c r="R66" i="20"/>
  <c r="R67" i="20"/>
  <c r="R68" i="20"/>
  <c r="R69" i="20"/>
  <c r="R70" i="20"/>
  <c r="R71" i="20"/>
  <c r="R72" i="20"/>
  <c r="R73" i="20"/>
  <c r="R74" i="20"/>
  <c r="R75" i="20"/>
  <c r="R76" i="20"/>
  <c r="R77" i="20"/>
  <c r="R78" i="20"/>
  <c r="R79" i="20"/>
  <c r="R80" i="20"/>
  <c r="R81" i="20"/>
  <c r="R82" i="20"/>
  <c r="R83" i="20"/>
  <c r="R84" i="20"/>
  <c r="R85" i="20"/>
  <c r="R86" i="20"/>
  <c r="R87" i="20"/>
  <c r="R88" i="20"/>
  <c r="R89" i="20"/>
  <c r="R90" i="20"/>
  <c r="R91" i="20"/>
  <c r="R92" i="20"/>
  <c r="R93" i="20"/>
  <c r="R94" i="20"/>
  <c r="R95" i="20"/>
  <c r="R96" i="20"/>
  <c r="R97" i="20"/>
  <c r="R98" i="20"/>
  <c r="R99" i="20"/>
  <c r="R100" i="20"/>
  <c r="R101" i="20"/>
  <c r="R102" i="20"/>
  <c r="R103" i="20"/>
  <c r="R104" i="20"/>
  <c r="R105" i="20"/>
  <c r="R106" i="20"/>
  <c r="R107" i="20"/>
  <c r="R108" i="20"/>
  <c r="R109" i="20"/>
  <c r="R110" i="20"/>
  <c r="R111" i="20"/>
  <c r="R112" i="20"/>
  <c r="R113" i="20"/>
  <c r="R114" i="20"/>
  <c r="R115" i="20"/>
  <c r="R116" i="20"/>
  <c r="R117" i="20"/>
  <c r="R118" i="20"/>
  <c r="R119" i="20"/>
  <c r="R120" i="20"/>
  <c r="R121" i="20"/>
  <c r="R122" i="20"/>
  <c r="R123" i="20"/>
  <c r="R124" i="20"/>
  <c r="R125" i="20"/>
  <c r="R126" i="20"/>
  <c r="R127" i="20"/>
  <c r="R128" i="20"/>
  <c r="R129" i="20"/>
  <c r="R130" i="20"/>
  <c r="R131" i="20"/>
  <c r="R132" i="20"/>
  <c r="R133" i="20"/>
  <c r="R134" i="20"/>
  <c r="R135" i="20"/>
  <c r="R136" i="20"/>
  <c r="R137" i="20"/>
  <c r="R138" i="20"/>
  <c r="R139" i="20"/>
  <c r="R140" i="20"/>
  <c r="R141" i="20"/>
  <c r="R142" i="20"/>
  <c r="R143" i="20"/>
  <c r="R144" i="20"/>
  <c r="R145" i="20"/>
  <c r="R146" i="20"/>
  <c r="R147" i="20"/>
  <c r="R148" i="20"/>
  <c r="R149" i="20"/>
  <c r="R150" i="20"/>
  <c r="R151" i="20"/>
  <c r="R152" i="20"/>
  <c r="R153" i="20"/>
  <c r="R154" i="20"/>
  <c r="R155" i="20"/>
  <c r="R156" i="20"/>
  <c r="R157" i="20"/>
  <c r="R158" i="20"/>
  <c r="R159" i="20"/>
  <c r="R160" i="20"/>
  <c r="R161" i="20"/>
  <c r="R162" i="20"/>
  <c r="R163" i="20"/>
  <c r="R164" i="20"/>
  <c r="R165" i="20"/>
  <c r="R166" i="20"/>
  <c r="R167" i="20"/>
  <c r="R168" i="20"/>
  <c r="R169" i="20"/>
  <c r="R170" i="20"/>
  <c r="R171" i="20"/>
  <c r="R172" i="20"/>
  <c r="R173" i="20"/>
  <c r="R174" i="20"/>
  <c r="R175" i="20"/>
  <c r="R176" i="20"/>
  <c r="R177" i="20"/>
  <c r="R178" i="20"/>
  <c r="R179" i="20"/>
  <c r="R180" i="20"/>
  <c r="R181" i="20"/>
  <c r="R182" i="20"/>
  <c r="R183" i="20"/>
  <c r="R184" i="20"/>
  <c r="R185" i="20"/>
  <c r="R186" i="20"/>
  <c r="R187" i="20"/>
  <c r="R188" i="20"/>
  <c r="R189" i="20"/>
  <c r="R190" i="20"/>
  <c r="R191" i="20"/>
  <c r="R192" i="20"/>
  <c r="R193" i="20"/>
  <c r="R194" i="20"/>
  <c r="R195" i="20"/>
  <c r="R196" i="20"/>
  <c r="R197" i="20"/>
  <c r="R198" i="20"/>
  <c r="R199" i="20"/>
  <c r="R200" i="20"/>
  <c r="R201" i="20"/>
  <c r="CH4" i="19"/>
  <c r="CH5" i="19"/>
  <c r="CH6" i="19"/>
  <c r="CH7" i="19"/>
  <c r="CH8" i="19"/>
  <c r="CH9" i="19"/>
  <c r="CH10" i="19"/>
  <c r="CH11" i="19"/>
  <c r="CH12" i="19"/>
  <c r="CH13" i="19"/>
  <c r="CH14" i="19"/>
  <c r="CH15" i="19"/>
  <c r="CH16" i="19"/>
  <c r="CH17" i="19"/>
  <c r="CH18" i="19"/>
  <c r="CH19" i="19"/>
  <c r="CH20" i="19"/>
  <c r="CH21" i="19"/>
  <c r="CH22" i="19"/>
  <c r="CH23" i="19"/>
  <c r="CH24" i="19"/>
  <c r="CH25" i="19"/>
  <c r="CH26" i="19"/>
  <c r="CH27" i="19"/>
  <c r="CH28" i="19"/>
  <c r="CH29" i="19"/>
  <c r="CH30" i="19"/>
  <c r="CH31" i="19"/>
  <c r="CH32" i="19"/>
  <c r="CH33" i="19"/>
  <c r="CH34" i="19"/>
  <c r="CH35" i="19"/>
  <c r="CH36" i="19"/>
  <c r="CH37" i="19"/>
  <c r="CH38" i="19"/>
  <c r="CH39" i="19"/>
  <c r="CH40" i="19"/>
  <c r="CH41" i="19"/>
  <c r="CH42" i="19"/>
  <c r="CH43" i="19"/>
  <c r="CH44" i="19"/>
  <c r="CH45" i="19"/>
  <c r="CH46" i="19"/>
  <c r="CH47" i="19"/>
  <c r="CH48" i="19"/>
  <c r="CH49" i="19"/>
  <c r="CH50" i="19"/>
  <c r="CH51" i="19"/>
  <c r="CH52" i="19"/>
  <c r="CH53" i="19"/>
  <c r="CH54" i="19"/>
  <c r="CH55" i="19"/>
  <c r="CH56" i="19"/>
  <c r="CH57" i="19"/>
  <c r="CH58" i="19"/>
  <c r="CH59" i="19"/>
  <c r="CH60" i="19"/>
  <c r="CH61" i="19"/>
  <c r="CH62" i="19"/>
  <c r="CH63" i="19"/>
  <c r="CH64" i="19"/>
  <c r="CH65" i="19"/>
  <c r="CH66" i="19"/>
  <c r="CH67" i="19"/>
  <c r="CH68" i="19"/>
  <c r="CH69" i="19"/>
  <c r="CH70" i="19"/>
  <c r="CH71" i="19"/>
  <c r="CH72" i="19"/>
  <c r="CH73" i="19"/>
  <c r="CH74" i="19"/>
  <c r="CH75" i="19"/>
  <c r="CH76" i="19"/>
  <c r="CH77" i="19"/>
  <c r="CH78" i="19"/>
  <c r="CH79" i="19"/>
  <c r="CH80" i="19"/>
  <c r="CH81" i="19"/>
  <c r="CH82" i="19"/>
  <c r="CH83" i="19"/>
  <c r="CH84" i="19"/>
  <c r="CH85" i="19"/>
  <c r="CH86" i="19"/>
  <c r="CH87" i="19"/>
  <c r="CH88" i="19"/>
  <c r="CH89" i="19"/>
  <c r="CH90" i="19"/>
  <c r="CH91" i="19"/>
  <c r="CH92" i="19"/>
  <c r="CH93" i="19"/>
  <c r="CH94" i="19"/>
  <c r="CH95" i="19"/>
  <c r="CH96" i="19"/>
  <c r="CH97" i="19"/>
  <c r="CH98" i="19"/>
  <c r="CH99" i="19"/>
  <c r="CH100" i="19"/>
  <c r="CH101" i="19"/>
  <c r="CH102" i="19"/>
  <c r="CH103" i="19"/>
  <c r="CH104" i="19"/>
  <c r="CH105" i="19"/>
  <c r="CH106" i="19"/>
  <c r="CH107" i="19"/>
  <c r="CH108" i="19"/>
  <c r="CH109" i="19"/>
  <c r="CH110" i="19"/>
  <c r="CH111" i="19"/>
  <c r="CH112" i="19"/>
  <c r="CH113" i="19"/>
  <c r="CH114" i="19"/>
  <c r="CH115" i="19"/>
  <c r="CH116" i="19"/>
  <c r="CH117" i="19"/>
  <c r="CH118" i="19"/>
  <c r="CH119" i="19"/>
  <c r="CH120" i="19"/>
  <c r="CH121" i="19"/>
  <c r="CH122" i="19"/>
  <c r="CH123" i="19"/>
  <c r="CH124" i="19"/>
  <c r="CH125" i="19"/>
  <c r="CH126" i="19"/>
  <c r="CH127" i="19"/>
  <c r="CH128" i="19"/>
  <c r="CH129" i="19"/>
  <c r="CH130" i="19"/>
  <c r="CH131" i="19"/>
  <c r="CH132" i="19"/>
  <c r="CH133" i="19"/>
  <c r="CH134" i="19"/>
  <c r="CH135" i="19"/>
  <c r="CH136" i="19"/>
  <c r="CH137" i="19"/>
  <c r="CH138" i="19"/>
  <c r="CH139" i="19"/>
  <c r="CH140" i="19"/>
  <c r="CH141" i="19"/>
  <c r="CH142" i="19"/>
  <c r="CH143" i="19"/>
  <c r="CH144" i="19"/>
  <c r="CH145" i="19"/>
  <c r="CH146" i="19"/>
  <c r="CH147" i="19"/>
  <c r="CH148" i="19"/>
  <c r="CH149" i="19"/>
  <c r="CH150" i="19"/>
  <c r="CH151" i="19"/>
  <c r="CH152" i="19"/>
  <c r="CH153" i="19"/>
  <c r="CH154" i="19"/>
  <c r="CH155" i="19"/>
  <c r="CH156" i="19"/>
  <c r="CH157" i="19"/>
  <c r="CH158" i="19"/>
  <c r="CH159" i="19"/>
  <c r="CH160" i="19"/>
  <c r="CH161" i="19"/>
  <c r="CH162" i="19"/>
  <c r="CH163" i="19"/>
  <c r="CH164" i="19"/>
  <c r="CH165" i="19"/>
  <c r="CH166" i="19"/>
  <c r="CH167" i="19"/>
  <c r="CH168" i="19"/>
  <c r="CH169" i="19"/>
  <c r="CH170" i="19"/>
  <c r="CH171" i="19"/>
  <c r="CH172" i="19"/>
  <c r="CH173" i="19"/>
  <c r="CH174" i="19"/>
  <c r="CH175" i="19"/>
  <c r="CH176" i="19"/>
  <c r="CH177" i="19"/>
  <c r="CH178" i="19"/>
  <c r="CH179" i="19"/>
  <c r="CH180" i="19"/>
  <c r="CH181" i="19"/>
  <c r="CH182" i="19"/>
  <c r="CH183" i="19"/>
  <c r="CH184" i="19"/>
  <c r="CH185" i="19"/>
  <c r="CH186" i="19"/>
  <c r="CH187" i="19"/>
  <c r="CH188" i="19"/>
  <c r="CH189" i="19"/>
  <c r="CH190" i="19"/>
  <c r="CH191" i="19"/>
  <c r="CH192" i="19"/>
  <c r="CH193" i="19"/>
  <c r="CH194" i="19"/>
  <c r="CH195" i="19"/>
  <c r="CH196" i="19"/>
  <c r="CH197" i="19"/>
  <c r="CH198" i="19"/>
  <c r="CH199" i="19"/>
  <c r="CH200" i="19"/>
  <c r="CH201" i="19"/>
  <c r="CA4" i="19"/>
  <c r="CA5" i="19"/>
  <c r="CA6" i="19"/>
  <c r="CA7" i="19"/>
  <c r="CA8" i="19"/>
  <c r="CA9" i="19"/>
  <c r="CA10" i="19"/>
  <c r="CA11" i="19"/>
  <c r="CA12" i="19"/>
  <c r="CA13" i="19"/>
  <c r="CA14" i="19"/>
  <c r="CA15" i="19"/>
  <c r="CA16" i="19"/>
  <c r="CA17" i="19"/>
  <c r="CA18" i="19"/>
  <c r="CA19" i="19"/>
  <c r="CA20" i="19"/>
  <c r="CA21" i="19"/>
  <c r="CA22" i="19"/>
  <c r="CA23" i="19"/>
  <c r="CA24" i="19"/>
  <c r="CA25" i="19"/>
  <c r="CA26" i="19"/>
  <c r="CA27" i="19"/>
  <c r="CA28" i="19"/>
  <c r="CA29" i="19"/>
  <c r="CA30" i="19"/>
  <c r="CA31" i="19"/>
  <c r="CA32" i="19"/>
  <c r="CA33" i="19"/>
  <c r="CA34" i="19"/>
  <c r="CA35" i="19"/>
  <c r="CA36" i="19"/>
  <c r="CA37" i="19"/>
  <c r="CA38" i="19"/>
  <c r="CA39" i="19"/>
  <c r="CA40" i="19"/>
  <c r="CA41" i="19"/>
  <c r="CA42" i="19"/>
  <c r="CA43" i="19"/>
  <c r="CA44" i="19"/>
  <c r="CA45" i="19"/>
  <c r="CA46" i="19"/>
  <c r="CA47" i="19"/>
  <c r="CA48" i="19"/>
  <c r="CA49" i="19"/>
  <c r="CA50" i="19"/>
  <c r="CA51" i="19"/>
  <c r="CA52" i="19"/>
  <c r="CA53" i="19"/>
  <c r="CA54" i="19"/>
  <c r="CA55" i="19"/>
  <c r="CA56" i="19"/>
  <c r="CA57" i="19"/>
  <c r="CA58" i="19"/>
  <c r="CA59" i="19"/>
  <c r="CA60" i="19"/>
  <c r="CA61" i="19"/>
  <c r="CA62" i="19"/>
  <c r="CA63" i="19"/>
  <c r="CA64" i="19"/>
  <c r="CA65" i="19"/>
  <c r="CA66" i="19"/>
  <c r="CA67" i="19"/>
  <c r="CA68" i="19"/>
  <c r="CA69" i="19"/>
  <c r="CA70" i="19"/>
  <c r="CA71" i="19"/>
  <c r="CA72" i="19"/>
  <c r="CA73" i="19"/>
  <c r="CA74" i="19"/>
  <c r="CA75" i="19"/>
  <c r="CA76" i="19"/>
  <c r="CA77" i="19"/>
  <c r="CA78" i="19"/>
  <c r="CA79" i="19"/>
  <c r="CA80" i="19"/>
  <c r="CA81" i="19"/>
  <c r="CA82" i="19"/>
  <c r="CA83" i="19"/>
  <c r="CA84" i="19"/>
  <c r="CA85" i="19"/>
  <c r="CA86" i="19"/>
  <c r="CA87" i="19"/>
  <c r="CA88" i="19"/>
  <c r="CA89" i="19"/>
  <c r="CA90" i="19"/>
  <c r="CA91" i="19"/>
  <c r="CA92" i="19"/>
  <c r="CA93" i="19"/>
  <c r="CA94" i="19"/>
  <c r="CA95" i="19"/>
  <c r="CA96" i="19"/>
  <c r="CA97" i="19"/>
  <c r="CA98" i="19"/>
  <c r="CA99" i="19"/>
  <c r="CA100" i="19"/>
  <c r="CA101" i="19"/>
  <c r="CA102" i="19"/>
  <c r="CA103" i="19"/>
  <c r="CA104" i="19"/>
  <c r="CA105" i="19"/>
  <c r="CA106" i="19"/>
  <c r="CA107" i="19"/>
  <c r="CA108" i="19"/>
  <c r="CA109" i="19"/>
  <c r="CA110" i="19"/>
  <c r="CA111" i="19"/>
  <c r="CA112" i="19"/>
  <c r="CA113" i="19"/>
  <c r="CA114" i="19"/>
  <c r="CA115" i="19"/>
  <c r="CA116" i="19"/>
  <c r="CA117" i="19"/>
  <c r="CA118" i="19"/>
  <c r="CA119" i="19"/>
  <c r="CA120" i="19"/>
  <c r="CA121" i="19"/>
  <c r="CA122" i="19"/>
  <c r="CA123" i="19"/>
  <c r="CA124" i="19"/>
  <c r="CA125" i="19"/>
  <c r="CA126" i="19"/>
  <c r="CA127" i="19"/>
  <c r="CA128" i="19"/>
  <c r="CA129" i="19"/>
  <c r="CA130" i="19"/>
  <c r="CA131" i="19"/>
  <c r="CA132" i="19"/>
  <c r="CA133" i="19"/>
  <c r="CA134" i="19"/>
  <c r="CA135" i="19"/>
  <c r="CA136" i="19"/>
  <c r="CA137" i="19"/>
  <c r="CA138" i="19"/>
  <c r="CA139" i="19"/>
  <c r="CA140" i="19"/>
  <c r="CA141" i="19"/>
  <c r="CA142" i="19"/>
  <c r="CA143" i="19"/>
  <c r="CA144" i="19"/>
  <c r="CA145" i="19"/>
  <c r="CA146" i="19"/>
  <c r="CA147" i="19"/>
  <c r="CA148" i="19"/>
  <c r="CA149" i="19"/>
  <c r="CA150" i="19"/>
  <c r="CA151" i="19"/>
  <c r="CA152" i="19"/>
  <c r="CA153" i="19"/>
  <c r="CA154" i="19"/>
  <c r="CA155" i="19"/>
  <c r="CA156" i="19"/>
  <c r="CA157" i="19"/>
  <c r="CA158" i="19"/>
  <c r="CA159" i="19"/>
  <c r="CA160" i="19"/>
  <c r="CA161" i="19"/>
  <c r="CA162" i="19"/>
  <c r="CA163" i="19"/>
  <c r="CA164" i="19"/>
  <c r="CA165" i="19"/>
  <c r="CA166" i="19"/>
  <c r="CA167" i="19"/>
  <c r="CA168" i="19"/>
  <c r="CA169" i="19"/>
  <c r="CA170" i="19"/>
  <c r="CA171" i="19"/>
  <c r="CA172" i="19"/>
  <c r="CA173" i="19"/>
  <c r="CA174" i="19"/>
  <c r="CA175" i="19"/>
  <c r="CA176" i="19"/>
  <c r="CA177" i="19"/>
  <c r="CA178" i="19"/>
  <c r="CA179" i="19"/>
  <c r="CA180" i="19"/>
  <c r="CA181" i="19"/>
  <c r="CA182" i="19"/>
  <c r="CA183" i="19"/>
  <c r="CA184" i="19"/>
  <c r="CA185" i="19"/>
  <c r="CA186" i="19"/>
  <c r="CA187" i="19"/>
  <c r="CA188" i="19"/>
  <c r="CA189" i="19"/>
  <c r="CA190" i="19"/>
  <c r="CA191" i="19"/>
  <c r="CA192" i="19"/>
  <c r="CA193" i="19"/>
  <c r="CA194" i="19"/>
  <c r="CA195" i="19"/>
  <c r="CA196" i="19"/>
  <c r="CA197" i="19"/>
  <c r="CA198" i="19"/>
  <c r="CA199" i="19"/>
  <c r="CA200" i="19"/>
  <c r="CA201" i="19"/>
  <c r="BT4" i="19"/>
  <c r="BT5" i="19"/>
  <c r="BT6" i="19"/>
  <c r="BT7" i="19"/>
  <c r="BT8" i="19"/>
  <c r="BT9" i="19"/>
  <c r="BT10" i="19"/>
  <c r="BT11" i="19"/>
  <c r="BT12" i="19"/>
  <c r="BT13" i="19"/>
  <c r="BT14" i="19"/>
  <c r="BT15" i="19"/>
  <c r="BT16" i="19"/>
  <c r="BT17" i="19"/>
  <c r="BT18" i="19"/>
  <c r="BT19" i="19"/>
  <c r="BT20" i="19"/>
  <c r="BT21" i="19"/>
  <c r="BT22" i="19"/>
  <c r="BT23" i="19"/>
  <c r="BT24" i="19"/>
  <c r="BT25" i="19"/>
  <c r="BT26" i="19"/>
  <c r="BT27" i="19"/>
  <c r="BT28" i="19"/>
  <c r="BT29" i="19"/>
  <c r="BT30" i="19"/>
  <c r="BT31" i="19"/>
  <c r="BT32" i="19"/>
  <c r="BT33" i="19"/>
  <c r="BT34" i="19"/>
  <c r="BT35" i="19"/>
  <c r="BT36" i="19"/>
  <c r="BT37" i="19"/>
  <c r="BT38" i="19"/>
  <c r="BT39" i="19"/>
  <c r="BT40" i="19"/>
  <c r="BT41" i="19"/>
  <c r="BT42" i="19"/>
  <c r="BT43" i="19"/>
  <c r="BT44" i="19"/>
  <c r="BT45" i="19"/>
  <c r="BT46" i="19"/>
  <c r="BT47" i="19"/>
  <c r="BT48" i="19"/>
  <c r="BT49" i="19"/>
  <c r="BT50" i="19"/>
  <c r="BT51" i="19"/>
  <c r="BT52" i="19"/>
  <c r="BT53" i="19"/>
  <c r="BT54" i="19"/>
  <c r="BT55" i="19"/>
  <c r="BT56" i="19"/>
  <c r="BT57" i="19"/>
  <c r="BT58" i="19"/>
  <c r="BT59" i="19"/>
  <c r="BT60" i="19"/>
  <c r="BT61" i="19"/>
  <c r="BT62" i="19"/>
  <c r="BT63" i="19"/>
  <c r="BT64" i="19"/>
  <c r="BT65" i="19"/>
  <c r="BT66" i="19"/>
  <c r="BT67" i="19"/>
  <c r="BT68" i="19"/>
  <c r="BT69" i="19"/>
  <c r="BT70" i="19"/>
  <c r="BT71" i="19"/>
  <c r="BT72" i="19"/>
  <c r="BT73" i="19"/>
  <c r="BT74" i="19"/>
  <c r="BT75" i="19"/>
  <c r="BT76" i="19"/>
  <c r="BT77" i="19"/>
  <c r="BT78" i="19"/>
  <c r="BT79" i="19"/>
  <c r="BT80" i="19"/>
  <c r="BT81" i="19"/>
  <c r="BT82" i="19"/>
  <c r="BT83" i="19"/>
  <c r="BT84" i="19"/>
  <c r="BT85" i="19"/>
  <c r="BT86" i="19"/>
  <c r="BT87" i="19"/>
  <c r="BT88" i="19"/>
  <c r="BT89" i="19"/>
  <c r="BT90" i="19"/>
  <c r="BT91" i="19"/>
  <c r="BT92" i="19"/>
  <c r="BT93" i="19"/>
  <c r="BT94" i="19"/>
  <c r="BT95" i="19"/>
  <c r="BT96" i="19"/>
  <c r="BT97" i="19"/>
  <c r="BT98" i="19"/>
  <c r="BT99" i="19"/>
  <c r="BT100" i="19"/>
  <c r="BT101" i="19"/>
  <c r="BT102" i="19"/>
  <c r="BT103" i="19"/>
  <c r="BT104" i="19"/>
  <c r="BT105" i="19"/>
  <c r="BT106" i="19"/>
  <c r="BT107" i="19"/>
  <c r="BT108" i="19"/>
  <c r="BT109" i="19"/>
  <c r="BT110" i="19"/>
  <c r="BT111" i="19"/>
  <c r="BT112" i="19"/>
  <c r="BT113" i="19"/>
  <c r="BT114" i="19"/>
  <c r="BT115" i="19"/>
  <c r="BT116" i="19"/>
  <c r="BT117" i="19"/>
  <c r="BT118" i="19"/>
  <c r="BT119" i="19"/>
  <c r="BT120" i="19"/>
  <c r="BT121" i="19"/>
  <c r="BT122" i="19"/>
  <c r="BT123" i="19"/>
  <c r="BT124" i="19"/>
  <c r="BT125" i="19"/>
  <c r="BT126" i="19"/>
  <c r="BT127" i="19"/>
  <c r="BT128" i="19"/>
  <c r="BT129" i="19"/>
  <c r="BT130" i="19"/>
  <c r="BT131" i="19"/>
  <c r="BT132" i="19"/>
  <c r="BT133" i="19"/>
  <c r="BT134" i="19"/>
  <c r="BT135" i="19"/>
  <c r="BT136" i="19"/>
  <c r="BT137" i="19"/>
  <c r="BT138" i="19"/>
  <c r="BT139" i="19"/>
  <c r="BT140" i="19"/>
  <c r="BT141" i="19"/>
  <c r="BT142" i="19"/>
  <c r="BT143" i="19"/>
  <c r="BT144" i="19"/>
  <c r="BT145" i="19"/>
  <c r="BT146" i="19"/>
  <c r="BT147" i="19"/>
  <c r="BT148" i="19"/>
  <c r="BT149" i="19"/>
  <c r="BT150" i="19"/>
  <c r="BT151" i="19"/>
  <c r="BT152" i="19"/>
  <c r="BT153" i="19"/>
  <c r="BT154" i="19"/>
  <c r="BT155" i="19"/>
  <c r="BT156" i="19"/>
  <c r="BT157" i="19"/>
  <c r="BT158" i="19"/>
  <c r="BT159" i="19"/>
  <c r="BT160" i="19"/>
  <c r="BT161" i="19"/>
  <c r="BT162" i="19"/>
  <c r="BT163" i="19"/>
  <c r="BT164" i="19"/>
  <c r="BT165" i="19"/>
  <c r="BT166" i="19"/>
  <c r="BT167" i="19"/>
  <c r="BT168" i="19"/>
  <c r="BT169" i="19"/>
  <c r="BT170" i="19"/>
  <c r="BT171" i="19"/>
  <c r="BT172" i="19"/>
  <c r="BT173" i="19"/>
  <c r="BT174" i="19"/>
  <c r="BT175" i="19"/>
  <c r="BT176" i="19"/>
  <c r="BT177" i="19"/>
  <c r="BT178" i="19"/>
  <c r="BT179" i="19"/>
  <c r="BT180" i="19"/>
  <c r="BT181" i="19"/>
  <c r="BT182" i="19"/>
  <c r="BT183" i="19"/>
  <c r="BT184" i="19"/>
  <c r="BT185" i="19"/>
  <c r="BT186" i="19"/>
  <c r="BT187" i="19"/>
  <c r="BT188" i="19"/>
  <c r="BT189" i="19"/>
  <c r="BT190" i="19"/>
  <c r="BT191" i="19"/>
  <c r="BT192" i="19"/>
  <c r="BT193" i="19"/>
  <c r="BT194" i="19"/>
  <c r="BT195" i="19"/>
  <c r="BT196" i="19"/>
  <c r="BT197" i="19"/>
  <c r="BT198" i="19"/>
  <c r="BT199" i="19"/>
  <c r="BT200" i="19"/>
  <c r="BT201" i="19"/>
  <c r="BG4" i="19"/>
  <c r="BG5" i="19"/>
  <c r="BG6" i="19"/>
  <c r="BG7" i="19"/>
  <c r="BG8" i="19"/>
  <c r="BG9" i="19"/>
  <c r="BG10" i="19"/>
  <c r="BG11" i="19"/>
  <c r="BG12" i="19"/>
  <c r="BG13" i="19"/>
  <c r="BG14" i="19"/>
  <c r="BG15" i="19"/>
  <c r="BG16" i="19"/>
  <c r="BG17" i="19"/>
  <c r="BG18" i="19"/>
  <c r="BG19" i="19"/>
  <c r="BG20" i="19"/>
  <c r="BG21" i="19"/>
  <c r="BG22" i="19"/>
  <c r="BG23" i="19"/>
  <c r="BG24" i="19"/>
  <c r="BG25" i="19"/>
  <c r="BG26" i="19"/>
  <c r="BG27" i="19"/>
  <c r="BG28" i="19"/>
  <c r="BG29" i="19"/>
  <c r="BG30" i="19"/>
  <c r="BG31" i="19"/>
  <c r="BG32" i="19"/>
  <c r="BG33" i="19"/>
  <c r="BG34" i="19"/>
  <c r="BG35" i="19"/>
  <c r="BG36" i="19"/>
  <c r="BG37" i="19"/>
  <c r="BG38" i="19"/>
  <c r="BG39" i="19"/>
  <c r="BG40" i="19"/>
  <c r="BG41" i="19"/>
  <c r="BG42" i="19"/>
  <c r="BG43" i="19"/>
  <c r="BG44" i="19"/>
  <c r="BG45" i="19"/>
  <c r="BG46" i="19"/>
  <c r="BG47" i="19"/>
  <c r="BG48" i="19"/>
  <c r="BG49" i="19"/>
  <c r="BG50" i="19"/>
  <c r="BG51" i="19"/>
  <c r="BG52" i="19"/>
  <c r="BG53" i="19"/>
  <c r="BG54" i="19"/>
  <c r="BG55" i="19"/>
  <c r="BG56" i="19"/>
  <c r="BG57" i="19"/>
  <c r="BG58" i="19"/>
  <c r="BG59" i="19"/>
  <c r="BG60" i="19"/>
  <c r="BG61" i="19"/>
  <c r="BG62" i="19"/>
  <c r="BG63" i="19"/>
  <c r="BG64" i="19"/>
  <c r="BG65" i="19"/>
  <c r="BG66" i="19"/>
  <c r="BG67" i="19"/>
  <c r="BG68" i="19"/>
  <c r="BG69" i="19"/>
  <c r="BG70" i="19"/>
  <c r="BG71" i="19"/>
  <c r="BG72" i="19"/>
  <c r="BG73" i="19"/>
  <c r="BG74" i="19"/>
  <c r="BG75" i="19"/>
  <c r="BG76" i="19"/>
  <c r="BG77" i="19"/>
  <c r="BG78" i="19"/>
  <c r="BG79" i="19"/>
  <c r="BG80" i="19"/>
  <c r="BG81" i="19"/>
  <c r="BG82" i="19"/>
  <c r="BG83" i="19"/>
  <c r="BG84" i="19"/>
  <c r="BG85" i="19"/>
  <c r="BG86" i="19"/>
  <c r="BG87" i="19"/>
  <c r="BG88" i="19"/>
  <c r="BG89" i="19"/>
  <c r="BG90" i="19"/>
  <c r="BG91" i="19"/>
  <c r="BG92" i="19"/>
  <c r="BG93" i="19"/>
  <c r="BG94" i="19"/>
  <c r="BG95" i="19"/>
  <c r="BG96" i="19"/>
  <c r="BG97" i="19"/>
  <c r="BG98" i="19"/>
  <c r="BG99" i="19"/>
  <c r="BG100" i="19"/>
  <c r="BG101" i="19"/>
  <c r="BG102" i="19"/>
  <c r="BG103" i="19"/>
  <c r="BG104" i="19"/>
  <c r="BG105" i="19"/>
  <c r="BG106" i="19"/>
  <c r="BG107" i="19"/>
  <c r="BG108" i="19"/>
  <c r="BG109" i="19"/>
  <c r="BG110" i="19"/>
  <c r="BG111" i="19"/>
  <c r="BG112" i="19"/>
  <c r="BG113" i="19"/>
  <c r="BG114" i="19"/>
  <c r="BG115" i="19"/>
  <c r="BG116" i="19"/>
  <c r="BG117" i="19"/>
  <c r="BG118" i="19"/>
  <c r="BG119" i="19"/>
  <c r="BG120" i="19"/>
  <c r="BG121" i="19"/>
  <c r="BG122" i="19"/>
  <c r="BG123" i="19"/>
  <c r="BG124" i="19"/>
  <c r="BG125" i="19"/>
  <c r="BG126" i="19"/>
  <c r="BG127" i="19"/>
  <c r="BG128" i="19"/>
  <c r="BG129" i="19"/>
  <c r="BG130" i="19"/>
  <c r="BG131" i="19"/>
  <c r="BG132" i="19"/>
  <c r="BG133" i="19"/>
  <c r="BG134" i="19"/>
  <c r="BG135" i="19"/>
  <c r="BG136" i="19"/>
  <c r="BG137" i="19"/>
  <c r="BG138" i="19"/>
  <c r="BG139" i="19"/>
  <c r="BG140" i="19"/>
  <c r="BG141" i="19"/>
  <c r="BG142" i="19"/>
  <c r="BG143" i="19"/>
  <c r="BG144" i="19"/>
  <c r="BG145" i="19"/>
  <c r="BG146" i="19"/>
  <c r="BG147" i="19"/>
  <c r="BG148" i="19"/>
  <c r="BG149" i="19"/>
  <c r="BG150" i="19"/>
  <c r="BG151" i="19"/>
  <c r="BG152" i="19"/>
  <c r="BG153" i="19"/>
  <c r="BG154" i="19"/>
  <c r="BG155" i="19"/>
  <c r="BG156" i="19"/>
  <c r="BG157" i="19"/>
  <c r="BG158" i="19"/>
  <c r="BG159" i="19"/>
  <c r="BG160" i="19"/>
  <c r="BG161" i="19"/>
  <c r="BG162" i="19"/>
  <c r="BG163" i="19"/>
  <c r="BG164" i="19"/>
  <c r="BG165" i="19"/>
  <c r="BG166" i="19"/>
  <c r="BG167" i="19"/>
  <c r="BG168" i="19"/>
  <c r="BG169" i="19"/>
  <c r="BG170" i="19"/>
  <c r="BG171" i="19"/>
  <c r="BG172" i="19"/>
  <c r="BG173" i="19"/>
  <c r="BG174" i="19"/>
  <c r="BG175" i="19"/>
  <c r="BG176" i="19"/>
  <c r="BG177" i="19"/>
  <c r="BG178" i="19"/>
  <c r="BG179" i="19"/>
  <c r="BG180" i="19"/>
  <c r="BG181" i="19"/>
  <c r="BG182" i="19"/>
  <c r="BG183" i="19"/>
  <c r="BG184" i="19"/>
  <c r="BG185" i="19"/>
  <c r="BG186" i="19"/>
  <c r="BG187" i="19"/>
  <c r="BG188" i="19"/>
  <c r="BG189" i="19"/>
  <c r="BG190" i="19"/>
  <c r="BG191" i="19"/>
  <c r="BG192" i="19"/>
  <c r="BG193" i="19"/>
  <c r="BG194" i="19"/>
  <c r="BG195" i="19"/>
  <c r="BG196" i="19"/>
  <c r="BG197" i="19"/>
  <c r="BG198" i="19"/>
  <c r="BG199" i="19"/>
  <c r="BG200" i="19"/>
  <c r="BG201" i="19"/>
  <c r="AZ4" i="19"/>
  <c r="AZ5" i="19"/>
  <c r="AZ6" i="19"/>
  <c r="AZ7" i="19"/>
  <c r="AZ8" i="19"/>
  <c r="AZ9" i="19"/>
  <c r="AZ10" i="19"/>
  <c r="AZ11" i="19"/>
  <c r="AZ12" i="19"/>
  <c r="AZ13" i="19"/>
  <c r="AZ14" i="19"/>
  <c r="AZ15" i="19"/>
  <c r="AZ16" i="19"/>
  <c r="AZ17" i="19"/>
  <c r="AZ18" i="19"/>
  <c r="AZ19" i="19"/>
  <c r="AZ20" i="19"/>
  <c r="AZ21" i="19"/>
  <c r="AZ22" i="19"/>
  <c r="AZ23" i="19"/>
  <c r="AZ24" i="19"/>
  <c r="AZ25" i="19"/>
  <c r="AZ26" i="19"/>
  <c r="AZ27" i="19"/>
  <c r="AZ28" i="19"/>
  <c r="AZ29" i="19"/>
  <c r="AZ30" i="19"/>
  <c r="AZ31" i="19"/>
  <c r="AZ32" i="19"/>
  <c r="AZ33" i="19"/>
  <c r="AZ34" i="19"/>
  <c r="AZ35" i="19"/>
  <c r="AZ36" i="19"/>
  <c r="AZ37" i="19"/>
  <c r="AZ38" i="19"/>
  <c r="AZ39" i="19"/>
  <c r="AZ40" i="19"/>
  <c r="AZ41" i="19"/>
  <c r="AZ42" i="19"/>
  <c r="AZ43" i="19"/>
  <c r="AZ44" i="19"/>
  <c r="AZ45" i="19"/>
  <c r="AZ46" i="19"/>
  <c r="AZ47" i="19"/>
  <c r="AZ48" i="19"/>
  <c r="AZ49" i="19"/>
  <c r="AZ50" i="19"/>
  <c r="AZ51" i="19"/>
  <c r="AZ52" i="19"/>
  <c r="AZ53" i="19"/>
  <c r="AZ54" i="19"/>
  <c r="AZ55" i="19"/>
  <c r="AZ56" i="19"/>
  <c r="AZ57" i="19"/>
  <c r="AZ58" i="19"/>
  <c r="AZ59" i="19"/>
  <c r="AZ60" i="19"/>
  <c r="AZ61" i="19"/>
  <c r="AZ62" i="19"/>
  <c r="AZ63" i="19"/>
  <c r="AZ64" i="19"/>
  <c r="AZ65" i="19"/>
  <c r="AZ66" i="19"/>
  <c r="AZ67" i="19"/>
  <c r="AZ68" i="19"/>
  <c r="AZ69" i="19"/>
  <c r="AZ70" i="19"/>
  <c r="AZ71" i="19"/>
  <c r="AZ72" i="19"/>
  <c r="AZ73" i="19"/>
  <c r="AZ74" i="19"/>
  <c r="AZ75" i="19"/>
  <c r="AZ76" i="19"/>
  <c r="AZ77" i="19"/>
  <c r="AZ78" i="19"/>
  <c r="AZ79" i="19"/>
  <c r="AZ80" i="19"/>
  <c r="AZ81" i="19"/>
  <c r="AZ82" i="19"/>
  <c r="AZ83" i="19"/>
  <c r="AZ84" i="19"/>
  <c r="AZ85" i="19"/>
  <c r="AZ86" i="19"/>
  <c r="AZ87" i="19"/>
  <c r="AZ88" i="19"/>
  <c r="AZ89" i="19"/>
  <c r="AZ90" i="19"/>
  <c r="AZ91" i="19"/>
  <c r="AZ92" i="19"/>
  <c r="AZ93" i="19"/>
  <c r="AZ94" i="19"/>
  <c r="AZ95" i="19"/>
  <c r="AZ96" i="19"/>
  <c r="AZ97" i="19"/>
  <c r="AZ98" i="19"/>
  <c r="AZ99" i="19"/>
  <c r="AZ100" i="19"/>
  <c r="AZ101" i="19"/>
  <c r="AZ102" i="19"/>
  <c r="AZ103" i="19"/>
  <c r="AZ104" i="19"/>
  <c r="AZ105" i="19"/>
  <c r="AZ106" i="19"/>
  <c r="AZ107" i="19"/>
  <c r="AZ108" i="19"/>
  <c r="AZ109" i="19"/>
  <c r="AZ110" i="19"/>
  <c r="AZ111" i="19"/>
  <c r="AZ112" i="19"/>
  <c r="AZ113" i="19"/>
  <c r="AZ114" i="19"/>
  <c r="AZ115" i="19"/>
  <c r="AZ116" i="19"/>
  <c r="AZ117" i="19"/>
  <c r="AZ118" i="19"/>
  <c r="AZ119" i="19"/>
  <c r="AZ120" i="19"/>
  <c r="AZ121" i="19"/>
  <c r="AZ122" i="19"/>
  <c r="AZ123" i="19"/>
  <c r="AZ124" i="19"/>
  <c r="AZ125" i="19"/>
  <c r="AZ126" i="19"/>
  <c r="AZ127" i="19"/>
  <c r="AZ128" i="19"/>
  <c r="AZ129" i="19"/>
  <c r="AZ130" i="19"/>
  <c r="AZ131" i="19"/>
  <c r="AZ132" i="19"/>
  <c r="AZ133" i="19"/>
  <c r="AZ134" i="19"/>
  <c r="AZ135" i="19"/>
  <c r="AZ136" i="19"/>
  <c r="AZ137" i="19"/>
  <c r="AZ138" i="19"/>
  <c r="AZ139" i="19"/>
  <c r="AZ140" i="19"/>
  <c r="AZ141" i="19"/>
  <c r="AZ142" i="19"/>
  <c r="AZ143" i="19"/>
  <c r="AZ144" i="19"/>
  <c r="AZ145" i="19"/>
  <c r="AZ146" i="19"/>
  <c r="AZ147" i="19"/>
  <c r="AZ148" i="19"/>
  <c r="AZ149" i="19"/>
  <c r="AZ150" i="19"/>
  <c r="AZ151" i="19"/>
  <c r="AZ152" i="19"/>
  <c r="AZ153" i="19"/>
  <c r="AZ154" i="19"/>
  <c r="AZ155" i="19"/>
  <c r="AZ156" i="19"/>
  <c r="AZ157" i="19"/>
  <c r="AZ158" i="19"/>
  <c r="AZ159" i="19"/>
  <c r="AZ160" i="19"/>
  <c r="AZ161" i="19"/>
  <c r="AZ162" i="19"/>
  <c r="AZ163" i="19"/>
  <c r="AZ164" i="19"/>
  <c r="AZ165" i="19"/>
  <c r="AZ166" i="19"/>
  <c r="AZ167" i="19"/>
  <c r="AZ168" i="19"/>
  <c r="AZ169" i="19"/>
  <c r="AZ170" i="19"/>
  <c r="AZ171" i="19"/>
  <c r="AZ172" i="19"/>
  <c r="AZ173" i="19"/>
  <c r="AZ174" i="19"/>
  <c r="AZ175" i="19"/>
  <c r="AZ176" i="19"/>
  <c r="AZ177" i="19"/>
  <c r="AZ178" i="19"/>
  <c r="AZ179" i="19"/>
  <c r="AZ180" i="19"/>
  <c r="AZ181" i="19"/>
  <c r="AZ182" i="19"/>
  <c r="AZ183" i="19"/>
  <c r="AZ184" i="19"/>
  <c r="AZ185" i="19"/>
  <c r="AZ186" i="19"/>
  <c r="AZ187" i="19"/>
  <c r="AZ188" i="19"/>
  <c r="AZ189" i="19"/>
  <c r="AZ190" i="19"/>
  <c r="AZ191" i="19"/>
  <c r="AZ192" i="19"/>
  <c r="AZ193" i="19"/>
  <c r="AZ194" i="19"/>
  <c r="AZ195" i="19"/>
  <c r="AZ196" i="19"/>
  <c r="AZ197" i="19"/>
  <c r="AZ198" i="19"/>
  <c r="AZ199" i="19"/>
  <c r="AZ200" i="19"/>
  <c r="AZ201" i="19"/>
  <c r="AS4" i="19"/>
  <c r="AS5" i="19"/>
  <c r="AS6" i="19"/>
  <c r="AS7" i="19"/>
  <c r="AS8" i="19"/>
  <c r="AS9" i="19"/>
  <c r="AS10" i="19"/>
  <c r="AS11" i="19"/>
  <c r="AS12" i="19"/>
  <c r="AS13" i="19"/>
  <c r="AS14" i="19"/>
  <c r="AS15" i="19"/>
  <c r="AS16" i="19"/>
  <c r="AS17" i="19"/>
  <c r="AS18" i="19"/>
  <c r="AS19" i="19"/>
  <c r="AS20" i="19"/>
  <c r="AS21" i="19"/>
  <c r="AS22" i="19"/>
  <c r="AS23" i="19"/>
  <c r="AS24" i="19"/>
  <c r="AS25" i="19"/>
  <c r="AS26" i="19"/>
  <c r="AS27" i="19"/>
  <c r="AS28" i="19"/>
  <c r="AS29" i="19"/>
  <c r="AS30" i="19"/>
  <c r="AS31" i="19"/>
  <c r="AS32" i="19"/>
  <c r="AS33" i="19"/>
  <c r="AS34" i="19"/>
  <c r="AS35" i="19"/>
  <c r="AS36" i="19"/>
  <c r="AS37" i="19"/>
  <c r="AS38" i="19"/>
  <c r="AS39" i="19"/>
  <c r="AS40" i="19"/>
  <c r="AS41" i="19"/>
  <c r="AS42" i="19"/>
  <c r="AS43" i="19"/>
  <c r="AS44" i="19"/>
  <c r="AS45" i="19"/>
  <c r="AS46" i="19"/>
  <c r="AS47" i="19"/>
  <c r="AS48" i="19"/>
  <c r="AS49" i="19"/>
  <c r="AS50" i="19"/>
  <c r="AS51" i="19"/>
  <c r="AS52" i="19"/>
  <c r="AS53" i="19"/>
  <c r="AS54" i="19"/>
  <c r="AS55" i="19"/>
  <c r="AS56" i="19"/>
  <c r="AS57" i="19"/>
  <c r="AS58" i="19"/>
  <c r="AS59" i="19"/>
  <c r="AS60" i="19"/>
  <c r="AS61" i="19"/>
  <c r="AS62" i="19"/>
  <c r="AS63" i="19"/>
  <c r="AS64" i="19"/>
  <c r="AS65" i="19"/>
  <c r="AS66" i="19"/>
  <c r="AS67" i="19"/>
  <c r="AS68" i="19"/>
  <c r="AS69" i="19"/>
  <c r="AS70" i="19"/>
  <c r="AS71" i="19"/>
  <c r="AS72" i="19"/>
  <c r="AS73" i="19"/>
  <c r="AS74" i="19"/>
  <c r="AS75" i="19"/>
  <c r="AS76" i="19"/>
  <c r="AS77" i="19"/>
  <c r="AS78" i="19"/>
  <c r="AS79" i="19"/>
  <c r="AS80" i="19"/>
  <c r="AS81" i="19"/>
  <c r="AS82" i="19"/>
  <c r="AS83" i="19"/>
  <c r="AS84" i="19"/>
  <c r="AS85" i="19"/>
  <c r="AS86" i="19"/>
  <c r="AS87" i="19"/>
  <c r="AS88" i="19"/>
  <c r="AS89" i="19"/>
  <c r="AS90" i="19"/>
  <c r="AS91" i="19"/>
  <c r="AS92" i="19"/>
  <c r="AS93" i="19"/>
  <c r="AS94" i="19"/>
  <c r="AS95" i="19"/>
  <c r="AS96" i="19"/>
  <c r="AS97" i="19"/>
  <c r="AS98" i="19"/>
  <c r="AS99" i="19"/>
  <c r="AS100" i="19"/>
  <c r="AS101" i="19"/>
  <c r="AS102" i="19"/>
  <c r="AS103" i="19"/>
  <c r="AS104" i="19"/>
  <c r="AS105" i="19"/>
  <c r="AS106" i="19"/>
  <c r="AS107" i="19"/>
  <c r="AS108" i="19"/>
  <c r="AS109" i="19"/>
  <c r="AS110" i="19"/>
  <c r="AS111" i="19"/>
  <c r="AS112" i="19"/>
  <c r="AS113" i="19"/>
  <c r="AS114" i="19"/>
  <c r="AS115" i="19"/>
  <c r="AS116" i="19"/>
  <c r="AS117" i="19"/>
  <c r="AS118" i="19"/>
  <c r="AS119" i="19"/>
  <c r="AS120" i="19"/>
  <c r="AS121" i="19"/>
  <c r="AS122" i="19"/>
  <c r="AS123" i="19"/>
  <c r="AS124" i="19"/>
  <c r="AS125" i="19"/>
  <c r="AS126" i="19"/>
  <c r="AS127" i="19"/>
  <c r="AS128" i="19"/>
  <c r="AS129" i="19"/>
  <c r="AS130" i="19"/>
  <c r="AS131" i="19"/>
  <c r="AS132" i="19"/>
  <c r="AS133" i="19"/>
  <c r="AS134" i="19"/>
  <c r="AS135" i="19"/>
  <c r="AS136" i="19"/>
  <c r="AS137" i="19"/>
  <c r="AS138" i="19"/>
  <c r="AS139" i="19"/>
  <c r="AS140" i="19"/>
  <c r="AS141" i="19"/>
  <c r="AS142" i="19"/>
  <c r="AS143" i="19"/>
  <c r="AS144" i="19"/>
  <c r="AS145" i="19"/>
  <c r="AS146" i="19"/>
  <c r="AS147" i="19"/>
  <c r="AS148" i="19"/>
  <c r="AS149" i="19"/>
  <c r="AS150" i="19"/>
  <c r="AS151" i="19"/>
  <c r="AS152" i="19"/>
  <c r="AS153" i="19"/>
  <c r="AS154" i="19"/>
  <c r="AS155" i="19"/>
  <c r="AS156" i="19"/>
  <c r="AS157" i="19"/>
  <c r="AS158" i="19"/>
  <c r="AS159" i="19"/>
  <c r="AS160" i="19"/>
  <c r="AS161" i="19"/>
  <c r="AS162" i="19"/>
  <c r="AS163" i="19"/>
  <c r="AS164" i="19"/>
  <c r="AS165" i="19"/>
  <c r="AS166" i="19"/>
  <c r="AS167" i="19"/>
  <c r="AS168" i="19"/>
  <c r="AS169" i="19"/>
  <c r="AS170" i="19"/>
  <c r="AS171" i="19"/>
  <c r="AS172" i="19"/>
  <c r="AS173" i="19"/>
  <c r="AS174" i="19"/>
  <c r="AS175" i="19"/>
  <c r="AS176" i="19"/>
  <c r="AS177" i="19"/>
  <c r="AS178" i="19"/>
  <c r="AS179" i="19"/>
  <c r="AS180" i="19"/>
  <c r="AS181" i="19"/>
  <c r="AS182" i="19"/>
  <c r="AS183" i="19"/>
  <c r="AS184" i="19"/>
  <c r="AS185" i="19"/>
  <c r="AS186" i="19"/>
  <c r="AS187" i="19"/>
  <c r="AS188" i="19"/>
  <c r="AS189" i="19"/>
  <c r="AS190" i="19"/>
  <c r="AS191" i="19"/>
  <c r="AS192" i="19"/>
  <c r="AS193" i="19"/>
  <c r="AS194" i="19"/>
  <c r="AS195" i="19"/>
  <c r="AS196" i="19"/>
  <c r="AS197" i="19"/>
  <c r="AS198" i="19"/>
  <c r="AS199" i="19"/>
  <c r="AS200" i="19"/>
  <c r="AS201" i="19"/>
  <c r="AF4" i="19"/>
  <c r="AF5" i="19"/>
  <c r="AF6" i="19"/>
  <c r="AF7" i="19"/>
  <c r="AF8" i="19"/>
  <c r="AF9" i="19"/>
  <c r="AF10" i="19"/>
  <c r="AF11" i="19"/>
  <c r="AF12" i="19"/>
  <c r="AF13" i="19"/>
  <c r="AF14" i="19"/>
  <c r="AF15" i="19"/>
  <c r="AF16" i="19"/>
  <c r="AF17" i="19"/>
  <c r="AF18" i="19"/>
  <c r="AF19" i="19"/>
  <c r="AF20" i="19"/>
  <c r="AF21" i="19"/>
  <c r="AF22" i="19"/>
  <c r="AF23" i="19"/>
  <c r="AF24" i="19"/>
  <c r="AF25" i="19"/>
  <c r="AF26" i="19"/>
  <c r="AF27" i="19"/>
  <c r="AF28" i="19"/>
  <c r="AF29" i="19"/>
  <c r="AF30" i="19"/>
  <c r="AF31" i="19"/>
  <c r="AF32" i="19"/>
  <c r="AF33" i="19"/>
  <c r="AF34" i="19"/>
  <c r="AF35" i="19"/>
  <c r="AF36" i="19"/>
  <c r="AF37" i="19"/>
  <c r="AF38" i="19"/>
  <c r="AF39" i="19"/>
  <c r="AF40" i="19"/>
  <c r="AF41" i="19"/>
  <c r="AF42" i="19"/>
  <c r="AF43" i="19"/>
  <c r="AF44" i="19"/>
  <c r="AF45" i="19"/>
  <c r="AF46" i="19"/>
  <c r="AF47" i="19"/>
  <c r="AF48" i="19"/>
  <c r="AF49" i="19"/>
  <c r="AF50" i="19"/>
  <c r="AF51" i="19"/>
  <c r="AF52" i="19"/>
  <c r="AF53" i="19"/>
  <c r="AF54" i="19"/>
  <c r="AF55" i="19"/>
  <c r="AF56" i="19"/>
  <c r="AF57" i="19"/>
  <c r="AF58" i="19"/>
  <c r="AF59" i="19"/>
  <c r="AF60" i="19"/>
  <c r="AF61" i="19"/>
  <c r="AF62" i="19"/>
  <c r="AF63" i="19"/>
  <c r="AF64" i="19"/>
  <c r="AF65" i="19"/>
  <c r="AF66" i="19"/>
  <c r="AF67" i="19"/>
  <c r="AF68" i="19"/>
  <c r="AF69" i="19"/>
  <c r="AF70" i="19"/>
  <c r="AF71" i="19"/>
  <c r="AF72" i="19"/>
  <c r="AF73" i="19"/>
  <c r="AF74" i="19"/>
  <c r="AF75" i="19"/>
  <c r="AF76" i="19"/>
  <c r="AF77" i="19"/>
  <c r="AF78" i="19"/>
  <c r="AF79" i="19"/>
  <c r="AF80" i="19"/>
  <c r="AF81" i="19"/>
  <c r="AF82" i="19"/>
  <c r="AF83" i="19"/>
  <c r="AF84" i="19"/>
  <c r="AF85" i="19"/>
  <c r="AF86" i="19"/>
  <c r="AF87" i="19"/>
  <c r="AF88" i="19"/>
  <c r="AF89" i="19"/>
  <c r="AF90" i="19"/>
  <c r="AF91" i="19"/>
  <c r="AF92" i="19"/>
  <c r="AF93" i="19"/>
  <c r="AF94" i="19"/>
  <c r="AF95" i="19"/>
  <c r="AF96" i="19"/>
  <c r="AF97" i="19"/>
  <c r="AF98" i="19"/>
  <c r="AF99" i="19"/>
  <c r="AF100" i="19"/>
  <c r="AF101" i="19"/>
  <c r="AF102" i="19"/>
  <c r="AF103" i="19"/>
  <c r="AF104" i="19"/>
  <c r="AF105" i="19"/>
  <c r="AF106" i="19"/>
  <c r="AF107" i="19"/>
  <c r="AF108" i="19"/>
  <c r="AF109" i="19"/>
  <c r="AF110" i="19"/>
  <c r="AF111" i="19"/>
  <c r="AF112" i="19"/>
  <c r="AF113" i="19"/>
  <c r="AF114" i="19"/>
  <c r="AF115" i="19"/>
  <c r="AF116" i="19"/>
  <c r="AF117" i="19"/>
  <c r="AF118" i="19"/>
  <c r="AF119" i="19"/>
  <c r="AF120" i="19"/>
  <c r="AF121" i="19"/>
  <c r="AF122" i="19"/>
  <c r="AF123" i="19"/>
  <c r="AF124" i="19"/>
  <c r="AF125" i="19"/>
  <c r="AF126" i="19"/>
  <c r="AF127" i="19"/>
  <c r="AF128" i="19"/>
  <c r="AF129" i="19"/>
  <c r="AF130" i="19"/>
  <c r="AF131" i="19"/>
  <c r="AF132" i="19"/>
  <c r="AF133" i="19"/>
  <c r="AF134" i="19"/>
  <c r="AF135" i="19"/>
  <c r="AF136" i="19"/>
  <c r="AF137" i="19"/>
  <c r="AF138" i="19"/>
  <c r="AF139" i="19"/>
  <c r="AF140" i="19"/>
  <c r="AF141" i="19"/>
  <c r="AF142" i="19"/>
  <c r="AF143" i="19"/>
  <c r="AF144" i="19"/>
  <c r="AF145" i="19"/>
  <c r="AF146" i="19"/>
  <c r="AF147" i="19"/>
  <c r="AF148" i="19"/>
  <c r="AF149" i="19"/>
  <c r="AF150" i="19"/>
  <c r="AF151" i="19"/>
  <c r="AF152" i="19"/>
  <c r="AF153" i="19"/>
  <c r="AF154" i="19"/>
  <c r="AF155" i="19"/>
  <c r="AF156" i="19"/>
  <c r="AF157" i="19"/>
  <c r="AF158" i="19"/>
  <c r="AF159" i="19"/>
  <c r="AF160" i="19"/>
  <c r="AF161" i="19"/>
  <c r="AF162" i="19"/>
  <c r="AF163" i="19"/>
  <c r="AF164" i="19"/>
  <c r="AF165" i="19"/>
  <c r="AF166" i="19"/>
  <c r="AF167" i="19"/>
  <c r="AF168" i="19"/>
  <c r="AF169" i="19"/>
  <c r="AF170" i="19"/>
  <c r="AF171" i="19"/>
  <c r="AF172" i="19"/>
  <c r="AF173" i="19"/>
  <c r="AF174" i="19"/>
  <c r="AF175" i="19"/>
  <c r="AF176" i="19"/>
  <c r="AF177" i="19"/>
  <c r="AF178" i="19"/>
  <c r="AF179" i="19"/>
  <c r="AF180" i="19"/>
  <c r="AF181" i="19"/>
  <c r="AF182" i="19"/>
  <c r="AF183" i="19"/>
  <c r="AF184" i="19"/>
  <c r="AF185" i="19"/>
  <c r="AF186" i="19"/>
  <c r="AF187" i="19"/>
  <c r="AF188" i="19"/>
  <c r="AF189" i="19"/>
  <c r="AF190" i="19"/>
  <c r="AF191" i="19"/>
  <c r="AF192" i="19"/>
  <c r="AF193" i="19"/>
  <c r="AF194" i="19"/>
  <c r="AF195" i="19"/>
  <c r="AF196" i="19"/>
  <c r="AF197" i="19"/>
  <c r="AF198" i="19"/>
  <c r="AF199" i="19"/>
  <c r="AF200" i="19"/>
  <c r="AF201" i="19"/>
  <c r="Y4" i="19"/>
  <c r="Y5" i="19"/>
  <c r="Y6" i="19"/>
  <c r="Y7" i="19"/>
  <c r="Y8" i="19"/>
  <c r="Y9" i="19"/>
  <c r="Y10" i="19"/>
  <c r="Y11" i="19"/>
  <c r="Y12" i="19"/>
  <c r="Y13" i="19"/>
  <c r="Y14" i="19"/>
  <c r="Y15" i="19"/>
  <c r="Y16" i="19"/>
  <c r="Y17" i="19"/>
  <c r="Y18" i="19"/>
  <c r="Y19" i="19"/>
  <c r="Y20" i="19"/>
  <c r="Y21" i="19"/>
  <c r="Y22" i="19"/>
  <c r="Y23" i="19"/>
  <c r="Y24" i="19"/>
  <c r="Y25" i="19"/>
  <c r="Y26" i="19"/>
  <c r="Y27" i="19"/>
  <c r="Y28" i="19"/>
  <c r="Y29" i="19"/>
  <c r="Y30" i="19"/>
  <c r="Y31" i="19"/>
  <c r="Y32" i="19"/>
  <c r="Y33" i="19"/>
  <c r="Y34" i="19"/>
  <c r="Y35" i="19"/>
  <c r="Y36" i="19"/>
  <c r="Y37" i="19"/>
  <c r="Y38" i="19"/>
  <c r="Y39" i="19"/>
  <c r="Y40" i="19"/>
  <c r="Y41" i="19"/>
  <c r="Y42" i="19"/>
  <c r="Y43" i="19"/>
  <c r="Y44" i="19"/>
  <c r="Y45" i="19"/>
  <c r="Y46" i="19"/>
  <c r="Y47" i="19"/>
  <c r="Y48" i="19"/>
  <c r="Y49" i="19"/>
  <c r="Y50" i="19"/>
  <c r="Y51" i="19"/>
  <c r="Y52" i="19"/>
  <c r="Y53" i="19"/>
  <c r="Y54" i="19"/>
  <c r="Y55" i="19"/>
  <c r="Y56" i="19"/>
  <c r="Y57" i="19"/>
  <c r="Y58" i="19"/>
  <c r="Y59" i="19"/>
  <c r="Y60" i="19"/>
  <c r="Y61" i="19"/>
  <c r="Y62" i="19"/>
  <c r="Y63" i="19"/>
  <c r="Y64" i="19"/>
  <c r="Y65" i="19"/>
  <c r="Y66" i="19"/>
  <c r="Y67" i="19"/>
  <c r="Y68" i="19"/>
  <c r="Y69" i="19"/>
  <c r="Y70" i="19"/>
  <c r="Y71" i="19"/>
  <c r="Y72" i="19"/>
  <c r="Y73" i="19"/>
  <c r="Y74" i="19"/>
  <c r="Y75" i="19"/>
  <c r="Y76" i="19"/>
  <c r="Y77" i="19"/>
  <c r="Y78" i="19"/>
  <c r="Y79" i="19"/>
  <c r="Y80" i="19"/>
  <c r="Y81" i="19"/>
  <c r="Y82" i="19"/>
  <c r="Y83" i="19"/>
  <c r="Y84" i="19"/>
  <c r="Y85" i="19"/>
  <c r="Y86" i="19"/>
  <c r="Y87" i="19"/>
  <c r="Y88" i="19"/>
  <c r="Y89" i="19"/>
  <c r="Y90" i="19"/>
  <c r="Y91" i="19"/>
  <c r="Y92" i="19"/>
  <c r="Y93" i="19"/>
  <c r="Y94" i="19"/>
  <c r="Y95" i="19"/>
  <c r="Y96" i="19"/>
  <c r="Y97" i="19"/>
  <c r="Y98" i="19"/>
  <c r="Y99" i="19"/>
  <c r="Y100" i="19"/>
  <c r="Y101" i="19"/>
  <c r="Y102" i="19"/>
  <c r="Y103" i="19"/>
  <c r="Y104" i="19"/>
  <c r="Y105" i="19"/>
  <c r="Y106" i="19"/>
  <c r="Y107" i="19"/>
  <c r="Y108" i="19"/>
  <c r="Y109" i="19"/>
  <c r="Y110" i="19"/>
  <c r="Y111" i="19"/>
  <c r="Y112" i="19"/>
  <c r="Y113" i="19"/>
  <c r="Y114" i="19"/>
  <c r="Y115" i="19"/>
  <c r="Y116" i="19"/>
  <c r="Y117" i="19"/>
  <c r="Y118" i="19"/>
  <c r="Y119" i="19"/>
  <c r="Y120" i="19"/>
  <c r="Y121" i="19"/>
  <c r="Y122" i="19"/>
  <c r="Y123" i="19"/>
  <c r="Y124" i="19"/>
  <c r="Y125" i="19"/>
  <c r="Y126" i="19"/>
  <c r="Y127" i="19"/>
  <c r="Y128" i="19"/>
  <c r="Y129" i="19"/>
  <c r="Y130" i="19"/>
  <c r="Y131" i="19"/>
  <c r="Y132" i="19"/>
  <c r="Y133" i="19"/>
  <c r="Y134" i="19"/>
  <c r="Y135" i="19"/>
  <c r="Y136" i="19"/>
  <c r="Y137" i="19"/>
  <c r="Y138" i="19"/>
  <c r="Y139" i="19"/>
  <c r="Y140" i="19"/>
  <c r="Y141" i="19"/>
  <c r="Y142" i="19"/>
  <c r="Y143" i="19"/>
  <c r="Y144" i="19"/>
  <c r="Y145" i="19"/>
  <c r="Y146" i="19"/>
  <c r="Y147" i="19"/>
  <c r="Y148" i="19"/>
  <c r="Y149" i="19"/>
  <c r="Y150" i="19"/>
  <c r="Y151" i="19"/>
  <c r="Y152" i="19"/>
  <c r="Y153" i="19"/>
  <c r="Y154" i="19"/>
  <c r="Y155" i="19"/>
  <c r="Y156" i="19"/>
  <c r="Y157" i="19"/>
  <c r="Y158" i="19"/>
  <c r="Y159" i="19"/>
  <c r="Y160" i="19"/>
  <c r="Y161" i="19"/>
  <c r="Y162" i="19"/>
  <c r="Y163" i="19"/>
  <c r="Y164" i="19"/>
  <c r="Y165" i="19"/>
  <c r="Y166" i="19"/>
  <c r="Y167" i="19"/>
  <c r="Y168" i="19"/>
  <c r="Y169" i="19"/>
  <c r="Y170" i="19"/>
  <c r="Y171" i="19"/>
  <c r="Y172" i="19"/>
  <c r="Y173" i="19"/>
  <c r="Y174" i="19"/>
  <c r="Y175" i="19"/>
  <c r="Y176" i="19"/>
  <c r="Y177" i="19"/>
  <c r="Y178" i="19"/>
  <c r="Y179" i="19"/>
  <c r="Y180" i="19"/>
  <c r="Y181" i="19"/>
  <c r="Y182" i="19"/>
  <c r="Y183" i="19"/>
  <c r="Y184" i="19"/>
  <c r="Y185" i="19"/>
  <c r="Y186" i="19"/>
  <c r="Y187" i="19"/>
  <c r="Y188" i="19"/>
  <c r="Y189" i="19"/>
  <c r="Y190" i="19"/>
  <c r="Y191" i="19"/>
  <c r="Y192" i="19"/>
  <c r="Y193" i="19"/>
  <c r="Y194" i="19"/>
  <c r="Y195" i="19"/>
  <c r="Y196" i="19"/>
  <c r="Y197" i="19"/>
  <c r="Y198" i="19"/>
  <c r="Y199" i="19"/>
  <c r="Y200" i="19"/>
  <c r="Y201" i="19"/>
  <c r="R4" i="19"/>
  <c r="R5" i="19"/>
  <c r="R6" i="19"/>
  <c r="R7" i="19"/>
  <c r="R8" i="19"/>
  <c r="R9" i="19"/>
  <c r="R10" i="19"/>
  <c r="R11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5" i="19"/>
  <c r="R36" i="19"/>
  <c r="R37" i="19"/>
  <c r="R38" i="19"/>
  <c r="R39" i="19"/>
  <c r="R40" i="19"/>
  <c r="R41" i="19"/>
  <c r="R42" i="19"/>
  <c r="R43" i="19"/>
  <c r="R44" i="19"/>
  <c r="R45" i="19"/>
  <c r="R46" i="19"/>
  <c r="R47" i="19"/>
  <c r="R48" i="19"/>
  <c r="R49" i="19"/>
  <c r="R50" i="19"/>
  <c r="R51" i="19"/>
  <c r="R52" i="19"/>
  <c r="R53" i="19"/>
  <c r="R54" i="19"/>
  <c r="R55" i="19"/>
  <c r="R56" i="19"/>
  <c r="R57" i="19"/>
  <c r="R58" i="19"/>
  <c r="R59" i="19"/>
  <c r="R60" i="19"/>
  <c r="R61" i="19"/>
  <c r="R62" i="19"/>
  <c r="R63" i="19"/>
  <c r="R64" i="19"/>
  <c r="R65" i="19"/>
  <c r="R66" i="19"/>
  <c r="R67" i="19"/>
  <c r="R68" i="19"/>
  <c r="R69" i="19"/>
  <c r="R70" i="19"/>
  <c r="R71" i="19"/>
  <c r="R72" i="19"/>
  <c r="R73" i="19"/>
  <c r="R74" i="19"/>
  <c r="R75" i="19"/>
  <c r="R76" i="19"/>
  <c r="R77" i="19"/>
  <c r="R78" i="19"/>
  <c r="R79" i="19"/>
  <c r="R80" i="19"/>
  <c r="R81" i="19"/>
  <c r="R82" i="19"/>
  <c r="R83" i="19"/>
  <c r="R84" i="19"/>
  <c r="R85" i="19"/>
  <c r="R86" i="19"/>
  <c r="R87" i="19"/>
  <c r="R88" i="19"/>
  <c r="R89" i="19"/>
  <c r="R90" i="19"/>
  <c r="R91" i="19"/>
  <c r="R92" i="19"/>
  <c r="R93" i="19"/>
  <c r="R94" i="19"/>
  <c r="R95" i="19"/>
  <c r="R96" i="19"/>
  <c r="R97" i="19"/>
  <c r="R98" i="19"/>
  <c r="R99" i="19"/>
  <c r="R100" i="19"/>
  <c r="R101" i="19"/>
  <c r="R102" i="19"/>
  <c r="R103" i="19"/>
  <c r="R104" i="19"/>
  <c r="R105" i="19"/>
  <c r="R106" i="19"/>
  <c r="R107" i="19"/>
  <c r="R108" i="19"/>
  <c r="R109" i="19"/>
  <c r="R110" i="19"/>
  <c r="R111" i="19"/>
  <c r="R112" i="19"/>
  <c r="R113" i="19"/>
  <c r="R114" i="19"/>
  <c r="R115" i="19"/>
  <c r="R116" i="19"/>
  <c r="R117" i="19"/>
  <c r="R118" i="19"/>
  <c r="R119" i="19"/>
  <c r="R120" i="19"/>
  <c r="R121" i="19"/>
  <c r="R122" i="19"/>
  <c r="R123" i="19"/>
  <c r="R124" i="19"/>
  <c r="R125" i="19"/>
  <c r="R126" i="19"/>
  <c r="R127" i="19"/>
  <c r="R128" i="19"/>
  <c r="R129" i="19"/>
  <c r="R130" i="19"/>
  <c r="R131" i="19"/>
  <c r="R132" i="19"/>
  <c r="R133" i="19"/>
  <c r="R134" i="19"/>
  <c r="R135" i="19"/>
  <c r="R136" i="19"/>
  <c r="R137" i="19"/>
  <c r="R138" i="19"/>
  <c r="R139" i="19"/>
  <c r="R140" i="19"/>
  <c r="R141" i="19"/>
  <c r="R142" i="19"/>
  <c r="R143" i="19"/>
  <c r="R144" i="19"/>
  <c r="R145" i="19"/>
  <c r="R146" i="19"/>
  <c r="R147" i="19"/>
  <c r="R148" i="19"/>
  <c r="R149" i="19"/>
  <c r="R150" i="19"/>
  <c r="R151" i="19"/>
  <c r="R152" i="19"/>
  <c r="R153" i="19"/>
  <c r="R154" i="19"/>
  <c r="R155" i="19"/>
  <c r="R156" i="19"/>
  <c r="R157" i="19"/>
  <c r="R158" i="19"/>
  <c r="R159" i="19"/>
  <c r="R160" i="19"/>
  <c r="R161" i="19"/>
  <c r="R162" i="19"/>
  <c r="R163" i="19"/>
  <c r="R164" i="19"/>
  <c r="R165" i="19"/>
  <c r="R166" i="19"/>
  <c r="R167" i="19"/>
  <c r="R168" i="19"/>
  <c r="R169" i="19"/>
  <c r="R170" i="19"/>
  <c r="R171" i="19"/>
  <c r="R172" i="19"/>
  <c r="R173" i="19"/>
  <c r="R174" i="19"/>
  <c r="R175" i="19"/>
  <c r="R176" i="19"/>
  <c r="R177" i="19"/>
  <c r="R178" i="19"/>
  <c r="R179" i="19"/>
  <c r="R180" i="19"/>
  <c r="R181" i="19"/>
  <c r="R182" i="19"/>
  <c r="R183" i="19"/>
  <c r="R184" i="19"/>
  <c r="R185" i="19"/>
  <c r="R186" i="19"/>
  <c r="R187" i="19"/>
  <c r="R188" i="19"/>
  <c r="R189" i="19"/>
  <c r="R190" i="19"/>
  <c r="R191" i="19"/>
  <c r="R192" i="19"/>
  <c r="R193" i="19"/>
  <c r="R194" i="19"/>
  <c r="R195" i="19"/>
  <c r="R196" i="19"/>
  <c r="R197" i="19"/>
  <c r="R198" i="19"/>
  <c r="R199" i="19"/>
  <c r="R200" i="19"/>
  <c r="R201" i="19"/>
  <c r="CH4" i="18"/>
  <c r="CH5" i="18"/>
  <c r="CH6" i="18"/>
  <c r="CH7" i="18"/>
  <c r="CH8" i="18"/>
  <c r="CH9" i="18"/>
  <c r="CH10" i="18"/>
  <c r="CH11" i="18"/>
  <c r="CH12" i="18"/>
  <c r="CH13" i="18"/>
  <c r="CH14" i="18"/>
  <c r="CH15" i="18"/>
  <c r="CH16" i="18"/>
  <c r="CH17" i="18"/>
  <c r="CH18" i="18"/>
  <c r="CH19" i="18"/>
  <c r="CH20" i="18"/>
  <c r="CH21" i="18"/>
  <c r="CH22" i="18"/>
  <c r="CH23" i="18"/>
  <c r="CH24" i="18"/>
  <c r="CH25" i="18"/>
  <c r="CH26" i="18"/>
  <c r="CH27" i="18"/>
  <c r="CH28" i="18"/>
  <c r="CH29" i="18"/>
  <c r="CH30" i="18"/>
  <c r="CH31" i="18"/>
  <c r="CH32" i="18"/>
  <c r="CH33" i="18"/>
  <c r="CH34" i="18"/>
  <c r="CH35" i="18"/>
  <c r="CH36" i="18"/>
  <c r="CH37" i="18"/>
  <c r="CH38" i="18"/>
  <c r="CH39" i="18"/>
  <c r="CH40" i="18"/>
  <c r="CH41" i="18"/>
  <c r="CH42" i="18"/>
  <c r="CH43" i="18"/>
  <c r="CH44" i="18"/>
  <c r="CH45" i="18"/>
  <c r="CH46" i="18"/>
  <c r="CH47" i="18"/>
  <c r="CH48" i="18"/>
  <c r="CH49" i="18"/>
  <c r="CH50" i="18"/>
  <c r="CH51" i="18"/>
  <c r="CH52" i="18"/>
  <c r="CH53" i="18"/>
  <c r="CH54" i="18"/>
  <c r="CH55" i="18"/>
  <c r="CH56" i="18"/>
  <c r="CH57" i="18"/>
  <c r="CH58" i="18"/>
  <c r="CH59" i="18"/>
  <c r="CH60" i="18"/>
  <c r="CH61" i="18"/>
  <c r="CH62" i="18"/>
  <c r="CH63" i="18"/>
  <c r="CH64" i="18"/>
  <c r="CH65" i="18"/>
  <c r="CH66" i="18"/>
  <c r="CH67" i="18"/>
  <c r="CH68" i="18"/>
  <c r="CH69" i="18"/>
  <c r="CH70" i="18"/>
  <c r="CH71" i="18"/>
  <c r="CH72" i="18"/>
  <c r="CH73" i="18"/>
  <c r="CH74" i="18"/>
  <c r="CH75" i="18"/>
  <c r="CH76" i="18"/>
  <c r="CH77" i="18"/>
  <c r="CH78" i="18"/>
  <c r="CH79" i="18"/>
  <c r="CH80" i="18"/>
  <c r="CH81" i="18"/>
  <c r="CH82" i="18"/>
  <c r="CH83" i="18"/>
  <c r="CH84" i="18"/>
  <c r="CH85" i="18"/>
  <c r="CH86" i="18"/>
  <c r="CH87" i="18"/>
  <c r="CH88" i="18"/>
  <c r="CH89" i="18"/>
  <c r="CH90" i="18"/>
  <c r="CH91" i="18"/>
  <c r="CH92" i="18"/>
  <c r="CH93" i="18"/>
  <c r="CH94" i="18"/>
  <c r="CH95" i="18"/>
  <c r="CH96" i="18"/>
  <c r="CH97" i="18"/>
  <c r="CH98" i="18"/>
  <c r="CH99" i="18"/>
  <c r="CH100" i="18"/>
  <c r="CH101" i="18"/>
  <c r="CH102" i="18"/>
  <c r="CH103" i="18"/>
  <c r="CH104" i="18"/>
  <c r="CH105" i="18"/>
  <c r="CH106" i="18"/>
  <c r="CH107" i="18"/>
  <c r="CH108" i="18"/>
  <c r="CH109" i="18"/>
  <c r="CH110" i="18"/>
  <c r="CH111" i="18"/>
  <c r="CH112" i="18"/>
  <c r="CH113" i="18"/>
  <c r="CH114" i="18"/>
  <c r="CH115" i="18"/>
  <c r="CH116" i="18"/>
  <c r="CH117" i="18"/>
  <c r="CH118" i="18"/>
  <c r="CH119" i="18"/>
  <c r="CH120" i="18"/>
  <c r="CH121" i="18"/>
  <c r="CH122" i="18"/>
  <c r="CH123" i="18"/>
  <c r="CH124" i="18"/>
  <c r="CH125" i="18"/>
  <c r="CH126" i="18"/>
  <c r="CH127" i="18"/>
  <c r="CH128" i="18"/>
  <c r="CH129" i="18"/>
  <c r="CH130" i="18"/>
  <c r="CH131" i="18"/>
  <c r="CH132" i="18"/>
  <c r="CH133" i="18"/>
  <c r="CH134" i="18"/>
  <c r="CH135" i="18"/>
  <c r="CH136" i="18"/>
  <c r="CH137" i="18"/>
  <c r="CH138" i="18"/>
  <c r="CH139" i="18"/>
  <c r="CH140" i="18"/>
  <c r="CH141" i="18"/>
  <c r="CH142" i="18"/>
  <c r="CH143" i="18"/>
  <c r="CH144" i="18"/>
  <c r="CH145" i="18"/>
  <c r="CH146" i="18"/>
  <c r="CH147" i="18"/>
  <c r="CH148" i="18"/>
  <c r="CH149" i="18"/>
  <c r="CH150" i="18"/>
  <c r="CH151" i="18"/>
  <c r="CH152" i="18"/>
  <c r="CH153" i="18"/>
  <c r="CH154" i="18"/>
  <c r="CH155" i="18"/>
  <c r="CH156" i="18"/>
  <c r="CH157" i="18"/>
  <c r="CH158" i="18"/>
  <c r="CH159" i="18"/>
  <c r="CH160" i="18"/>
  <c r="CH161" i="18"/>
  <c r="CH162" i="18"/>
  <c r="CH163" i="18"/>
  <c r="CH164" i="18"/>
  <c r="CH165" i="18"/>
  <c r="CH166" i="18"/>
  <c r="CH167" i="18"/>
  <c r="CH168" i="18"/>
  <c r="CH169" i="18"/>
  <c r="CH170" i="18"/>
  <c r="CH171" i="18"/>
  <c r="CH172" i="18"/>
  <c r="CH173" i="18"/>
  <c r="CH174" i="18"/>
  <c r="CH175" i="18"/>
  <c r="CH176" i="18"/>
  <c r="CH177" i="18"/>
  <c r="CH178" i="18"/>
  <c r="CH179" i="18"/>
  <c r="CH180" i="18"/>
  <c r="CH181" i="18"/>
  <c r="CH182" i="18"/>
  <c r="CH183" i="18"/>
  <c r="CH184" i="18"/>
  <c r="CH185" i="18"/>
  <c r="CH186" i="18"/>
  <c r="CH187" i="18"/>
  <c r="CH188" i="18"/>
  <c r="CH189" i="18"/>
  <c r="CH190" i="18"/>
  <c r="CH191" i="18"/>
  <c r="CH192" i="18"/>
  <c r="CH193" i="18"/>
  <c r="CH194" i="18"/>
  <c r="CH195" i="18"/>
  <c r="CH196" i="18"/>
  <c r="CH197" i="18"/>
  <c r="CH198" i="18"/>
  <c r="CH199" i="18"/>
  <c r="CH200" i="18"/>
  <c r="CH201" i="18"/>
  <c r="CA4" i="18"/>
  <c r="CA5" i="18"/>
  <c r="CA6" i="18"/>
  <c r="CA7" i="18"/>
  <c r="CA8" i="18"/>
  <c r="CA9" i="18"/>
  <c r="CA10" i="18"/>
  <c r="CA11" i="18"/>
  <c r="CA12" i="18"/>
  <c r="CA13" i="18"/>
  <c r="CA14" i="18"/>
  <c r="CA15" i="18"/>
  <c r="CA16" i="18"/>
  <c r="CA17" i="18"/>
  <c r="CA18" i="18"/>
  <c r="CA19" i="18"/>
  <c r="CA20" i="18"/>
  <c r="CA21" i="18"/>
  <c r="CA22" i="18"/>
  <c r="CA23" i="18"/>
  <c r="CA24" i="18"/>
  <c r="CA25" i="18"/>
  <c r="CA26" i="18"/>
  <c r="CA27" i="18"/>
  <c r="CA28" i="18"/>
  <c r="CA29" i="18"/>
  <c r="CA30" i="18"/>
  <c r="CA31" i="18"/>
  <c r="CA32" i="18"/>
  <c r="CA33" i="18"/>
  <c r="CA34" i="18"/>
  <c r="CA35" i="18"/>
  <c r="CA36" i="18"/>
  <c r="CA37" i="18"/>
  <c r="CA38" i="18"/>
  <c r="CA39" i="18"/>
  <c r="CA40" i="18"/>
  <c r="CA41" i="18"/>
  <c r="CA42" i="18"/>
  <c r="CA43" i="18"/>
  <c r="CA44" i="18"/>
  <c r="CA45" i="18"/>
  <c r="CA46" i="18"/>
  <c r="CA47" i="18"/>
  <c r="CA48" i="18"/>
  <c r="CA49" i="18"/>
  <c r="CA50" i="18"/>
  <c r="CA51" i="18"/>
  <c r="CA52" i="18"/>
  <c r="CA53" i="18"/>
  <c r="CA54" i="18"/>
  <c r="CA55" i="18"/>
  <c r="CA56" i="18"/>
  <c r="CA57" i="18"/>
  <c r="CA58" i="18"/>
  <c r="CA59" i="18"/>
  <c r="CA60" i="18"/>
  <c r="CA61" i="18"/>
  <c r="CA62" i="18"/>
  <c r="CA63" i="18"/>
  <c r="CA64" i="18"/>
  <c r="CA65" i="18"/>
  <c r="CA66" i="18"/>
  <c r="CA67" i="18"/>
  <c r="CA68" i="18"/>
  <c r="CA69" i="18"/>
  <c r="CA70" i="18"/>
  <c r="CA71" i="18"/>
  <c r="CA72" i="18"/>
  <c r="CA73" i="18"/>
  <c r="CA74" i="18"/>
  <c r="CA75" i="18"/>
  <c r="CA76" i="18"/>
  <c r="CA77" i="18"/>
  <c r="CA78" i="18"/>
  <c r="CA79" i="18"/>
  <c r="CA80" i="18"/>
  <c r="CA81" i="18"/>
  <c r="CA82" i="18"/>
  <c r="CA83" i="18"/>
  <c r="CA84" i="18"/>
  <c r="CA85" i="18"/>
  <c r="CA86" i="18"/>
  <c r="CA87" i="18"/>
  <c r="CA88" i="18"/>
  <c r="CA89" i="18"/>
  <c r="CA90" i="18"/>
  <c r="CA91" i="18"/>
  <c r="CA92" i="18"/>
  <c r="CA93" i="18"/>
  <c r="CA94" i="18"/>
  <c r="CA95" i="18"/>
  <c r="CA96" i="18"/>
  <c r="CA97" i="18"/>
  <c r="CA98" i="18"/>
  <c r="CA99" i="18"/>
  <c r="CA100" i="18"/>
  <c r="CA101" i="18"/>
  <c r="CA102" i="18"/>
  <c r="CA103" i="18"/>
  <c r="CA104" i="18"/>
  <c r="CA105" i="18"/>
  <c r="CA106" i="18"/>
  <c r="CA107" i="18"/>
  <c r="CA108" i="18"/>
  <c r="CA109" i="18"/>
  <c r="CA110" i="18"/>
  <c r="CA111" i="18"/>
  <c r="CA112" i="18"/>
  <c r="CA113" i="18"/>
  <c r="CA114" i="18"/>
  <c r="CA115" i="18"/>
  <c r="CA116" i="18"/>
  <c r="CA117" i="18"/>
  <c r="CA118" i="18"/>
  <c r="CA119" i="18"/>
  <c r="CA120" i="18"/>
  <c r="CA121" i="18"/>
  <c r="CA122" i="18"/>
  <c r="CA123" i="18"/>
  <c r="CA124" i="18"/>
  <c r="CA125" i="18"/>
  <c r="CA126" i="18"/>
  <c r="CA127" i="18"/>
  <c r="CA128" i="18"/>
  <c r="CA129" i="18"/>
  <c r="CA130" i="18"/>
  <c r="CA131" i="18"/>
  <c r="CA132" i="18"/>
  <c r="CA133" i="18"/>
  <c r="CA134" i="18"/>
  <c r="CA135" i="18"/>
  <c r="CA136" i="18"/>
  <c r="CA137" i="18"/>
  <c r="CA138" i="18"/>
  <c r="CA139" i="18"/>
  <c r="CA140" i="18"/>
  <c r="CA141" i="18"/>
  <c r="CA142" i="18"/>
  <c r="CA143" i="18"/>
  <c r="CA144" i="18"/>
  <c r="CA145" i="18"/>
  <c r="CA146" i="18"/>
  <c r="CA147" i="18"/>
  <c r="CA148" i="18"/>
  <c r="CA149" i="18"/>
  <c r="CA150" i="18"/>
  <c r="CA151" i="18"/>
  <c r="CA152" i="18"/>
  <c r="CA153" i="18"/>
  <c r="CA154" i="18"/>
  <c r="CA155" i="18"/>
  <c r="CA156" i="18"/>
  <c r="CA157" i="18"/>
  <c r="CA158" i="18"/>
  <c r="CA159" i="18"/>
  <c r="CA160" i="18"/>
  <c r="CA161" i="18"/>
  <c r="CA162" i="18"/>
  <c r="CA163" i="18"/>
  <c r="CA164" i="18"/>
  <c r="CA165" i="18"/>
  <c r="CA166" i="18"/>
  <c r="CA167" i="18"/>
  <c r="CA168" i="18"/>
  <c r="CA169" i="18"/>
  <c r="CA170" i="18"/>
  <c r="CA171" i="18"/>
  <c r="CA172" i="18"/>
  <c r="CA173" i="18"/>
  <c r="CA174" i="18"/>
  <c r="CA175" i="18"/>
  <c r="CA176" i="18"/>
  <c r="CA177" i="18"/>
  <c r="CA178" i="18"/>
  <c r="CA179" i="18"/>
  <c r="CA180" i="18"/>
  <c r="CA181" i="18"/>
  <c r="CA182" i="18"/>
  <c r="CA183" i="18"/>
  <c r="CA184" i="18"/>
  <c r="CA185" i="18"/>
  <c r="CA186" i="18"/>
  <c r="CA187" i="18"/>
  <c r="CA188" i="18"/>
  <c r="CA189" i="18"/>
  <c r="CA190" i="18"/>
  <c r="CA191" i="18"/>
  <c r="CA192" i="18"/>
  <c r="CA193" i="18"/>
  <c r="CA194" i="18"/>
  <c r="CA195" i="18"/>
  <c r="CA196" i="18"/>
  <c r="CA197" i="18"/>
  <c r="CA198" i="18"/>
  <c r="CA199" i="18"/>
  <c r="CA200" i="18"/>
  <c r="CA201" i="18"/>
  <c r="BT4" i="18"/>
  <c r="BT5" i="18"/>
  <c r="BT6" i="18"/>
  <c r="BT7" i="18"/>
  <c r="BT8" i="18"/>
  <c r="BT9" i="18"/>
  <c r="BT10" i="18"/>
  <c r="BT11" i="18"/>
  <c r="BT12" i="18"/>
  <c r="BT13" i="18"/>
  <c r="BT14" i="18"/>
  <c r="BT15" i="18"/>
  <c r="BT16" i="18"/>
  <c r="BT17" i="18"/>
  <c r="BT18" i="18"/>
  <c r="BT19" i="18"/>
  <c r="BT20" i="18"/>
  <c r="BT21" i="18"/>
  <c r="BT22" i="18"/>
  <c r="BT23" i="18"/>
  <c r="BT24" i="18"/>
  <c r="BT25" i="18"/>
  <c r="BT26" i="18"/>
  <c r="BT27" i="18"/>
  <c r="BT28" i="18"/>
  <c r="BT29" i="18"/>
  <c r="BT30" i="18"/>
  <c r="BT31" i="18"/>
  <c r="BT32" i="18"/>
  <c r="BT33" i="18"/>
  <c r="BT34" i="18"/>
  <c r="BT35" i="18"/>
  <c r="BT36" i="18"/>
  <c r="BT37" i="18"/>
  <c r="BT38" i="18"/>
  <c r="BT39" i="18"/>
  <c r="BT40" i="18"/>
  <c r="BT41" i="18"/>
  <c r="BT42" i="18"/>
  <c r="BT43" i="18"/>
  <c r="BT44" i="18"/>
  <c r="BT45" i="18"/>
  <c r="BT46" i="18"/>
  <c r="BT47" i="18"/>
  <c r="BT48" i="18"/>
  <c r="BT49" i="18"/>
  <c r="BT50" i="18"/>
  <c r="BT51" i="18"/>
  <c r="BT52" i="18"/>
  <c r="BT53" i="18"/>
  <c r="BT54" i="18"/>
  <c r="BT55" i="18"/>
  <c r="BT56" i="18"/>
  <c r="BT57" i="18"/>
  <c r="BT58" i="18"/>
  <c r="BT59" i="18"/>
  <c r="BT60" i="18"/>
  <c r="BT61" i="18"/>
  <c r="BT62" i="18"/>
  <c r="BT63" i="18"/>
  <c r="BT64" i="18"/>
  <c r="BT65" i="18"/>
  <c r="BT66" i="18"/>
  <c r="BT67" i="18"/>
  <c r="BT68" i="18"/>
  <c r="BT69" i="18"/>
  <c r="BT70" i="18"/>
  <c r="BT71" i="18"/>
  <c r="BT72" i="18"/>
  <c r="BT73" i="18"/>
  <c r="BT74" i="18"/>
  <c r="BT75" i="18"/>
  <c r="BT76" i="18"/>
  <c r="BT77" i="18"/>
  <c r="BT78" i="18"/>
  <c r="BT79" i="18"/>
  <c r="BT80" i="18"/>
  <c r="BT81" i="18"/>
  <c r="BT82" i="18"/>
  <c r="BT83" i="18"/>
  <c r="BT84" i="18"/>
  <c r="BT85" i="18"/>
  <c r="BT86" i="18"/>
  <c r="BT87" i="18"/>
  <c r="BT88" i="18"/>
  <c r="BT89" i="18"/>
  <c r="BT90" i="18"/>
  <c r="BT91" i="18"/>
  <c r="BT92" i="18"/>
  <c r="BT93" i="18"/>
  <c r="BT94" i="18"/>
  <c r="BT95" i="18"/>
  <c r="BT96" i="18"/>
  <c r="BT97" i="18"/>
  <c r="BT98" i="18"/>
  <c r="BT99" i="18"/>
  <c r="BT100" i="18"/>
  <c r="BT101" i="18"/>
  <c r="BT102" i="18"/>
  <c r="BT103" i="18"/>
  <c r="BT104" i="18"/>
  <c r="BT105" i="18"/>
  <c r="BT106" i="18"/>
  <c r="BT107" i="18"/>
  <c r="BT108" i="18"/>
  <c r="BT109" i="18"/>
  <c r="BT110" i="18"/>
  <c r="BT111" i="18"/>
  <c r="BT112" i="18"/>
  <c r="BT113" i="18"/>
  <c r="BT114" i="18"/>
  <c r="BT115" i="18"/>
  <c r="BT116" i="18"/>
  <c r="BT117" i="18"/>
  <c r="BT118" i="18"/>
  <c r="BT119" i="18"/>
  <c r="BT120" i="18"/>
  <c r="BT121" i="18"/>
  <c r="BT122" i="18"/>
  <c r="BT123" i="18"/>
  <c r="BT124" i="18"/>
  <c r="BT125" i="18"/>
  <c r="BT126" i="18"/>
  <c r="BT127" i="18"/>
  <c r="BT128" i="18"/>
  <c r="BT129" i="18"/>
  <c r="BT130" i="18"/>
  <c r="BT131" i="18"/>
  <c r="BT132" i="18"/>
  <c r="BT133" i="18"/>
  <c r="BT134" i="18"/>
  <c r="BT135" i="18"/>
  <c r="BT136" i="18"/>
  <c r="BT137" i="18"/>
  <c r="BT138" i="18"/>
  <c r="BT139" i="18"/>
  <c r="BT140" i="18"/>
  <c r="BT141" i="18"/>
  <c r="BT142" i="18"/>
  <c r="BT143" i="18"/>
  <c r="BT144" i="18"/>
  <c r="BT145" i="18"/>
  <c r="BT146" i="18"/>
  <c r="BT147" i="18"/>
  <c r="BT148" i="18"/>
  <c r="BT149" i="18"/>
  <c r="BT150" i="18"/>
  <c r="BT151" i="18"/>
  <c r="BT152" i="18"/>
  <c r="BT153" i="18"/>
  <c r="BT154" i="18"/>
  <c r="BT155" i="18"/>
  <c r="BT156" i="18"/>
  <c r="BT157" i="18"/>
  <c r="BT158" i="18"/>
  <c r="BT159" i="18"/>
  <c r="BT160" i="18"/>
  <c r="BT161" i="18"/>
  <c r="BT162" i="18"/>
  <c r="BT163" i="18"/>
  <c r="BT164" i="18"/>
  <c r="BT165" i="18"/>
  <c r="BT166" i="18"/>
  <c r="BT167" i="18"/>
  <c r="BT168" i="18"/>
  <c r="BT169" i="18"/>
  <c r="BT170" i="18"/>
  <c r="BT171" i="18"/>
  <c r="BT172" i="18"/>
  <c r="BT173" i="18"/>
  <c r="BT174" i="18"/>
  <c r="BT175" i="18"/>
  <c r="BT176" i="18"/>
  <c r="BT177" i="18"/>
  <c r="BT178" i="18"/>
  <c r="BT179" i="18"/>
  <c r="BT180" i="18"/>
  <c r="BT181" i="18"/>
  <c r="BT182" i="18"/>
  <c r="BT183" i="18"/>
  <c r="BT184" i="18"/>
  <c r="BT185" i="18"/>
  <c r="BT186" i="18"/>
  <c r="BT187" i="18"/>
  <c r="BT188" i="18"/>
  <c r="BT189" i="18"/>
  <c r="BT190" i="18"/>
  <c r="BT191" i="18"/>
  <c r="BT192" i="18"/>
  <c r="BT193" i="18"/>
  <c r="BT194" i="18"/>
  <c r="BT195" i="18"/>
  <c r="BT196" i="18"/>
  <c r="BT197" i="18"/>
  <c r="BT198" i="18"/>
  <c r="BT199" i="18"/>
  <c r="BT200" i="18"/>
  <c r="BT201" i="18"/>
  <c r="BG4" i="18"/>
  <c r="BG5" i="18"/>
  <c r="BG6" i="18"/>
  <c r="BG7" i="18"/>
  <c r="BG8" i="18"/>
  <c r="BG9" i="18"/>
  <c r="BG10" i="18"/>
  <c r="BG11" i="18"/>
  <c r="BG12" i="18"/>
  <c r="BG13" i="18"/>
  <c r="BG14" i="18"/>
  <c r="BG15" i="18"/>
  <c r="BG16" i="18"/>
  <c r="BG17" i="18"/>
  <c r="BG18" i="18"/>
  <c r="BG19" i="18"/>
  <c r="BG20" i="18"/>
  <c r="BG21" i="18"/>
  <c r="BG22" i="18"/>
  <c r="BG23" i="18"/>
  <c r="BG24" i="18"/>
  <c r="BG25" i="18"/>
  <c r="BG26" i="18"/>
  <c r="BG27" i="18"/>
  <c r="BG28" i="18"/>
  <c r="BG29" i="18"/>
  <c r="BG30" i="18"/>
  <c r="BG31" i="18"/>
  <c r="BG32" i="18"/>
  <c r="BG33" i="18"/>
  <c r="BG34" i="18"/>
  <c r="BG35" i="18"/>
  <c r="BG36" i="18"/>
  <c r="BG37" i="18"/>
  <c r="BG38" i="18"/>
  <c r="BG39" i="18"/>
  <c r="BG40" i="18"/>
  <c r="BG41" i="18"/>
  <c r="BG42" i="18"/>
  <c r="BG43" i="18"/>
  <c r="BG44" i="18"/>
  <c r="BG45" i="18"/>
  <c r="BG46" i="18"/>
  <c r="BG47" i="18"/>
  <c r="BG48" i="18"/>
  <c r="BG49" i="18"/>
  <c r="BG50" i="18"/>
  <c r="BG51" i="18"/>
  <c r="BG52" i="18"/>
  <c r="BG53" i="18"/>
  <c r="BG54" i="18"/>
  <c r="BG55" i="18"/>
  <c r="BG56" i="18"/>
  <c r="BG57" i="18"/>
  <c r="BG58" i="18"/>
  <c r="BG59" i="18"/>
  <c r="BG60" i="18"/>
  <c r="BG61" i="18"/>
  <c r="BG62" i="18"/>
  <c r="BG63" i="18"/>
  <c r="BG64" i="18"/>
  <c r="BG65" i="18"/>
  <c r="BG66" i="18"/>
  <c r="BG67" i="18"/>
  <c r="BG68" i="18"/>
  <c r="BG69" i="18"/>
  <c r="BG70" i="18"/>
  <c r="BG71" i="18"/>
  <c r="BG72" i="18"/>
  <c r="BG73" i="18"/>
  <c r="BG74" i="18"/>
  <c r="BG75" i="18"/>
  <c r="BG76" i="18"/>
  <c r="BG77" i="18"/>
  <c r="BG78" i="18"/>
  <c r="BG79" i="18"/>
  <c r="BG80" i="18"/>
  <c r="BG81" i="18"/>
  <c r="BG82" i="18"/>
  <c r="BG83" i="18"/>
  <c r="BG84" i="18"/>
  <c r="BG85" i="18"/>
  <c r="BG86" i="18"/>
  <c r="BG87" i="18"/>
  <c r="BG88" i="18"/>
  <c r="BG89" i="18"/>
  <c r="BG90" i="18"/>
  <c r="BG91" i="18"/>
  <c r="BG92" i="18"/>
  <c r="BG93" i="18"/>
  <c r="BG94" i="18"/>
  <c r="BG95" i="18"/>
  <c r="BG96" i="18"/>
  <c r="BG97" i="18"/>
  <c r="BG98" i="18"/>
  <c r="BG99" i="18"/>
  <c r="BG100" i="18"/>
  <c r="BG101" i="18"/>
  <c r="BG102" i="18"/>
  <c r="BG103" i="18"/>
  <c r="BG104" i="18"/>
  <c r="BG105" i="18"/>
  <c r="BG106" i="18"/>
  <c r="BG107" i="18"/>
  <c r="BG108" i="18"/>
  <c r="BG109" i="18"/>
  <c r="BG110" i="18"/>
  <c r="BG111" i="18"/>
  <c r="BG112" i="18"/>
  <c r="BG113" i="18"/>
  <c r="BG114" i="18"/>
  <c r="BG115" i="18"/>
  <c r="BG116" i="18"/>
  <c r="BG117" i="18"/>
  <c r="BG118" i="18"/>
  <c r="BG119" i="18"/>
  <c r="BG120" i="18"/>
  <c r="BG121" i="18"/>
  <c r="BG122" i="18"/>
  <c r="BG123" i="18"/>
  <c r="BG124" i="18"/>
  <c r="BG125" i="18"/>
  <c r="BG126" i="18"/>
  <c r="BG127" i="18"/>
  <c r="BG128" i="18"/>
  <c r="BG129" i="18"/>
  <c r="BG130" i="18"/>
  <c r="BG131" i="18"/>
  <c r="BG132" i="18"/>
  <c r="BG133" i="18"/>
  <c r="BG134" i="18"/>
  <c r="BG135" i="18"/>
  <c r="BG136" i="18"/>
  <c r="BG137" i="18"/>
  <c r="BG138" i="18"/>
  <c r="BG139" i="18"/>
  <c r="BG140" i="18"/>
  <c r="BG141" i="18"/>
  <c r="BG142" i="18"/>
  <c r="BG143" i="18"/>
  <c r="BG144" i="18"/>
  <c r="BG145" i="18"/>
  <c r="BG146" i="18"/>
  <c r="BG147" i="18"/>
  <c r="BG148" i="18"/>
  <c r="BG149" i="18"/>
  <c r="BG150" i="18"/>
  <c r="BG151" i="18"/>
  <c r="BG152" i="18"/>
  <c r="BG153" i="18"/>
  <c r="BG154" i="18"/>
  <c r="BG155" i="18"/>
  <c r="BG156" i="18"/>
  <c r="BG157" i="18"/>
  <c r="BG158" i="18"/>
  <c r="BG159" i="18"/>
  <c r="BG160" i="18"/>
  <c r="BG161" i="18"/>
  <c r="BG162" i="18"/>
  <c r="BG163" i="18"/>
  <c r="BG164" i="18"/>
  <c r="BG165" i="18"/>
  <c r="BG166" i="18"/>
  <c r="BG167" i="18"/>
  <c r="BG168" i="18"/>
  <c r="BG169" i="18"/>
  <c r="BG170" i="18"/>
  <c r="BG171" i="18"/>
  <c r="BG172" i="18"/>
  <c r="BG173" i="18"/>
  <c r="BG174" i="18"/>
  <c r="BG175" i="18"/>
  <c r="BG176" i="18"/>
  <c r="BG177" i="18"/>
  <c r="BG178" i="18"/>
  <c r="BG179" i="18"/>
  <c r="BG180" i="18"/>
  <c r="BG181" i="18"/>
  <c r="BG182" i="18"/>
  <c r="BG183" i="18"/>
  <c r="BG184" i="18"/>
  <c r="BG185" i="18"/>
  <c r="BG186" i="18"/>
  <c r="BG187" i="18"/>
  <c r="BG188" i="18"/>
  <c r="BG189" i="18"/>
  <c r="BG190" i="18"/>
  <c r="BG191" i="18"/>
  <c r="BG192" i="18"/>
  <c r="BG193" i="18"/>
  <c r="BG194" i="18"/>
  <c r="BG195" i="18"/>
  <c r="BG196" i="18"/>
  <c r="BG197" i="18"/>
  <c r="BG198" i="18"/>
  <c r="BG199" i="18"/>
  <c r="BG200" i="18"/>
  <c r="BG201" i="18"/>
  <c r="AZ4" i="18"/>
  <c r="AZ5" i="18"/>
  <c r="AZ6" i="18"/>
  <c r="AZ7" i="18"/>
  <c r="AZ8" i="18"/>
  <c r="AZ9" i="18"/>
  <c r="AZ10" i="18"/>
  <c r="AZ11" i="18"/>
  <c r="AZ12" i="18"/>
  <c r="AZ13" i="18"/>
  <c r="AZ14" i="18"/>
  <c r="AZ15" i="18"/>
  <c r="AZ16" i="18"/>
  <c r="AZ17" i="18"/>
  <c r="AZ18" i="18"/>
  <c r="AZ19" i="18"/>
  <c r="AZ20" i="18"/>
  <c r="AZ21" i="18"/>
  <c r="AZ22" i="18"/>
  <c r="AZ23" i="18"/>
  <c r="AZ24" i="18"/>
  <c r="AZ25" i="18"/>
  <c r="AZ26" i="18"/>
  <c r="AZ27" i="18"/>
  <c r="AZ28" i="18"/>
  <c r="AZ29" i="18"/>
  <c r="AZ30" i="18"/>
  <c r="AZ31" i="18"/>
  <c r="AZ32" i="18"/>
  <c r="AZ33" i="18"/>
  <c r="AZ34" i="18"/>
  <c r="AZ35" i="18"/>
  <c r="AZ36" i="18"/>
  <c r="AZ37" i="18"/>
  <c r="AZ38" i="18"/>
  <c r="AZ39" i="18"/>
  <c r="AZ40" i="18"/>
  <c r="AZ41" i="18"/>
  <c r="AZ42" i="18"/>
  <c r="AZ43" i="18"/>
  <c r="AZ44" i="18"/>
  <c r="AZ45" i="18"/>
  <c r="AZ46" i="18"/>
  <c r="AZ47" i="18"/>
  <c r="AZ48" i="18"/>
  <c r="AZ49" i="18"/>
  <c r="AZ50" i="18"/>
  <c r="AZ51" i="18"/>
  <c r="AZ52" i="18"/>
  <c r="AZ53" i="18"/>
  <c r="AZ54" i="18"/>
  <c r="AZ55" i="18"/>
  <c r="AZ56" i="18"/>
  <c r="AZ57" i="18"/>
  <c r="AZ58" i="18"/>
  <c r="AZ59" i="18"/>
  <c r="AZ60" i="18"/>
  <c r="AZ61" i="18"/>
  <c r="AZ62" i="18"/>
  <c r="AZ63" i="18"/>
  <c r="AZ64" i="18"/>
  <c r="AZ65" i="18"/>
  <c r="AZ66" i="18"/>
  <c r="AZ67" i="18"/>
  <c r="AZ68" i="18"/>
  <c r="AZ69" i="18"/>
  <c r="AZ70" i="18"/>
  <c r="AZ71" i="18"/>
  <c r="AZ72" i="18"/>
  <c r="AZ73" i="18"/>
  <c r="AZ74" i="18"/>
  <c r="AZ75" i="18"/>
  <c r="AZ76" i="18"/>
  <c r="AZ77" i="18"/>
  <c r="AZ78" i="18"/>
  <c r="AZ79" i="18"/>
  <c r="AZ80" i="18"/>
  <c r="AZ81" i="18"/>
  <c r="AZ82" i="18"/>
  <c r="AZ83" i="18"/>
  <c r="AZ84" i="18"/>
  <c r="AZ85" i="18"/>
  <c r="AZ86" i="18"/>
  <c r="AZ87" i="18"/>
  <c r="AZ88" i="18"/>
  <c r="AZ89" i="18"/>
  <c r="AZ90" i="18"/>
  <c r="AZ91" i="18"/>
  <c r="AZ92" i="18"/>
  <c r="AZ93" i="18"/>
  <c r="AZ94" i="18"/>
  <c r="AZ95" i="18"/>
  <c r="AZ96" i="18"/>
  <c r="AZ97" i="18"/>
  <c r="AZ98" i="18"/>
  <c r="AZ99" i="18"/>
  <c r="AZ100" i="18"/>
  <c r="AZ101" i="18"/>
  <c r="AZ102" i="18"/>
  <c r="AZ103" i="18"/>
  <c r="AZ104" i="18"/>
  <c r="AZ105" i="18"/>
  <c r="AZ106" i="18"/>
  <c r="AZ107" i="18"/>
  <c r="AZ108" i="18"/>
  <c r="AZ109" i="18"/>
  <c r="AZ110" i="18"/>
  <c r="AZ111" i="18"/>
  <c r="AZ112" i="18"/>
  <c r="AZ113" i="18"/>
  <c r="AZ114" i="18"/>
  <c r="AZ115" i="18"/>
  <c r="AZ116" i="18"/>
  <c r="AZ117" i="18"/>
  <c r="AZ118" i="18"/>
  <c r="AZ119" i="18"/>
  <c r="AZ120" i="18"/>
  <c r="AZ121" i="18"/>
  <c r="AZ122" i="18"/>
  <c r="AZ123" i="18"/>
  <c r="AZ124" i="18"/>
  <c r="AZ125" i="18"/>
  <c r="AZ126" i="18"/>
  <c r="AZ127" i="18"/>
  <c r="AZ128" i="18"/>
  <c r="AZ129" i="18"/>
  <c r="AZ130" i="18"/>
  <c r="AZ131" i="18"/>
  <c r="AZ132" i="18"/>
  <c r="AZ133" i="18"/>
  <c r="AZ134" i="18"/>
  <c r="AZ135" i="18"/>
  <c r="AZ136" i="18"/>
  <c r="AZ137" i="18"/>
  <c r="AZ138" i="18"/>
  <c r="AZ139" i="18"/>
  <c r="AZ140" i="18"/>
  <c r="AZ141" i="18"/>
  <c r="AZ142" i="18"/>
  <c r="AZ143" i="18"/>
  <c r="AZ144" i="18"/>
  <c r="AZ145" i="18"/>
  <c r="AZ146" i="18"/>
  <c r="AZ147" i="18"/>
  <c r="AZ148" i="18"/>
  <c r="AZ149" i="18"/>
  <c r="AZ150" i="18"/>
  <c r="AZ151" i="18"/>
  <c r="AZ152" i="18"/>
  <c r="AZ153" i="18"/>
  <c r="AZ154" i="18"/>
  <c r="AZ155" i="18"/>
  <c r="AZ156" i="18"/>
  <c r="AZ157" i="18"/>
  <c r="AZ158" i="18"/>
  <c r="AZ159" i="18"/>
  <c r="AZ160" i="18"/>
  <c r="AZ161" i="18"/>
  <c r="AZ162" i="18"/>
  <c r="AZ163" i="18"/>
  <c r="AZ164" i="18"/>
  <c r="AZ165" i="18"/>
  <c r="AZ166" i="18"/>
  <c r="AZ167" i="18"/>
  <c r="AZ168" i="18"/>
  <c r="AZ169" i="18"/>
  <c r="AZ170" i="18"/>
  <c r="AZ171" i="18"/>
  <c r="AZ172" i="18"/>
  <c r="AZ173" i="18"/>
  <c r="AZ174" i="18"/>
  <c r="AZ175" i="18"/>
  <c r="AZ176" i="18"/>
  <c r="AZ177" i="18"/>
  <c r="AZ178" i="18"/>
  <c r="AZ179" i="18"/>
  <c r="AZ180" i="18"/>
  <c r="AZ181" i="18"/>
  <c r="AZ182" i="18"/>
  <c r="AZ183" i="18"/>
  <c r="AZ184" i="18"/>
  <c r="AZ185" i="18"/>
  <c r="AZ186" i="18"/>
  <c r="AZ187" i="18"/>
  <c r="AZ188" i="18"/>
  <c r="AZ189" i="18"/>
  <c r="AZ190" i="18"/>
  <c r="AZ191" i="18"/>
  <c r="AZ192" i="18"/>
  <c r="AZ193" i="18"/>
  <c r="AZ194" i="18"/>
  <c r="AZ195" i="18"/>
  <c r="AZ196" i="18"/>
  <c r="AZ197" i="18"/>
  <c r="AZ198" i="18"/>
  <c r="AZ199" i="18"/>
  <c r="AZ200" i="18"/>
  <c r="AZ201" i="18"/>
  <c r="AS4" i="18"/>
  <c r="AS5" i="18"/>
  <c r="AS6" i="18"/>
  <c r="AS7" i="18"/>
  <c r="AS8" i="18"/>
  <c r="AS9" i="18"/>
  <c r="AS10" i="18"/>
  <c r="AS11" i="18"/>
  <c r="AS12" i="18"/>
  <c r="AS13" i="18"/>
  <c r="AS14" i="18"/>
  <c r="AS15" i="18"/>
  <c r="AS16" i="18"/>
  <c r="AS17" i="18"/>
  <c r="AS18" i="18"/>
  <c r="AS19" i="18"/>
  <c r="AS20" i="18"/>
  <c r="AS21" i="18"/>
  <c r="AS22" i="18"/>
  <c r="AS23" i="18"/>
  <c r="AS24" i="18"/>
  <c r="AS25" i="18"/>
  <c r="AS26" i="18"/>
  <c r="AS27" i="18"/>
  <c r="AS28" i="18"/>
  <c r="AS29" i="18"/>
  <c r="AS30" i="18"/>
  <c r="AS31" i="18"/>
  <c r="AS32" i="18"/>
  <c r="AS33" i="18"/>
  <c r="AS34" i="18"/>
  <c r="AS35" i="18"/>
  <c r="AS36" i="18"/>
  <c r="AS37" i="18"/>
  <c r="AS38" i="18"/>
  <c r="AS39" i="18"/>
  <c r="AS40" i="18"/>
  <c r="AS41" i="18"/>
  <c r="AS42" i="18"/>
  <c r="AS43" i="18"/>
  <c r="AS44" i="18"/>
  <c r="AS45" i="18"/>
  <c r="AS46" i="18"/>
  <c r="AS47" i="18"/>
  <c r="AS48" i="18"/>
  <c r="AS49" i="18"/>
  <c r="AS50" i="18"/>
  <c r="AS51" i="18"/>
  <c r="AS52" i="18"/>
  <c r="AS53" i="18"/>
  <c r="AS54" i="18"/>
  <c r="AS55" i="18"/>
  <c r="AS56" i="18"/>
  <c r="AS57" i="18"/>
  <c r="AS58" i="18"/>
  <c r="AS59" i="18"/>
  <c r="AS60" i="18"/>
  <c r="AS61" i="18"/>
  <c r="AS62" i="18"/>
  <c r="AS63" i="18"/>
  <c r="AS64" i="18"/>
  <c r="AS65" i="18"/>
  <c r="AS66" i="18"/>
  <c r="AS67" i="18"/>
  <c r="AS68" i="18"/>
  <c r="AS69" i="18"/>
  <c r="AS70" i="18"/>
  <c r="AS71" i="18"/>
  <c r="AS72" i="18"/>
  <c r="AS73" i="18"/>
  <c r="AS74" i="18"/>
  <c r="AS75" i="18"/>
  <c r="AS76" i="18"/>
  <c r="AS77" i="18"/>
  <c r="AS78" i="18"/>
  <c r="AS79" i="18"/>
  <c r="AS80" i="18"/>
  <c r="AS81" i="18"/>
  <c r="AS82" i="18"/>
  <c r="AS83" i="18"/>
  <c r="AS84" i="18"/>
  <c r="AS85" i="18"/>
  <c r="AS86" i="18"/>
  <c r="AS87" i="18"/>
  <c r="AS88" i="18"/>
  <c r="AS89" i="18"/>
  <c r="AS90" i="18"/>
  <c r="AS91" i="18"/>
  <c r="AS92" i="18"/>
  <c r="AS93" i="18"/>
  <c r="AS94" i="18"/>
  <c r="AS95" i="18"/>
  <c r="AS96" i="18"/>
  <c r="AS97" i="18"/>
  <c r="AS98" i="18"/>
  <c r="AS99" i="18"/>
  <c r="AS100" i="18"/>
  <c r="AS101" i="18"/>
  <c r="AS102" i="18"/>
  <c r="AS103" i="18"/>
  <c r="AS104" i="18"/>
  <c r="AS105" i="18"/>
  <c r="AS106" i="18"/>
  <c r="AS107" i="18"/>
  <c r="AS108" i="18"/>
  <c r="AS109" i="18"/>
  <c r="AS110" i="18"/>
  <c r="AS111" i="18"/>
  <c r="AS112" i="18"/>
  <c r="AS113" i="18"/>
  <c r="AS114" i="18"/>
  <c r="AS115" i="18"/>
  <c r="AS116" i="18"/>
  <c r="AS117" i="18"/>
  <c r="AS118" i="18"/>
  <c r="AS119" i="18"/>
  <c r="AS120" i="18"/>
  <c r="AS121" i="18"/>
  <c r="AS122" i="18"/>
  <c r="AS123" i="18"/>
  <c r="AS124" i="18"/>
  <c r="AS125" i="18"/>
  <c r="AS126" i="18"/>
  <c r="AS127" i="18"/>
  <c r="AS128" i="18"/>
  <c r="AS129" i="18"/>
  <c r="AS130" i="18"/>
  <c r="AS131" i="18"/>
  <c r="AS132" i="18"/>
  <c r="AS133" i="18"/>
  <c r="AS134" i="18"/>
  <c r="AS135" i="18"/>
  <c r="AS136" i="18"/>
  <c r="AS137" i="18"/>
  <c r="AS138" i="18"/>
  <c r="AS139" i="18"/>
  <c r="AS140" i="18"/>
  <c r="AS141" i="18"/>
  <c r="AS142" i="18"/>
  <c r="AS143" i="18"/>
  <c r="AS144" i="18"/>
  <c r="AS145" i="18"/>
  <c r="AS146" i="18"/>
  <c r="AS147" i="18"/>
  <c r="AS148" i="18"/>
  <c r="AS149" i="18"/>
  <c r="AS150" i="18"/>
  <c r="AS151" i="18"/>
  <c r="AS152" i="18"/>
  <c r="AS153" i="18"/>
  <c r="AS154" i="18"/>
  <c r="AS155" i="18"/>
  <c r="AS156" i="18"/>
  <c r="AS157" i="18"/>
  <c r="AS158" i="18"/>
  <c r="AS159" i="18"/>
  <c r="AS160" i="18"/>
  <c r="AS161" i="18"/>
  <c r="AS162" i="18"/>
  <c r="AS163" i="18"/>
  <c r="AS164" i="18"/>
  <c r="AS165" i="18"/>
  <c r="AS166" i="18"/>
  <c r="AS167" i="18"/>
  <c r="AS168" i="18"/>
  <c r="AS169" i="18"/>
  <c r="AS170" i="18"/>
  <c r="AS171" i="18"/>
  <c r="AS172" i="18"/>
  <c r="AS173" i="18"/>
  <c r="AS174" i="18"/>
  <c r="AS175" i="18"/>
  <c r="AS176" i="18"/>
  <c r="AS177" i="18"/>
  <c r="AS178" i="18"/>
  <c r="AS179" i="18"/>
  <c r="AS180" i="18"/>
  <c r="AS181" i="18"/>
  <c r="AS182" i="18"/>
  <c r="AS183" i="18"/>
  <c r="AS184" i="18"/>
  <c r="AS185" i="18"/>
  <c r="AS186" i="18"/>
  <c r="AS187" i="18"/>
  <c r="AS188" i="18"/>
  <c r="AS189" i="18"/>
  <c r="AS190" i="18"/>
  <c r="AS191" i="18"/>
  <c r="AS192" i="18"/>
  <c r="AS193" i="18"/>
  <c r="AS194" i="18"/>
  <c r="AS195" i="18"/>
  <c r="AS196" i="18"/>
  <c r="AS197" i="18"/>
  <c r="AS198" i="18"/>
  <c r="AS199" i="18"/>
  <c r="AS200" i="18"/>
  <c r="AS201" i="18"/>
  <c r="AF4" i="18"/>
  <c r="AF5" i="18"/>
  <c r="AF6" i="18"/>
  <c r="AF7" i="18"/>
  <c r="AF8" i="18"/>
  <c r="AF9" i="18"/>
  <c r="AF10" i="18"/>
  <c r="AF11" i="18"/>
  <c r="AF12" i="18"/>
  <c r="AF13" i="18"/>
  <c r="AF14" i="18"/>
  <c r="AF15" i="18"/>
  <c r="AF16" i="18"/>
  <c r="AF17" i="18"/>
  <c r="AF18" i="18"/>
  <c r="AF19" i="18"/>
  <c r="AF20" i="18"/>
  <c r="AF21" i="18"/>
  <c r="AF22" i="18"/>
  <c r="AF23" i="18"/>
  <c r="AF24" i="18"/>
  <c r="AF25" i="18"/>
  <c r="AF26" i="18"/>
  <c r="AF27" i="18"/>
  <c r="AF28" i="18"/>
  <c r="AF29" i="18"/>
  <c r="AF30" i="18"/>
  <c r="AF31" i="18"/>
  <c r="AF32" i="18"/>
  <c r="AF33" i="18"/>
  <c r="AF34" i="18"/>
  <c r="AF35" i="18"/>
  <c r="AF36" i="18"/>
  <c r="AF37" i="18"/>
  <c r="AF38" i="18"/>
  <c r="AF39" i="18"/>
  <c r="AF40" i="18"/>
  <c r="AF41" i="18"/>
  <c r="AF42" i="18"/>
  <c r="AF43" i="18"/>
  <c r="AF44" i="18"/>
  <c r="AF45" i="18"/>
  <c r="AF46" i="18"/>
  <c r="AF47" i="18"/>
  <c r="AF48" i="18"/>
  <c r="AF49" i="18"/>
  <c r="AF50" i="18"/>
  <c r="AF51" i="18"/>
  <c r="AF52" i="18"/>
  <c r="AF53" i="18"/>
  <c r="AF54" i="18"/>
  <c r="AF55" i="18"/>
  <c r="AF56" i="18"/>
  <c r="AF57" i="18"/>
  <c r="AF58" i="18"/>
  <c r="AF59" i="18"/>
  <c r="AF60" i="18"/>
  <c r="AF61" i="18"/>
  <c r="AF62" i="18"/>
  <c r="AF63" i="18"/>
  <c r="AF64" i="18"/>
  <c r="AF65" i="18"/>
  <c r="AF66" i="18"/>
  <c r="AF67" i="18"/>
  <c r="AF68" i="18"/>
  <c r="AF69" i="18"/>
  <c r="AF70" i="18"/>
  <c r="AF71" i="18"/>
  <c r="AF72" i="18"/>
  <c r="AF73" i="18"/>
  <c r="AF74" i="18"/>
  <c r="AF75" i="18"/>
  <c r="AF76" i="18"/>
  <c r="AF77" i="18"/>
  <c r="AF78" i="18"/>
  <c r="AF79" i="18"/>
  <c r="AF80" i="18"/>
  <c r="AF81" i="18"/>
  <c r="AF82" i="18"/>
  <c r="AF83" i="18"/>
  <c r="AF84" i="18"/>
  <c r="AF85" i="18"/>
  <c r="AF86" i="18"/>
  <c r="AF87" i="18"/>
  <c r="AF88" i="18"/>
  <c r="AF89" i="18"/>
  <c r="AF90" i="18"/>
  <c r="AF91" i="18"/>
  <c r="AF92" i="18"/>
  <c r="AF93" i="18"/>
  <c r="AF94" i="18"/>
  <c r="AF95" i="18"/>
  <c r="AF96" i="18"/>
  <c r="AF97" i="18"/>
  <c r="AF98" i="18"/>
  <c r="AF99" i="18"/>
  <c r="AF100" i="18"/>
  <c r="AF101" i="18"/>
  <c r="AF102" i="18"/>
  <c r="AF103" i="18"/>
  <c r="AF104" i="18"/>
  <c r="AF105" i="18"/>
  <c r="AF106" i="18"/>
  <c r="AF107" i="18"/>
  <c r="AF108" i="18"/>
  <c r="AF109" i="18"/>
  <c r="AF110" i="18"/>
  <c r="AF111" i="18"/>
  <c r="AF112" i="18"/>
  <c r="AF113" i="18"/>
  <c r="AF114" i="18"/>
  <c r="AF115" i="18"/>
  <c r="AF116" i="18"/>
  <c r="AF117" i="18"/>
  <c r="AF118" i="18"/>
  <c r="AF119" i="18"/>
  <c r="AF120" i="18"/>
  <c r="AF121" i="18"/>
  <c r="AF122" i="18"/>
  <c r="AF123" i="18"/>
  <c r="AF124" i="18"/>
  <c r="AF125" i="18"/>
  <c r="AF126" i="18"/>
  <c r="AF127" i="18"/>
  <c r="AF128" i="18"/>
  <c r="AF129" i="18"/>
  <c r="AF130" i="18"/>
  <c r="AF131" i="18"/>
  <c r="AF132" i="18"/>
  <c r="AF133" i="18"/>
  <c r="AF134" i="18"/>
  <c r="AF135" i="18"/>
  <c r="AF136" i="18"/>
  <c r="AF137" i="18"/>
  <c r="AF138" i="18"/>
  <c r="AF139" i="18"/>
  <c r="AF140" i="18"/>
  <c r="AF141" i="18"/>
  <c r="AF142" i="18"/>
  <c r="AF143" i="18"/>
  <c r="AF144" i="18"/>
  <c r="AF145" i="18"/>
  <c r="AF146" i="18"/>
  <c r="AF147" i="18"/>
  <c r="AF148" i="18"/>
  <c r="AF149" i="18"/>
  <c r="AF150" i="18"/>
  <c r="AF151" i="18"/>
  <c r="AF152" i="18"/>
  <c r="AF153" i="18"/>
  <c r="AF154" i="18"/>
  <c r="AF155" i="18"/>
  <c r="AF156" i="18"/>
  <c r="AF157" i="18"/>
  <c r="AF158" i="18"/>
  <c r="AF159" i="18"/>
  <c r="AF160" i="18"/>
  <c r="AF161" i="18"/>
  <c r="AF162" i="18"/>
  <c r="AF163" i="18"/>
  <c r="AF164" i="18"/>
  <c r="AF165" i="18"/>
  <c r="AF166" i="18"/>
  <c r="AF167" i="18"/>
  <c r="AF168" i="18"/>
  <c r="AF169" i="18"/>
  <c r="AF170" i="18"/>
  <c r="AF171" i="18"/>
  <c r="AF172" i="18"/>
  <c r="AF173" i="18"/>
  <c r="AF174" i="18"/>
  <c r="AF175" i="18"/>
  <c r="AF176" i="18"/>
  <c r="AF177" i="18"/>
  <c r="AF178" i="18"/>
  <c r="AF179" i="18"/>
  <c r="AF180" i="18"/>
  <c r="AF181" i="18"/>
  <c r="AF182" i="18"/>
  <c r="AF183" i="18"/>
  <c r="AF184" i="18"/>
  <c r="AF185" i="18"/>
  <c r="AF186" i="18"/>
  <c r="AF187" i="18"/>
  <c r="AF188" i="18"/>
  <c r="AF189" i="18"/>
  <c r="AF190" i="18"/>
  <c r="AF191" i="18"/>
  <c r="AF192" i="18"/>
  <c r="AF193" i="18"/>
  <c r="AF194" i="18"/>
  <c r="AF195" i="18"/>
  <c r="AF196" i="18"/>
  <c r="AF197" i="18"/>
  <c r="AF198" i="18"/>
  <c r="AF199" i="18"/>
  <c r="AF200" i="18"/>
  <c r="AF201" i="18"/>
  <c r="Y4" i="18"/>
  <c r="Y5" i="18"/>
  <c r="Y6" i="18"/>
  <c r="Y7" i="18"/>
  <c r="Y8" i="18"/>
  <c r="Y9" i="18"/>
  <c r="Y10" i="18"/>
  <c r="Y11" i="18"/>
  <c r="Y12" i="18"/>
  <c r="Y13" i="18"/>
  <c r="Y14" i="18"/>
  <c r="Y15" i="18"/>
  <c r="Y16" i="18"/>
  <c r="Y17" i="18"/>
  <c r="Y18" i="18"/>
  <c r="Y19" i="18"/>
  <c r="Y20" i="18"/>
  <c r="Y21" i="18"/>
  <c r="Y22" i="18"/>
  <c r="Y23" i="18"/>
  <c r="Y24" i="18"/>
  <c r="Y25" i="18"/>
  <c r="Y26" i="18"/>
  <c r="Y27" i="18"/>
  <c r="Y28" i="18"/>
  <c r="Y29" i="18"/>
  <c r="Y30" i="18"/>
  <c r="Y31" i="18"/>
  <c r="Y32" i="18"/>
  <c r="Y33" i="18"/>
  <c r="Y34" i="18"/>
  <c r="Y35" i="18"/>
  <c r="Y36" i="18"/>
  <c r="Y37" i="18"/>
  <c r="Y38" i="18"/>
  <c r="Y39" i="18"/>
  <c r="Y40" i="18"/>
  <c r="Y41" i="18"/>
  <c r="Y42" i="18"/>
  <c r="Y43" i="18"/>
  <c r="Y44" i="18"/>
  <c r="Y45" i="18"/>
  <c r="Y46" i="18"/>
  <c r="Y47" i="18"/>
  <c r="Y48" i="18"/>
  <c r="Y49" i="18"/>
  <c r="Y50" i="18"/>
  <c r="Y51" i="18"/>
  <c r="Y52" i="18"/>
  <c r="Y53" i="18"/>
  <c r="Y54" i="18"/>
  <c r="Y55" i="18"/>
  <c r="Y56" i="18"/>
  <c r="Y57" i="18"/>
  <c r="Y58" i="18"/>
  <c r="Y59" i="18"/>
  <c r="Y60" i="18"/>
  <c r="Y61" i="18"/>
  <c r="Y62" i="18"/>
  <c r="Y63" i="18"/>
  <c r="Y64" i="18"/>
  <c r="Y65" i="18"/>
  <c r="Y66" i="18"/>
  <c r="Y67" i="18"/>
  <c r="Y68" i="18"/>
  <c r="Y69" i="18"/>
  <c r="Y70" i="18"/>
  <c r="Y71" i="18"/>
  <c r="Y72" i="18"/>
  <c r="Y73" i="18"/>
  <c r="Y74" i="18"/>
  <c r="Y75" i="18"/>
  <c r="Y76" i="18"/>
  <c r="Y77" i="18"/>
  <c r="Y78" i="18"/>
  <c r="Y79" i="18"/>
  <c r="Y80" i="18"/>
  <c r="Y81" i="18"/>
  <c r="Y82" i="18"/>
  <c r="Y83" i="18"/>
  <c r="Y84" i="18"/>
  <c r="Y85" i="18"/>
  <c r="Y86" i="18"/>
  <c r="Y87" i="18"/>
  <c r="Y88" i="18"/>
  <c r="Y89" i="18"/>
  <c r="Y90" i="18"/>
  <c r="Y91" i="18"/>
  <c r="Y92" i="18"/>
  <c r="Y93" i="18"/>
  <c r="Y94" i="18"/>
  <c r="Y95" i="18"/>
  <c r="Y96" i="18"/>
  <c r="Y97" i="18"/>
  <c r="Y98" i="18"/>
  <c r="Y99" i="18"/>
  <c r="Y100" i="18"/>
  <c r="Y101" i="18"/>
  <c r="Y102" i="18"/>
  <c r="Y103" i="18"/>
  <c r="Y104" i="18"/>
  <c r="Y105" i="18"/>
  <c r="Y106" i="18"/>
  <c r="Y107" i="18"/>
  <c r="Y108" i="18"/>
  <c r="Y109" i="18"/>
  <c r="Y110" i="18"/>
  <c r="Y111" i="18"/>
  <c r="Y112" i="18"/>
  <c r="Y113" i="18"/>
  <c r="Y114" i="18"/>
  <c r="Y115" i="18"/>
  <c r="Y116" i="18"/>
  <c r="Y117" i="18"/>
  <c r="Y118" i="18"/>
  <c r="Y119" i="18"/>
  <c r="Y120" i="18"/>
  <c r="Y121" i="18"/>
  <c r="Y122" i="18"/>
  <c r="Y123" i="18"/>
  <c r="Y124" i="18"/>
  <c r="Y125" i="18"/>
  <c r="Y126" i="18"/>
  <c r="Y127" i="18"/>
  <c r="Y128" i="18"/>
  <c r="Y129" i="18"/>
  <c r="Y130" i="18"/>
  <c r="Y131" i="18"/>
  <c r="Y132" i="18"/>
  <c r="Y133" i="18"/>
  <c r="Y134" i="18"/>
  <c r="Y135" i="18"/>
  <c r="Y136" i="18"/>
  <c r="Y137" i="18"/>
  <c r="Y138" i="18"/>
  <c r="Y139" i="18"/>
  <c r="Y140" i="18"/>
  <c r="Y141" i="18"/>
  <c r="Y142" i="18"/>
  <c r="Y143" i="18"/>
  <c r="Y144" i="18"/>
  <c r="Y145" i="18"/>
  <c r="Y146" i="18"/>
  <c r="Y147" i="18"/>
  <c r="Y148" i="18"/>
  <c r="Y149" i="18"/>
  <c r="Y150" i="18"/>
  <c r="Y151" i="18"/>
  <c r="Y152" i="18"/>
  <c r="Y153" i="18"/>
  <c r="Y154" i="18"/>
  <c r="Y155" i="18"/>
  <c r="Y156" i="18"/>
  <c r="Y157" i="18"/>
  <c r="Y158" i="18"/>
  <c r="Y159" i="18"/>
  <c r="Y160" i="18"/>
  <c r="Y161" i="18"/>
  <c r="Y162" i="18"/>
  <c r="Y163" i="18"/>
  <c r="Y164" i="18"/>
  <c r="Y165" i="18"/>
  <c r="Y166" i="18"/>
  <c r="Y167" i="18"/>
  <c r="Y168" i="18"/>
  <c r="Y169" i="18"/>
  <c r="Y170" i="18"/>
  <c r="Y171" i="18"/>
  <c r="Y172" i="18"/>
  <c r="Y173" i="18"/>
  <c r="Y174" i="18"/>
  <c r="Y175" i="18"/>
  <c r="Y176" i="18"/>
  <c r="Y177" i="18"/>
  <c r="Y178" i="18"/>
  <c r="Y179" i="18"/>
  <c r="Y180" i="18"/>
  <c r="Y181" i="18"/>
  <c r="Y182" i="18"/>
  <c r="Y183" i="18"/>
  <c r="Y184" i="18"/>
  <c r="Y185" i="18"/>
  <c r="Y186" i="18"/>
  <c r="Y187" i="18"/>
  <c r="Y188" i="18"/>
  <c r="Y189" i="18"/>
  <c r="Y190" i="18"/>
  <c r="Y191" i="18"/>
  <c r="Y192" i="18"/>
  <c r="Y193" i="18"/>
  <c r="Y194" i="18"/>
  <c r="Y195" i="18"/>
  <c r="Y196" i="18"/>
  <c r="Y197" i="18"/>
  <c r="Y198" i="18"/>
  <c r="Y199" i="18"/>
  <c r="Y200" i="18"/>
  <c r="Y201" i="18"/>
  <c r="R4" i="18"/>
  <c r="R5" i="18"/>
  <c r="R6" i="18"/>
  <c r="R7" i="18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R46" i="18"/>
  <c r="R47" i="18"/>
  <c r="R48" i="18"/>
  <c r="R49" i="18"/>
  <c r="R50" i="18"/>
  <c r="R51" i="18"/>
  <c r="R52" i="18"/>
  <c r="R53" i="18"/>
  <c r="R54" i="18"/>
  <c r="R55" i="18"/>
  <c r="R56" i="18"/>
  <c r="R57" i="18"/>
  <c r="R58" i="18"/>
  <c r="R59" i="18"/>
  <c r="R60" i="18"/>
  <c r="R61" i="18"/>
  <c r="R62" i="18"/>
  <c r="R63" i="18"/>
  <c r="R64" i="18"/>
  <c r="R65" i="18"/>
  <c r="R66" i="18"/>
  <c r="R67" i="18"/>
  <c r="R68" i="18"/>
  <c r="R69" i="18"/>
  <c r="R70" i="18"/>
  <c r="R71" i="18"/>
  <c r="R72" i="18"/>
  <c r="R73" i="18"/>
  <c r="R74" i="18"/>
  <c r="R75" i="18"/>
  <c r="R76" i="18"/>
  <c r="R77" i="18"/>
  <c r="R78" i="18"/>
  <c r="R79" i="18"/>
  <c r="R80" i="18"/>
  <c r="R81" i="18"/>
  <c r="R82" i="18"/>
  <c r="R83" i="18"/>
  <c r="R84" i="18"/>
  <c r="R85" i="18"/>
  <c r="R86" i="18"/>
  <c r="R87" i="18"/>
  <c r="R88" i="18"/>
  <c r="R89" i="18"/>
  <c r="R90" i="18"/>
  <c r="R91" i="18"/>
  <c r="R92" i="18"/>
  <c r="R93" i="18"/>
  <c r="R94" i="18"/>
  <c r="R95" i="18"/>
  <c r="R96" i="18"/>
  <c r="R97" i="18"/>
  <c r="R98" i="18"/>
  <c r="R99" i="18"/>
  <c r="R100" i="18"/>
  <c r="R101" i="18"/>
  <c r="R102" i="18"/>
  <c r="R103" i="18"/>
  <c r="R104" i="18"/>
  <c r="R105" i="18"/>
  <c r="R106" i="18"/>
  <c r="R107" i="18"/>
  <c r="R108" i="18"/>
  <c r="R109" i="18"/>
  <c r="R110" i="18"/>
  <c r="R111" i="18"/>
  <c r="R112" i="18"/>
  <c r="R113" i="18"/>
  <c r="R114" i="18"/>
  <c r="R115" i="18"/>
  <c r="R116" i="18"/>
  <c r="R117" i="18"/>
  <c r="R118" i="18"/>
  <c r="R119" i="18"/>
  <c r="R120" i="18"/>
  <c r="R121" i="18"/>
  <c r="R122" i="18"/>
  <c r="R123" i="18"/>
  <c r="R124" i="18"/>
  <c r="R125" i="18"/>
  <c r="R126" i="18"/>
  <c r="R127" i="18"/>
  <c r="R128" i="18"/>
  <c r="R129" i="18"/>
  <c r="R130" i="18"/>
  <c r="R131" i="18"/>
  <c r="R132" i="18"/>
  <c r="R133" i="18"/>
  <c r="R134" i="18"/>
  <c r="R135" i="18"/>
  <c r="R136" i="18"/>
  <c r="R137" i="18"/>
  <c r="R138" i="18"/>
  <c r="R139" i="18"/>
  <c r="R140" i="18"/>
  <c r="R141" i="18"/>
  <c r="R142" i="18"/>
  <c r="R143" i="18"/>
  <c r="R144" i="18"/>
  <c r="R145" i="18"/>
  <c r="R146" i="18"/>
  <c r="R147" i="18"/>
  <c r="R148" i="18"/>
  <c r="R149" i="18"/>
  <c r="R150" i="18"/>
  <c r="R151" i="18"/>
  <c r="R152" i="18"/>
  <c r="R153" i="18"/>
  <c r="R154" i="18"/>
  <c r="R155" i="18"/>
  <c r="R156" i="18"/>
  <c r="R157" i="18"/>
  <c r="R158" i="18"/>
  <c r="R159" i="18"/>
  <c r="R160" i="18"/>
  <c r="R161" i="18"/>
  <c r="R162" i="18"/>
  <c r="R163" i="18"/>
  <c r="R164" i="18"/>
  <c r="R165" i="18"/>
  <c r="R166" i="18"/>
  <c r="R167" i="18"/>
  <c r="R168" i="18"/>
  <c r="R169" i="18"/>
  <c r="R170" i="18"/>
  <c r="R171" i="18"/>
  <c r="R172" i="18"/>
  <c r="R173" i="18"/>
  <c r="R174" i="18"/>
  <c r="R175" i="18"/>
  <c r="R176" i="18"/>
  <c r="R177" i="18"/>
  <c r="R178" i="18"/>
  <c r="R179" i="18"/>
  <c r="R180" i="18"/>
  <c r="R181" i="18"/>
  <c r="R182" i="18"/>
  <c r="R183" i="18"/>
  <c r="R184" i="18"/>
  <c r="R185" i="18"/>
  <c r="R186" i="18"/>
  <c r="R187" i="18"/>
  <c r="R188" i="18"/>
  <c r="R189" i="18"/>
  <c r="R190" i="18"/>
  <c r="R191" i="18"/>
  <c r="R192" i="18"/>
  <c r="R193" i="18"/>
  <c r="R194" i="18"/>
  <c r="R195" i="18"/>
  <c r="R196" i="18"/>
  <c r="R197" i="18"/>
  <c r="R198" i="18"/>
  <c r="R199" i="18"/>
  <c r="R200" i="18"/>
  <c r="R201" i="18"/>
  <c r="CH4" i="17"/>
  <c r="CH5" i="17"/>
  <c r="CH6" i="17"/>
  <c r="CH7" i="17"/>
  <c r="CH8" i="17"/>
  <c r="CH9" i="17"/>
  <c r="CH10" i="17"/>
  <c r="CH11" i="17"/>
  <c r="CH12" i="17"/>
  <c r="CH13" i="17"/>
  <c r="CH14" i="17"/>
  <c r="CH15" i="17"/>
  <c r="CH16" i="17"/>
  <c r="CH17" i="17"/>
  <c r="CH18" i="17"/>
  <c r="CH19" i="17"/>
  <c r="CH20" i="17"/>
  <c r="CH21" i="17"/>
  <c r="CH22" i="17"/>
  <c r="CH23" i="17"/>
  <c r="CH24" i="17"/>
  <c r="CH25" i="17"/>
  <c r="CH26" i="17"/>
  <c r="CH27" i="17"/>
  <c r="CH28" i="17"/>
  <c r="CH29" i="17"/>
  <c r="CH30" i="17"/>
  <c r="CH31" i="17"/>
  <c r="CH32" i="17"/>
  <c r="CH33" i="17"/>
  <c r="CH34" i="17"/>
  <c r="CH35" i="17"/>
  <c r="CH36" i="17"/>
  <c r="CH37" i="17"/>
  <c r="CH38" i="17"/>
  <c r="CH39" i="17"/>
  <c r="CH40" i="17"/>
  <c r="CH41" i="17"/>
  <c r="CH42" i="17"/>
  <c r="CH43" i="17"/>
  <c r="CH44" i="17"/>
  <c r="CH45" i="17"/>
  <c r="CH46" i="17"/>
  <c r="CH47" i="17"/>
  <c r="CH48" i="17"/>
  <c r="CH49" i="17"/>
  <c r="CH50" i="17"/>
  <c r="CH51" i="17"/>
  <c r="CH52" i="17"/>
  <c r="CH53" i="17"/>
  <c r="CH54" i="17"/>
  <c r="CH55" i="17"/>
  <c r="CH56" i="17"/>
  <c r="CH57" i="17"/>
  <c r="CH58" i="17"/>
  <c r="CH59" i="17"/>
  <c r="CH60" i="17"/>
  <c r="CH61" i="17"/>
  <c r="CH62" i="17"/>
  <c r="CH63" i="17"/>
  <c r="CH64" i="17"/>
  <c r="CH65" i="17"/>
  <c r="CH66" i="17"/>
  <c r="CH67" i="17"/>
  <c r="CH68" i="17"/>
  <c r="CH69" i="17"/>
  <c r="CH70" i="17"/>
  <c r="CH71" i="17"/>
  <c r="CH72" i="17"/>
  <c r="CH73" i="17"/>
  <c r="CH74" i="17"/>
  <c r="CH75" i="17"/>
  <c r="CH76" i="17"/>
  <c r="CH77" i="17"/>
  <c r="CH78" i="17"/>
  <c r="CH79" i="17"/>
  <c r="CH80" i="17"/>
  <c r="CH81" i="17"/>
  <c r="CH82" i="17"/>
  <c r="CH83" i="17"/>
  <c r="CH84" i="17"/>
  <c r="CH85" i="17"/>
  <c r="CH86" i="17"/>
  <c r="CH87" i="17"/>
  <c r="CH88" i="17"/>
  <c r="CH89" i="17"/>
  <c r="CH90" i="17"/>
  <c r="CH91" i="17"/>
  <c r="CH92" i="17"/>
  <c r="CH93" i="17"/>
  <c r="CH94" i="17"/>
  <c r="CH95" i="17"/>
  <c r="CH96" i="17"/>
  <c r="CH97" i="17"/>
  <c r="CH98" i="17"/>
  <c r="CH99" i="17"/>
  <c r="CH100" i="17"/>
  <c r="CH101" i="17"/>
  <c r="CH102" i="17"/>
  <c r="CH103" i="17"/>
  <c r="CH104" i="17"/>
  <c r="CH105" i="17"/>
  <c r="CH106" i="17"/>
  <c r="CH107" i="17"/>
  <c r="CH108" i="17"/>
  <c r="CH109" i="17"/>
  <c r="CH110" i="17"/>
  <c r="CH111" i="17"/>
  <c r="CH112" i="17"/>
  <c r="CH113" i="17"/>
  <c r="CH114" i="17"/>
  <c r="CH115" i="17"/>
  <c r="CH116" i="17"/>
  <c r="CH117" i="17"/>
  <c r="CH118" i="17"/>
  <c r="CH119" i="17"/>
  <c r="CH120" i="17"/>
  <c r="CH121" i="17"/>
  <c r="CH122" i="17"/>
  <c r="CH123" i="17"/>
  <c r="CH124" i="17"/>
  <c r="CH125" i="17"/>
  <c r="CH126" i="17"/>
  <c r="CH127" i="17"/>
  <c r="CH128" i="17"/>
  <c r="CH129" i="17"/>
  <c r="CH130" i="17"/>
  <c r="CH131" i="17"/>
  <c r="CH132" i="17"/>
  <c r="CH133" i="17"/>
  <c r="CH134" i="17"/>
  <c r="CH135" i="17"/>
  <c r="CH136" i="17"/>
  <c r="CH137" i="17"/>
  <c r="CH138" i="17"/>
  <c r="CH139" i="17"/>
  <c r="CH140" i="17"/>
  <c r="CH141" i="17"/>
  <c r="CH142" i="17"/>
  <c r="CH143" i="17"/>
  <c r="CH144" i="17"/>
  <c r="CH145" i="17"/>
  <c r="CH146" i="17"/>
  <c r="CH147" i="17"/>
  <c r="CH148" i="17"/>
  <c r="CH149" i="17"/>
  <c r="CH150" i="17"/>
  <c r="CH151" i="17"/>
  <c r="CH152" i="17"/>
  <c r="CH153" i="17"/>
  <c r="CH154" i="17"/>
  <c r="CH155" i="17"/>
  <c r="CH156" i="17"/>
  <c r="CH157" i="17"/>
  <c r="CH158" i="17"/>
  <c r="CH159" i="17"/>
  <c r="CH160" i="17"/>
  <c r="CH161" i="17"/>
  <c r="CH162" i="17"/>
  <c r="CH163" i="17"/>
  <c r="CH164" i="17"/>
  <c r="CH165" i="17"/>
  <c r="CH166" i="17"/>
  <c r="CH167" i="17"/>
  <c r="CH168" i="17"/>
  <c r="CH169" i="17"/>
  <c r="CH170" i="17"/>
  <c r="CH171" i="17"/>
  <c r="CH172" i="17"/>
  <c r="CH173" i="17"/>
  <c r="CH174" i="17"/>
  <c r="CH175" i="17"/>
  <c r="CH176" i="17"/>
  <c r="CH177" i="17"/>
  <c r="CH178" i="17"/>
  <c r="CH179" i="17"/>
  <c r="CH180" i="17"/>
  <c r="CH181" i="17"/>
  <c r="CH182" i="17"/>
  <c r="CH183" i="17"/>
  <c r="CH184" i="17"/>
  <c r="CH185" i="17"/>
  <c r="CH186" i="17"/>
  <c r="CH187" i="17"/>
  <c r="CH188" i="17"/>
  <c r="CH189" i="17"/>
  <c r="CH190" i="17"/>
  <c r="CH191" i="17"/>
  <c r="CH192" i="17"/>
  <c r="CH193" i="17"/>
  <c r="CH194" i="17"/>
  <c r="CH195" i="17"/>
  <c r="CH196" i="17"/>
  <c r="CH197" i="17"/>
  <c r="CH198" i="17"/>
  <c r="CH199" i="17"/>
  <c r="CH200" i="17"/>
  <c r="CH201" i="17"/>
  <c r="CA4" i="17"/>
  <c r="CA5" i="17"/>
  <c r="CA6" i="17"/>
  <c r="CA7" i="17"/>
  <c r="CA8" i="17"/>
  <c r="CA9" i="17"/>
  <c r="CA10" i="17"/>
  <c r="CA11" i="17"/>
  <c r="CA12" i="17"/>
  <c r="CA13" i="17"/>
  <c r="CA14" i="17"/>
  <c r="CA15" i="17"/>
  <c r="CA16" i="17"/>
  <c r="CA17" i="17"/>
  <c r="CA18" i="17"/>
  <c r="CA19" i="17"/>
  <c r="CA20" i="17"/>
  <c r="CA21" i="17"/>
  <c r="CA22" i="17"/>
  <c r="CA23" i="17"/>
  <c r="CA24" i="17"/>
  <c r="CA25" i="17"/>
  <c r="CA26" i="17"/>
  <c r="CA27" i="17"/>
  <c r="CA28" i="17"/>
  <c r="CA29" i="17"/>
  <c r="CA30" i="17"/>
  <c r="CA31" i="17"/>
  <c r="CA32" i="17"/>
  <c r="CA33" i="17"/>
  <c r="CA34" i="17"/>
  <c r="CA35" i="17"/>
  <c r="CA36" i="17"/>
  <c r="CA37" i="17"/>
  <c r="CA38" i="17"/>
  <c r="CA39" i="17"/>
  <c r="CA40" i="17"/>
  <c r="CA41" i="17"/>
  <c r="CA42" i="17"/>
  <c r="CA43" i="17"/>
  <c r="CA44" i="17"/>
  <c r="CA45" i="17"/>
  <c r="CA46" i="17"/>
  <c r="CA47" i="17"/>
  <c r="CA48" i="17"/>
  <c r="CA49" i="17"/>
  <c r="CA50" i="17"/>
  <c r="CA51" i="17"/>
  <c r="CA52" i="17"/>
  <c r="CA53" i="17"/>
  <c r="CA54" i="17"/>
  <c r="CA55" i="17"/>
  <c r="CA56" i="17"/>
  <c r="CA57" i="17"/>
  <c r="CA58" i="17"/>
  <c r="CA59" i="17"/>
  <c r="CA60" i="17"/>
  <c r="CA61" i="17"/>
  <c r="CA62" i="17"/>
  <c r="CA63" i="17"/>
  <c r="CA64" i="17"/>
  <c r="CA65" i="17"/>
  <c r="CA66" i="17"/>
  <c r="CA67" i="17"/>
  <c r="CA68" i="17"/>
  <c r="CA69" i="17"/>
  <c r="CA70" i="17"/>
  <c r="CA71" i="17"/>
  <c r="CA72" i="17"/>
  <c r="CA73" i="17"/>
  <c r="CA74" i="17"/>
  <c r="CA75" i="17"/>
  <c r="CA76" i="17"/>
  <c r="CA77" i="17"/>
  <c r="CA78" i="17"/>
  <c r="CA79" i="17"/>
  <c r="CA80" i="17"/>
  <c r="CA81" i="17"/>
  <c r="CA82" i="17"/>
  <c r="CA83" i="17"/>
  <c r="CA84" i="17"/>
  <c r="CA85" i="17"/>
  <c r="CA86" i="17"/>
  <c r="CA87" i="17"/>
  <c r="CA88" i="17"/>
  <c r="CA89" i="17"/>
  <c r="CA90" i="17"/>
  <c r="CA91" i="17"/>
  <c r="CA92" i="17"/>
  <c r="CA93" i="17"/>
  <c r="CA94" i="17"/>
  <c r="CA95" i="17"/>
  <c r="CA96" i="17"/>
  <c r="CA97" i="17"/>
  <c r="CA98" i="17"/>
  <c r="CA99" i="17"/>
  <c r="CA100" i="17"/>
  <c r="CA101" i="17"/>
  <c r="CA102" i="17"/>
  <c r="CA103" i="17"/>
  <c r="CA104" i="17"/>
  <c r="CA105" i="17"/>
  <c r="CA106" i="17"/>
  <c r="CA107" i="17"/>
  <c r="CA108" i="17"/>
  <c r="CA109" i="17"/>
  <c r="CA110" i="17"/>
  <c r="CA111" i="17"/>
  <c r="CA112" i="17"/>
  <c r="CA113" i="17"/>
  <c r="CA114" i="17"/>
  <c r="CA115" i="17"/>
  <c r="CA116" i="17"/>
  <c r="CA117" i="17"/>
  <c r="CA118" i="17"/>
  <c r="CA119" i="17"/>
  <c r="CA120" i="17"/>
  <c r="CA121" i="17"/>
  <c r="CA122" i="17"/>
  <c r="CA123" i="17"/>
  <c r="CA124" i="17"/>
  <c r="CA125" i="17"/>
  <c r="CA126" i="17"/>
  <c r="CA127" i="17"/>
  <c r="CA128" i="17"/>
  <c r="CA129" i="17"/>
  <c r="CA130" i="17"/>
  <c r="CA131" i="17"/>
  <c r="CA132" i="17"/>
  <c r="CA133" i="17"/>
  <c r="CA134" i="17"/>
  <c r="CA135" i="17"/>
  <c r="CA136" i="17"/>
  <c r="CA137" i="17"/>
  <c r="CA138" i="17"/>
  <c r="CA139" i="17"/>
  <c r="CA140" i="17"/>
  <c r="CA141" i="17"/>
  <c r="CA142" i="17"/>
  <c r="CA143" i="17"/>
  <c r="CA144" i="17"/>
  <c r="CA145" i="17"/>
  <c r="CA146" i="17"/>
  <c r="CA147" i="17"/>
  <c r="CA148" i="17"/>
  <c r="CA149" i="17"/>
  <c r="CA150" i="17"/>
  <c r="CA151" i="17"/>
  <c r="CA152" i="17"/>
  <c r="CA153" i="17"/>
  <c r="CA154" i="17"/>
  <c r="CA155" i="17"/>
  <c r="CA156" i="17"/>
  <c r="CA157" i="17"/>
  <c r="CA158" i="17"/>
  <c r="CA159" i="17"/>
  <c r="CA160" i="17"/>
  <c r="CA161" i="17"/>
  <c r="CA162" i="17"/>
  <c r="CA163" i="17"/>
  <c r="CA164" i="17"/>
  <c r="CA165" i="17"/>
  <c r="CA166" i="17"/>
  <c r="CA167" i="17"/>
  <c r="CA168" i="17"/>
  <c r="CA169" i="17"/>
  <c r="CA170" i="17"/>
  <c r="CA171" i="17"/>
  <c r="CA172" i="17"/>
  <c r="CA173" i="17"/>
  <c r="CA174" i="17"/>
  <c r="CA175" i="17"/>
  <c r="CA176" i="17"/>
  <c r="CA177" i="17"/>
  <c r="CA178" i="17"/>
  <c r="CA179" i="17"/>
  <c r="CA180" i="17"/>
  <c r="CA181" i="17"/>
  <c r="CA182" i="17"/>
  <c r="CA183" i="17"/>
  <c r="CA184" i="17"/>
  <c r="CA185" i="17"/>
  <c r="CA186" i="17"/>
  <c r="CA187" i="17"/>
  <c r="CA188" i="17"/>
  <c r="CA189" i="17"/>
  <c r="CA190" i="17"/>
  <c r="CA191" i="17"/>
  <c r="CA192" i="17"/>
  <c r="CA193" i="17"/>
  <c r="CA194" i="17"/>
  <c r="CA195" i="17"/>
  <c r="CA196" i="17"/>
  <c r="CA197" i="17"/>
  <c r="CA198" i="17"/>
  <c r="CA199" i="17"/>
  <c r="CA200" i="17"/>
  <c r="CA201" i="17"/>
  <c r="BT4" i="17"/>
  <c r="BT5" i="17"/>
  <c r="BT6" i="17"/>
  <c r="BT7" i="17"/>
  <c r="BT8" i="17"/>
  <c r="BT9" i="17"/>
  <c r="BT10" i="17"/>
  <c r="BT11" i="17"/>
  <c r="BT12" i="17"/>
  <c r="BT13" i="17"/>
  <c r="BT14" i="17"/>
  <c r="BT15" i="17"/>
  <c r="BT16" i="17"/>
  <c r="BT17" i="17"/>
  <c r="BT18" i="17"/>
  <c r="BT19" i="17"/>
  <c r="BT20" i="17"/>
  <c r="BT21" i="17"/>
  <c r="BT22" i="17"/>
  <c r="BT23" i="17"/>
  <c r="BT24" i="17"/>
  <c r="BT25" i="17"/>
  <c r="BT26" i="17"/>
  <c r="BT27" i="17"/>
  <c r="BT28" i="17"/>
  <c r="BT29" i="17"/>
  <c r="BT30" i="17"/>
  <c r="BT31" i="17"/>
  <c r="BT32" i="17"/>
  <c r="BT33" i="17"/>
  <c r="BT34" i="17"/>
  <c r="BT35" i="17"/>
  <c r="BT36" i="17"/>
  <c r="BT37" i="17"/>
  <c r="BT38" i="17"/>
  <c r="BT39" i="17"/>
  <c r="BT40" i="17"/>
  <c r="BT41" i="17"/>
  <c r="BT42" i="17"/>
  <c r="BT43" i="17"/>
  <c r="BT44" i="17"/>
  <c r="BT45" i="17"/>
  <c r="BT46" i="17"/>
  <c r="BT47" i="17"/>
  <c r="BT48" i="17"/>
  <c r="BT49" i="17"/>
  <c r="BT50" i="17"/>
  <c r="BT51" i="17"/>
  <c r="BT52" i="17"/>
  <c r="BT53" i="17"/>
  <c r="BT54" i="17"/>
  <c r="BT55" i="17"/>
  <c r="BT56" i="17"/>
  <c r="BT57" i="17"/>
  <c r="BT58" i="17"/>
  <c r="BT59" i="17"/>
  <c r="BT60" i="17"/>
  <c r="BT61" i="17"/>
  <c r="BT62" i="17"/>
  <c r="BT63" i="17"/>
  <c r="BT64" i="17"/>
  <c r="BT65" i="17"/>
  <c r="BT66" i="17"/>
  <c r="BT67" i="17"/>
  <c r="BT68" i="17"/>
  <c r="BT69" i="17"/>
  <c r="BT70" i="17"/>
  <c r="BT71" i="17"/>
  <c r="BT72" i="17"/>
  <c r="BT73" i="17"/>
  <c r="BT74" i="17"/>
  <c r="BT75" i="17"/>
  <c r="BT76" i="17"/>
  <c r="BT77" i="17"/>
  <c r="BT78" i="17"/>
  <c r="BT79" i="17"/>
  <c r="BT80" i="17"/>
  <c r="BT81" i="17"/>
  <c r="BT82" i="17"/>
  <c r="BT83" i="17"/>
  <c r="BT84" i="17"/>
  <c r="BT85" i="17"/>
  <c r="BT86" i="17"/>
  <c r="BT87" i="17"/>
  <c r="BT88" i="17"/>
  <c r="BT89" i="17"/>
  <c r="BT90" i="17"/>
  <c r="BT91" i="17"/>
  <c r="BT92" i="17"/>
  <c r="BT93" i="17"/>
  <c r="BT94" i="17"/>
  <c r="BT95" i="17"/>
  <c r="BT96" i="17"/>
  <c r="BT97" i="17"/>
  <c r="BT98" i="17"/>
  <c r="BT99" i="17"/>
  <c r="BT100" i="17"/>
  <c r="BT101" i="17"/>
  <c r="BT102" i="17"/>
  <c r="BT103" i="17"/>
  <c r="BT104" i="17"/>
  <c r="BT105" i="17"/>
  <c r="BT106" i="17"/>
  <c r="BT107" i="17"/>
  <c r="BT108" i="17"/>
  <c r="BT109" i="17"/>
  <c r="BT110" i="17"/>
  <c r="BT111" i="17"/>
  <c r="BT112" i="17"/>
  <c r="BT113" i="17"/>
  <c r="BT114" i="17"/>
  <c r="BT115" i="17"/>
  <c r="BT116" i="17"/>
  <c r="BT117" i="17"/>
  <c r="BT118" i="17"/>
  <c r="BT119" i="17"/>
  <c r="BT120" i="17"/>
  <c r="BT121" i="17"/>
  <c r="BT122" i="17"/>
  <c r="BT123" i="17"/>
  <c r="BT124" i="17"/>
  <c r="BT125" i="17"/>
  <c r="BT126" i="17"/>
  <c r="BT127" i="17"/>
  <c r="BT128" i="17"/>
  <c r="BT129" i="17"/>
  <c r="BT130" i="17"/>
  <c r="BT131" i="17"/>
  <c r="BT132" i="17"/>
  <c r="BT133" i="17"/>
  <c r="BT134" i="17"/>
  <c r="BT135" i="17"/>
  <c r="BT136" i="17"/>
  <c r="BT137" i="17"/>
  <c r="BT138" i="17"/>
  <c r="BT139" i="17"/>
  <c r="BT140" i="17"/>
  <c r="BT141" i="17"/>
  <c r="BT142" i="17"/>
  <c r="BT143" i="17"/>
  <c r="BT144" i="17"/>
  <c r="BT145" i="17"/>
  <c r="BT146" i="17"/>
  <c r="BT147" i="17"/>
  <c r="BT148" i="17"/>
  <c r="BT149" i="17"/>
  <c r="BT150" i="17"/>
  <c r="BT151" i="17"/>
  <c r="BT152" i="17"/>
  <c r="BT153" i="17"/>
  <c r="BT154" i="17"/>
  <c r="BT155" i="17"/>
  <c r="BT156" i="17"/>
  <c r="BT157" i="17"/>
  <c r="BT158" i="17"/>
  <c r="BT159" i="17"/>
  <c r="BT160" i="17"/>
  <c r="BT161" i="17"/>
  <c r="BT162" i="17"/>
  <c r="BT163" i="17"/>
  <c r="BT164" i="17"/>
  <c r="BT165" i="17"/>
  <c r="BT166" i="17"/>
  <c r="BT167" i="17"/>
  <c r="BT168" i="17"/>
  <c r="BT169" i="17"/>
  <c r="BT170" i="17"/>
  <c r="BT171" i="17"/>
  <c r="BT172" i="17"/>
  <c r="BT173" i="17"/>
  <c r="BT174" i="17"/>
  <c r="BT175" i="17"/>
  <c r="BT176" i="17"/>
  <c r="BT177" i="17"/>
  <c r="BT178" i="17"/>
  <c r="BT179" i="17"/>
  <c r="BT180" i="17"/>
  <c r="BT181" i="17"/>
  <c r="BT182" i="17"/>
  <c r="BT183" i="17"/>
  <c r="BT184" i="17"/>
  <c r="BT185" i="17"/>
  <c r="BT186" i="17"/>
  <c r="BT187" i="17"/>
  <c r="BT188" i="17"/>
  <c r="BT189" i="17"/>
  <c r="BT190" i="17"/>
  <c r="BT191" i="17"/>
  <c r="BT192" i="17"/>
  <c r="BT193" i="17"/>
  <c r="BT194" i="17"/>
  <c r="BT195" i="17"/>
  <c r="BT196" i="17"/>
  <c r="BT197" i="17"/>
  <c r="BT198" i="17"/>
  <c r="BT199" i="17"/>
  <c r="BT200" i="17"/>
  <c r="BT201" i="17"/>
  <c r="BG4" i="17"/>
  <c r="BG5" i="17"/>
  <c r="BG6" i="17"/>
  <c r="BG7" i="17"/>
  <c r="BG8" i="17"/>
  <c r="BG9" i="17"/>
  <c r="BG10" i="17"/>
  <c r="BG11" i="17"/>
  <c r="BG12" i="17"/>
  <c r="BG13" i="17"/>
  <c r="BG14" i="17"/>
  <c r="BG15" i="17"/>
  <c r="BG16" i="17"/>
  <c r="BG17" i="17"/>
  <c r="BG18" i="17"/>
  <c r="BG19" i="17"/>
  <c r="BG20" i="17"/>
  <c r="BG21" i="17"/>
  <c r="BG22" i="17"/>
  <c r="BG23" i="17"/>
  <c r="BG24" i="17"/>
  <c r="BG25" i="17"/>
  <c r="BG26" i="17"/>
  <c r="BG27" i="17"/>
  <c r="BG28" i="17"/>
  <c r="BG29" i="17"/>
  <c r="BG30" i="17"/>
  <c r="BG31" i="17"/>
  <c r="BG32" i="17"/>
  <c r="BG33" i="17"/>
  <c r="BG34" i="17"/>
  <c r="BG35" i="17"/>
  <c r="BG36" i="17"/>
  <c r="BG37" i="17"/>
  <c r="BG38" i="17"/>
  <c r="BG39" i="17"/>
  <c r="BG40" i="17"/>
  <c r="BG41" i="17"/>
  <c r="BG42" i="17"/>
  <c r="BG43" i="17"/>
  <c r="BG44" i="17"/>
  <c r="BG45" i="17"/>
  <c r="BG46" i="17"/>
  <c r="BG47" i="17"/>
  <c r="BG48" i="17"/>
  <c r="BG49" i="17"/>
  <c r="BG50" i="17"/>
  <c r="BG51" i="17"/>
  <c r="BG52" i="17"/>
  <c r="BG53" i="17"/>
  <c r="BG54" i="17"/>
  <c r="BG55" i="17"/>
  <c r="BG56" i="17"/>
  <c r="BG57" i="17"/>
  <c r="BG58" i="17"/>
  <c r="BG59" i="17"/>
  <c r="BG60" i="17"/>
  <c r="BG61" i="17"/>
  <c r="BG62" i="17"/>
  <c r="BG63" i="17"/>
  <c r="BG64" i="17"/>
  <c r="BG65" i="17"/>
  <c r="BG66" i="17"/>
  <c r="BG67" i="17"/>
  <c r="BG68" i="17"/>
  <c r="BG69" i="17"/>
  <c r="BG70" i="17"/>
  <c r="BG71" i="17"/>
  <c r="BG72" i="17"/>
  <c r="BG73" i="17"/>
  <c r="BG74" i="17"/>
  <c r="BG75" i="17"/>
  <c r="BG76" i="17"/>
  <c r="BG77" i="17"/>
  <c r="BG78" i="17"/>
  <c r="BG79" i="17"/>
  <c r="BG80" i="17"/>
  <c r="BG81" i="17"/>
  <c r="BG82" i="17"/>
  <c r="BG83" i="17"/>
  <c r="BG84" i="17"/>
  <c r="BG85" i="17"/>
  <c r="BG86" i="17"/>
  <c r="BG87" i="17"/>
  <c r="BG88" i="17"/>
  <c r="BG89" i="17"/>
  <c r="BG90" i="17"/>
  <c r="BG91" i="17"/>
  <c r="BG92" i="17"/>
  <c r="BG93" i="17"/>
  <c r="BG94" i="17"/>
  <c r="BG95" i="17"/>
  <c r="BG96" i="17"/>
  <c r="BG97" i="17"/>
  <c r="BG98" i="17"/>
  <c r="BG99" i="17"/>
  <c r="BG100" i="17"/>
  <c r="BG101" i="17"/>
  <c r="BG102" i="17"/>
  <c r="BG103" i="17"/>
  <c r="BG104" i="17"/>
  <c r="BG105" i="17"/>
  <c r="BG106" i="17"/>
  <c r="BG107" i="17"/>
  <c r="BG108" i="17"/>
  <c r="BG109" i="17"/>
  <c r="BG110" i="17"/>
  <c r="BG111" i="17"/>
  <c r="BG112" i="17"/>
  <c r="BG113" i="17"/>
  <c r="BG114" i="17"/>
  <c r="BG115" i="17"/>
  <c r="BG116" i="17"/>
  <c r="BG117" i="17"/>
  <c r="BG118" i="17"/>
  <c r="BG119" i="17"/>
  <c r="BG120" i="17"/>
  <c r="BG121" i="17"/>
  <c r="BG122" i="17"/>
  <c r="BG123" i="17"/>
  <c r="BG124" i="17"/>
  <c r="BG125" i="17"/>
  <c r="BG126" i="17"/>
  <c r="BG127" i="17"/>
  <c r="BG128" i="17"/>
  <c r="BG129" i="17"/>
  <c r="BG130" i="17"/>
  <c r="BG131" i="17"/>
  <c r="BG132" i="17"/>
  <c r="BG133" i="17"/>
  <c r="BG134" i="17"/>
  <c r="BG135" i="17"/>
  <c r="BG136" i="17"/>
  <c r="BG137" i="17"/>
  <c r="BG138" i="17"/>
  <c r="BG139" i="17"/>
  <c r="BG140" i="17"/>
  <c r="BG141" i="17"/>
  <c r="BG142" i="17"/>
  <c r="BG143" i="17"/>
  <c r="BG144" i="17"/>
  <c r="BG145" i="17"/>
  <c r="BG146" i="17"/>
  <c r="BG147" i="17"/>
  <c r="BG148" i="17"/>
  <c r="BG149" i="17"/>
  <c r="BG150" i="17"/>
  <c r="BG151" i="17"/>
  <c r="BG152" i="17"/>
  <c r="BG153" i="17"/>
  <c r="BG154" i="17"/>
  <c r="BG155" i="17"/>
  <c r="BG156" i="17"/>
  <c r="BG157" i="17"/>
  <c r="BG158" i="17"/>
  <c r="BG159" i="17"/>
  <c r="BG160" i="17"/>
  <c r="BG161" i="17"/>
  <c r="BG162" i="17"/>
  <c r="BG163" i="17"/>
  <c r="BG164" i="17"/>
  <c r="BG165" i="17"/>
  <c r="BG166" i="17"/>
  <c r="BG167" i="17"/>
  <c r="BG168" i="17"/>
  <c r="BG169" i="17"/>
  <c r="BG170" i="17"/>
  <c r="BG171" i="17"/>
  <c r="BG172" i="17"/>
  <c r="BG173" i="17"/>
  <c r="BG174" i="17"/>
  <c r="BG175" i="17"/>
  <c r="BG176" i="17"/>
  <c r="BG177" i="17"/>
  <c r="BG178" i="17"/>
  <c r="BG179" i="17"/>
  <c r="BG180" i="17"/>
  <c r="BG181" i="17"/>
  <c r="BG182" i="17"/>
  <c r="BG183" i="17"/>
  <c r="BG184" i="17"/>
  <c r="BG185" i="17"/>
  <c r="BG186" i="17"/>
  <c r="BG187" i="17"/>
  <c r="BG188" i="17"/>
  <c r="BG189" i="17"/>
  <c r="BG190" i="17"/>
  <c r="BG191" i="17"/>
  <c r="BG192" i="17"/>
  <c r="BG193" i="17"/>
  <c r="BG194" i="17"/>
  <c r="BG195" i="17"/>
  <c r="BG196" i="17"/>
  <c r="BG197" i="17"/>
  <c r="BG198" i="17"/>
  <c r="BG199" i="17"/>
  <c r="BG200" i="17"/>
  <c r="BG201" i="17"/>
  <c r="AZ4" i="17"/>
  <c r="AZ5" i="17"/>
  <c r="AZ6" i="17"/>
  <c r="AZ7" i="17"/>
  <c r="AZ8" i="17"/>
  <c r="AZ9" i="17"/>
  <c r="AZ10" i="17"/>
  <c r="AZ11" i="17"/>
  <c r="AZ12" i="17"/>
  <c r="AZ13" i="17"/>
  <c r="AZ14" i="17"/>
  <c r="AZ15" i="17"/>
  <c r="AZ16" i="17"/>
  <c r="AZ17" i="17"/>
  <c r="AZ18" i="17"/>
  <c r="AZ19" i="17"/>
  <c r="AZ20" i="17"/>
  <c r="AZ21" i="17"/>
  <c r="AZ22" i="17"/>
  <c r="AZ23" i="17"/>
  <c r="AZ24" i="17"/>
  <c r="AZ25" i="17"/>
  <c r="AZ26" i="17"/>
  <c r="AZ27" i="17"/>
  <c r="AZ28" i="17"/>
  <c r="AZ29" i="17"/>
  <c r="AZ30" i="17"/>
  <c r="AZ31" i="17"/>
  <c r="AZ32" i="17"/>
  <c r="AZ33" i="17"/>
  <c r="AZ34" i="17"/>
  <c r="AZ35" i="17"/>
  <c r="AZ36" i="17"/>
  <c r="AZ37" i="17"/>
  <c r="AZ38" i="17"/>
  <c r="AZ39" i="17"/>
  <c r="AZ40" i="17"/>
  <c r="AZ41" i="17"/>
  <c r="AZ42" i="17"/>
  <c r="AZ43" i="17"/>
  <c r="AZ44" i="17"/>
  <c r="AZ45" i="17"/>
  <c r="AZ46" i="17"/>
  <c r="AZ47" i="17"/>
  <c r="AZ48" i="17"/>
  <c r="AZ49" i="17"/>
  <c r="AZ50" i="17"/>
  <c r="AZ51" i="17"/>
  <c r="AZ52" i="17"/>
  <c r="AZ53" i="17"/>
  <c r="AZ54" i="17"/>
  <c r="AZ55" i="17"/>
  <c r="AZ56" i="17"/>
  <c r="AZ57" i="17"/>
  <c r="AZ58" i="17"/>
  <c r="AZ59" i="17"/>
  <c r="AZ60" i="17"/>
  <c r="AZ61" i="17"/>
  <c r="AZ62" i="17"/>
  <c r="AZ63" i="17"/>
  <c r="AZ64" i="17"/>
  <c r="AZ65" i="17"/>
  <c r="AZ66" i="17"/>
  <c r="AZ67" i="17"/>
  <c r="AZ68" i="17"/>
  <c r="AZ69" i="17"/>
  <c r="AZ70" i="17"/>
  <c r="AZ71" i="17"/>
  <c r="AZ72" i="17"/>
  <c r="AZ73" i="17"/>
  <c r="AZ74" i="17"/>
  <c r="AZ75" i="17"/>
  <c r="AZ76" i="17"/>
  <c r="AZ77" i="17"/>
  <c r="AZ78" i="17"/>
  <c r="AZ79" i="17"/>
  <c r="AZ80" i="17"/>
  <c r="AZ81" i="17"/>
  <c r="AZ82" i="17"/>
  <c r="AZ83" i="17"/>
  <c r="AZ84" i="17"/>
  <c r="AZ85" i="17"/>
  <c r="AZ86" i="17"/>
  <c r="AZ87" i="17"/>
  <c r="AZ88" i="17"/>
  <c r="AZ89" i="17"/>
  <c r="AZ90" i="17"/>
  <c r="AZ91" i="17"/>
  <c r="AZ92" i="17"/>
  <c r="AZ93" i="17"/>
  <c r="AZ94" i="17"/>
  <c r="AZ95" i="17"/>
  <c r="AZ96" i="17"/>
  <c r="AZ97" i="17"/>
  <c r="AZ98" i="17"/>
  <c r="AZ99" i="17"/>
  <c r="AZ100" i="17"/>
  <c r="AZ101" i="17"/>
  <c r="AZ102" i="17"/>
  <c r="AZ103" i="17"/>
  <c r="AZ104" i="17"/>
  <c r="AZ105" i="17"/>
  <c r="AZ106" i="17"/>
  <c r="AZ107" i="17"/>
  <c r="AZ108" i="17"/>
  <c r="AZ109" i="17"/>
  <c r="AZ110" i="17"/>
  <c r="AZ111" i="17"/>
  <c r="AZ112" i="17"/>
  <c r="AZ113" i="17"/>
  <c r="AZ114" i="17"/>
  <c r="AZ115" i="17"/>
  <c r="AZ116" i="17"/>
  <c r="AZ117" i="17"/>
  <c r="AZ118" i="17"/>
  <c r="AZ119" i="17"/>
  <c r="AZ120" i="17"/>
  <c r="AZ121" i="17"/>
  <c r="AZ122" i="17"/>
  <c r="AZ123" i="17"/>
  <c r="AZ124" i="17"/>
  <c r="AZ125" i="17"/>
  <c r="AZ126" i="17"/>
  <c r="AZ127" i="17"/>
  <c r="AZ128" i="17"/>
  <c r="AZ129" i="17"/>
  <c r="AZ130" i="17"/>
  <c r="AZ131" i="17"/>
  <c r="AZ132" i="17"/>
  <c r="AZ133" i="17"/>
  <c r="AZ134" i="17"/>
  <c r="AZ135" i="17"/>
  <c r="AZ136" i="17"/>
  <c r="AZ137" i="17"/>
  <c r="AZ138" i="17"/>
  <c r="AZ139" i="17"/>
  <c r="AZ140" i="17"/>
  <c r="AZ141" i="17"/>
  <c r="AZ142" i="17"/>
  <c r="AZ143" i="17"/>
  <c r="AZ144" i="17"/>
  <c r="AZ145" i="17"/>
  <c r="AZ146" i="17"/>
  <c r="AZ147" i="17"/>
  <c r="AZ148" i="17"/>
  <c r="AZ149" i="17"/>
  <c r="AZ150" i="17"/>
  <c r="AZ151" i="17"/>
  <c r="AZ152" i="17"/>
  <c r="AZ153" i="17"/>
  <c r="AZ154" i="17"/>
  <c r="AZ155" i="17"/>
  <c r="AZ156" i="17"/>
  <c r="AZ157" i="17"/>
  <c r="AZ158" i="17"/>
  <c r="AZ159" i="17"/>
  <c r="AZ160" i="17"/>
  <c r="AZ161" i="17"/>
  <c r="AZ162" i="17"/>
  <c r="AZ163" i="17"/>
  <c r="AZ164" i="17"/>
  <c r="AZ165" i="17"/>
  <c r="AZ166" i="17"/>
  <c r="AZ167" i="17"/>
  <c r="AZ168" i="17"/>
  <c r="AZ169" i="17"/>
  <c r="AZ170" i="17"/>
  <c r="AZ171" i="17"/>
  <c r="AZ172" i="17"/>
  <c r="AZ173" i="17"/>
  <c r="AZ174" i="17"/>
  <c r="AZ175" i="17"/>
  <c r="AZ176" i="17"/>
  <c r="AZ177" i="17"/>
  <c r="AZ178" i="17"/>
  <c r="AZ179" i="17"/>
  <c r="AZ180" i="17"/>
  <c r="AZ181" i="17"/>
  <c r="AZ182" i="17"/>
  <c r="AZ183" i="17"/>
  <c r="AZ184" i="17"/>
  <c r="AZ185" i="17"/>
  <c r="AZ186" i="17"/>
  <c r="AZ187" i="17"/>
  <c r="AZ188" i="17"/>
  <c r="AZ189" i="17"/>
  <c r="AZ190" i="17"/>
  <c r="AZ191" i="17"/>
  <c r="AZ192" i="17"/>
  <c r="AZ193" i="17"/>
  <c r="AZ194" i="17"/>
  <c r="AZ195" i="17"/>
  <c r="AZ196" i="17"/>
  <c r="AZ197" i="17"/>
  <c r="AZ198" i="17"/>
  <c r="AZ199" i="17"/>
  <c r="AZ200" i="17"/>
  <c r="AZ201" i="17"/>
  <c r="AS4" i="17"/>
  <c r="AS5" i="17"/>
  <c r="AS6" i="17"/>
  <c r="AS7" i="17"/>
  <c r="AS8" i="17"/>
  <c r="AS9" i="17"/>
  <c r="AS10" i="17"/>
  <c r="AS11" i="17"/>
  <c r="AS12" i="17"/>
  <c r="AS13" i="17"/>
  <c r="AS14" i="17"/>
  <c r="AS15" i="17"/>
  <c r="AS16" i="17"/>
  <c r="AS17" i="17"/>
  <c r="AS18" i="17"/>
  <c r="AS19" i="17"/>
  <c r="AS20" i="17"/>
  <c r="AS21" i="17"/>
  <c r="AS22" i="17"/>
  <c r="AS23" i="17"/>
  <c r="AS24" i="17"/>
  <c r="AS25" i="17"/>
  <c r="AS26" i="17"/>
  <c r="AS27" i="17"/>
  <c r="AS28" i="17"/>
  <c r="AS29" i="17"/>
  <c r="AS30" i="17"/>
  <c r="AS31" i="17"/>
  <c r="AS32" i="17"/>
  <c r="AS33" i="17"/>
  <c r="AS34" i="17"/>
  <c r="AS35" i="17"/>
  <c r="AS36" i="17"/>
  <c r="AS37" i="17"/>
  <c r="AS38" i="17"/>
  <c r="AS39" i="17"/>
  <c r="AS40" i="17"/>
  <c r="AS41" i="17"/>
  <c r="AS42" i="17"/>
  <c r="AS43" i="17"/>
  <c r="AS44" i="17"/>
  <c r="AS45" i="17"/>
  <c r="AS46" i="17"/>
  <c r="AS47" i="17"/>
  <c r="AS48" i="17"/>
  <c r="AS49" i="17"/>
  <c r="AS50" i="17"/>
  <c r="AS51" i="17"/>
  <c r="AS52" i="17"/>
  <c r="AS53" i="17"/>
  <c r="AS54" i="17"/>
  <c r="AS55" i="17"/>
  <c r="AS56" i="17"/>
  <c r="AS57" i="17"/>
  <c r="AS58" i="17"/>
  <c r="AS59" i="17"/>
  <c r="AS60" i="17"/>
  <c r="AS61" i="17"/>
  <c r="AS62" i="17"/>
  <c r="AS63" i="17"/>
  <c r="AS64" i="17"/>
  <c r="AS65" i="17"/>
  <c r="AS66" i="17"/>
  <c r="AS67" i="17"/>
  <c r="AS68" i="17"/>
  <c r="AS69" i="17"/>
  <c r="AS70" i="17"/>
  <c r="AS71" i="17"/>
  <c r="AS72" i="17"/>
  <c r="AS73" i="17"/>
  <c r="AS74" i="17"/>
  <c r="AS75" i="17"/>
  <c r="AS76" i="17"/>
  <c r="AS77" i="17"/>
  <c r="AS78" i="17"/>
  <c r="AS79" i="17"/>
  <c r="AS80" i="17"/>
  <c r="AS81" i="17"/>
  <c r="AS82" i="17"/>
  <c r="AS83" i="17"/>
  <c r="AS84" i="17"/>
  <c r="AS85" i="17"/>
  <c r="AS86" i="17"/>
  <c r="AS87" i="17"/>
  <c r="AS88" i="17"/>
  <c r="AS89" i="17"/>
  <c r="AS90" i="17"/>
  <c r="AS91" i="17"/>
  <c r="AS92" i="17"/>
  <c r="AS93" i="17"/>
  <c r="AS94" i="17"/>
  <c r="AS95" i="17"/>
  <c r="AS96" i="17"/>
  <c r="AS97" i="17"/>
  <c r="AS98" i="17"/>
  <c r="AS99" i="17"/>
  <c r="AS100" i="17"/>
  <c r="AS101" i="17"/>
  <c r="AS102" i="17"/>
  <c r="AS103" i="17"/>
  <c r="AS104" i="17"/>
  <c r="AS105" i="17"/>
  <c r="AS106" i="17"/>
  <c r="AS107" i="17"/>
  <c r="AS108" i="17"/>
  <c r="AS109" i="17"/>
  <c r="AS110" i="17"/>
  <c r="AS111" i="17"/>
  <c r="AS112" i="17"/>
  <c r="AS113" i="17"/>
  <c r="AS114" i="17"/>
  <c r="AS115" i="17"/>
  <c r="AS116" i="17"/>
  <c r="AS117" i="17"/>
  <c r="AS118" i="17"/>
  <c r="AS119" i="17"/>
  <c r="AS120" i="17"/>
  <c r="AS121" i="17"/>
  <c r="AS122" i="17"/>
  <c r="AS123" i="17"/>
  <c r="AS124" i="17"/>
  <c r="AS125" i="17"/>
  <c r="AS126" i="17"/>
  <c r="AS127" i="17"/>
  <c r="AS128" i="17"/>
  <c r="AS129" i="17"/>
  <c r="AS130" i="17"/>
  <c r="AS131" i="17"/>
  <c r="AS132" i="17"/>
  <c r="AS133" i="17"/>
  <c r="AS134" i="17"/>
  <c r="AS135" i="17"/>
  <c r="AS136" i="17"/>
  <c r="AS137" i="17"/>
  <c r="AS138" i="17"/>
  <c r="AS139" i="17"/>
  <c r="AS140" i="17"/>
  <c r="AS141" i="17"/>
  <c r="AS142" i="17"/>
  <c r="AS143" i="17"/>
  <c r="AS144" i="17"/>
  <c r="AS145" i="17"/>
  <c r="AS146" i="17"/>
  <c r="AS147" i="17"/>
  <c r="AS148" i="17"/>
  <c r="AS149" i="17"/>
  <c r="AS150" i="17"/>
  <c r="AS151" i="17"/>
  <c r="AS152" i="17"/>
  <c r="AS153" i="17"/>
  <c r="AS154" i="17"/>
  <c r="AS155" i="17"/>
  <c r="AS156" i="17"/>
  <c r="AS157" i="17"/>
  <c r="AS158" i="17"/>
  <c r="AS159" i="17"/>
  <c r="AS160" i="17"/>
  <c r="AS161" i="17"/>
  <c r="AS162" i="17"/>
  <c r="AS163" i="17"/>
  <c r="AS164" i="17"/>
  <c r="AS165" i="17"/>
  <c r="AS166" i="17"/>
  <c r="AS167" i="17"/>
  <c r="AS168" i="17"/>
  <c r="AS169" i="17"/>
  <c r="AS170" i="17"/>
  <c r="AS171" i="17"/>
  <c r="AS172" i="17"/>
  <c r="AS173" i="17"/>
  <c r="AS174" i="17"/>
  <c r="AS175" i="17"/>
  <c r="AS176" i="17"/>
  <c r="AS177" i="17"/>
  <c r="AS178" i="17"/>
  <c r="AS179" i="17"/>
  <c r="AS180" i="17"/>
  <c r="AS181" i="17"/>
  <c r="AS182" i="17"/>
  <c r="AS183" i="17"/>
  <c r="AS184" i="17"/>
  <c r="AS185" i="17"/>
  <c r="AS186" i="17"/>
  <c r="AS187" i="17"/>
  <c r="AS188" i="17"/>
  <c r="AS189" i="17"/>
  <c r="AS190" i="17"/>
  <c r="AS191" i="17"/>
  <c r="AS192" i="17"/>
  <c r="AS193" i="17"/>
  <c r="AS194" i="17"/>
  <c r="AS195" i="17"/>
  <c r="AS196" i="17"/>
  <c r="AS197" i="17"/>
  <c r="AS198" i="17"/>
  <c r="AS199" i="17"/>
  <c r="AS200" i="17"/>
  <c r="AS201" i="17"/>
  <c r="AF4" i="17"/>
  <c r="AF5" i="17"/>
  <c r="AF6" i="17"/>
  <c r="AF7" i="17"/>
  <c r="AF8" i="17"/>
  <c r="AF9" i="17"/>
  <c r="AF10" i="17"/>
  <c r="AF11" i="17"/>
  <c r="AF12" i="17"/>
  <c r="AF13" i="17"/>
  <c r="AF14" i="17"/>
  <c r="AF15" i="17"/>
  <c r="AF16" i="17"/>
  <c r="AF17" i="17"/>
  <c r="AF18" i="17"/>
  <c r="AF19" i="17"/>
  <c r="AF20" i="17"/>
  <c r="AF21" i="17"/>
  <c r="AF22" i="17"/>
  <c r="AF23" i="17"/>
  <c r="AF24" i="17"/>
  <c r="AF25" i="17"/>
  <c r="AF26" i="17"/>
  <c r="AF27" i="17"/>
  <c r="AF28" i="17"/>
  <c r="AF29" i="17"/>
  <c r="AF30" i="17"/>
  <c r="AF31" i="17"/>
  <c r="AF32" i="17"/>
  <c r="AF33" i="17"/>
  <c r="AF34" i="17"/>
  <c r="AF35" i="17"/>
  <c r="AF36" i="17"/>
  <c r="AF37" i="17"/>
  <c r="AF38" i="17"/>
  <c r="AF39" i="17"/>
  <c r="AF40" i="17"/>
  <c r="AF41" i="17"/>
  <c r="AF42" i="17"/>
  <c r="AF43" i="17"/>
  <c r="AF44" i="17"/>
  <c r="AF45" i="17"/>
  <c r="AF46" i="17"/>
  <c r="AF47" i="17"/>
  <c r="AF48" i="17"/>
  <c r="AF49" i="17"/>
  <c r="AF50" i="17"/>
  <c r="AF51" i="17"/>
  <c r="AF52" i="17"/>
  <c r="AF53" i="17"/>
  <c r="AF54" i="17"/>
  <c r="AF55" i="17"/>
  <c r="AF56" i="17"/>
  <c r="AF57" i="17"/>
  <c r="AF58" i="17"/>
  <c r="AF59" i="17"/>
  <c r="AF60" i="17"/>
  <c r="AF61" i="17"/>
  <c r="AF62" i="17"/>
  <c r="AF63" i="17"/>
  <c r="AF64" i="17"/>
  <c r="AF65" i="17"/>
  <c r="AF66" i="17"/>
  <c r="AF67" i="17"/>
  <c r="AF68" i="17"/>
  <c r="AF69" i="17"/>
  <c r="AF70" i="17"/>
  <c r="AF71" i="17"/>
  <c r="AF72" i="17"/>
  <c r="AF73" i="17"/>
  <c r="AF74" i="17"/>
  <c r="AF75" i="17"/>
  <c r="AF76" i="17"/>
  <c r="AF77" i="17"/>
  <c r="AF78" i="17"/>
  <c r="AF79" i="17"/>
  <c r="AF80" i="17"/>
  <c r="AF81" i="17"/>
  <c r="AF82" i="17"/>
  <c r="AF83" i="17"/>
  <c r="AF84" i="17"/>
  <c r="AF85" i="17"/>
  <c r="AF86" i="17"/>
  <c r="AF87" i="17"/>
  <c r="AF88" i="17"/>
  <c r="AF89" i="17"/>
  <c r="AF90" i="17"/>
  <c r="AF91" i="17"/>
  <c r="AF92" i="17"/>
  <c r="AF93" i="17"/>
  <c r="AF94" i="17"/>
  <c r="AF95" i="17"/>
  <c r="AF96" i="17"/>
  <c r="AF97" i="17"/>
  <c r="AF98" i="17"/>
  <c r="AF99" i="17"/>
  <c r="AF100" i="17"/>
  <c r="AF101" i="17"/>
  <c r="AF102" i="17"/>
  <c r="AF103" i="17"/>
  <c r="AF104" i="17"/>
  <c r="AF105" i="17"/>
  <c r="AF106" i="17"/>
  <c r="AF107" i="17"/>
  <c r="AF108" i="17"/>
  <c r="AF109" i="17"/>
  <c r="AF110" i="17"/>
  <c r="AF111" i="17"/>
  <c r="AF112" i="17"/>
  <c r="AF113" i="17"/>
  <c r="AF114" i="17"/>
  <c r="AF115" i="17"/>
  <c r="AF116" i="17"/>
  <c r="AF117" i="17"/>
  <c r="AF118" i="17"/>
  <c r="AF119" i="17"/>
  <c r="AF120" i="17"/>
  <c r="AF121" i="17"/>
  <c r="AF122" i="17"/>
  <c r="AF123" i="17"/>
  <c r="AF124" i="17"/>
  <c r="AF125" i="17"/>
  <c r="AF126" i="17"/>
  <c r="AF127" i="17"/>
  <c r="AF128" i="17"/>
  <c r="AF129" i="17"/>
  <c r="AF130" i="17"/>
  <c r="AF131" i="17"/>
  <c r="AF132" i="17"/>
  <c r="AF133" i="17"/>
  <c r="AF134" i="17"/>
  <c r="AF135" i="17"/>
  <c r="AF136" i="17"/>
  <c r="AF137" i="17"/>
  <c r="AF138" i="17"/>
  <c r="AF139" i="17"/>
  <c r="AF140" i="17"/>
  <c r="AF141" i="17"/>
  <c r="AF142" i="17"/>
  <c r="AF143" i="17"/>
  <c r="AF144" i="17"/>
  <c r="AF145" i="17"/>
  <c r="AF146" i="17"/>
  <c r="AF147" i="17"/>
  <c r="AF148" i="17"/>
  <c r="AF149" i="17"/>
  <c r="AF150" i="17"/>
  <c r="AF151" i="17"/>
  <c r="AF152" i="17"/>
  <c r="AF153" i="17"/>
  <c r="AF154" i="17"/>
  <c r="AF155" i="17"/>
  <c r="AF156" i="17"/>
  <c r="AF157" i="17"/>
  <c r="AF158" i="17"/>
  <c r="AF159" i="17"/>
  <c r="AF160" i="17"/>
  <c r="AF161" i="17"/>
  <c r="AF162" i="17"/>
  <c r="AF163" i="17"/>
  <c r="AF164" i="17"/>
  <c r="AF165" i="17"/>
  <c r="AF166" i="17"/>
  <c r="AF167" i="17"/>
  <c r="AF168" i="17"/>
  <c r="AF169" i="17"/>
  <c r="AF170" i="17"/>
  <c r="AF171" i="17"/>
  <c r="AF172" i="17"/>
  <c r="AF173" i="17"/>
  <c r="AF174" i="17"/>
  <c r="AF175" i="17"/>
  <c r="AF176" i="17"/>
  <c r="AF177" i="17"/>
  <c r="AF178" i="17"/>
  <c r="AF179" i="17"/>
  <c r="AF180" i="17"/>
  <c r="AF181" i="17"/>
  <c r="AF182" i="17"/>
  <c r="AF183" i="17"/>
  <c r="AF184" i="17"/>
  <c r="AF185" i="17"/>
  <c r="AF186" i="17"/>
  <c r="AF187" i="17"/>
  <c r="AF188" i="17"/>
  <c r="AF189" i="17"/>
  <c r="AF190" i="17"/>
  <c r="AF191" i="17"/>
  <c r="AF192" i="17"/>
  <c r="AF193" i="17"/>
  <c r="AF194" i="17"/>
  <c r="AF195" i="17"/>
  <c r="AF196" i="17"/>
  <c r="AF197" i="17"/>
  <c r="AF198" i="17"/>
  <c r="AF199" i="17"/>
  <c r="AF200" i="17"/>
  <c r="AF201" i="17"/>
  <c r="Y4" i="17"/>
  <c r="Y5" i="17"/>
  <c r="Y6" i="17"/>
  <c r="Y7" i="17"/>
  <c r="Y8" i="17"/>
  <c r="Y9" i="17"/>
  <c r="Y10" i="17"/>
  <c r="Y11" i="17"/>
  <c r="Y12" i="17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Y34" i="17"/>
  <c r="Y35" i="17"/>
  <c r="Y36" i="17"/>
  <c r="Y37" i="17"/>
  <c r="Y38" i="17"/>
  <c r="Y39" i="17"/>
  <c r="Y40" i="17"/>
  <c r="Y41" i="17"/>
  <c r="Y42" i="17"/>
  <c r="Y43" i="17"/>
  <c r="Y44" i="17"/>
  <c r="Y45" i="17"/>
  <c r="Y46" i="17"/>
  <c r="Y47" i="17"/>
  <c r="Y48" i="17"/>
  <c r="Y49" i="17"/>
  <c r="Y50" i="17"/>
  <c r="Y51" i="17"/>
  <c r="Y52" i="17"/>
  <c r="Y53" i="17"/>
  <c r="Y54" i="17"/>
  <c r="Y55" i="17"/>
  <c r="Y56" i="17"/>
  <c r="Y57" i="17"/>
  <c r="Y58" i="17"/>
  <c r="Y59" i="17"/>
  <c r="Y60" i="17"/>
  <c r="Y61" i="17"/>
  <c r="Y62" i="17"/>
  <c r="Y63" i="17"/>
  <c r="Y64" i="17"/>
  <c r="Y65" i="17"/>
  <c r="Y66" i="17"/>
  <c r="Y67" i="17"/>
  <c r="Y68" i="17"/>
  <c r="Y69" i="17"/>
  <c r="Y70" i="17"/>
  <c r="Y71" i="17"/>
  <c r="Y72" i="17"/>
  <c r="Y73" i="17"/>
  <c r="Y74" i="17"/>
  <c r="Y75" i="17"/>
  <c r="Y76" i="17"/>
  <c r="Y77" i="17"/>
  <c r="Y78" i="17"/>
  <c r="Y79" i="17"/>
  <c r="Y80" i="17"/>
  <c r="Y81" i="17"/>
  <c r="Y82" i="17"/>
  <c r="Y83" i="17"/>
  <c r="Y84" i="17"/>
  <c r="Y85" i="17"/>
  <c r="Y86" i="17"/>
  <c r="Y87" i="17"/>
  <c r="Y88" i="17"/>
  <c r="Y89" i="17"/>
  <c r="Y90" i="17"/>
  <c r="Y91" i="17"/>
  <c r="Y92" i="17"/>
  <c r="Y93" i="17"/>
  <c r="Y94" i="17"/>
  <c r="Y95" i="17"/>
  <c r="Y96" i="17"/>
  <c r="Y97" i="17"/>
  <c r="Y98" i="17"/>
  <c r="Y99" i="17"/>
  <c r="Y100" i="17"/>
  <c r="Y101" i="17"/>
  <c r="Y102" i="17"/>
  <c r="Y103" i="17"/>
  <c r="Y104" i="17"/>
  <c r="Y105" i="17"/>
  <c r="Y106" i="17"/>
  <c r="Y107" i="17"/>
  <c r="Y108" i="17"/>
  <c r="Y109" i="17"/>
  <c r="Y110" i="17"/>
  <c r="Y111" i="17"/>
  <c r="Y112" i="17"/>
  <c r="Y113" i="17"/>
  <c r="Y114" i="17"/>
  <c r="Y115" i="17"/>
  <c r="Y116" i="17"/>
  <c r="Y117" i="17"/>
  <c r="Y118" i="17"/>
  <c r="Y119" i="17"/>
  <c r="Y120" i="17"/>
  <c r="Y121" i="17"/>
  <c r="Y122" i="17"/>
  <c r="Y123" i="17"/>
  <c r="Y124" i="17"/>
  <c r="Y125" i="17"/>
  <c r="Y126" i="17"/>
  <c r="Y127" i="17"/>
  <c r="Y128" i="17"/>
  <c r="Y129" i="17"/>
  <c r="Y130" i="17"/>
  <c r="Y131" i="17"/>
  <c r="Y132" i="17"/>
  <c r="Y133" i="17"/>
  <c r="Y134" i="17"/>
  <c r="Y135" i="17"/>
  <c r="Y136" i="17"/>
  <c r="Y137" i="17"/>
  <c r="Y138" i="17"/>
  <c r="Y139" i="17"/>
  <c r="Y140" i="17"/>
  <c r="Y141" i="17"/>
  <c r="Y142" i="17"/>
  <c r="Y143" i="17"/>
  <c r="Y144" i="17"/>
  <c r="Y145" i="17"/>
  <c r="Y146" i="17"/>
  <c r="Y147" i="17"/>
  <c r="Y148" i="17"/>
  <c r="Y149" i="17"/>
  <c r="Y150" i="17"/>
  <c r="Y151" i="17"/>
  <c r="Y152" i="17"/>
  <c r="Y153" i="17"/>
  <c r="Y154" i="17"/>
  <c r="Y155" i="17"/>
  <c r="Y156" i="17"/>
  <c r="Y157" i="17"/>
  <c r="Y158" i="17"/>
  <c r="Y159" i="17"/>
  <c r="Y160" i="17"/>
  <c r="Y161" i="17"/>
  <c r="Y162" i="17"/>
  <c r="Y163" i="17"/>
  <c r="Y164" i="17"/>
  <c r="Y165" i="17"/>
  <c r="Y166" i="17"/>
  <c r="Y167" i="17"/>
  <c r="Y168" i="17"/>
  <c r="Y169" i="17"/>
  <c r="Y170" i="17"/>
  <c r="Y171" i="17"/>
  <c r="Y172" i="17"/>
  <c r="Y173" i="17"/>
  <c r="Y174" i="17"/>
  <c r="Y175" i="17"/>
  <c r="Y176" i="17"/>
  <c r="Y177" i="17"/>
  <c r="Y178" i="17"/>
  <c r="Y179" i="17"/>
  <c r="Y180" i="17"/>
  <c r="Y181" i="17"/>
  <c r="Y182" i="17"/>
  <c r="Y183" i="17"/>
  <c r="Y184" i="17"/>
  <c r="Y185" i="17"/>
  <c r="Y186" i="17"/>
  <c r="Y187" i="17"/>
  <c r="Y188" i="17"/>
  <c r="Y189" i="17"/>
  <c r="Y190" i="17"/>
  <c r="Y191" i="17"/>
  <c r="Y192" i="17"/>
  <c r="Y193" i="17"/>
  <c r="Y194" i="17"/>
  <c r="Y195" i="17"/>
  <c r="Y196" i="17"/>
  <c r="Y197" i="17"/>
  <c r="Y198" i="17"/>
  <c r="Y199" i="17"/>
  <c r="Y200" i="17"/>
  <c r="Y201" i="17"/>
  <c r="R4" i="17"/>
  <c r="R5" i="17"/>
  <c r="R6" i="17"/>
  <c r="R7" i="17"/>
  <c r="R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112" i="17"/>
  <c r="R113" i="17"/>
  <c r="R114" i="17"/>
  <c r="R115" i="17"/>
  <c r="R116" i="17"/>
  <c r="R117" i="17"/>
  <c r="R118" i="17"/>
  <c r="R119" i="17"/>
  <c r="R120" i="17"/>
  <c r="R121" i="17"/>
  <c r="R122" i="17"/>
  <c r="R123" i="17"/>
  <c r="R124" i="17"/>
  <c r="R125" i="17"/>
  <c r="R126" i="17"/>
  <c r="R127" i="17"/>
  <c r="R128" i="17"/>
  <c r="R129" i="17"/>
  <c r="R130" i="17"/>
  <c r="R131" i="17"/>
  <c r="R132" i="17"/>
  <c r="R133" i="17"/>
  <c r="R134" i="17"/>
  <c r="R135" i="17"/>
  <c r="R136" i="17"/>
  <c r="R137" i="17"/>
  <c r="R138" i="17"/>
  <c r="R139" i="17"/>
  <c r="R140" i="17"/>
  <c r="R141" i="17"/>
  <c r="R142" i="17"/>
  <c r="R143" i="17"/>
  <c r="R144" i="17"/>
  <c r="R145" i="17"/>
  <c r="R146" i="17"/>
  <c r="R147" i="17"/>
  <c r="R148" i="17"/>
  <c r="R149" i="17"/>
  <c r="R150" i="17"/>
  <c r="R151" i="17"/>
  <c r="R152" i="17"/>
  <c r="R153" i="17"/>
  <c r="R154" i="17"/>
  <c r="R155" i="17"/>
  <c r="R156" i="17"/>
  <c r="R157" i="17"/>
  <c r="R158" i="17"/>
  <c r="R159" i="17"/>
  <c r="R160" i="17"/>
  <c r="R161" i="17"/>
  <c r="R162" i="17"/>
  <c r="R163" i="17"/>
  <c r="R164" i="17"/>
  <c r="R165" i="17"/>
  <c r="R166" i="17"/>
  <c r="R167" i="17"/>
  <c r="R168" i="17"/>
  <c r="R169" i="17"/>
  <c r="R170" i="17"/>
  <c r="R171" i="17"/>
  <c r="R172" i="17"/>
  <c r="R173" i="17"/>
  <c r="R174" i="17"/>
  <c r="R175" i="17"/>
  <c r="R176" i="17"/>
  <c r="R177" i="17"/>
  <c r="R178" i="17"/>
  <c r="R179" i="17"/>
  <c r="R180" i="17"/>
  <c r="R181" i="17"/>
  <c r="R182" i="17"/>
  <c r="R183" i="17"/>
  <c r="R184" i="17"/>
  <c r="R185" i="17"/>
  <c r="R186" i="17"/>
  <c r="R187" i="17"/>
  <c r="R188" i="17"/>
  <c r="R189" i="17"/>
  <c r="R190" i="17"/>
  <c r="R191" i="17"/>
  <c r="R192" i="17"/>
  <c r="R193" i="17"/>
  <c r="R194" i="17"/>
  <c r="R195" i="17"/>
  <c r="R196" i="17"/>
  <c r="R197" i="17"/>
  <c r="R198" i="17"/>
  <c r="R199" i="17"/>
  <c r="R200" i="17"/>
  <c r="R201" i="17"/>
  <c r="CH4" i="16"/>
  <c r="CH5" i="16"/>
  <c r="CH6" i="16"/>
  <c r="CH7" i="16"/>
  <c r="CH8" i="16"/>
  <c r="CH9" i="16"/>
  <c r="CH10" i="16"/>
  <c r="CH11" i="16"/>
  <c r="CH12" i="16"/>
  <c r="CH13" i="16"/>
  <c r="CH14" i="16"/>
  <c r="CH15" i="16"/>
  <c r="CH16" i="16"/>
  <c r="CH17" i="16"/>
  <c r="CH18" i="16"/>
  <c r="CH19" i="16"/>
  <c r="CH20" i="16"/>
  <c r="CH21" i="16"/>
  <c r="CH22" i="16"/>
  <c r="CH23" i="16"/>
  <c r="CH24" i="16"/>
  <c r="CH25" i="16"/>
  <c r="CH26" i="16"/>
  <c r="CH27" i="16"/>
  <c r="CH28" i="16"/>
  <c r="CH29" i="16"/>
  <c r="CH30" i="16"/>
  <c r="CH31" i="16"/>
  <c r="CH32" i="16"/>
  <c r="CH33" i="16"/>
  <c r="CH34" i="16"/>
  <c r="CH35" i="16"/>
  <c r="CH36" i="16"/>
  <c r="CH37" i="16"/>
  <c r="CH38" i="16"/>
  <c r="CH39" i="16"/>
  <c r="CH40" i="16"/>
  <c r="CH41" i="16"/>
  <c r="CH42" i="16"/>
  <c r="CH43" i="16"/>
  <c r="CH44" i="16"/>
  <c r="CH45" i="16"/>
  <c r="CH46" i="16"/>
  <c r="CH47" i="16"/>
  <c r="CH48" i="16"/>
  <c r="CH49" i="16"/>
  <c r="CH50" i="16"/>
  <c r="CH51" i="16"/>
  <c r="CH52" i="16"/>
  <c r="CH53" i="16"/>
  <c r="CH54" i="16"/>
  <c r="CH55" i="16"/>
  <c r="CH56" i="16"/>
  <c r="CH57" i="16"/>
  <c r="CH58" i="16"/>
  <c r="CH59" i="16"/>
  <c r="CH60" i="16"/>
  <c r="CH61" i="16"/>
  <c r="CH62" i="16"/>
  <c r="CH63" i="16"/>
  <c r="CH64" i="16"/>
  <c r="CH65" i="16"/>
  <c r="CH66" i="16"/>
  <c r="CH67" i="16"/>
  <c r="CH68" i="16"/>
  <c r="CH69" i="16"/>
  <c r="CH70" i="16"/>
  <c r="CH71" i="16"/>
  <c r="CH72" i="16"/>
  <c r="CH73" i="16"/>
  <c r="CH74" i="16"/>
  <c r="CH75" i="16"/>
  <c r="CH76" i="16"/>
  <c r="CH77" i="16"/>
  <c r="CH78" i="16"/>
  <c r="CH79" i="16"/>
  <c r="CH80" i="16"/>
  <c r="CH81" i="16"/>
  <c r="CH82" i="16"/>
  <c r="CH83" i="16"/>
  <c r="CH84" i="16"/>
  <c r="CH85" i="16"/>
  <c r="CH86" i="16"/>
  <c r="CH87" i="16"/>
  <c r="CH88" i="16"/>
  <c r="CH89" i="16"/>
  <c r="CH90" i="16"/>
  <c r="CH91" i="16"/>
  <c r="CH92" i="16"/>
  <c r="CH93" i="16"/>
  <c r="CH94" i="16"/>
  <c r="CH95" i="16"/>
  <c r="CH96" i="16"/>
  <c r="CH97" i="16"/>
  <c r="CH98" i="16"/>
  <c r="CH99" i="16"/>
  <c r="CH100" i="16"/>
  <c r="CH101" i="16"/>
  <c r="CH102" i="16"/>
  <c r="CH103" i="16"/>
  <c r="CH104" i="16"/>
  <c r="CH105" i="16"/>
  <c r="CH106" i="16"/>
  <c r="CH107" i="16"/>
  <c r="CH108" i="16"/>
  <c r="CH109" i="16"/>
  <c r="CH110" i="16"/>
  <c r="CH111" i="16"/>
  <c r="CH112" i="16"/>
  <c r="CH113" i="16"/>
  <c r="CH114" i="16"/>
  <c r="CH115" i="16"/>
  <c r="CH116" i="16"/>
  <c r="CH117" i="16"/>
  <c r="CH118" i="16"/>
  <c r="CH119" i="16"/>
  <c r="CH120" i="16"/>
  <c r="CH121" i="16"/>
  <c r="CH122" i="16"/>
  <c r="CH123" i="16"/>
  <c r="CH124" i="16"/>
  <c r="CH125" i="16"/>
  <c r="CH126" i="16"/>
  <c r="CH127" i="16"/>
  <c r="CH128" i="16"/>
  <c r="CH129" i="16"/>
  <c r="CH130" i="16"/>
  <c r="CH131" i="16"/>
  <c r="CH132" i="16"/>
  <c r="CH133" i="16"/>
  <c r="CH134" i="16"/>
  <c r="CH135" i="16"/>
  <c r="CH136" i="16"/>
  <c r="CH137" i="16"/>
  <c r="CH138" i="16"/>
  <c r="CH139" i="16"/>
  <c r="CH140" i="16"/>
  <c r="CH141" i="16"/>
  <c r="CH142" i="16"/>
  <c r="CH143" i="16"/>
  <c r="CH144" i="16"/>
  <c r="CH145" i="16"/>
  <c r="CH146" i="16"/>
  <c r="CH147" i="16"/>
  <c r="CH148" i="16"/>
  <c r="CH149" i="16"/>
  <c r="CH150" i="16"/>
  <c r="CH151" i="16"/>
  <c r="CH152" i="16"/>
  <c r="CH153" i="16"/>
  <c r="CH154" i="16"/>
  <c r="CH155" i="16"/>
  <c r="CH156" i="16"/>
  <c r="CH157" i="16"/>
  <c r="CH158" i="16"/>
  <c r="CH159" i="16"/>
  <c r="CH160" i="16"/>
  <c r="CH161" i="16"/>
  <c r="CH162" i="16"/>
  <c r="CH163" i="16"/>
  <c r="CH164" i="16"/>
  <c r="CH165" i="16"/>
  <c r="CH166" i="16"/>
  <c r="CH167" i="16"/>
  <c r="CH168" i="16"/>
  <c r="CH169" i="16"/>
  <c r="CH170" i="16"/>
  <c r="CH171" i="16"/>
  <c r="CH172" i="16"/>
  <c r="CH173" i="16"/>
  <c r="CH174" i="16"/>
  <c r="CH175" i="16"/>
  <c r="CH176" i="16"/>
  <c r="CH177" i="16"/>
  <c r="CH178" i="16"/>
  <c r="CH179" i="16"/>
  <c r="CH180" i="16"/>
  <c r="CH181" i="16"/>
  <c r="CH182" i="16"/>
  <c r="CH183" i="16"/>
  <c r="CH184" i="16"/>
  <c r="CH185" i="16"/>
  <c r="CH186" i="16"/>
  <c r="CH187" i="16"/>
  <c r="CH188" i="16"/>
  <c r="CH189" i="16"/>
  <c r="CH190" i="16"/>
  <c r="CH191" i="16"/>
  <c r="CH192" i="16"/>
  <c r="CH193" i="16"/>
  <c r="CH194" i="16"/>
  <c r="CH195" i="16"/>
  <c r="CH196" i="16"/>
  <c r="CH197" i="16"/>
  <c r="CH198" i="16"/>
  <c r="CH199" i="16"/>
  <c r="CH200" i="16"/>
  <c r="CH201" i="16"/>
  <c r="CA4" i="16"/>
  <c r="CA5" i="16"/>
  <c r="CA6" i="16"/>
  <c r="CA7" i="16"/>
  <c r="CA8" i="16"/>
  <c r="CA9" i="16"/>
  <c r="CA10" i="16"/>
  <c r="CA11" i="16"/>
  <c r="CA12" i="16"/>
  <c r="CA13" i="16"/>
  <c r="CA14" i="16"/>
  <c r="CA15" i="16"/>
  <c r="CA16" i="16"/>
  <c r="CA17" i="16"/>
  <c r="CA18" i="16"/>
  <c r="CA19" i="16"/>
  <c r="CA20" i="16"/>
  <c r="CA21" i="16"/>
  <c r="CA22" i="16"/>
  <c r="CA23" i="16"/>
  <c r="CA24" i="16"/>
  <c r="CA25" i="16"/>
  <c r="CA26" i="16"/>
  <c r="CA27" i="16"/>
  <c r="CA28" i="16"/>
  <c r="CA29" i="16"/>
  <c r="CA30" i="16"/>
  <c r="CA31" i="16"/>
  <c r="CA32" i="16"/>
  <c r="CA33" i="16"/>
  <c r="CA34" i="16"/>
  <c r="CA35" i="16"/>
  <c r="CA36" i="16"/>
  <c r="CA37" i="16"/>
  <c r="CA38" i="16"/>
  <c r="CA39" i="16"/>
  <c r="CA40" i="16"/>
  <c r="CA41" i="16"/>
  <c r="CA42" i="16"/>
  <c r="CA43" i="16"/>
  <c r="CA44" i="16"/>
  <c r="CA45" i="16"/>
  <c r="CA46" i="16"/>
  <c r="CA47" i="16"/>
  <c r="CA48" i="16"/>
  <c r="CA49" i="16"/>
  <c r="CA50" i="16"/>
  <c r="CA51" i="16"/>
  <c r="CA52" i="16"/>
  <c r="CA53" i="16"/>
  <c r="CA54" i="16"/>
  <c r="CA55" i="16"/>
  <c r="CA56" i="16"/>
  <c r="CA57" i="16"/>
  <c r="CA58" i="16"/>
  <c r="CA59" i="16"/>
  <c r="CA60" i="16"/>
  <c r="CA61" i="16"/>
  <c r="CA62" i="16"/>
  <c r="CA63" i="16"/>
  <c r="CA64" i="16"/>
  <c r="CA65" i="16"/>
  <c r="CA66" i="16"/>
  <c r="CA67" i="16"/>
  <c r="CA68" i="16"/>
  <c r="CA69" i="16"/>
  <c r="CA70" i="16"/>
  <c r="CA71" i="16"/>
  <c r="CA72" i="16"/>
  <c r="CA73" i="16"/>
  <c r="CA74" i="16"/>
  <c r="CA75" i="16"/>
  <c r="CA76" i="16"/>
  <c r="CA77" i="16"/>
  <c r="CA78" i="16"/>
  <c r="CA79" i="16"/>
  <c r="CA80" i="16"/>
  <c r="CA81" i="16"/>
  <c r="CA82" i="16"/>
  <c r="CA83" i="16"/>
  <c r="CA84" i="16"/>
  <c r="CA85" i="16"/>
  <c r="CA86" i="16"/>
  <c r="CA87" i="16"/>
  <c r="CA88" i="16"/>
  <c r="CA89" i="16"/>
  <c r="CA90" i="16"/>
  <c r="CA91" i="16"/>
  <c r="CA92" i="16"/>
  <c r="CA93" i="16"/>
  <c r="CA94" i="16"/>
  <c r="CA95" i="16"/>
  <c r="CA96" i="16"/>
  <c r="CA97" i="16"/>
  <c r="CA98" i="16"/>
  <c r="CA99" i="16"/>
  <c r="CA100" i="16"/>
  <c r="CA101" i="16"/>
  <c r="CA102" i="16"/>
  <c r="CA103" i="16"/>
  <c r="CA104" i="16"/>
  <c r="CA105" i="16"/>
  <c r="CA106" i="16"/>
  <c r="CA107" i="16"/>
  <c r="CA108" i="16"/>
  <c r="CA109" i="16"/>
  <c r="CA110" i="16"/>
  <c r="CA111" i="16"/>
  <c r="CA112" i="16"/>
  <c r="CA113" i="16"/>
  <c r="CA114" i="16"/>
  <c r="CA115" i="16"/>
  <c r="CA116" i="16"/>
  <c r="CA117" i="16"/>
  <c r="CA118" i="16"/>
  <c r="CA119" i="16"/>
  <c r="CA120" i="16"/>
  <c r="CA121" i="16"/>
  <c r="CA122" i="16"/>
  <c r="CA123" i="16"/>
  <c r="CA124" i="16"/>
  <c r="CA125" i="16"/>
  <c r="CA126" i="16"/>
  <c r="CA127" i="16"/>
  <c r="CA128" i="16"/>
  <c r="CA129" i="16"/>
  <c r="CA130" i="16"/>
  <c r="CA131" i="16"/>
  <c r="CA132" i="16"/>
  <c r="CA133" i="16"/>
  <c r="CA134" i="16"/>
  <c r="CA135" i="16"/>
  <c r="CA136" i="16"/>
  <c r="CA137" i="16"/>
  <c r="CA138" i="16"/>
  <c r="CA139" i="16"/>
  <c r="CA140" i="16"/>
  <c r="CA141" i="16"/>
  <c r="CA142" i="16"/>
  <c r="CA143" i="16"/>
  <c r="CA144" i="16"/>
  <c r="CA145" i="16"/>
  <c r="CA146" i="16"/>
  <c r="CA147" i="16"/>
  <c r="CA148" i="16"/>
  <c r="CA149" i="16"/>
  <c r="CA150" i="16"/>
  <c r="CA151" i="16"/>
  <c r="CA152" i="16"/>
  <c r="CA153" i="16"/>
  <c r="CA154" i="16"/>
  <c r="CA155" i="16"/>
  <c r="CA156" i="16"/>
  <c r="CA157" i="16"/>
  <c r="CA158" i="16"/>
  <c r="CA159" i="16"/>
  <c r="CA160" i="16"/>
  <c r="CA161" i="16"/>
  <c r="CA162" i="16"/>
  <c r="CA163" i="16"/>
  <c r="CA164" i="16"/>
  <c r="CA165" i="16"/>
  <c r="CA166" i="16"/>
  <c r="CA167" i="16"/>
  <c r="CA168" i="16"/>
  <c r="CA169" i="16"/>
  <c r="CA170" i="16"/>
  <c r="CA171" i="16"/>
  <c r="CA172" i="16"/>
  <c r="CA173" i="16"/>
  <c r="CA174" i="16"/>
  <c r="CA175" i="16"/>
  <c r="CA176" i="16"/>
  <c r="CA177" i="16"/>
  <c r="CA178" i="16"/>
  <c r="CA179" i="16"/>
  <c r="CA180" i="16"/>
  <c r="CA181" i="16"/>
  <c r="CA182" i="16"/>
  <c r="CA183" i="16"/>
  <c r="CA184" i="16"/>
  <c r="CA185" i="16"/>
  <c r="CA186" i="16"/>
  <c r="CA187" i="16"/>
  <c r="CA188" i="16"/>
  <c r="CA189" i="16"/>
  <c r="CA190" i="16"/>
  <c r="CA191" i="16"/>
  <c r="CA192" i="16"/>
  <c r="CA193" i="16"/>
  <c r="CA194" i="16"/>
  <c r="CA195" i="16"/>
  <c r="CA196" i="16"/>
  <c r="CA197" i="16"/>
  <c r="CA198" i="16"/>
  <c r="CA199" i="16"/>
  <c r="CA200" i="16"/>
  <c r="CA201" i="16"/>
  <c r="BT4" i="16"/>
  <c r="BT5" i="16"/>
  <c r="BT6" i="16"/>
  <c r="BT7" i="16"/>
  <c r="BT8" i="16"/>
  <c r="BT9" i="16"/>
  <c r="BT10" i="16"/>
  <c r="BT11" i="16"/>
  <c r="BT12" i="16"/>
  <c r="BT13" i="16"/>
  <c r="BT14" i="16"/>
  <c r="BT15" i="16"/>
  <c r="BT16" i="16"/>
  <c r="BT17" i="16"/>
  <c r="BT18" i="16"/>
  <c r="BT19" i="16"/>
  <c r="BT20" i="16"/>
  <c r="BT21" i="16"/>
  <c r="BT22" i="16"/>
  <c r="BT23" i="16"/>
  <c r="BT24" i="16"/>
  <c r="BT25" i="16"/>
  <c r="BT26" i="16"/>
  <c r="BT27" i="16"/>
  <c r="BT28" i="16"/>
  <c r="BT29" i="16"/>
  <c r="BT30" i="16"/>
  <c r="BT31" i="16"/>
  <c r="BT32" i="16"/>
  <c r="BT33" i="16"/>
  <c r="BT34" i="16"/>
  <c r="BT35" i="16"/>
  <c r="BT36" i="16"/>
  <c r="BT37" i="16"/>
  <c r="BT38" i="16"/>
  <c r="BT39" i="16"/>
  <c r="BT40" i="16"/>
  <c r="BT41" i="16"/>
  <c r="BT42" i="16"/>
  <c r="BT43" i="16"/>
  <c r="BT44" i="16"/>
  <c r="BT45" i="16"/>
  <c r="BT46" i="16"/>
  <c r="BT47" i="16"/>
  <c r="BT48" i="16"/>
  <c r="BT49" i="16"/>
  <c r="BT50" i="16"/>
  <c r="BT51" i="16"/>
  <c r="BT52" i="16"/>
  <c r="BT53" i="16"/>
  <c r="BT54" i="16"/>
  <c r="BT55" i="16"/>
  <c r="BT56" i="16"/>
  <c r="BT57" i="16"/>
  <c r="BT58" i="16"/>
  <c r="BT59" i="16"/>
  <c r="BT60" i="16"/>
  <c r="BT61" i="16"/>
  <c r="BT62" i="16"/>
  <c r="BT63" i="16"/>
  <c r="BT64" i="16"/>
  <c r="BT65" i="16"/>
  <c r="BT66" i="16"/>
  <c r="BT67" i="16"/>
  <c r="BT68" i="16"/>
  <c r="BT69" i="16"/>
  <c r="BT70" i="16"/>
  <c r="BT71" i="16"/>
  <c r="BT72" i="16"/>
  <c r="BT73" i="16"/>
  <c r="BT74" i="16"/>
  <c r="BT75" i="16"/>
  <c r="BT76" i="16"/>
  <c r="BT77" i="16"/>
  <c r="BT78" i="16"/>
  <c r="BT79" i="16"/>
  <c r="BT80" i="16"/>
  <c r="BT81" i="16"/>
  <c r="BT82" i="16"/>
  <c r="BT83" i="16"/>
  <c r="BT84" i="16"/>
  <c r="BT85" i="16"/>
  <c r="BT86" i="16"/>
  <c r="BT87" i="16"/>
  <c r="BT88" i="16"/>
  <c r="BT89" i="16"/>
  <c r="BT90" i="16"/>
  <c r="BT91" i="16"/>
  <c r="BT92" i="16"/>
  <c r="BT93" i="16"/>
  <c r="BT94" i="16"/>
  <c r="BT95" i="16"/>
  <c r="BT96" i="16"/>
  <c r="BT97" i="16"/>
  <c r="BT98" i="16"/>
  <c r="BT99" i="16"/>
  <c r="BT100" i="16"/>
  <c r="BT101" i="16"/>
  <c r="BT102" i="16"/>
  <c r="BT103" i="16"/>
  <c r="BT104" i="16"/>
  <c r="BT105" i="16"/>
  <c r="BT106" i="16"/>
  <c r="BT107" i="16"/>
  <c r="BT108" i="16"/>
  <c r="BT109" i="16"/>
  <c r="BT110" i="16"/>
  <c r="BT111" i="16"/>
  <c r="BT112" i="16"/>
  <c r="BT113" i="16"/>
  <c r="BT114" i="16"/>
  <c r="BT115" i="16"/>
  <c r="BT116" i="16"/>
  <c r="BT117" i="16"/>
  <c r="BT118" i="16"/>
  <c r="BT119" i="16"/>
  <c r="BT120" i="16"/>
  <c r="BT121" i="16"/>
  <c r="BT122" i="16"/>
  <c r="BT123" i="16"/>
  <c r="BT124" i="16"/>
  <c r="BT125" i="16"/>
  <c r="BT126" i="16"/>
  <c r="BT127" i="16"/>
  <c r="BT128" i="16"/>
  <c r="BT129" i="16"/>
  <c r="BT130" i="16"/>
  <c r="BT131" i="16"/>
  <c r="BT132" i="16"/>
  <c r="BT133" i="16"/>
  <c r="BT134" i="16"/>
  <c r="BT135" i="16"/>
  <c r="BT136" i="16"/>
  <c r="BT137" i="16"/>
  <c r="BT138" i="16"/>
  <c r="BT139" i="16"/>
  <c r="BT140" i="16"/>
  <c r="BT141" i="16"/>
  <c r="BT142" i="16"/>
  <c r="BT143" i="16"/>
  <c r="BT144" i="16"/>
  <c r="BT145" i="16"/>
  <c r="BT146" i="16"/>
  <c r="BT147" i="16"/>
  <c r="BT148" i="16"/>
  <c r="BT149" i="16"/>
  <c r="BT150" i="16"/>
  <c r="BT151" i="16"/>
  <c r="BT152" i="16"/>
  <c r="BT153" i="16"/>
  <c r="BT154" i="16"/>
  <c r="BT155" i="16"/>
  <c r="BT156" i="16"/>
  <c r="BT157" i="16"/>
  <c r="BT158" i="16"/>
  <c r="BT159" i="16"/>
  <c r="BT160" i="16"/>
  <c r="BT161" i="16"/>
  <c r="BT162" i="16"/>
  <c r="BT163" i="16"/>
  <c r="BT164" i="16"/>
  <c r="BT165" i="16"/>
  <c r="BT166" i="16"/>
  <c r="BT167" i="16"/>
  <c r="BT168" i="16"/>
  <c r="BT169" i="16"/>
  <c r="BT170" i="16"/>
  <c r="BT171" i="16"/>
  <c r="BT172" i="16"/>
  <c r="BT173" i="16"/>
  <c r="BT174" i="16"/>
  <c r="BT175" i="16"/>
  <c r="BT176" i="16"/>
  <c r="BT177" i="16"/>
  <c r="BT178" i="16"/>
  <c r="BT179" i="16"/>
  <c r="BT180" i="16"/>
  <c r="BT181" i="16"/>
  <c r="BT182" i="16"/>
  <c r="BT183" i="16"/>
  <c r="BT184" i="16"/>
  <c r="BT185" i="16"/>
  <c r="BT186" i="16"/>
  <c r="BT187" i="16"/>
  <c r="BT188" i="16"/>
  <c r="BT189" i="16"/>
  <c r="BT190" i="16"/>
  <c r="BT191" i="16"/>
  <c r="BT192" i="16"/>
  <c r="BT193" i="16"/>
  <c r="BT194" i="16"/>
  <c r="BT195" i="16"/>
  <c r="BT196" i="16"/>
  <c r="BT197" i="16"/>
  <c r="BT198" i="16"/>
  <c r="BT199" i="16"/>
  <c r="BT200" i="16"/>
  <c r="BT201" i="16"/>
  <c r="BG4" i="16"/>
  <c r="BG5" i="16"/>
  <c r="BG6" i="16"/>
  <c r="BG7" i="16"/>
  <c r="BG8" i="16"/>
  <c r="BG9" i="16"/>
  <c r="BG10" i="16"/>
  <c r="BG11" i="16"/>
  <c r="BG12" i="16"/>
  <c r="BG13" i="16"/>
  <c r="BG14" i="16"/>
  <c r="BG15" i="16"/>
  <c r="BG16" i="16"/>
  <c r="BG17" i="16"/>
  <c r="BG18" i="16"/>
  <c r="BG19" i="16"/>
  <c r="BG20" i="16"/>
  <c r="BG21" i="16"/>
  <c r="BG22" i="16"/>
  <c r="BG23" i="16"/>
  <c r="BG24" i="16"/>
  <c r="BG25" i="16"/>
  <c r="BG26" i="16"/>
  <c r="BG27" i="16"/>
  <c r="BG28" i="16"/>
  <c r="BG29" i="16"/>
  <c r="BG30" i="16"/>
  <c r="BG31" i="16"/>
  <c r="BG32" i="16"/>
  <c r="BG33" i="16"/>
  <c r="BG34" i="16"/>
  <c r="BG35" i="16"/>
  <c r="BG36" i="16"/>
  <c r="BG37" i="16"/>
  <c r="BG38" i="16"/>
  <c r="BG39" i="16"/>
  <c r="BG40" i="16"/>
  <c r="BG41" i="16"/>
  <c r="BG42" i="16"/>
  <c r="BG43" i="16"/>
  <c r="BG44" i="16"/>
  <c r="BG45" i="16"/>
  <c r="BG46" i="16"/>
  <c r="BG47" i="16"/>
  <c r="BG48" i="16"/>
  <c r="BG49" i="16"/>
  <c r="BG50" i="16"/>
  <c r="BG51" i="16"/>
  <c r="BG52" i="16"/>
  <c r="BG53" i="16"/>
  <c r="BG54" i="16"/>
  <c r="BG55" i="16"/>
  <c r="BG56" i="16"/>
  <c r="BG57" i="16"/>
  <c r="BG58" i="16"/>
  <c r="BG59" i="16"/>
  <c r="BG60" i="16"/>
  <c r="BG61" i="16"/>
  <c r="BG62" i="16"/>
  <c r="BG63" i="16"/>
  <c r="BG64" i="16"/>
  <c r="BG65" i="16"/>
  <c r="BG66" i="16"/>
  <c r="BG67" i="16"/>
  <c r="BG68" i="16"/>
  <c r="BG69" i="16"/>
  <c r="BG70" i="16"/>
  <c r="BG71" i="16"/>
  <c r="BG72" i="16"/>
  <c r="BG73" i="16"/>
  <c r="BG74" i="16"/>
  <c r="BG75" i="16"/>
  <c r="BG76" i="16"/>
  <c r="BG77" i="16"/>
  <c r="BG78" i="16"/>
  <c r="BG79" i="16"/>
  <c r="BG80" i="16"/>
  <c r="BG81" i="16"/>
  <c r="BG82" i="16"/>
  <c r="BG83" i="16"/>
  <c r="BG84" i="16"/>
  <c r="BG85" i="16"/>
  <c r="BG86" i="16"/>
  <c r="BG87" i="16"/>
  <c r="BG88" i="16"/>
  <c r="BG89" i="16"/>
  <c r="BG90" i="16"/>
  <c r="BG91" i="16"/>
  <c r="BG92" i="16"/>
  <c r="BG93" i="16"/>
  <c r="BG94" i="16"/>
  <c r="BG95" i="16"/>
  <c r="BG96" i="16"/>
  <c r="BG97" i="16"/>
  <c r="BG98" i="16"/>
  <c r="BG99" i="16"/>
  <c r="BG100" i="16"/>
  <c r="BG101" i="16"/>
  <c r="BG102" i="16"/>
  <c r="BG103" i="16"/>
  <c r="BG104" i="16"/>
  <c r="BG105" i="16"/>
  <c r="BG106" i="16"/>
  <c r="BG107" i="16"/>
  <c r="BG108" i="16"/>
  <c r="BG109" i="16"/>
  <c r="BG110" i="16"/>
  <c r="BG111" i="16"/>
  <c r="BG112" i="16"/>
  <c r="BG113" i="16"/>
  <c r="BG114" i="16"/>
  <c r="BG115" i="16"/>
  <c r="BG116" i="16"/>
  <c r="BG117" i="16"/>
  <c r="BG118" i="16"/>
  <c r="BG119" i="16"/>
  <c r="BG120" i="16"/>
  <c r="BG121" i="16"/>
  <c r="BG122" i="16"/>
  <c r="BG123" i="16"/>
  <c r="BG124" i="16"/>
  <c r="BG125" i="16"/>
  <c r="BG126" i="16"/>
  <c r="BG127" i="16"/>
  <c r="BG128" i="16"/>
  <c r="BG129" i="16"/>
  <c r="BG130" i="16"/>
  <c r="BG131" i="16"/>
  <c r="BG132" i="16"/>
  <c r="BG133" i="16"/>
  <c r="BG134" i="16"/>
  <c r="BG135" i="16"/>
  <c r="BG136" i="16"/>
  <c r="BG137" i="16"/>
  <c r="BG138" i="16"/>
  <c r="BG139" i="16"/>
  <c r="BG140" i="16"/>
  <c r="BG141" i="16"/>
  <c r="BG142" i="16"/>
  <c r="BG143" i="16"/>
  <c r="BG144" i="16"/>
  <c r="BG145" i="16"/>
  <c r="BG146" i="16"/>
  <c r="BG147" i="16"/>
  <c r="BG148" i="16"/>
  <c r="BG149" i="16"/>
  <c r="BG150" i="16"/>
  <c r="BG151" i="16"/>
  <c r="BG152" i="16"/>
  <c r="BG153" i="16"/>
  <c r="BG154" i="16"/>
  <c r="BG155" i="16"/>
  <c r="BG156" i="16"/>
  <c r="BG157" i="16"/>
  <c r="BG158" i="16"/>
  <c r="BG159" i="16"/>
  <c r="BG160" i="16"/>
  <c r="BG161" i="16"/>
  <c r="BG162" i="16"/>
  <c r="BG163" i="16"/>
  <c r="BG164" i="16"/>
  <c r="BG165" i="16"/>
  <c r="BG166" i="16"/>
  <c r="BG167" i="16"/>
  <c r="BG168" i="16"/>
  <c r="BG169" i="16"/>
  <c r="BG170" i="16"/>
  <c r="BG171" i="16"/>
  <c r="BG172" i="16"/>
  <c r="BG173" i="16"/>
  <c r="BG174" i="16"/>
  <c r="BG175" i="16"/>
  <c r="BG176" i="16"/>
  <c r="BG177" i="16"/>
  <c r="BG178" i="16"/>
  <c r="BG179" i="16"/>
  <c r="BG180" i="16"/>
  <c r="BG181" i="16"/>
  <c r="BG182" i="16"/>
  <c r="BG183" i="16"/>
  <c r="BG184" i="16"/>
  <c r="BG185" i="16"/>
  <c r="BG186" i="16"/>
  <c r="BG187" i="16"/>
  <c r="BG188" i="16"/>
  <c r="BG189" i="16"/>
  <c r="BG190" i="16"/>
  <c r="BG191" i="16"/>
  <c r="BG192" i="16"/>
  <c r="BG193" i="16"/>
  <c r="BG194" i="16"/>
  <c r="BG195" i="16"/>
  <c r="BG196" i="16"/>
  <c r="BG197" i="16"/>
  <c r="BG198" i="16"/>
  <c r="BG199" i="16"/>
  <c r="BG200" i="16"/>
  <c r="BG201" i="16"/>
  <c r="AZ4" i="16"/>
  <c r="AZ5" i="16"/>
  <c r="AZ6" i="16"/>
  <c r="AZ7" i="16"/>
  <c r="AZ8" i="16"/>
  <c r="AZ9" i="16"/>
  <c r="AZ10" i="16"/>
  <c r="AZ11" i="16"/>
  <c r="AZ12" i="16"/>
  <c r="AZ13" i="16"/>
  <c r="AZ14" i="16"/>
  <c r="AZ15" i="16"/>
  <c r="AZ16" i="16"/>
  <c r="AZ17" i="16"/>
  <c r="AZ18" i="16"/>
  <c r="AZ19" i="16"/>
  <c r="AZ20" i="16"/>
  <c r="AZ21" i="16"/>
  <c r="AZ22" i="16"/>
  <c r="AZ23" i="16"/>
  <c r="AZ24" i="16"/>
  <c r="AZ25" i="16"/>
  <c r="AZ26" i="16"/>
  <c r="AZ27" i="16"/>
  <c r="AZ28" i="16"/>
  <c r="AZ29" i="16"/>
  <c r="AZ30" i="16"/>
  <c r="AZ31" i="16"/>
  <c r="AZ32" i="16"/>
  <c r="AZ33" i="16"/>
  <c r="AZ34" i="16"/>
  <c r="AZ35" i="16"/>
  <c r="AZ36" i="16"/>
  <c r="AZ37" i="16"/>
  <c r="AZ38" i="16"/>
  <c r="AZ39" i="16"/>
  <c r="AZ40" i="16"/>
  <c r="AZ41" i="16"/>
  <c r="AZ42" i="16"/>
  <c r="AZ43" i="16"/>
  <c r="AZ44" i="16"/>
  <c r="AZ45" i="16"/>
  <c r="AZ46" i="16"/>
  <c r="AZ47" i="16"/>
  <c r="AZ48" i="16"/>
  <c r="AZ49" i="16"/>
  <c r="AZ50" i="16"/>
  <c r="AZ51" i="16"/>
  <c r="AZ52" i="16"/>
  <c r="AZ53" i="16"/>
  <c r="AZ54" i="16"/>
  <c r="AZ55" i="16"/>
  <c r="AZ56" i="16"/>
  <c r="AZ57" i="16"/>
  <c r="AZ58" i="16"/>
  <c r="AZ59" i="16"/>
  <c r="AZ60" i="16"/>
  <c r="AZ61" i="16"/>
  <c r="AZ62" i="16"/>
  <c r="AZ63" i="16"/>
  <c r="AZ64" i="16"/>
  <c r="AZ65" i="16"/>
  <c r="AZ66" i="16"/>
  <c r="AZ67" i="16"/>
  <c r="AZ68" i="16"/>
  <c r="AZ69" i="16"/>
  <c r="AZ70" i="16"/>
  <c r="AZ71" i="16"/>
  <c r="AZ72" i="16"/>
  <c r="AZ73" i="16"/>
  <c r="AZ74" i="16"/>
  <c r="AZ75" i="16"/>
  <c r="AZ76" i="16"/>
  <c r="AZ77" i="16"/>
  <c r="AZ78" i="16"/>
  <c r="AZ79" i="16"/>
  <c r="AZ80" i="16"/>
  <c r="AZ81" i="16"/>
  <c r="AZ82" i="16"/>
  <c r="AZ83" i="16"/>
  <c r="AZ84" i="16"/>
  <c r="AZ85" i="16"/>
  <c r="AZ86" i="16"/>
  <c r="AZ87" i="16"/>
  <c r="AZ88" i="16"/>
  <c r="AZ89" i="16"/>
  <c r="AZ90" i="16"/>
  <c r="AZ91" i="16"/>
  <c r="AZ92" i="16"/>
  <c r="AZ93" i="16"/>
  <c r="AZ94" i="16"/>
  <c r="AZ95" i="16"/>
  <c r="AZ96" i="16"/>
  <c r="AZ97" i="16"/>
  <c r="AZ98" i="16"/>
  <c r="AZ99" i="16"/>
  <c r="AZ100" i="16"/>
  <c r="AZ101" i="16"/>
  <c r="AZ102" i="16"/>
  <c r="AZ103" i="16"/>
  <c r="AZ104" i="16"/>
  <c r="AZ105" i="16"/>
  <c r="AZ106" i="16"/>
  <c r="AZ107" i="16"/>
  <c r="AZ108" i="16"/>
  <c r="AZ109" i="16"/>
  <c r="AZ110" i="16"/>
  <c r="AZ111" i="16"/>
  <c r="AZ112" i="16"/>
  <c r="AZ113" i="16"/>
  <c r="AZ114" i="16"/>
  <c r="AZ115" i="16"/>
  <c r="AZ116" i="16"/>
  <c r="AZ117" i="16"/>
  <c r="AZ118" i="16"/>
  <c r="AZ119" i="16"/>
  <c r="AZ120" i="16"/>
  <c r="AZ121" i="16"/>
  <c r="AZ122" i="16"/>
  <c r="AZ123" i="16"/>
  <c r="AZ124" i="16"/>
  <c r="AZ125" i="16"/>
  <c r="AZ126" i="16"/>
  <c r="AZ127" i="16"/>
  <c r="AZ128" i="16"/>
  <c r="AZ129" i="16"/>
  <c r="AZ130" i="16"/>
  <c r="AZ131" i="16"/>
  <c r="AZ132" i="16"/>
  <c r="AZ133" i="16"/>
  <c r="AZ134" i="16"/>
  <c r="AZ135" i="16"/>
  <c r="AZ136" i="16"/>
  <c r="AZ137" i="16"/>
  <c r="AZ138" i="16"/>
  <c r="AZ139" i="16"/>
  <c r="AZ140" i="16"/>
  <c r="AZ141" i="16"/>
  <c r="AZ142" i="16"/>
  <c r="AZ143" i="16"/>
  <c r="AZ144" i="16"/>
  <c r="AZ145" i="16"/>
  <c r="AZ146" i="16"/>
  <c r="AZ147" i="16"/>
  <c r="AZ148" i="16"/>
  <c r="AZ149" i="16"/>
  <c r="AZ150" i="16"/>
  <c r="AZ151" i="16"/>
  <c r="AZ152" i="16"/>
  <c r="AZ153" i="16"/>
  <c r="AZ154" i="16"/>
  <c r="AZ155" i="16"/>
  <c r="AZ156" i="16"/>
  <c r="AZ157" i="16"/>
  <c r="AZ158" i="16"/>
  <c r="AZ159" i="16"/>
  <c r="AZ160" i="16"/>
  <c r="AZ161" i="16"/>
  <c r="AZ162" i="16"/>
  <c r="AZ163" i="16"/>
  <c r="AZ164" i="16"/>
  <c r="AZ165" i="16"/>
  <c r="AZ166" i="16"/>
  <c r="AZ167" i="16"/>
  <c r="AZ168" i="16"/>
  <c r="AZ169" i="16"/>
  <c r="AZ170" i="16"/>
  <c r="AZ171" i="16"/>
  <c r="AZ172" i="16"/>
  <c r="AZ173" i="16"/>
  <c r="AZ174" i="16"/>
  <c r="AZ175" i="16"/>
  <c r="AZ176" i="16"/>
  <c r="AZ177" i="16"/>
  <c r="AZ178" i="16"/>
  <c r="AZ179" i="16"/>
  <c r="AZ180" i="16"/>
  <c r="AZ181" i="16"/>
  <c r="AZ182" i="16"/>
  <c r="AZ183" i="16"/>
  <c r="AZ184" i="16"/>
  <c r="AZ185" i="16"/>
  <c r="AZ186" i="16"/>
  <c r="AZ187" i="16"/>
  <c r="AZ188" i="16"/>
  <c r="AZ189" i="16"/>
  <c r="AZ190" i="16"/>
  <c r="AZ191" i="16"/>
  <c r="AZ192" i="16"/>
  <c r="AZ193" i="16"/>
  <c r="AZ194" i="16"/>
  <c r="AZ195" i="16"/>
  <c r="AZ196" i="16"/>
  <c r="AZ197" i="16"/>
  <c r="AZ198" i="16"/>
  <c r="AZ199" i="16"/>
  <c r="AZ200" i="16"/>
  <c r="AZ201" i="16"/>
  <c r="AS4" i="16"/>
  <c r="AS5" i="16"/>
  <c r="AS6" i="16"/>
  <c r="AS7" i="16"/>
  <c r="AS8" i="16"/>
  <c r="AS9" i="16"/>
  <c r="AS10" i="16"/>
  <c r="AS11" i="16"/>
  <c r="AS12" i="16"/>
  <c r="AS13" i="16"/>
  <c r="AS14" i="16"/>
  <c r="AS15" i="16"/>
  <c r="AS16" i="16"/>
  <c r="AS17" i="16"/>
  <c r="AS18" i="16"/>
  <c r="AS19" i="16"/>
  <c r="AS20" i="16"/>
  <c r="AS21" i="16"/>
  <c r="AS22" i="16"/>
  <c r="AS23" i="16"/>
  <c r="AS24" i="16"/>
  <c r="AS25" i="16"/>
  <c r="AS26" i="16"/>
  <c r="AS27" i="16"/>
  <c r="AS28" i="16"/>
  <c r="AS29" i="16"/>
  <c r="AS30" i="16"/>
  <c r="AS31" i="16"/>
  <c r="AS32" i="16"/>
  <c r="AS33" i="16"/>
  <c r="AS34" i="16"/>
  <c r="AS35" i="16"/>
  <c r="AS36" i="16"/>
  <c r="AS37" i="16"/>
  <c r="AS38" i="16"/>
  <c r="AS39" i="16"/>
  <c r="AS40" i="16"/>
  <c r="AS41" i="16"/>
  <c r="AS42" i="16"/>
  <c r="AS43" i="16"/>
  <c r="AS44" i="16"/>
  <c r="AS45" i="16"/>
  <c r="AS46" i="16"/>
  <c r="AS47" i="16"/>
  <c r="AS48" i="16"/>
  <c r="AS49" i="16"/>
  <c r="AS50" i="16"/>
  <c r="AS51" i="16"/>
  <c r="AS52" i="16"/>
  <c r="AS53" i="16"/>
  <c r="AS54" i="16"/>
  <c r="AS55" i="16"/>
  <c r="AS56" i="16"/>
  <c r="AS57" i="16"/>
  <c r="AS58" i="16"/>
  <c r="AS59" i="16"/>
  <c r="AS60" i="16"/>
  <c r="AS61" i="16"/>
  <c r="AS62" i="16"/>
  <c r="AS63" i="16"/>
  <c r="AS64" i="16"/>
  <c r="AS65" i="16"/>
  <c r="AS66" i="16"/>
  <c r="AS67" i="16"/>
  <c r="AS68" i="16"/>
  <c r="AS69" i="16"/>
  <c r="AS70" i="16"/>
  <c r="AS71" i="16"/>
  <c r="AS72" i="16"/>
  <c r="AS73" i="16"/>
  <c r="AS74" i="16"/>
  <c r="AS75" i="16"/>
  <c r="AS76" i="16"/>
  <c r="AS77" i="16"/>
  <c r="AS78" i="16"/>
  <c r="AS79" i="16"/>
  <c r="AS80" i="16"/>
  <c r="AS81" i="16"/>
  <c r="AS82" i="16"/>
  <c r="AS83" i="16"/>
  <c r="AS84" i="16"/>
  <c r="AS85" i="16"/>
  <c r="AS86" i="16"/>
  <c r="AS87" i="16"/>
  <c r="AS88" i="16"/>
  <c r="AS89" i="16"/>
  <c r="AS90" i="16"/>
  <c r="AS91" i="16"/>
  <c r="AS92" i="16"/>
  <c r="AS93" i="16"/>
  <c r="AS94" i="16"/>
  <c r="AS95" i="16"/>
  <c r="AS96" i="16"/>
  <c r="AS97" i="16"/>
  <c r="AS98" i="16"/>
  <c r="AS99" i="16"/>
  <c r="AS100" i="16"/>
  <c r="AS101" i="16"/>
  <c r="AS102" i="16"/>
  <c r="AS103" i="16"/>
  <c r="AS104" i="16"/>
  <c r="AS105" i="16"/>
  <c r="AS106" i="16"/>
  <c r="AS107" i="16"/>
  <c r="AS108" i="16"/>
  <c r="AS109" i="16"/>
  <c r="AS110" i="16"/>
  <c r="AS111" i="16"/>
  <c r="AS112" i="16"/>
  <c r="AS113" i="16"/>
  <c r="AS114" i="16"/>
  <c r="AS115" i="16"/>
  <c r="AS116" i="16"/>
  <c r="AS117" i="16"/>
  <c r="AS118" i="16"/>
  <c r="AS119" i="16"/>
  <c r="AS120" i="16"/>
  <c r="AS121" i="16"/>
  <c r="AS122" i="16"/>
  <c r="AS123" i="16"/>
  <c r="AS124" i="16"/>
  <c r="AS125" i="16"/>
  <c r="AS126" i="16"/>
  <c r="AS127" i="16"/>
  <c r="AS128" i="16"/>
  <c r="AS129" i="16"/>
  <c r="AS130" i="16"/>
  <c r="AS131" i="16"/>
  <c r="AS132" i="16"/>
  <c r="AS133" i="16"/>
  <c r="AS134" i="16"/>
  <c r="AS135" i="16"/>
  <c r="AS136" i="16"/>
  <c r="AS137" i="16"/>
  <c r="AS138" i="16"/>
  <c r="AS139" i="16"/>
  <c r="AS140" i="16"/>
  <c r="AS141" i="16"/>
  <c r="AS142" i="16"/>
  <c r="AS143" i="16"/>
  <c r="AS144" i="16"/>
  <c r="AS145" i="16"/>
  <c r="AS146" i="16"/>
  <c r="AS147" i="16"/>
  <c r="AS148" i="16"/>
  <c r="AS149" i="16"/>
  <c r="AS150" i="16"/>
  <c r="AS151" i="16"/>
  <c r="AS152" i="16"/>
  <c r="AS153" i="16"/>
  <c r="AS154" i="16"/>
  <c r="AS155" i="16"/>
  <c r="AS156" i="16"/>
  <c r="AS157" i="16"/>
  <c r="AS158" i="16"/>
  <c r="AS159" i="16"/>
  <c r="AS160" i="16"/>
  <c r="AS161" i="16"/>
  <c r="AS162" i="16"/>
  <c r="AS163" i="16"/>
  <c r="AS164" i="16"/>
  <c r="AS165" i="16"/>
  <c r="AS166" i="16"/>
  <c r="AS167" i="16"/>
  <c r="AS168" i="16"/>
  <c r="AS169" i="16"/>
  <c r="AS170" i="16"/>
  <c r="AS171" i="16"/>
  <c r="AS172" i="16"/>
  <c r="AS173" i="16"/>
  <c r="AS174" i="16"/>
  <c r="AS175" i="16"/>
  <c r="AS176" i="16"/>
  <c r="AS177" i="16"/>
  <c r="AS178" i="16"/>
  <c r="AS179" i="16"/>
  <c r="AS180" i="16"/>
  <c r="AS181" i="16"/>
  <c r="AS182" i="16"/>
  <c r="AS183" i="16"/>
  <c r="AS184" i="16"/>
  <c r="AS185" i="16"/>
  <c r="AS186" i="16"/>
  <c r="AS187" i="16"/>
  <c r="AS188" i="16"/>
  <c r="AS189" i="16"/>
  <c r="AS190" i="16"/>
  <c r="AS191" i="16"/>
  <c r="AS192" i="16"/>
  <c r="AS193" i="16"/>
  <c r="AS194" i="16"/>
  <c r="AS195" i="16"/>
  <c r="AS196" i="16"/>
  <c r="AS197" i="16"/>
  <c r="AS198" i="16"/>
  <c r="AS199" i="16"/>
  <c r="AS200" i="16"/>
  <c r="AS201" i="16"/>
  <c r="AF4" i="16"/>
  <c r="AF5" i="16"/>
  <c r="AF6" i="16"/>
  <c r="AF7" i="16"/>
  <c r="AF8" i="16"/>
  <c r="AF9" i="16"/>
  <c r="AF10" i="16"/>
  <c r="AF11" i="16"/>
  <c r="AF12" i="16"/>
  <c r="AF13" i="16"/>
  <c r="AF14" i="16"/>
  <c r="AF15" i="16"/>
  <c r="AF16" i="16"/>
  <c r="AF17" i="16"/>
  <c r="AF18" i="16"/>
  <c r="AF19" i="16"/>
  <c r="AF20" i="16"/>
  <c r="AF21" i="16"/>
  <c r="AF22" i="16"/>
  <c r="AF23" i="16"/>
  <c r="AF24" i="16"/>
  <c r="AF25" i="16"/>
  <c r="AF26" i="16"/>
  <c r="AF27" i="16"/>
  <c r="AF28" i="16"/>
  <c r="AF29" i="16"/>
  <c r="AF30" i="16"/>
  <c r="AF31" i="16"/>
  <c r="AF32" i="16"/>
  <c r="AF33" i="16"/>
  <c r="AF34" i="16"/>
  <c r="AF35" i="16"/>
  <c r="AF36" i="16"/>
  <c r="AF37" i="16"/>
  <c r="AF38" i="16"/>
  <c r="AF39" i="16"/>
  <c r="AF40" i="16"/>
  <c r="AF41" i="16"/>
  <c r="AF42" i="16"/>
  <c r="AF43" i="16"/>
  <c r="AF44" i="16"/>
  <c r="AF45" i="16"/>
  <c r="AF46" i="16"/>
  <c r="AF47" i="16"/>
  <c r="AF48" i="16"/>
  <c r="AF49" i="16"/>
  <c r="AF50" i="16"/>
  <c r="AF51" i="16"/>
  <c r="AF52" i="16"/>
  <c r="AF53" i="16"/>
  <c r="AF54" i="16"/>
  <c r="AF55" i="16"/>
  <c r="AF56" i="16"/>
  <c r="AF57" i="16"/>
  <c r="AF58" i="16"/>
  <c r="AF59" i="16"/>
  <c r="AF60" i="16"/>
  <c r="AF61" i="16"/>
  <c r="AF62" i="16"/>
  <c r="AF63" i="16"/>
  <c r="AF64" i="16"/>
  <c r="AF65" i="16"/>
  <c r="AF66" i="16"/>
  <c r="AF67" i="16"/>
  <c r="AF68" i="16"/>
  <c r="AF69" i="16"/>
  <c r="AF70" i="16"/>
  <c r="AF71" i="16"/>
  <c r="AF72" i="16"/>
  <c r="AF73" i="16"/>
  <c r="AF74" i="16"/>
  <c r="AF75" i="16"/>
  <c r="AF76" i="16"/>
  <c r="AF77" i="16"/>
  <c r="AF78" i="16"/>
  <c r="AF79" i="16"/>
  <c r="AF80" i="16"/>
  <c r="AF81" i="16"/>
  <c r="AF82" i="16"/>
  <c r="AF83" i="16"/>
  <c r="AF84" i="16"/>
  <c r="AF85" i="16"/>
  <c r="AF86" i="16"/>
  <c r="AF87" i="16"/>
  <c r="AF88" i="16"/>
  <c r="AF89" i="16"/>
  <c r="AF90" i="16"/>
  <c r="AF91" i="16"/>
  <c r="AF92" i="16"/>
  <c r="AF93" i="16"/>
  <c r="AF94" i="16"/>
  <c r="AF95" i="16"/>
  <c r="AF96" i="16"/>
  <c r="AF97" i="16"/>
  <c r="AF98" i="16"/>
  <c r="AF99" i="16"/>
  <c r="AF100" i="16"/>
  <c r="AF101" i="16"/>
  <c r="AF102" i="16"/>
  <c r="AF103" i="16"/>
  <c r="AF104" i="16"/>
  <c r="AF105" i="16"/>
  <c r="AF106" i="16"/>
  <c r="AF107" i="16"/>
  <c r="AF108" i="16"/>
  <c r="AF109" i="16"/>
  <c r="AF110" i="16"/>
  <c r="AF111" i="16"/>
  <c r="AF112" i="16"/>
  <c r="AF113" i="16"/>
  <c r="AF114" i="16"/>
  <c r="AF115" i="16"/>
  <c r="AF116" i="16"/>
  <c r="AF117" i="16"/>
  <c r="AF118" i="16"/>
  <c r="AF119" i="16"/>
  <c r="AF120" i="16"/>
  <c r="AF121" i="16"/>
  <c r="AF122" i="16"/>
  <c r="AF123" i="16"/>
  <c r="AF124" i="16"/>
  <c r="AF125" i="16"/>
  <c r="AF126" i="16"/>
  <c r="AF127" i="16"/>
  <c r="AF128" i="16"/>
  <c r="AF129" i="16"/>
  <c r="AF130" i="16"/>
  <c r="AF131" i="16"/>
  <c r="AF132" i="16"/>
  <c r="AF133" i="16"/>
  <c r="AF134" i="16"/>
  <c r="AF135" i="16"/>
  <c r="AF136" i="16"/>
  <c r="AF137" i="16"/>
  <c r="AF138" i="16"/>
  <c r="AF139" i="16"/>
  <c r="AF140" i="16"/>
  <c r="AF141" i="16"/>
  <c r="AF142" i="16"/>
  <c r="AF143" i="16"/>
  <c r="AF144" i="16"/>
  <c r="AF145" i="16"/>
  <c r="AF146" i="16"/>
  <c r="AF147" i="16"/>
  <c r="AF148" i="16"/>
  <c r="AF149" i="16"/>
  <c r="AF150" i="16"/>
  <c r="AF151" i="16"/>
  <c r="AF152" i="16"/>
  <c r="AF153" i="16"/>
  <c r="AF154" i="16"/>
  <c r="AF155" i="16"/>
  <c r="AF156" i="16"/>
  <c r="AF157" i="16"/>
  <c r="AF158" i="16"/>
  <c r="AF159" i="16"/>
  <c r="AF160" i="16"/>
  <c r="AF161" i="16"/>
  <c r="AF162" i="16"/>
  <c r="AF163" i="16"/>
  <c r="AF164" i="16"/>
  <c r="AF165" i="16"/>
  <c r="AF166" i="16"/>
  <c r="AF167" i="16"/>
  <c r="AF168" i="16"/>
  <c r="AF169" i="16"/>
  <c r="AF170" i="16"/>
  <c r="AF171" i="16"/>
  <c r="AF172" i="16"/>
  <c r="AF173" i="16"/>
  <c r="AF174" i="16"/>
  <c r="AF175" i="16"/>
  <c r="AF176" i="16"/>
  <c r="AF177" i="16"/>
  <c r="AF178" i="16"/>
  <c r="AF179" i="16"/>
  <c r="AF180" i="16"/>
  <c r="AF181" i="16"/>
  <c r="AF182" i="16"/>
  <c r="AF183" i="16"/>
  <c r="AF184" i="16"/>
  <c r="AF185" i="16"/>
  <c r="AF186" i="16"/>
  <c r="AF187" i="16"/>
  <c r="AF188" i="16"/>
  <c r="AF189" i="16"/>
  <c r="AF190" i="16"/>
  <c r="AF191" i="16"/>
  <c r="AF192" i="16"/>
  <c r="AF193" i="16"/>
  <c r="AF194" i="16"/>
  <c r="AF195" i="16"/>
  <c r="AF196" i="16"/>
  <c r="AF197" i="16"/>
  <c r="AF198" i="16"/>
  <c r="AF199" i="16"/>
  <c r="AF200" i="16"/>
  <c r="AF201" i="16"/>
  <c r="Y4" i="16"/>
  <c r="Y5" i="16"/>
  <c r="Y6" i="16"/>
  <c r="Y7" i="16"/>
  <c r="Y8" i="16"/>
  <c r="Y9" i="16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Y30" i="16"/>
  <c r="Y31" i="16"/>
  <c r="Y32" i="16"/>
  <c r="Y33" i="16"/>
  <c r="Y34" i="16"/>
  <c r="Y35" i="16"/>
  <c r="Y36" i="16"/>
  <c r="Y37" i="16"/>
  <c r="Y38" i="16"/>
  <c r="Y39" i="16"/>
  <c r="Y40" i="16"/>
  <c r="Y41" i="16"/>
  <c r="Y42" i="16"/>
  <c r="Y43" i="16"/>
  <c r="Y44" i="16"/>
  <c r="Y45" i="16"/>
  <c r="Y46" i="16"/>
  <c r="Y47" i="16"/>
  <c r="Y48" i="16"/>
  <c r="Y49" i="16"/>
  <c r="Y50" i="16"/>
  <c r="Y51" i="16"/>
  <c r="Y52" i="16"/>
  <c r="Y53" i="16"/>
  <c r="Y54" i="16"/>
  <c r="Y55" i="16"/>
  <c r="Y56" i="16"/>
  <c r="Y57" i="16"/>
  <c r="Y58" i="16"/>
  <c r="Y59" i="16"/>
  <c r="Y60" i="16"/>
  <c r="Y61" i="16"/>
  <c r="Y62" i="16"/>
  <c r="Y63" i="16"/>
  <c r="Y64" i="16"/>
  <c r="Y65" i="16"/>
  <c r="Y66" i="16"/>
  <c r="Y67" i="16"/>
  <c r="Y68" i="16"/>
  <c r="Y69" i="16"/>
  <c r="Y70" i="16"/>
  <c r="Y71" i="16"/>
  <c r="Y72" i="16"/>
  <c r="Y73" i="16"/>
  <c r="Y74" i="16"/>
  <c r="Y75" i="16"/>
  <c r="Y76" i="16"/>
  <c r="Y77" i="16"/>
  <c r="Y78" i="16"/>
  <c r="Y79" i="16"/>
  <c r="Y80" i="16"/>
  <c r="Y81" i="16"/>
  <c r="Y82" i="16"/>
  <c r="Y83" i="16"/>
  <c r="Y84" i="16"/>
  <c r="Y85" i="16"/>
  <c r="Y86" i="16"/>
  <c r="Y87" i="16"/>
  <c r="Y88" i="16"/>
  <c r="Y89" i="16"/>
  <c r="Y90" i="16"/>
  <c r="Y91" i="16"/>
  <c r="Y92" i="16"/>
  <c r="Y93" i="16"/>
  <c r="Y94" i="16"/>
  <c r="Y95" i="16"/>
  <c r="Y96" i="16"/>
  <c r="Y97" i="16"/>
  <c r="Y98" i="16"/>
  <c r="Y99" i="16"/>
  <c r="Y100" i="16"/>
  <c r="Y101" i="16"/>
  <c r="Y102" i="16"/>
  <c r="Y103" i="16"/>
  <c r="Y104" i="16"/>
  <c r="Y105" i="16"/>
  <c r="Y106" i="16"/>
  <c r="Y107" i="16"/>
  <c r="Y108" i="16"/>
  <c r="Y109" i="16"/>
  <c r="Y110" i="16"/>
  <c r="Y111" i="16"/>
  <c r="Y112" i="16"/>
  <c r="Y113" i="16"/>
  <c r="Y114" i="16"/>
  <c r="Y115" i="16"/>
  <c r="Y116" i="16"/>
  <c r="Y117" i="16"/>
  <c r="Y118" i="16"/>
  <c r="Y119" i="16"/>
  <c r="Y120" i="16"/>
  <c r="Y121" i="16"/>
  <c r="Y122" i="16"/>
  <c r="Y123" i="16"/>
  <c r="Y124" i="16"/>
  <c r="Y125" i="16"/>
  <c r="Y126" i="16"/>
  <c r="Y127" i="16"/>
  <c r="Y128" i="16"/>
  <c r="Y129" i="16"/>
  <c r="Y130" i="16"/>
  <c r="Y131" i="16"/>
  <c r="Y132" i="16"/>
  <c r="Y133" i="16"/>
  <c r="Y134" i="16"/>
  <c r="Y135" i="16"/>
  <c r="Y136" i="16"/>
  <c r="Y137" i="16"/>
  <c r="Y138" i="16"/>
  <c r="Y139" i="16"/>
  <c r="Y140" i="16"/>
  <c r="Y141" i="16"/>
  <c r="Y142" i="16"/>
  <c r="Y143" i="16"/>
  <c r="Y144" i="16"/>
  <c r="Y145" i="16"/>
  <c r="Y146" i="16"/>
  <c r="Y147" i="16"/>
  <c r="Y148" i="16"/>
  <c r="Y149" i="16"/>
  <c r="Y150" i="16"/>
  <c r="Y151" i="16"/>
  <c r="Y152" i="16"/>
  <c r="Y153" i="16"/>
  <c r="Y154" i="16"/>
  <c r="Y155" i="16"/>
  <c r="Y156" i="16"/>
  <c r="Y157" i="16"/>
  <c r="Y158" i="16"/>
  <c r="Y159" i="16"/>
  <c r="Y160" i="16"/>
  <c r="Y161" i="16"/>
  <c r="Y162" i="16"/>
  <c r="Y163" i="16"/>
  <c r="Y164" i="16"/>
  <c r="Y165" i="16"/>
  <c r="Y166" i="16"/>
  <c r="Y167" i="16"/>
  <c r="Y168" i="16"/>
  <c r="Y169" i="16"/>
  <c r="Y170" i="16"/>
  <c r="Y171" i="16"/>
  <c r="Y172" i="16"/>
  <c r="Y173" i="16"/>
  <c r="Y174" i="16"/>
  <c r="Y175" i="16"/>
  <c r="Y176" i="16"/>
  <c r="Y177" i="16"/>
  <c r="Y178" i="16"/>
  <c r="Y179" i="16"/>
  <c r="Y180" i="16"/>
  <c r="Y181" i="16"/>
  <c r="Y182" i="16"/>
  <c r="Y183" i="16"/>
  <c r="Y184" i="16"/>
  <c r="Y185" i="16"/>
  <c r="Y186" i="16"/>
  <c r="Y187" i="16"/>
  <c r="Y188" i="16"/>
  <c r="Y189" i="16"/>
  <c r="Y190" i="16"/>
  <c r="Y191" i="16"/>
  <c r="Y192" i="16"/>
  <c r="Y193" i="16"/>
  <c r="Y194" i="16"/>
  <c r="Y195" i="16"/>
  <c r="Y196" i="16"/>
  <c r="Y197" i="16"/>
  <c r="Y198" i="16"/>
  <c r="Y199" i="16"/>
  <c r="Y200" i="16"/>
  <c r="Y201" i="16"/>
  <c r="R4" i="16"/>
  <c r="R5" i="16"/>
  <c r="R6" i="16"/>
  <c r="R7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57" i="16"/>
  <c r="R58" i="16"/>
  <c r="R59" i="16"/>
  <c r="R60" i="16"/>
  <c r="R61" i="16"/>
  <c r="R62" i="16"/>
  <c r="R63" i="16"/>
  <c r="R64" i="16"/>
  <c r="R65" i="16"/>
  <c r="R66" i="16"/>
  <c r="R67" i="16"/>
  <c r="R68" i="16"/>
  <c r="R69" i="16"/>
  <c r="R70" i="16"/>
  <c r="R71" i="16"/>
  <c r="R72" i="16"/>
  <c r="R73" i="16"/>
  <c r="R74" i="16"/>
  <c r="R75" i="16"/>
  <c r="R76" i="16"/>
  <c r="R77" i="16"/>
  <c r="R78" i="16"/>
  <c r="R79" i="16"/>
  <c r="R80" i="16"/>
  <c r="R81" i="16"/>
  <c r="R82" i="16"/>
  <c r="R83" i="16"/>
  <c r="R84" i="16"/>
  <c r="R85" i="16"/>
  <c r="R86" i="16"/>
  <c r="R87" i="16"/>
  <c r="R88" i="16"/>
  <c r="R89" i="16"/>
  <c r="R90" i="16"/>
  <c r="R91" i="16"/>
  <c r="R92" i="16"/>
  <c r="R93" i="16"/>
  <c r="R94" i="16"/>
  <c r="R95" i="16"/>
  <c r="R96" i="16"/>
  <c r="R97" i="16"/>
  <c r="R98" i="16"/>
  <c r="R99" i="16"/>
  <c r="R100" i="16"/>
  <c r="R101" i="16"/>
  <c r="R102" i="16"/>
  <c r="R103" i="16"/>
  <c r="R104" i="16"/>
  <c r="R105" i="16"/>
  <c r="R106" i="16"/>
  <c r="R107" i="16"/>
  <c r="R108" i="16"/>
  <c r="R109" i="16"/>
  <c r="R110" i="16"/>
  <c r="R111" i="16"/>
  <c r="R112" i="16"/>
  <c r="R113" i="16"/>
  <c r="R114" i="16"/>
  <c r="R115" i="16"/>
  <c r="R116" i="16"/>
  <c r="R117" i="16"/>
  <c r="R118" i="16"/>
  <c r="R119" i="16"/>
  <c r="R120" i="16"/>
  <c r="R121" i="16"/>
  <c r="R122" i="16"/>
  <c r="R123" i="16"/>
  <c r="R124" i="16"/>
  <c r="R125" i="16"/>
  <c r="R126" i="16"/>
  <c r="R127" i="16"/>
  <c r="R128" i="16"/>
  <c r="R129" i="16"/>
  <c r="R130" i="16"/>
  <c r="R131" i="16"/>
  <c r="R132" i="16"/>
  <c r="R133" i="16"/>
  <c r="R134" i="16"/>
  <c r="R135" i="16"/>
  <c r="R136" i="16"/>
  <c r="R137" i="16"/>
  <c r="R138" i="16"/>
  <c r="R139" i="16"/>
  <c r="R140" i="16"/>
  <c r="R141" i="16"/>
  <c r="R142" i="16"/>
  <c r="R143" i="16"/>
  <c r="R144" i="16"/>
  <c r="R145" i="16"/>
  <c r="R146" i="16"/>
  <c r="R147" i="16"/>
  <c r="R148" i="16"/>
  <c r="R149" i="16"/>
  <c r="R150" i="16"/>
  <c r="R151" i="16"/>
  <c r="R152" i="16"/>
  <c r="R153" i="16"/>
  <c r="R154" i="16"/>
  <c r="R155" i="16"/>
  <c r="R156" i="16"/>
  <c r="R157" i="16"/>
  <c r="R158" i="16"/>
  <c r="R159" i="16"/>
  <c r="R160" i="16"/>
  <c r="R161" i="16"/>
  <c r="R162" i="16"/>
  <c r="R163" i="16"/>
  <c r="R164" i="16"/>
  <c r="R165" i="16"/>
  <c r="R166" i="16"/>
  <c r="R167" i="16"/>
  <c r="R168" i="16"/>
  <c r="R169" i="16"/>
  <c r="R170" i="16"/>
  <c r="R171" i="16"/>
  <c r="R172" i="16"/>
  <c r="R173" i="16"/>
  <c r="R174" i="16"/>
  <c r="R175" i="16"/>
  <c r="R176" i="16"/>
  <c r="R177" i="16"/>
  <c r="R178" i="16"/>
  <c r="R179" i="16"/>
  <c r="R180" i="16"/>
  <c r="R181" i="16"/>
  <c r="R182" i="16"/>
  <c r="R183" i="16"/>
  <c r="R184" i="16"/>
  <c r="R185" i="16"/>
  <c r="R186" i="16"/>
  <c r="R187" i="16"/>
  <c r="R188" i="16"/>
  <c r="R189" i="16"/>
  <c r="R190" i="16"/>
  <c r="R191" i="16"/>
  <c r="R192" i="16"/>
  <c r="R193" i="16"/>
  <c r="R194" i="16"/>
  <c r="R195" i="16"/>
  <c r="R196" i="16"/>
  <c r="R197" i="16"/>
  <c r="R198" i="16"/>
  <c r="R199" i="16"/>
  <c r="R200" i="16"/>
  <c r="R201" i="16"/>
  <c r="CH4" i="15"/>
  <c r="CH5" i="15"/>
  <c r="CH6" i="15"/>
  <c r="CH7" i="15"/>
  <c r="CH8" i="15"/>
  <c r="CH9" i="15"/>
  <c r="CH10" i="15"/>
  <c r="CH11" i="15"/>
  <c r="CH12" i="15"/>
  <c r="CH13" i="15"/>
  <c r="CH14" i="15"/>
  <c r="CH15" i="15"/>
  <c r="CH16" i="15"/>
  <c r="CH17" i="15"/>
  <c r="CH18" i="15"/>
  <c r="CH19" i="15"/>
  <c r="CH20" i="15"/>
  <c r="CH21" i="15"/>
  <c r="CH22" i="15"/>
  <c r="CH23" i="15"/>
  <c r="CH24" i="15"/>
  <c r="CH25" i="15"/>
  <c r="CH26" i="15"/>
  <c r="CH27" i="15"/>
  <c r="CH28" i="15"/>
  <c r="CH29" i="15"/>
  <c r="CH30" i="15"/>
  <c r="CH31" i="15"/>
  <c r="CH32" i="15"/>
  <c r="CH33" i="15"/>
  <c r="CH34" i="15"/>
  <c r="CH35" i="15"/>
  <c r="CH36" i="15"/>
  <c r="CH37" i="15"/>
  <c r="CH38" i="15"/>
  <c r="CH39" i="15"/>
  <c r="CH40" i="15"/>
  <c r="CH41" i="15"/>
  <c r="CH42" i="15"/>
  <c r="CH43" i="15"/>
  <c r="CH44" i="15"/>
  <c r="CH45" i="15"/>
  <c r="CH46" i="15"/>
  <c r="CH47" i="15"/>
  <c r="CH48" i="15"/>
  <c r="CH49" i="15"/>
  <c r="CH50" i="15"/>
  <c r="CH51" i="15"/>
  <c r="CH52" i="15"/>
  <c r="CH53" i="15"/>
  <c r="CH54" i="15"/>
  <c r="CH55" i="15"/>
  <c r="CH56" i="15"/>
  <c r="CH57" i="15"/>
  <c r="CH58" i="15"/>
  <c r="CH59" i="15"/>
  <c r="CH60" i="15"/>
  <c r="CH61" i="15"/>
  <c r="CH62" i="15"/>
  <c r="CH63" i="15"/>
  <c r="CH64" i="15"/>
  <c r="CH65" i="15"/>
  <c r="CH66" i="15"/>
  <c r="CH67" i="15"/>
  <c r="CH68" i="15"/>
  <c r="CH69" i="15"/>
  <c r="CH70" i="15"/>
  <c r="CH71" i="15"/>
  <c r="CH72" i="15"/>
  <c r="CH73" i="15"/>
  <c r="CH74" i="15"/>
  <c r="CH75" i="15"/>
  <c r="CH76" i="15"/>
  <c r="CH77" i="15"/>
  <c r="CH78" i="15"/>
  <c r="CH79" i="15"/>
  <c r="CH80" i="15"/>
  <c r="CH81" i="15"/>
  <c r="CH82" i="15"/>
  <c r="CH83" i="15"/>
  <c r="CH84" i="15"/>
  <c r="CH85" i="15"/>
  <c r="CH86" i="15"/>
  <c r="CH87" i="15"/>
  <c r="CH88" i="15"/>
  <c r="CH89" i="15"/>
  <c r="CH90" i="15"/>
  <c r="CH91" i="15"/>
  <c r="CH92" i="15"/>
  <c r="CH93" i="15"/>
  <c r="CH94" i="15"/>
  <c r="CH95" i="15"/>
  <c r="CH96" i="15"/>
  <c r="CH97" i="15"/>
  <c r="CH98" i="15"/>
  <c r="CH99" i="15"/>
  <c r="CH100" i="15"/>
  <c r="CH101" i="15"/>
  <c r="CH102" i="15"/>
  <c r="CH103" i="15"/>
  <c r="CH104" i="15"/>
  <c r="CH105" i="15"/>
  <c r="CH106" i="15"/>
  <c r="CH107" i="15"/>
  <c r="CH108" i="15"/>
  <c r="CH109" i="15"/>
  <c r="CH110" i="15"/>
  <c r="CH111" i="15"/>
  <c r="CH112" i="15"/>
  <c r="CH113" i="15"/>
  <c r="CH114" i="15"/>
  <c r="CH115" i="15"/>
  <c r="CH116" i="15"/>
  <c r="CH117" i="15"/>
  <c r="CH118" i="15"/>
  <c r="CH119" i="15"/>
  <c r="CH120" i="15"/>
  <c r="CH121" i="15"/>
  <c r="CH122" i="15"/>
  <c r="CH123" i="15"/>
  <c r="CH124" i="15"/>
  <c r="CH125" i="15"/>
  <c r="CH126" i="15"/>
  <c r="CH127" i="15"/>
  <c r="CH128" i="15"/>
  <c r="CH129" i="15"/>
  <c r="CH130" i="15"/>
  <c r="CH131" i="15"/>
  <c r="CH132" i="15"/>
  <c r="CH133" i="15"/>
  <c r="CH134" i="15"/>
  <c r="CH135" i="15"/>
  <c r="CH136" i="15"/>
  <c r="CH137" i="15"/>
  <c r="CH138" i="15"/>
  <c r="CH139" i="15"/>
  <c r="CH140" i="15"/>
  <c r="CH141" i="15"/>
  <c r="CH142" i="15"/>
  <c r="CH143" i="15"/>
  <c r="CH144" i="15"/>
  <c r="CH145" i="15"/>
  <c r="CH146" i="15"/>
  <c r="CH147" i="15"/>
  <c r="CH148" i="15"/>
  <c r="CH149" i="15"/>
  <c r="CH150" i="15"/>
  <c r="CH151" i="15"/>
  <c r="CH152" i="15"/>
  <c r="CH153" i="15"/>
  <c r="CH154" i="15"/>
  <c r="CH155" i="15"/>
  <c r="CH156" i="15"/>
  <c r="CH157" i="15"/>
  <c r="CH158" i="15"/>
  <c r="CH159" i="15"/>
  <c r="CH160" i="15"/>
  <c r="CH161" i="15"/>
  <c r="CH162" i="15"/>
  <c r="CH163" i="15"/>
  <c r="CH164" i="15"/>
  <c r="CH165" i="15"/>
  <c r="CH166" i="15"/>
  <c r="CH167" i="15"/>
  <c r="CH168" i="15"/>
  <c r="CH169" i="15"/>
  <c r="CH170" i="15"/>
  <c r="CH171" i="15"/>
  <c r="CH172" i="15"/>
  <c r="CH173" i="15"/>
  <c r="CH174" i="15"/>
  <c r="CH175" i="15"/>
  <c r="CH176" i="15"/>
  <c r="CH177" i="15"/>
  <c r="CH178" i="15"/>
  <c r="CH179" i="15"/>
  <c r="CH180" i="15"/>
  <c r="CH181" i="15"/>
  <c r="CH182" i="15"/>
  <c r="CH183" i="15"/>
  <c r="CH184" i="15"/>
  <c r="CH185" i="15"/>
  <c r="CH186" i="15"/>
  <c r="CH187" i="15"/>
  <c r="CH188" i="15"/>
  <c r="CH189" i="15"/>
  <c r="CH190" i="15"/>
  <c r="CH191" i="15"/>
  <c r="CH192" i="15"/>
  <c r="CH193" i="15"/>
  <c r="CH194" i="15"/>
  <c r="CH195" i="15"/>
  <c r="CH196" i="15"/>
  <c r="CH197" i="15"/>
  <c r="CH198" i="15"/>
  <c r="CH199" i="15"/>
  <c r="CH200" i="15"/>
  <c r="CH201" i="15"/>
  <c r="CA4" i="15"/>
  <c r="CA5" i="15"/>
  <c r="CA6" i="15"/>
  <c r="CA7" i="15"/>
  <c r="CA8" i="15"/>
  <c r="CA9" i="15"/>
  <c r="CA10" i="15"/>
  <c r="CA11" i="15"/>
  <c r="CA12" i="15"/>
  <c r="CA13" i="15"/>
  <c r="CA14" i="15"/>
  <c r="CA15" i="15"/>
  <c r="CA16" i="15"/>
  <c r="CA17" i="15"/>
  <c r="CA18" i="15"/>
  <c r="CA19" i="15"/>
  <c r="CA20" i="15"/>
  <c r="CA21" i="15"/>
  <c r="CA22" i="15"/>
  <c r="CA23" i="15"/>
  <c r="CA24" i="15"/>
  <c r="CA25" i="15"/>
  <c r="CA26" i="15"/>
  <c r="CA27" i="15"/>
  <c r="CA28" i="15"/>
  <c r="CA29" i="15"/>
  <c r="CA30" i="15"/>
  <c r="CA31" i="15"/>
  <c r="CA32" i="15"/>
  <c r="CA33" i="15"/>
  <c r="CA34" i="15"/>
  <c r="CA35" i="15"/>
  <c r="CA36" i="15"/>
  <c r="CA37" i="15"/>
  <c r="CA38" i="15"/>
  <c r="CA39" i="15"/>
  <c r="CA40" i="15"/>
  <c r="CA41" i="15"/>
  <c r="CA42" i="15"/>
  <c r="CA43" i="15"/>
  <c r="CA44" i="15"/>
  <c r="CA45" i="15"/>
  <c r="CA46" i="15"/>
  <c r="CA47" i="15"/>
  <c r="CA48" i="15"/>
  <c r="CA49" i="15"/>
  <c r="CA50" i="15"/>
  <c r="CA51" i="15"/>
  <c r="CA52" i="15"/>
  <c r="CA53" i="15"/>
  <c r="CA54" i="15"/>
  <c r="CA55" i="15"/>
  <c r="CA56" i="15"/>
  <c r="CA57" i="15"/>
  <c r="CA58" i="15"/>
  <c r="CA59" i="15"/>
  <c r="CA60" i="15"/>
  <c r="CA61" i="15"/>
  <c r="CA62" i="15"/>
  <c r="CA63" i="15"/>
  <c r="CA64" i="15"/>
  <c r="CA65" i="15"/>
  <c r="CA66" i="15"/>
  <c r="CA67" i="15"/>
  <c r="CA68" i="15"/>
  <c r="CA69" i="15"/>
  <c r="CA70" i="15"/>
  <c r="CA71" i="15"/>
  <c r="CA72" i="15"/>
  <c r="CA73" i="15"/>
  <c r="CA74" i="15"/>
  <c r="CA75" i="15"/>
  <c r="CA76" i="15"/>
  <c r="CA77" i="15"/>
  <c r="CA78" i="15"/>
  <c r="CA79" i="15"/>
  <c r="CA80" i="15"/>
  <c r="CA81" i="15"/>
  <c r="CA82" i="15"/>
  <c r="CA83" i="15"/>
  <c r="CA84" i="15"/>
  <c r="CA85" i="15"/>
  <c r="CA86" i="15"/>
  <c r="CA87" i="15"/>
  <c r="CA88" i="15"/>
  <c r="CA89" i="15"/>
  <c r="CA90" i="15"/>
  <c r="CA91" i="15"/>
  <c r="CA92" i="15"/>
  <c r="CA93" i="15"/>
  <c r="CA94" i="15"/>
  <c r="CA95" i="15"/>
  <c r="CA96" i="15"/>
  <c r="CA97" i="15"/>
  <c r="CA98" i="15"/>
  <c r="CA99" i="15"/>
  <c r="CA100" i="15"/>
  <c r="CA101" i="15"/>
  <c r="CA102" i="15"/>
  <c r="CA103" i="15"/>
  <c r="CA104" i="15"/>
  <c r="CA105" i="15"/>
  <c r="CA106" i="15"/>
  <c r="CA107" i="15"/>
  <c r="CA108" i="15"/>
  <c r="CA109" i="15"/>
  <c r="CA110" i="15"/>
  <c r="CA111" i="15"/>
  <c r="CA112" i="15"/>
  <c r="CA113" i="15"/>
  <c r="CA114" i="15"/>
  <c r="CA115" i="15"/>
  <c r="CA116" i="15"/>
  <c r="CA117" i="15"/>
  <c r="CA118" i="15"/>
  <c r="CA119" i="15"/>
  <c r="CA120" i="15"/>
  <c r="CA121" i="15"/>
  <c r="CA122" i="15"/>
  <c r="CA123" i="15"/>
  <c r="CA124" i="15"/>
  <c r="CA125" i="15"/>
  <c r="CA126" i="15"/>
  <c r="CA127" i="15"/>
  <c r="CA128" i="15"/>
  <c r="CA129" i="15"/>
  <c r="CA130" i="15"/>
  <c r="CA131" i="15"/>
  <c r="CA132" i="15"/>
  <c r="CA133" i="15"/>
  <c r="CA134" i="15"/>
  <c r="CA135" i="15"/>
  <c r="CA136" i="15"/>
  <c r="CA137" i="15"/>
  <c r="CA138" i="15"/>
  <c r="CA139" i="15"/>
  <c r="CA140" i="15"/>
  <c r="CA141" i="15"/>
  <c r="CA142" i="15"/>
  <c r="CA143" i="15"/>
  <c r="CA144" i="15"/>
  <c r="CA145" i="15"/>
  <c r="CA146" i="15"/>
  <c r="CA147" i="15"/>
  <c r="CA148" i="15"/>
  <c r="CA149" i="15"/>
  <c r="CA150" i="15"/>
  <c r="CA151" i="15"/>
  <c r="CA152" i="15"/>
  <c r="CA153" i="15"/>
  <c r="CA154" i="15"/>
  <c r="CA155" i="15"/>
  <c r="CA156" i="15"/>
  <c r="CA157" i="15"/>
  <c r="CA158" i="15"/>
  <c r="CA159" i="15"/>
  <c r="CA160" i="15"/>
  <c r="CA161" i="15"/>
  <c r="CA162" i="15"/>
  <c r="CA163" i="15"/>
  <c r="CA164" i="15"/>
  <c r="CA165" i="15"/>
  <c r="CA166" i="15"/>
  <c r="CA167" i="15"/>
  <c r="CA168" i="15"/>
  <c r="CA169" i="15"/>
  <c r="CA170" i="15"/>
  <c r="CA171" i="15"/>
  <c r="CA172" i="15"/>
  <c r="CA173" i="15"/>
  <c r="CA174" i="15"/>
  <c r="CA175" i="15"/>
  <c r="CA176" i="15"/>
  <c r="CA177" i="15"/>
  <c r="CA178" i="15"/>
  <c r="CA179" i="15"/>
  <c r="CA180" i="15"/>
  <c r="CA181" i="15"/>
  <c r="CA182" i="15"/>
  <c r="CA183" i="15"/>
  <c r="CA184" i="15"/>
  <c r="CA185" i="15"/>
  <c r="CA186" i="15"/>
  <c r="CA187" i="15"/>
  <c r="CA188" i="15"/>
  <c r="CA189" i="15"/>
  <c r="CA190" i="15"/>
  <c r="CA191" i="15"/>
  <c r="CA192" i="15"/>
  <c r="CA193" i="15"/>
  <c r="CA194" i="15"/>
  <c r="CA195" i="15"/>
  <c r="CA196" i="15"/>
  <c r="CA197" i="15"/>
  <c r="CA198" i="15"/>
  <c r="CA199" i="15"/>
  <c r="CA200" i="15"/>
  <c r="CA201" i="15"/>
  <c r="BT4" i="15"/>
  <c r="BT5" i="15"/>
  <c r="BT6" i="15"/>
  <c r="BT7" i="15"/>
  <c r="BT8" i="15"/>
  <c r="BT9" i="15"/>
  <c r="BT10" i="15"/>
  <c r="BT11" i="15"/>
  <c r="BT12" i="15"/>
  <c r="BT13" i="15"/>
  <c r="BT14" i="15"/>
  <c r="BT15" i="15"/>
  <c r="BT16" i="15"/>
  <c r="BT17" i="15"/>
  <c r="BT18" i="15"/>
  <c r="BT19" i="15"/>
  <c r="BT20" i="15"/>
  <c r="BT21" i="15"/>
  <c r="BT22" i="15"/>
  <c r="BT23" i="15"/>
  <c r="BT24" i="15"/>
  <c r="BT25" i="15"/>
  <c r="BT26" i="15"/>
  <c r="BT27" i="15"/>
  <c r="BT28" i="15"/>
  <c r="BT29" i="15"/>
  <c r="BT30" i="15"/>
  <c r="BT31" i="15"/>
  <c r="BT32" i="15"/>
  <c r="BT33" i="15"/>
  <c r="BT34" i="15"/>
  <c r="BT35" i="15"/>
  <c r="BT36" i="15"/>
  <c r="BT37" i="15"/>
  <c r="BT38" i="15"/>
  <c r="BT39" i="15"/>
  <c r="BT40" i="15"/>
  <c r="BT41" i="15"/>
  <c r="BT42" i="15"/>
  <c r="BT43" i="15"/>
  <c r="BT44" i="15"/>
  <c r="BT45" i="15"/>
  <c r="BT46" i="15"/>
  <c r="BT47" i="15"/>
  <c r="BT48" i="15"/>
  <c r="BT49" i="15"/>
  <c r="BT50" i="15"/>
  <c r="BT51" i="15"/>
  <c r="BT52" i="15"/>
  <c r="BT53" i="15"/>
  <c r="BT54" i="15"/>
  <c r="BT55" i="15"/>
  <c r="BT56" i="15"/>
  <c r="BT57" i="15"/>
  <c r="BT58" i="15"/>
  <c r="BT59" i="15"/>
  <c r="BT60" i="15"/>
  <c r="BT61" i="15"/>
  <c r="BT62" i="15"/>
  <c r="BT63" i="15"/>
  <c r="BT64" i="15"/>
  <c r="BT65" i="15"/>
  <c r="BT66" i="15"/>
  <c r="BT67" i="15"/>
  <c r="BT68" i="15"/>
  <c r="BT69" i="15"/>
  <c r="BT70" i="15"/>
  <c r="BT71" i="15"/>
  <c r="BT72" i="15"/>
  <c r="BT73" i="15"/>
  <c r="BT74" i="15"/>
  <c r="BT75" i="15"/>
  <c r="BT76" i="15"/>
  <c r="BT77" i="15"/>
  <c r="BT78" i="15"/>
  <c r="BT79" i="15"/>
  <c r="BT80" i="15"/>
  <c r="BT81" i="15"/>
  <c r="BT82" i="15"/>
  <c r="BT83" i="15"/>
  <c r="BT84" i="15"/>
  <c r="BT85" i="15"/>
  <c r="BT86" i="15"/>
  <c r="BT87" i="15"/>
  <c r="BT88" i="15"/>
  <c r="BT89" i="15"/>
  <c r="BT90" i="15"/>
  <c r="BT91" i="15"/>
  <c r="BT92" i="15"/>
  <c r="BT93" i="15"/>
  <c r="BT94" i="15"/>
  <c r="BT95" i="15"/>
  <c r="BT96" i="15"/>
  <c r="BT97" i="15"/>
  <c r="BT98" i="15"/>
  <c r="BT99" i="15"/>
  <c r="BT100" i="15"/>
  <c r="BT101" i="15"/>
  <c r="BT102" i="15"/>
  <c r="BT103" i="15"/>
  <c r="BT104" i="15"/>
  <c r="BT105" i="15"/>
  <c r="BT106" i="15"/>
  <c r="BT107" i="15"/>
  <c r="BT108" i="15"/>
  <c r="BT109" i="15"/>
  <c r="BT110" i="15"/>
  <c r="BT111" i="15"/>
  <c r="BT112" i="15"/>
  <c r="BT113" i="15"/>
  <c r="BT114" i="15"/>
  <c r="BT115" i="15"/>
  <c r="BT116" i="15"/>
  <c r="BT117" i="15"/>
  <c r="BT118" i="15"/>
  <c r="BT119" i="15"/>
  <c r="BT120" i="15"/>
  <c r="BT121" i="15"/>
  <c r="BT122" i="15"/>
  <c r="BT123" i="15"/>
  <c r="BT124" i="15"/>
  <c r="BT125" i="15"/>
  <c r="BT126" i="15"/>
  <c r="BT127" i="15"/>
  <c r="BT128" i="15"/>
  <c r="BT129" i="15"/>
  <c r="BT130" i="15"/>
  <c r="BT131" i="15"/>
  <c r="BT132" i="15"/>
  <c r="BT133" i="15"/>
  <c r="BT134" i="15"/>
  <c r="BT135" i="15"/>
  <c r="BT136" i="15"/>
  <c r="BT137" i="15"/>
  <c r="BT138" i="15"/>
  <c r="BT139" i="15"/>
  <c r="BT140" i="15"/>
  <c r="BT141" i="15"/>
  <c r="BT142" i="15"/>
  <c r="BT143" i="15"/>
  <c r="BT144" i="15"/>
  <c r="BT145" i="15"/>
  <c r="BT146" i="15"/>
  <c r="BT147" i="15"/>
  <c r="BT148" i="15"/>
  <c r="BT149" i="15"/>
  <c r="BT150" i="15"/>
  <c r="BT151" i="15"/>
  <c r="BT152" i="15"/>
  <c r="BT153" i="15"/>
  <c r="BT154" i="15"/>
  <c r="BT155" i="15"/>
  <c r="BT156" i="15"/>
  <c r="BT157" i="15"/>
  <c r="BT158" i="15"/>
  <c r="BT159" i="15"/>
  <c r="BT160" i="15"/>
  <c r="BT161" i="15"/>
  <c r="BT162" i="15"/>
  <c r="BT163" i="15"/>
  <c r="BT164" i="15"/>
  <c r="BT165" i="15"/>
  <c r="BT166" i="15"/>
  <c r="BT167" i="15"/>
  <c r="BT168" i="15"/>
  <c r="BT169" i="15"/>
  <c r="BT170" i="15"/>
  <c r="BT171" i="15"/>
  <c r="BT172" i="15"/>
  <c r="BT173" i="15"/>
  <c r="BT174" i="15"/>
  <c r="BT175" i="15"/>
  <c r="BT176" i="15"/>
  <c r="BT177" i="15"/>
  <c r="BT178" i="15"/>
  <c r="BT179" i="15"/>
  <c r="BT180" i="15"/>
  <c r="BT181" i="15"/>
  <c r="BT182" i="15"/>
  <c r="BT183" i="15"/>
  <c r="BT184" i="15"/>
  <c r="BT185" i="15"/>
  <c r="BT186" i="15"/>
  <c r="BT187" i="15"/>
  <c r="BT188" i="15"/>
  <c r="BT189" i="15"/>
  <c r="BT190" i="15"/>
  <c r="BT191" i="15"/>
  <c r="BT192" i="15"/>
  <c r="BT193" i="15"/>
  <c r="BT194" i="15"/>
  <c r="BT195" i="15"/>
  <c r="BT196" i="15"/>
  <c r="BT197" i="15"/>
  <c r="BT198" i="15"/>
  <c r="BT199" i="15"/>
  <c r="BT200" i="15"/>
  <c r="BT201" i="15"/>
  <c r="BG4" i="15"/>
  <c r="BG5" i="15"/>
  <c r="BG6" i="15"/>
  <c r="BG7" i="15"/>
  <c r="BG8" i="15"/>
  <c r="BG9" i="15"/>
  <c r="BG10" i="15"/>
  <c r="BG11" i="15"/>
  <c r="BG12" i="15"/>
  <c r="BG13" i="15"/>
  <c r="BG14" i="15"/>
  <c r="BG15" i="15"/>
  <c r="BG16" i="15"/>
  <c r="BG17" i="15"/>
  <c r="BG18" i="15"/>
  <c r="BG19" i="15"/>
  <c r="BG20" i="15"/>
  <c r="BG21" i="15"/>
  <c r="BG22" i="15"/>
  <c r="BG23" i="15"/>
  <c r="BG24" i="15"/>
  <c r="BG25" i="15"/>
  <c r="BG26" i="15"/>
  <c r="BG27" i="15"/>
  <c r="BG28" i="15"/>
  <c r="BG29" i="15"/>
  <c r="BG30" i="15"/>
  <c r="BG31" i="15"/>
  <c r="BG32" i="15"/>
  <c r="BG33" i="15"/>
  <c r="BG34" i="15"/>
  <c r="BG35" i="15"/>
  <c r="BG36" i="15"/>
  <c r="BG37" i="15"/>
  <c r="BG38" i="15"/>
  <c r="BG39" i="15"/>
  <c r="BG40" i="15"/>
  <c r="BG41" i="15"/>
  <c r="BG42" i="15"/>
  <c r="BG43" i="15"/>
  <c r="BG44" i="15"/>
  <c r="BG45" i="15"/>
  <c r="BG46" i="15"/>
  <c r="BG47" i="15"/>
  <c r="BG48" i="15"/>
  <c r="BG49" i="15"/>
  <c r="BG50" i="15"/>
  <c r="BG51" i="15"/>
  <c r="BG52" i="15"/>
  <c r="BG53" i="15"/>
  <c r="BG54" i="15"/>
  <c r="BG55" i="15"/>
  <c r="BG56" i="15"/>
  <c r="BG57" i="15"/>
  <c r="BG58" i="15"/>
  <c r="BG59" i="15"/>
  <c r="BG60" i="15"/>
  <c r="BG61" i="15"/>
  <c r="BG62" i="15"/>
  <c r="BG63" i="15"/>
  <c r="BG64" i="15"/>
  <c r="BG65" i="15"/>
  <c r="BG66" i="15"/>
  <c r="BG67" i="15"/>
  <c r="BG68" i="15"/>
  <c r="BG69" i="15"/>
  <c r="BG70" i="15"/>
  <c r="BG71" i="15"/>
  <c r="BG72" i="15"/>
  <c r="BG73" i="15"/>
  <c r="BG74" i="15"/>
  <c r="BG75" i="15"/>
  <c r="BG76" i="15"/>
  <c r="BG77" i="15"/>
  <c r="BG78" i="15"/>
  <c r="BG79" i="15"/>
  <c r="BG80" i="15"/>
  <c r="BG81" i="15"/>
  <c r="BG82" i="15"/>
  <c r="BG83" i="15"/>
  <c r="BG84" i="15"/>
  <c r="BG85" i="15"/>
  <c r="BG86" i="15"/>
  <c r="BG87" i="15"/>
  <c r="BG88" i="15"/>
  <c r="BG89" i="15"/>
  <c r="BG90" i="15"/>
  <c r="BG91" i="15"/>
  <c r="BG92" i="15"/>
  <c r="BG93" i="15"/>
  <c r="BG94" i="15"/>
  <c r="BG95" i="15"/>
  <c r="BG96" i="15"/>
  <c r="BG97" i="15"/>
  <c r="BG98" i="15"/>
  <c r="BG99" i="15"/>
  <c r="BG100" i="15"/>
  <c r="BG101" i="15"/>
  <c r="BG102" i="15"/>
  <c r="BG103" i="15"/>
  <c r="BG104" i="15"/>
  <c r="BG105" i="15"/>
  <c r="BG106" i="15"/>
  <c r="BG107" i="15"/>
  <c r="BG108" i="15"/>
  <c r="BG109" i="15"/>
  <c r="BG110" i="15"/>
  <c r="BG111" i="15"/>
  <c r="BG112" i="15"/>
  <c r="BG113" i="15"/>
  <c r="BG114" i="15"/>
  <c r="BG115" i="15"/>
  <c r="BG116" i="15"/>
  <c r="BG117" i="15"/>
  <c r="BG118" i="15"/>
  <c r="BG119" i="15"/>
  <c r="BG120" i="15"/>
  <c r="BG121" i="15"/>
  <c r="BG122" i="15"/>
  <c r="BG123" i="15"/>
  <c r="BG124" i="15"/>
  <c r="BG125" i="15"/>
  <c r="BG126" i="15"/>
  <c r="BG127" i="15"/>
  <c r="BG128" i="15"/>
  <c r="BG129" i="15"/>
  <c r="BG130" i="15"/>
  <c r="BG131" i="15"/>
  <c r="BG132" i="15"/>
  <c r="BG133" i="15"/>
  <c r="BG134" i="15"/>
  <c r="BG135" i="15"/>
  <c r="BG136" i="15"/>
  <c r="BG137" i="15"/>
  <c r="BG138" i="15"/>
  <c r="BG139" i="15"/>
  <c r="BG140" i="15"/>
  <c r="BG141" i="15"/>
  <c r="BG142" i="15"/>
  <c r="BG143" i="15"/>
  <c r="BG144" i="15"/>
  <c r="BG145" i="15"/>
  <c r="BG146" i="15"/>
  <c r="BG147" i="15"/>
  <c r="BG148" i="15"/>
  <c r="BG149" i="15"/>
  <c r="BG150" i="15"/>
  <c r="BG151" i="15"/>
  <c r="BG152" i="15"/>
  <c r="BG153" i="15"/>
  <c r="BG154" i="15"/>
  <c r="BG155" i="15"/>
  <c r="BG156" i="15"/>
  <c r="BG157" i="15"/>
  <c r="BG158" i="15"/>
  <c r="BG159" i="15"/>
  <c r="BG160" i="15"/>
  <c r="BG161" i="15"/>
  <c r="BG162" i="15"/>
  <c r="BG163" i="15"/>
  <c r="BG164" i="15"/>
  <c r="BG165" i="15"/>
  <c r="BG166" i="15"/>
  <c r="BG167" i="15"/>
  <c r="BG168" i="15"/>
  <c r="BG169" i="15"/>
  <c r="BG170" i="15"/>
  <c r="BG171" i="15"/>
  <c r="BG172" i="15"/>
  <c r="BG173" i="15"/>
  <c r="BG174" i="15"/>
  <c r="BG175" i="15"/>
  <c r="BG176" i="15"/>
  <c r="BG177" i="15"/>
  <c r="BG178" i="15"/>
  <c r="BG179" i="15"/>
  <c r="BG180" i="15"/>
  <c r="BG181" i="15"/>
  <c r="BG182" i="15"/>
  <c r="BG183" i="15"/>
  <c r="BG184" i="15"/>
  <c r="BG185" i="15"/>
  <c r="BG186" i="15"/>
  <c r="BG187" i="15"/>
  <c r="BG188" i="15"/>
  <c r="BG189" i="15"/>
  <c r="BG190" i="15"/>
  <c r="BG191" i="15"/>
  <c r="BG192" i="15"/>
  <c r="BG193" i="15"/>
  <c r="BG194" i="15"/>
  <c r="BG195" i="15"/>
  <c r="BG196" i="15"/>
  <c r="BG197" i="15"/>
  <c r="BG198" i="15"/>
  <c r="BG199" i="15"/>
  <c r="BG200" i="15"/>
  <c r="BG201" i="15"/>
  <c r="AZ5" i="15"/>
  <c r="AZ6" i="15"/>
  <c r="AZ7" i="15"/>
  <c r="AZ8" i="15"/>
  <c r="AZ9" i="15"/>
  <c r="AZ10" i="15"/>
  <c r="AZ11" i="15"/>
  <c r="AZ12" i="15"/>
  <c r="AZ13" i="15"/>
  <c r="AZ14" i="15"/>
  <c r="AZ15" i="15"/>
  <c r="AZ16" i="15"/>
  <c r="AZ17" i="15"/>
  <c r="AZ18" i="15"/>
  <c r="AZ19" i="15"/>
  <c r="AZ20" i="15"/>
  <c r="AZ21" i="15"/>
  <c r="AZ22" i="15"/>
  <c r="AZ23" i="15"/>
  <c r="AZ24" i="15"/>
  <c r="AZ25" i="15"/>
  <c r="AZ26" i="15"/>
  <c r="AZ27" i="15"/>
  <c r="AZ28" i="15"/>
  <c r="AZ29" i="15"/>
  <c r="AZ30" i="15"/>
  <c r="AZ31" i="15"/>
  <c r="AZ32" i="15"/>
  <c r="AZ33" i="15"/>
  <c r="AZ34" i="15"/>
  <c r="AZ35" i="15"/>
  <c r="AZ36" i="15"/>
  <c r="AZ37" i="15"/>
  <c r="AZ38" i="15"/>
  <c r="AZ39" i="15"/>
  <c r="AZ40" i="15"/>
  <c r="AZ41" i="15"/>
  <c r="AZ42" i="15"/>
  <c r="AZ43" i="15"/>
  <c r="AZ44" i="15"/>
  <c r="AZ45" i="15"/>
  <c r="AZ46" i="15"/>
  <c r="AZ47" i="15"/>
  <c r="AZ48" i="15"/>
  <c r="AZ49" i="15"/>
  <c r="AZ50" i="15"/>
  <c r="AZ51" i="15"/>
  <c r="AZ52" i="15"/>
  <c r="AZ53" i="15"/>
  <c r="AZ54" i="15"/>
  <c r="AZ55" i="15"/>
  <c r="AZ56" i="15"/>
  <c r="AZ57" i="15"/>
  <c r="AZ58" i="15"/>
  <c r="AZ59" i="15"/>
  <c r="AZ60" i="15"/>
  <c r="AZ61" i="15"/>
  <c r="AZ62" i="15"/>
  <c r="AZ63" i="15"/>
  <c r="AZ64" i="15"/>
  <c r="AZ65" i="15"/>
  <c r="AZ66" i="15"/>
  <c r="AZ67" i="15"/>
  <c r="AZ68" i="15"/>
  <c r="AZ69" i="15"/>
  <c r="AZ70" i="15"/>
  <c r="AZ71" i="15"/>
  <c r="AZ72" i="15"/>
  <c r="AZ73" i="15"/>
  <c r="AZ74" i="15"/>
  <c r="AZ75" i="15"/>
  <c r="AZ76" i="15"/>
  <c r="AZ77" i="15"/>
  <c r="AZ78" i="15"/>
  <c r="AZ79" i="15"/>
  <c r="AZ80" i="15"/>
  <c r="AZ81" i="15"/>
  <c r="AZ82" i="15"/>
  <c r="AZ83" i="15"/>
  <c r="AZ84" i="15"/>
  <c r="AZ85" i="15"/>
  <c r="AZ86" i="15"/>
  <c r="AZ87" i="15"/>
  <c r="AZ88" i="15"/>
  <c r="AZ89" i="15"/>
  <c r="AZ90" i="15"/>
  <c r="AZ91" i="15"/>
  <c r="AZ92" i="15"/>
  <c r="AZ93" i="15"/>
  <c r="AZ94" i="15"/>
  <c r="AZ95" i="15"/>
  <c r="AZ96" i="15"/>
  <c r="AZ97" i="15"/>
  <c r="AZ98" i="15"/>
  <c r="AZ99" i="15"/>
  <c r="AZ100" i="15"/>
  <c r="AZ101" i="15"/>
  <c r="AZ102" i="15"/>
  <c r="AZ103" i="15"/>
  <c r="AZ104" i="15"/>
  <c r="AZ105" i="15"/>
  <c r="AZ106" i="15"/>
  <c r="AZ107" i="15"/>
  <c r="AZ108" i="15"/>
  <c r="AZ109" i="15"/>
  <c r="AZ110" i="15"/>
  <c r="AZ111" i="15"/>
  <c r="AZ112" i="15"/>
  <c r="AZ113" i="15"/>
  <c r="AZ114" i="15"/>
  <c r="AZ115" i="15"/>
  <c r="AZ116" i="15"/>
  <c r="AZ117" i="15"/>
  <c r="AZ118" i="15"/>
  <c r="AZ119" i="15"/>
  <c r="AZ120" i="15"/>
  <c r="AZ121" i="15"/>
  <c r="AZ122" i="15"/>
  <c r="AZ123" i="15"/>
  <c r="AZ124" i="15"/>
  <c r="AZ125" i="15"/>
  <c r="AZ126" i="15"/>
  <c r="AZ127" i="15"/>
  <c r="AZ128" i="15"/>
  <c r="AZ129" i="15"/>
  <c r="AZ130" i="15"/>
  <c r="AZ131" i="15"/>
  <c r="AZ132" i="15"/>
  <c r="AZ133" i="15"/>
  <c r="AZ134" i="15"/>
  <c r="AZ135" i="15"/>
  <c r="AZ136" i="15"/>
  <c r="AZ137" i="15"/>
  <c r="AZ138" i="15"/>
  <c r="AZ139" i="15"/>
  <c r="AZ140" i="15"/>
  <c r="AZ141" i="15"/>
  <c r="AZ142" i="15"/>
  <c r="AZ143" i="15"/>
  <c r="AZ144" i="15"/>
  <c r="AZ145" i="15"/>
  <c r="AZ146" i="15"/>
  <c r="AZ147" i="15"/>
  <c r="AZ148" i="15"/>
  <c r="AZ149" i="15"/>
  <c r="AZ150" i="15"/>
  <c r="AZ151" i="15"/>
  <c r="AZ152" i="15"/>
  <c r="AZ153" i="15"/>
  <c r="AZ154" i="15"/>
  <c r="AZ155" i="15"/>
  <c r="AZ156" i="15"/>
  <c r="AZ157" i="15"/>
  <c r="AZ158" i="15"/>
  <c r="AZ159" i="15"/>
  <c r="AZ160" i="15"/>
  <c r="AZ161" i="15"/>
  <c r="AZ162" i="15"/>
  <c r="AZ163" i="15"/>
  <c r="AZ164" i="15"/>
  <c r="AZ165" i="15"/>
  <c r="AZ166" i="15"/>
  <c r="AZ167" i="15"/>
  <c r="AZ168" i="15"/>
  <c r="AZ169" i="15"/>
  <c r="AZ170" i="15"/>
  <c r="AZ171" i="15"/>
  <c r="AZ172" i="15"/>
  <c r="AZ173" i="15"/>
  <c r="AZ174" i="15"/>
  <c r="AZ175" i="15"/>
  <c r="AZ176" i="15"/>
  <c r="AZ177" i="15"/>
  <c r="AZ178" i="15"/>
  <c r="AZ179" i="15"/>
  <c r="AZ180" i="15"/>
  <c r="AZ181" i="15"/>
  <c r="AZ182" i="15"/>
  <c r="AZ183" i="15"/>
  <c r="AZ184" i="15"/>
  <c r="AZ185" i="15"/>
  <c r="AZ186" i="15"/>
  <c r="AZ187" i="15"/>
  <c r="AZ188" i="15"/>
  <c r="AZ189" i="15"/>
  <c r="AZ190" i="15"/>
  <c r="AZ191" i="15"/>
  <c r="AZ192" i="15"/>
  <c r="AZ193" i="15"/>
  <c r="AZ194" i="15"/>
  <c r="AZ195" i="15"/>
  <c r="AZ196" i="15"/>
  <c r="AZ197" i="15"/>
  <c r="AZ198" i="15"/>
  <c r="AZ199" i="15"/>
  <c r="AZ200" i="15"/>
  <c r="AZ201" i="15"/>
  <c r="AZ4" i="15"/>
  <c r="AS5" i="15"/>
  <c r="AS4" i="15"/>
  <c r="AS6" i="15"/>
  <c r="AS7" i="15"/>
  <c r="AS8" i="15"/>
  <c r="AS9" i="15"/>
  <c r="AS10" i="15"/>
  <c r="AS11" i="15"/>
  <c r="AS12" i="15"/>
  <c r="AS13" i="15"/>
  <c r="AS14" i="15"/>
  <c r="AS15" i="15"/>
  <c r="AS16" i="15"/>
  <c r="AS17" i="15"/>
  <c r="AS18" i="15"/>
  <c r="AS19" i="15"/>
  <c r="AS20" i="15"/>
  <c r="AS21" i="15"/>
  <c r="AS22" i="15"/>
  <c r="AS23" i="15"/>
  <c r="AS24" i="15"/>
  <c r="AS25" i="15"/>
  <c r="AS26" i="15"/>
  <c r="AS27" i="15"/>
  <c r="AS28" i="15"/>
  <c r="AS29" i="15"/>
  <c r="AS30" i="15"/>
  <c r="AS31" i="15"/>
  <c r="AS32" i="15"/>
  <c r="AS33" i="15"/>
  <c r="AS34" i="15"/>
  <c r="AS35" i="15"/>
  <c r="AS36" i="15"/>
  <c r="AS37" i="15"/>
  <c r="AS38" i="15"/>
  <c r="AS39" i="15"/>
  <c r="AS40" i="15"/>
  <c r="AS41" i="15"/>
  <c r="AS42" i="15"/>
  <c r="AS43" i="15"/>
  <c r="AS44" i="15"/>
  <c r="AS45" i="15"/>
  <c r="AS46" i="15"/>
  <c r="AS47" i="15"/>
  <c r="AS48" i="15"/>
  <c r="AS49" i="15"/>
  <c r="AS50" i="15"/>
  <c r="AS51" i="15"/>
  <c r="AS52" i="15"/>
  <c r="AS53" i="15"/>
  <c r="AS54" i="15"/>
  <c r="AS55" i="15"/>
  <c r="AS56" i="15"/>
  <c r="AS57" i="15"/>
  <c r="AS58" i="15"/>
  <c r="AS59" i="15"/>
  <c r="AS60" i="15"/>
  <c r="AS61" i="15"/>
  <c r="AS62" i="15"/>
  <c r="AS63" i="15"/>
  <c r="AS64" i="15"/>
  <c r="AS65" i="15"/>
  <c r="AS66" i="15"/>
  <c r="AS67" i="15"/>
  <c r="AS68" i="15"/>
  <c r="AS69" i="15"/>
  <c r="AS70" i="15"/>
  <c r="AS71" i="15"/>
  <c r="AS72" i="15"/>
  <c r="AS73" i="15"/>
  <c r="AS74" i="15"/>
  <c r="AS75" i="15"/>
  <c r="AS76" i="15"/>
  <c r="AS77" i="15"/>
  <c r="AS78" i="15"/>
  <c r="AS79" i="15"/>
  <c r="AS80" i="15"/>
  <c r="AS81" i="15"/>
  <c r="AS82" i="15"/>
  <c r="AS83" i="15"/>
  <c r="AS84" i="15"/>
  <c r="AS85" i="15"/>
  <c r="AS86" i="15"/>
  <c r="AS87" i="15"/>
  <c r="AS88" i="15"/>
  <c r="AS89" i="15"/>
  <c r="AS90" i="15"/>
  <c r="AS91" i="15"/>
  <c r="AS92" i="15"/>
  <c r="AS93" i="15"/>
  <c r="AS94" i="15"/>
  <c r="AS95" i="15"/>
  <c r="AS96" i="15"/>
  <c r="AS97" i="15"/>
  <c r="AS98" i="15"/>
  <c r="AS99" i="15"/>
  <c r="AS100" i="15"/>
  <c r="AS101" i="15"/>
  <c r="AS102" i="15"/>
  <c r="AS103" i="15"/>
  <c r="AS104" i="15"/>
  <c r="AS105" i="15"/>
  <c r="AS106" i="15"/>
  <c r="AS107" i="15"/>
  <c r="AS108" i="15"/>
  <c r="AS109" i="15"/>
  <c r="AS110" i="15"/>
  <c r="AS111" i="15"/>
  <c r="AS112" i="15"/>
  <c r="AS113" i="15"/>
  <c r="AS114" i="15"/>
  <c r="AS115" i="15"/>
  <c r="AS116" i="15"/>
  <c r="AS117" i="15"/>
  <c r="AS118" i="15"/>
  <c r="AS119" i="15"/>
  <c r="AS120" i="15"/>
  <c r="AS121" i="15"/>
  <c r="AS122" i="15"/>
  <c r="AS123" i="15"/>
  <c r="AS124" i="15"/>
  <c r="AS125" i="15"/>
  <c r="AS126" i="15"/>
  <c r="AS127" i="15"/>
  <c r="AS128" i="15"/>
  <c r="AS129" i="15"/>
  <c r="AS130" i="15"/>
  <c r="AS131" i="15"/>
  <c r="AS132" i="15"/>
  <c r="AS133" i="15"/>
  <c r="AS134" i="15"/>
  <c r="AS135" i="15"/>
  <c r="AS136" i="15"/>
  <c r="AS137" i="15"/>
  <c r="AS138" i="15"/>
  <c r="AS139" i="15"/>
  <c r="AS140" i="15"/>
  <c r="AS141" i="15"/>
  <c r="AS142" i="15"/>
  <c r="AS143" i="15"/>
  <c r="AS144" i="15"/>
  <c r="AS145" i="15"/>
  <c r="AS146" i="15"/>
  <c r="AS147" i="15"/>
  <c r="AS148" i="15"/>
  <c r="AS149" i="15"/>
  <c r="AS150" i="15"/>
  <c r="AS151" i="15"/>
  <c r="AS152" i="15"/>
  <c r="AS153" i="15"/>
  <c r="AS154" i="15"/>
  <c r="AS155" i="15"/>
  <c r="AS156" i="15"/>
  <c r="AS157" i="15"/>
  <c r="AS158" i="15"/>
  <c r="AS159" i="15"/>
  <c r="AS160" i="15"/>
  <c r="AS161" i="15"/>
  <c r="AS162" i="15"/>
  <c r="AS163" i="15"/>
  <c r="AS164" i="15"/>
  <c r="AS165" i="15"/>
  <c r="AS166" i="15"/>
  <c r="AS167" i="15"/>
  <c r="AS168" i="15"/>
  <c r="AS169" i="15"/>
  <c r="AS170" i="15"/>
  <c r="AS171" i="15"/>
  <c r="AS172" i="15"/>
  <c r="AS173" i="15"/>
  <c r="AS174" i="15"/>
  <c r="AS175" i="15"/>
  <c r="AS176" i="15"/>
  <c r="AS177" i="15"/>
  <c r="AS178" i="15"/>
  <c r="AS179" i="15"/>
  <c r="AS180" i="15"/>
  <c r="AS181" i="15"/>
  <c r="AS182" i="15"/>
  <c r="AS183" i="15"/>
  <c r="AS184" i="15"/>
  <c r="AS185" i="15"/>
  <c r="AS186" i="15"/>
  <c r="AS187" i="15"/>
  <c r="AS188" i="15"/>
  <c r="AS189" i="15"/>
  <c r="AS190" i="15"/>
  <c r="AS191" i="15"/>
  <c r="AS192" i="15"/>
  <c r="AS193" i="15"/>
  <c r="AS194" i="15"/>
  <c r="AS195" i="15"/>
  <c r="AS196" i="15"/>
  <c r="AS197" i="15"/>
  <c r="AS198" i="15"/>
  <c r="AS199" i="15"/>
  <c r="AS200" i="15"/>
  <c r="AS201" i="15"/>
  <c r="AF5" i="15"/>
  <c r="AF6" i="15"/>
  <c r="AF7" i="15"/>
  <c r="AF8" i="15"/>
  <c r="AF9" i="15"/>
  <c r="AF10" i="15"/>
  <c r="AF11" i="15"/>
  <c r="AF12" i="15"/>
  <c r="AF13" i="15"/>
  <c r="AF14" i="15"/>
  <c r="AF15" i="15"/>
  <c r="AF16" i="15"/>
  <c r="AF17" i="15"/>
  <c r="AF18" i="15"/>
  <c r="AF19" i="15"/>
  <c r="AF20" i="15"/>
  <c r="AF21" i="15"/>
  <c r="AF22" i="15"/>
  <c r="AF23" i="15"/>
  <c r="AF24" i="15"/>
  <c r="AF25" i="15"/>
  <c r="AF26" i="15"/>
  <c r="AF27" i="15"/>
  <c r="AF28" i="15"/>
  <c r="AF29" i="15"/>
  <c r="AF30" i="15"/>
  <c r="AF31" i="15"/>
  <c r="AF32" i="15"/>
  <c r="AF33" i="15"/>
  <c r="AF34" i="15"/>
  <c r="AF35" i="15"/>
  <c r="AF36" i="15"/>
  <c r="AF37" i="15"/>
  <c r="AF38" i="15"/>
  <c r="AF39" i="15"/>
  <c r="AF40" i="15"/>
  <c r="AF41" i="15"/>
  <c r="AF42" i="15"/>
  <c r="AF43" i="15"/>
  <c r="AF44" i="15"/>
  <c r="AF45" i="15"/>
  <c r="AF46" i="15"/>
  <c r="AF47" i="15"/>
  <c r="AF48" i="15"/>
  <c r="AF49" i="15"/>
  <c r="AF50" i="15"/>
  <c r="AF51" i="15"/>
  <c r="AF52" i="15"/>
  <c r="AF53" i="15"/>
  <c r="AF54" i="15"/>
  <c r="AF55" i="15"/>
  <c r="AF56" i="15"/>
  <c r="AF57" i="15"/>
  <c r="AF58" i="15"/>
  <c r="AF59" i="15"/>
  <c r="AF60" i="15"/>
  <c r="AF61" i="15"/>
  <c r="AF62" i="15"/>
  <c r="AF63" i="15"/>
  <c r="AF64" i="15"/>
  <c r="AF65" i="15"/>
  <c r="AF66" i="15"/>
  <c r="AF67" i="15"/>
  <c r="AF68" i="15"/>
  <c r="AF69" i="15"/>
  <c r="AF70" i="15"/>
  <c r="AF71" i="15"/>
  <c r="AF72" i="15"/>
  <c r="AF73" i="15"/>
  <c r="AF74" i="15"/>
  <c r="AF75" i="15"/>
  <c r="AF76" i="15"/>
  <c r="AF77" i="15"/>
  <c r="AF78" i="15"/>
  <c r="AF79" i="15"/>
  <c r="AF80" i="15"/>
  <c r="AF81" i="15"/>
  <c r="AF82" i="15"/>
  <c r="AF83" i="15"/>
  <c r="AF84" i="15"/>
  <c r="AF85" i="15"/>
  <c r="AF86" i="15"/>
  <c r="AF87" i="15"/>
  <c r="AF88" i="15"/>
  <c r="AF89" i="15"/>
  <c r="AF90" i="15"/>
  <c r="AF91" i="15"/>
  <c r="AF92" i="15"/>
  <c r="AF93" i="15"/>
  <c r="AF94" i="15"/>
  <c r="AF95" i="15"/>
  <c r="AF96" i="15"/>
  <c r="AF97" i="15"/>
  <c r="AF98" i="15"/>
  <c r="AF99" i="15"/>
  <c r="AF100" i="15"/>
  <c r="AF101" i="15"/>
  <c r="AF102" i="15"/>
  <c r="AF103" i="15"/>
  <c r="AF104" i="15"/>
  <c r="AF105" i="15"/>
  <c r="AF106" i="15"/>
  <c r="AF107" i="15"/>
  <c r="AF108" i="15"/>
  <c r="AF109" i="15"/>
  <c r="AF110" i="15"/>
  <c r="AF111" i="15"/>
  <c r="AF112" i="15"/>
  <c r="AF113" i="15"/>
  <c r="AF114" i="15"/>
  <c r="AF115" i="15"/>
  <c r="AF116" i="15"/>
  <c r="AF117" i="15"/>
  <c r="AF118" i="15"/>
  <c r="AF119" i="15"/>
  <c r="AF120" i="15"/>
  <c r="AF121" i="15"/>
  <c r="AF122" i="15"/>
  <c r="AF123" i="15"/>
  <c r="AF124" i="15"/>
  <c r="AF125" i="15"/>
  <c r="AF126" i="15"/>
  <c r="AF127" i="15"/>
  <c r="AF128" i="15"/>
  <c r="AF129" i="15"/>
  <c r="AF130" i="15"/>
  <c r="AF131" i="15"/>
  <c r="AF132" i="15"/>
  <c r="AF133" i="15"/>
  <c r="AF134" i="15"/>
  <c r="AF135" i="15"/>
  <c r="AF136" i="15"/>
  <c r="AF137" i="15"/>
  <c r="AF138" i="15"/>
  <c r="AF139" i="15"/>
  <c r="AF140" i="15"/>
  <c r="AF141" i="15"/>
  <c r="AF142" i="15"/>
  <c r="AF143" i="15"/>
  <c r="AF144" i="15"/>
  <c r="AF145" i="15"/>
  <c r="AF146" i="15"/>
  <c r="AF147" i="15"/>
  <c r="AF148" i="15"/>
  <c r="AF149" i="15"/>
  <c r="AF150" i="15"/>
  <c r="AF151" i="15"/>
  <c r="AF152" i="15"/>
  <c r="AF153" i="15"/>
  <c r="AF154" i="15"/>
  <c r="AF155" i="15"/>
  <c r="AF156" i="15"/>
  <c r="AF157" i="15"/>
  <c r="AF158" i="15"/>
  <c r="AF159" i="15"/>
  <c r="AF160" i="15"/>
  <c r="AF161" i="15"/>
  <c r="AF162" i="15"/>
  <c r="AF163" i="15"/>
  <c r="AF164" i="15"/>
  <c r="AF165" i="15"/>
  <c r="AF166" i="15"/>
  <c r="AF167" i="15"/>
  <c r="AF168" i="15"/>
  <c r="AF169" i="15"/>
  <c r="AF170" i="15"/>
  <c r="AF171" i="15"/>
  <c r="AF172" i="15"/>
  <c r="AF173" i="15"/>
  <c r="AF174" i="15"/>
  <c r="AF175" i="15"/>
  <c r="AF176" i="15"/>
  <c r="AF177" i="15"/>
  <c r="AF178" i="15"/>
  <c r="AF179" i="15"/>
  <c r="AF180" i="15"/>
  <c r="AF181" i="15"/>
  <c r="AF182" i="15"/>
  <c r="AF183" i="15"/>
  <c r="AF184" i="15"/>
  <c r="AF185" i="15"/>
  <c r="AF186" i="15"/>
  <c r="AF187" i="15"/>
  <c r="AF188" i="15"/>
  <c r="AF189" i="15"/>
  <c r="AF190" i="15"/>
  <c r="AF191" i="15"/>
  <c r="AF192" i="15"/>
  <c r="AF193" i="15"/>
  <c r="AF194" i="15"/>
  <c r="AF195" i="15"/>
  <c r="AF196" i="15"/>
  <c r="AF197" i="15"/>
  <c r="AF198" i="15"/>
  <c r="AF199" i="15"/>
  <c r="AF200" i="15"/>
  <c r="AF201" i="15"/>
  <c r="AF4" i="15"/>
  <c r="Y5" i="15"/>
  <c r="Y6" i="15"/>
  <c r="Y7" i="15"/>
  <c r="Y8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Y32" i="15"/>
  <c r="Y33" i="15"/>
  <c r="Y34" i="15"/>
  <c r="Y35" i="15"/>
  <c r="Y36" i="15"/>
  <c r="Y37" i="15"/>
  <c r="Y38" i="15"/>
  <c r="Y39" i="15"/>
  <c r="Y40" i="15"/>
  <c r="Y41" i="15"/>
  <c r="Y42" i="15"/>
  <c r="Y43" i="15"/>
  <c r="Y44" i="15"/>
  <c r="Y45" i="15"/>
  <c r="Y46" i="15"/>
  <c r="Y47" i="15"/>
  <c r="Y48" i="15"/>
  <c r="Y49" i="15"/>
  <c r="Y50" i="15"/>
  <c r="Y51" i="15"/>
  <c r="Y52" i="15"/>
  <c r="Y53" i="15"/>
  <c r="Y54" i="15"/>
  <c r="Y55" i="15"/>
  <c r="Y56" i="15"/>
  <c r="Y57" i="15"/>
  <c r="Y58" i="15"/>
  <c r="Y59" i="15"/>
  <c r="Y60" i="15"/>
  <c r="Y61" i="15"/>
  <c r="Y62" i="15"/>
  <c r="Y63" i="15"/>
  <c r="Y64" i="15"/>
  <c r="Y65" i="15"/>
  <c r="Y66" i="15"/>
  <c r="Y67" i="15"/>
  <c r="Y68" i="15"/>
  <c r="Y69" i="15"/>
  <c r="Y70" i="15"/>
  <c r="Y71" i="15"/>
  <c r="Y72" i="15"/>
  <c r="Y73" i="15"/>
  <c r="Y74" i="15"/>
  <c r="Y75" i="15"/>
  <c r="Y76" i="15"/>
  <c r="Y77" i="15"/>
  <c r="Y78" i="15"/>
  <c r="Y79" i="15"/>
  <c r="Y80" i="15"/>
  <c r="Y81" i="15"/>
  <c r="Y82" i="15"/>
  <c r="Y83" i="15"/>
  <c r="Y84" i="15"/>
  <c r="Y85" i="15"/>
  <c r="Y86" i="15"/>
  <c r="Y87" i="15"/>
  <c r="Y88" i="15"/>
  <c r="Y89" i="15"/>
  <c r="Y90" i="15"/>
  <c r="Y91" i="15"/>
  <c r="Y92" i="15"/>
  <c r="Y93" i="15"/>
  <c r="Y94" i="15"/>
  <c r="Y95" i="15"/>
  <c r="Y96" i="15"/>
  <c r="Y97" i="15"/>
  <c r="Y98" i="15"/>
  <c r="Y99" i="15"/>
  <c r="Y100" i="15"/>
  <c r="Y101" i="15"/>
  <c r="Y102" i="15"/>
  <c r="Y103" i="15"/>
  <c r="Y104" i="15"/>
  <c r="Y105" i="15"/>
  <c r="Y106" i="15"/>
  <c r="Y107" i="15"/>
  <c r="Y108" i="15"/>
  <c r="Y109" i="15"/>
  <c r="Y110" i="15"/>
  <c r="Y111" i="15"/>
  <c r="Y112" i="15"/>
  <c r="Y113" i="15"/>
  <c r="Y114" i="15"/>
  <c r="Y115" i="15"/>
  <c r="Y116" i="15"/>
  <c r="Y117" i="15"/>
  <c r="Y118" i="15"/>
  <c r="Y119" i="15"/>
  <c r="Y120" i="15"/>
  <c r="Y121" i="15"/>
  <c r="Y122" i="15"/>
  <c r="Y123" i="15"/>
  <c r="Y124" i="15"/>
  <c r="Y125" i="15"/>
  <c r="Y126" i="15"/>
  <c r="Y127" i="15"/>
  <c r="Y128" i="15"/>
  <c r="Y129" i="15"/>
  <c r="Y130" i="15"/>
  <c r="Y131" i="15"/>
  <c r="Y132" i="15"/>
  <c r="Y133" i="15"/>
  <c r="Y134" i="15"/>
  <c r="Y135" i="15"/>
  <c r="Y136" i="15"/>
  <c r="Y137" i="15"/>
  <c r="Y138" i="15"/>
  <c r="Y139" i="15"/>
  <c r="Y140" i="15"/>
  <c r="Y141" i="15"/>
  <c r="Y142" i="15"/>
  <c r="Y143" i="15"/>
  <c r="Y144" i="15"/>
  <c r="Y145" i="15"/>
  <c r="Y146" i="15"/>
  <c r="Y147" i="15"/>
  <c r="Y148" i="15"/>
  <c r="Y149" i="15"/>
  <c r="Y150" i="15"/>
  <c r="Y151" i="15"/>
  <c r="Y152" i="15"/>
  <c r="Y153" i="15"/>
  <c r="Y154" i="15"/>
  <c r="Y155" i="15"/>
  <c r="Y156" i="15"/>
  <c r="Y157" i="15"/>
  <c r="Y158" i="15"/>
  <c r="Y159" i="15"/>
  <c r="Y160" i="15"/>
  <c r="Y161" i="15"/>
  <c r="Y162" i="15"/>
  <c r="Y163" i="15"/>
  <c r="Y164" i="15"/>
  <c r="Y165" i="15"/>
  <c r="Y166" i="15"/>
  <c r="Y167" i="15"/>
  <c r="Y168" i="15"/>
  <c r="Y169" i="15"/>
  <c r="Y170" i="15"/>
  <c r="Y171" i="15"/>
  <c r="Y172" i="15"/>
  <c r="Y173" i="15"/>
  <c r="Y174" i="15"/>
  <c r="Y175" i="15"/>
  <c r="Y176" i="15"/>
  <c r="Y177" i="15"/>
  <c r="Y178" i="15"/>
  <c r="Y179" i="15"/>
  <c r="Y180" i="15"/>
  <c r="Y181" i="15"/>
  <c r="Y182" i="15"/>
  <c r="Y183" i="15"/>
  <c r="Y184" i="15"/>
  <c r="Y185" i="15"/>
  <c r="Y186" i="15"/>
  <c r="Y187" i="15"/>
  <c r="Y188" i="15"/>
  <c r="Y189" i="15"/>
  <c r="Y190" i="15"/>
  <c r="Y191" i="15"/>
  <c r="Y192" i="15"/>
  <c r="Y193" i="15"/>
  <c r="Y194" i="15"/>
  <c r="Y195" i="15"/>
  <c r="Y196" i="15"/>
  <c r="Y197" i="15"/>
  <c r="Y198" i="15"/>
  <c r="Y199" i="15"/>
  <c r="Y200" i="15"/>
  <c r="Y201" i="15"/>
  <c r="Y4" i="15"/>
  <c r="R5" i="15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52" i="15"/>
  <c r="R53" i="15"/>
  <c r="R54" i="15"/>
  <c r="R55" i="15"/>
  <c r="R56" i="15"/>
  <c r="R57" i="15"/>
  <c r="R58" i="15"/>
  <c r="R59" i="15"/>
  <c r="R60" i="15"/>
  <c r="R61" i="15"/>
  <c r="R62" i="15"/>
  <c r="R63" i="15"/>
  <c r="R64" i="15"/>
  <c r="R65" i="15"/>
  <c r="R66" i="15"/>
  <c r="R67" i="15"/>
  <c r="R68" i="15"/>
  <c r="R69" i="15"/>
  <c r="R70" i="15"/>
  <c r="R71" i="15"/>
  <c r="R72" i="15"/>
  <c r="R73" i="15"/>
  <c r="R74" i="15"/>
  <c r="R75" i="15"/>
  <c r="R76" i="15"/>
  <c r="R77" i="15"/>
  <c r="R78" i="15"/>
  <c r="R79" i="15"/>
  <c r="R80" i="15"/>
  <c r="R81" i="15"/>
  <c r="R82" i="15"/>
  <c r="R83" i="15"/>
  <c r="R84" i="15"/>
  <c r="R85" i="15"/>
  <c r="R86" i="15"/>
  <c r="R87" i="15"/>
  <c r="R88" i="15"/>
  <c r="R89" i="15"/>
  <c r="R90" i="15"/>
  <c r="R91" i="15"/>
  <c r="R92" i="15"/>
  <c r="R93" i="15"/>
  <c r="R94" i="15"/>
  <c r="R95" i="15"/>
  <c r="R96" i="15"/>
  <c r="R97" i="15"/>
  <c r="R98" i="15"/>
  <c r="R99" i="15"/>
  <c r="R100" i="15"/>
  <c r="R101" i="15"/>
  <c r="R102" i="15"/>
  <c r="R103" i="15"/>
  <c r="R104" i="15"/>
  <c r="R105" i="15"/>
  <c r="R106" i="15"/>
  <c r="R107" i="15"/>
  <c r="R108" i="15"/>
  <c r="R109" i="15"/>
  <c r="R110" i="15"/>
  <c r="R111" i="15"/>
  <c r="R112" i="15"/>
  <c r="R113" i="15"/>
  <c r="R114" i="15"/>
  <c r="R115" i="15"/>
  <c r="R116" i="15"/>
  <c r="R117" i="15"/>
  <c r="R118" i="15"/>
  <c r="R119" i="15"/>
  <c r="R120" i="15"/>
  <c r="R121" i="15"/>
  <c r="R122" i="15"/>
  <c r="R123" i="15"/>
  <c r="R124" i="15"/>
  <c r="R125" i="15"/>
  <c r="R126" i="15"/>
  <c r="R127" i="15"/>
  <c r="R128" i="15"/>
  <c r="R129" i="15"/>
  <c r="R130" i="15"/>
  <c r="R131" i="15"/>
  <c r="R132" i="15"/>
  <c r="R133" i="15"/>
  <c r="R134" i="15"/>
  <c r="R135" i="15"/>
  <c r="R136" i="15"/>
  <c r="R137" i="15"/>
  <c r="R138" i="15"/>
  <c r="R139" i="15"/>
  <c r="R140" i="15"/>
  <c r="R141" i="15"/>
  <c r="R142" i="15"/>
  <c r="R143" i="15"/>
  <c r="R144" i="15"/>
  <c r="R145" i="15"/>
  <c r="R146" i="15"/>
  <c r="R147" i="15"/>
  <c r="R148" i="15"/>
  <c r="R149" i="15"/>
  <c r="R150" i="15"/>
  <c r="R151" i="15"/>
  <c r="R152" i="15"/>
  <c r="R153" i="15"/>
  <c r="R154" i="15"/>
  <c r="R155" i="15"/>
  <c r="R156" i="15"/>
  <c r="R157" i="15"/>
  <c r="R158" i="15"/>
  <c r="R159" i="15"/>
  <c r="R160" i="15"/>
  <c r="R161" i="15"/>
  <c r="R162" i="15"/>
  <c r="R163" i="15"/>
  <c r="R164" i="15"/>
  <c r="R165" i="15"/>
  <c r="R166" i="15"/>
  <c r="R167" i="15"/>
  <c r="R168" i="15"/>
  <c r="R169" i="15"/>
  <c r="R170" i="15"/>
  <c r="R171" i="15"/>
  <c r="R172" i="15"/>
  <c r="R173" i="15"/>
  <c r="R174" i="15"/>
  <c r="R175" i="15"/>
  <c r="R176" i="15"/>
  <c r="R177" i="15"/>
  <c r="R178" i="15"/>
  <c r="R179" i="15"/>
  <c r="R180" i="15"/>
  <c r="R181" i="15"/>
  <c r="R182" i="15"/>
  <c r="R183" i="15"/>
  <c r="R184" i="15"/>
  <c r="R185" i="15"/>
  <c r="R186" i="15"/>
  <c r="R187" i="15"/>
  <c r="R188" i="15"/>
  <c r="R189" i="15"/>
  <c r="R190" i="15"/>
  <c r="R191" i="15"/>
  <c r="R192" i="15"/>
  <c r="R193" i="15"/>
  <c r="R194" i="15"/>
  <c r="R195" i="15"/>
  <c r="R196" i="15"/>
  <c r="R197" i="15"/>
  <c r="R198" i="15"/>
  <c r="R199" i="15"/>
  <c r="R200" i="15"/>
  <c r="R201" i="15"/>
  <c r="R4" i="15"/>
  <c r="CH4" i="14"/>
  <c r="CH5" i="14"/>
  <c r="CH6" i="14"/>
  <c r="CH7" i="14"/>
  <c r="CH8" i="14"/>
  <c r="CH9" i="14"/>
  <c r="CH10" i="14"/>
  <c r="CH11" i="14"/>
  <c r="CH12" i="14"/>
  <c r="CH13" i="14"/>
  <c r="CH14" i="14"/>
  <c r="CH15" i="14"/>
  <c r="CH16" i="14"/>
  <c r="CH17" i="14"/>
  <c r="CH18" i="14"/>
  <c r="CH19" i="14"/>
  <c r="CH20" i="14"/>
  <c r="CH21" i="14"/>
  <c r="CH22" i="14"/>
  <c r="CH23" i="14"/>
  <c r="CH24" i="14"/>
  <c r="CH25" i="14"/>
  <c r="CH26" i="14"/>
  <c r="CH27" i="14"/>
  <c r="CH28" i="14"/>
  <c r="CH29" i="14"/>
  <c r="CH30" i="14"/>
  <c r="CH31" i="14"/>
  <c r="CH32" i="14"/>
  <c r="CH33" i="14"/>
  <c r="CH34" i="14"/>
  <c r="CH35" i="14"/>
  <c r="CH36" i="14"/>
  <c r="CH37" i="14"/>
  <c r="CH38" i="14"/>
  <c r="CH39" i="14"/>
  <c r="CH40" i="14"/>
  <c r="CH41" i="14"/>
  <c r="CH42" i="14"/>
  <c r="CH43" i="14"/>
  <c r="CH44" i="14"/>
  <c r="CH45" i="14"/>
  <c r="CH46" i="14"/>
  <c r="CH47" i="14"/>
  <c r="CH48" i="14"/>
  <c r="CH49" i="14"/>
  <c r="CH50" i="14"/>
  <c r="CH51" i="14"/>
  <c r="CH52" i="14"/>
  <c r="CH53" i="14"/>
  <c r="CH54" i="14"/>
  <c r="CH55" i="14"/>
  <c r="CH56" i="14"/>
  <c r="CH57" i="14"/>
  <c r="CH58" i="14"/>
  <c r="CH59" i="14"/>
  <c r="CH60" i="14"/>
  <c r="CH61" i="14"/>
  <c r="CH62" i="14"/>
  <c r="CH63" i="14"/>
  <c r="CH64" i="14"/>
  <c r="CH65" i="14"/>
  <c r="CH66" i="14"/>
  <c r="CH67" i="14"/>
  <c r="CH68" i="14"/>
  <c r="CH69" i="14"/>
  <c r="CH70" i="14"/>
  <c r="CH71" i="14"/>
  <c r="CH72" i="14"/>
  <c r="CH73" i="14"/>
  <c r="CH74" i="14"/>
  <c r="CH75" i="14"/>
  <c r="CH76" i="14"/>
  <c r="CH77" i="14"/>
  <c r="CH78" i="14"/>
  <c r="CH79" i="14"/>
  <c r="CH80" i="14"/>
  <c r="CH81" i="14"/>
  <c r="CH82" i="14"/>
  <c r="CH83" i="14"/>
  <c r="CH84" i="14"/>
  <c r="CH85" i="14"/>
  <c r="CH86" i="14"/>
  <c r="CH87" i="14"/>
  <c r="CH88" i="14"/>
  <c r="CH89" i="14"/>
  <c r="CH90" i="14"/>
  <c r="CH91" i="14"/>
  <c r="CH92" i="14"/>
  <c r="CH93" i="14"/>
  <c r="CH94" i="14"/>
  <c r="CH95" i="14"/>
  <c r="CH96" i="14"/>
  <c r="CH97" i="14"/>
  <c r="CH98" i="14"/>
  <c r="CH99" i="14"/>
  <c r="CH100" i="14"/>
  <c r="CH101" i="14"/>
  <c r="CH102" i="14"/>
  <c r="CH103" i="14"/>
  <c r="CH104" i="14"/>
  <c r="CH105" i="14"/>
  <c r="CH106" i="14"/>
  <c r="CH107" i="14"/>
  <c r="CH108" i="14"/>
  <c r="CH109" i="14"/>
  <c r="CH110" i="14"/>
  <c r="CH111" i="14"/>
  <c r="CH112" i="14"/>
  <c r="CH113" i="14"/>
  <c r="CH114" i="14"/>
  <c r="CH115" i="14"/>
  <c r="CH116" i="14"/>
  <c r="CH117" i="14"/>
  <c r="CH118" i="14"/>
  <c r="CH119" i="14"/>
  <c r="CH120" i="14"/>
  <c r="CH121" i="14"/>
  <c r="CH122" i="14"/>
  <c r="CH123" i="14"/>
  <c r="CH124" i="14"/>
  <c r="CH125" i="14"/>
  <c r="CH126" i="14"/>
  <c r="CH127" i="14"/>
  <c r="CH128" i="14"/>
  <c r="CH129" i="14"/>
  <c r="CH130" i="14"/>
  <c r="CH131" i="14"/>
  <c r="CH132" i="14"/>
  <c r="CH133" i="14"/>
  <c r="CH134" i="14"/>
  <c r="CH135" i="14"/>
  <c r="CH136" i="14"/>
  <c r="CH137" i="14"/>
  <c r="CH138" i="14"/>
  <c r="CH139" i="14"/>
  <c r="CH140" i="14"/>
  <c r="CH141" i="14"/>
  <c r="CH142" i="14"/>
  <c r="CH143" i="14"/>
  <c r="CH144" i="14"/>
  <c r="CH145" i="14"/>
  <c r="CH146" i="14"/>
  <c r="CH147" i="14"/>
  <c r="CH148" i="14"/>
  <c r="CH149" i="14"/>
  <c r="CH150" i="14"/>
  <c r="CH151" i="14"/>
  <c r="CH152" i="14"/>
  <c r="CH153" i="14"/>
  <c r="CH154" i="14"/>
  <c r="CH155" i="14"/>
  <c r="CH156" i="14"/>
  <c r="CH157" i="14"/>
  <c r="CH158" i="14"/>
  <c r="CH159" i="14"/>
  <c r="CH160" i="14"/>
  <c r="CH161" i="14"/>
  <c r="CH162" i="14"/>
  <c r="CH163" i="14"/>
  <c r="CH164" i="14"/>
  <c r="CH165" i="14"/>
  <c r="CH166" i="14"/>
  <c r="CH167" i="14"/>
  <c r="CH168" i="14"/>
  <c r="CH169" i="14"/>
  <c r="CH170" i="14"/>
  <c r="CH171" i="14"/>
  <c r="CH172" i="14"/>
  <c r="CH173" i="14"/>
  <c r="CH174" i="14"/>
  <c r="CH175" i="14"/>
  <c r="CH176" i="14"/>
  <c r="CH177" i="14"/>
  <c r="CH178" i="14"/>
  <c r="CH179" i="14"/>
  <c r="CH180" i="14"/>
  <c r="CH181" i="14"/>
  <c r="CH182" i="14"/>
  <c r="CH183" i="14"/>
  <c r="CH184" i="14"/>
  <c r="CH185" i="14"/>
  <c r="CH186" i="14"/>
  <c r="CH187" i="14"/>
  <c r="CH188" i="14"/>
  <c r="CH189" i="14"/>
  <c r="CH190" i="14"/>
  <c r="CH191" i="14"/>
  <c r="CH192" i="14"/>
  <c r="CH193" i="14"/>
  <c r="CH194" i="14"/>
  <c r="CH195" i="14"/>
  <c r="CH196" i="14"/>
  <c r="CH197" i="14"/>
  <c r="CH198" i="14"/>
  <c r="CH199" i="14"/>
  <c r="CH200" i="14"/>
  <c r="CH201" i="14"/>
  <c r="CA4" i="14"/>
  <c r="CA5" i="14"/>
  <c r="CA6" i="14"/>
  <c r="CA7" i="14"/>
  <c r="CA8" i="14"/>
  <c r="CA9" i="14"/>
  <c r="CA10" i="14"/>
  <c r="CA11" i="14"/>
  <c r="CA12" i="14"/>
  <c r="CA13" i="14"/>
  <c r="CA14" i="14"/>
  <c r="CA15" i="14"/>
  <c r="CA16" i="14"/>
  <c r="CA17" i="14"/>
  <c r="CA18" i="14"/>
  <c r="CA19" i="14"/>
  <c r="CA20" i="14"/>
  <c r="CA21" i="14"/>
  <c r="CA22" i="14"/>
  <c r="CA23" i="14"/>
  <c r="CA24" i="14"/>
  <c r="CA25" i="14"/>
  <c r="CA26" i="14"/>
  <c r="CA27" i="14"/>
  <c r="CA28" i="14"/>
  <c r="CA29" i="14"/>
  <c r="CA30" i="14"/>
  <c r="CA31" i="14"/>
  <c r="CA32" i="14"/>
  <c r="CA33" i="14"/>
  <c r="CA34" i="14"/>
  <c r="CA35" i="14"/>
  <c r="CA36" i="14"/>
  <c r="CA37" i="14"/>
  <c r="CA38" i="14"/>
  <c r="CA39" i="14"/>
  <c r="CA40" i="14"/>
  <c r="CA41" i="14"/>
  <c r="CA42" i="14"/>
  <c r="CA43" i="14"/>
  <c r="CA44" i="14"/>
  <c r="CA45" i="14"/>
  <c r="CA46" i="14"/>
  <c r="CA47" i="14"/>
  <c r="CA48" i="14"/>
  <c r="CA49" i="14"/>
  <c r="CA50" i="14"/>
  <c r="CA51" i="14"/>
  <c r="CA52" i="14"/>
  <c r="CA53" i="14"/>
  <c r="CA54" i="14"/>
  <c r="CA55" i="14"/>
  <c r="CA56" i="14"/>
  <c r="CA57" i="14"/>
  <c r="CA58" i="14"/>
  <c r="CA59" i="14"/>
  <c r="CA60" i="14"/>
  <c r="CA61" i="14"/>
  <c r="CA62" i="14"/>
  <c r="CA63" i="14"/>
  <c r="CA64" i="14"/>
  <c r="CA65" i="14"/>
  <c r="CA66" i="14"/>
  <c r="CA67" i="14"/>
  <c r="CA68" i="14"/>
  <c r="CA69" i="14"/>
  <c r="CA70" i="14"/>
  <c r="CA71" i="14"/>
  <c r="CA72" i="14"/>
  <c r="CA73" i="14"/>
  <c r="CA74" i="14"/>
  <c r="CA75" i="14"/>
  <c r="CA76" i="14"/>
  <c r="CA77" i="14"/>
  <c r="CA78" i="14"/>
  <c r="CA79" i="14"/>
  <c r="CA80" i="14"/>
  <c r="CA81" i="14"/>
  <c r="CA82" i="14"/>
  <c r="CA83" i="14"/>
  <c r="CA84" i="14"/>
  <c r="CA85" i="14"/>
  <c r="CA86" i="14"/>
  <c r="CA87" i="14"/>
  <c r="CA88" i="14"/>
  <c r="CA89" i="14"/>
  <c r="CA90" i="14"/>
  <c r="CA91" i="14"/>
  <c r="CA92" i="14"/>
  <c r="CA93" i="14"/>
  <c r="CA94" i="14"/>
  <c r="CA95" i="14"/>
  <c r="CA96" i="14"/>
  <c r="CA97" i="14"/>
  <c r="CA98" i="14"/>
  <c r="CA99" i="14"/>
  <c r="CA100" i="14"/>
  <c r="CA101" i="14"/>
  <c r="CA102" i="14"/>
  <c r="CA103" i="14"/>
  <c r="CA104" i="14"/>
  <c r="CA105" i="14"/>
  <c r="CA106" i="14"/>
  <c r="CA107" i="14"/>
  <c r="CA108" i="14"/>
  <c r="CA109" i="14"/>
  <c r="CA110" i="14"/>
  <c r="CA111" i="14"/>
  <c r="CA112" i="14"/>
  <c r="CA113" i="14"/>
  <c r="CA114" i="14"/>
  <c r="CA115" i="14"/>
  <c r="CA116" i="14"/>
  <c r="CA117" i="14"/>
  <c r="CA118" i="14"/>
  <c r="CA119" i="14"/>
  <c r="CA120" i="14"/>
  <c r="CA121" i="14"/>
  <c r="CA122" i="14"/>
  <c r="CA123" i="14"/>
  <c r="CA124" i="14"/>
  <c r="CA125" i="14"/>
  <c r="CA126" i="14"/>
  <c r="CA127" i="14"/>
  <c r="CA128" i="14"/>
  <c r="CA129" i="14"/>
  <c r="CA130" i="14"/>
  <c r="CA131" i="14"/>
  <c r="CA132" i="14"/>
  <c r="CA133" i="14"/>
  <c r="CA134" i="14"/>
  <c r="CA135" i="14"/>
  <c r="CA136" i="14"/>
  <c r="CA137" i="14"/>
  <c r="CA138" i="14"/>
  <c r="CA139" i="14"/>
  <c r="CA140" i="14"/>
  <c r="CA141" i="14"/>
  <c r="CA142" i="14"/>
  <c r="CA143" i="14"/>
  <c r="CA144" i="14"/>
  <c r="CA145" i="14"/>
  <c r="CA146" i="14"/>
  <c r="CA147" i="14"/>
  <c r="CA148" i="14"/>
  <c r="CA149" i="14"/>
  <c r="CA150" i="14"/>
  <c r="CA151" i="14"/>
  <c r="CA152" i="14"/>
  <c r="CA153" i="14"/>
  <c r="CA154" i="14"/>
  <c r="CA155" i="14"/>
  <c r="CA156" i="14"/>
  <c r="CA157" i="14"/>
  <c r="CA158" i="14"/>
  <c r="CA159" i="14"/>
  <c r="CA160" i="14"/>
  <c r="CA161" i="14"/>
  <c r="CA162" i="14"/>
  <c r="CA163" i="14"/>
  <c r="CA164" i="14"/>
  <c r="CA165" i="14"/>
  <c r="CA166" i="14"/>
  <c r="CA167" i="14"/>
  <c r="CA168" i="14"/>
  <c r="CA169" i="14"/>
  <c r="CA170" i="14"/>
  <c r="CA171" i="14"/>
  <c r="CA172" i="14"/>
  <c r="CA173" i="14"/>
  <c r="CA174" i="14"/>
  <c r="CA175" i="14"/>
  <c r="CA176" i="14"/>
  <c r="CA177" i="14"/>
  <c r="CA178" i="14"/>
  <c r="CA179" i="14"/>
  <c r="CA180" i="14"/>
  <c r="CA181" i="14"/>
  <c r="CA182" i="14"/>
  <c r="CA183" i="14"/>
  <c r="CA184" i="14"/>
  <c r="CA185" i="14"/>
  <c r="CA186" i="14"/>
  <c r="CA187" i="14"/>
  <c r="CA188" i="14"/>
  <c r="CA189" i="14"/>
  <c r="CA190" i="14"/>
  <c r="CA191" i="14"/>
  <c r="CA192" i="14"/>
  <c r="CA193" i="14"/>
  <c r="CA194" i="14"/>
  <c r="CA195" i="14"/>
  <c r="CA196" i="14"/>
  <c r="CA197" i="14"/>
  <c r="CA198" i="14"/>
  <c r="CA199" i="14"/>
  <c r="CA200" i="14"/>
  <c r="CA201" i="14"/>
  <c r="BT4" i="14"/>
  <c r="BT5" i="14"/>
  <c r="BT6" i="14"/>
  <c r="BT7" i="14"/>
  <c r="BT8" i="14"/>
  <c r="BT9" i="14"/>
  <c r="BT10" i="14"/>
  <c r="BT11" i="14"/>
  <c r="BT12" i="14"/>
  <c r="BT13" i="14"/>
  <c r="BT14" i="14"/>
  <c r="BT15" i="14"/>
  <c r="BT16" i="14"/>
  <c r="BT17" i="14"/>
  <c r="BT18" i="14"/>
  <c r="BT19" i="14"/>
  <c r="BT20" i="14"/>
  <c r="BT21" i="14"/>
  <c r="BT22" i="14"/>
  <c r="BT23" i="14"/>
  <c r="BT24" i="14"/>
  <c r="BT25" i="14"/>
  <c r="BT26" i="14"/>
  <c r="BT27" i="14"/>
  <c r="BT28" i="14"/>
  <c r="BT29" i="14"/>
  <c r="BT30" i="14"/>
  <c r="BT31" i="14"/>
  <c r="BT32" i="14"/>
  <c r="BT33" i="14"/>
  <c r="BT34" i="14"/>
  <c r="BT35" i="14"/>
  <c r="BT36" i="14"/>
  <c r="BT37" i="14"/>
  <c r="BT38" i="14"/>
  <c r="BT39" i="14"/>
  <c r="BT40" i="14"/>
  <c r="BT41" i="14"/>
  <c r="BT42" i="14"/>
  <c r="BT43" i="14"/>
  <c r="BT44" i="14"/>
  <c r="BT45" i="14"/>
  <c r="BT46" i="14"/>
  <c r="BT47" i="14"/>
  <c r="BT48" i="14"/>
  <c r="BT49" i="14"/>
  <c r="BT50" i="14"/>
  <c r="BT51" i="14"/>
  <c r="BT52" i="14"/>
  <c r="BT53" i="14"/>
  <c r="BT54" i="14"/>
  <c r="BT55" i="14"/>
  <c r="BT56" i="14"/>
  <c r="BT57" i="14"/>
  <c r="BT58" i="14"/>
  <c r="BT59" i="14"/>
  <c r="BT60" i="14"/>
  <c r="BT61" i="14"/>
  <c r="BT62" i="14"/>
  <c r="BT63" i="14"/>
  <c r="BT64" i="14"/>
  <c r="BT65" i="14"/>
  <c r="BT66" i="14"/>
  <c r="BT67" i="14"/>
  <c r="BT68" i="14"/>
  <c r="BT69" i="14"/>
  <c r="BT70" i="14"/>
  <c r="BT71" i="14"/>
  <c r="BT72" i="14"/>
  <c r="BT73" i="14"/>
  <c r="BT74" i="14"/>
  <c r="BT75" i="14"/>
  <c r="BT76" i="14"/>
  <c r="BT77" i="14"/>
  <c r="BT78" i="14"/>
  <c r="BT79" i="14"/>
  <c r="BT80" i="14"/>
  <c r="BT81" i="14"/>
  <c r="BT82" i="14"/>
  <c r="BT83" i="14"/>
  <c r="BT84" i="14"/>
  <c r="BT85" i="14"/>
  <c r="BT86" i="14"/>
  <c r="BT87" i="14"/>
  <c r="BT88" i="14"/>
  <c r="BT89" i="14"/>
  <c r="BT90" i="14"/>
  <c r="BT91" i="14"/>
  <c r="BT92" i="14"/>
  <c r="BT93" i="14"/>
  <c r="BT94" i="14"/>
  <c r="BT95" i="14"/>
  <c r="BT96" i="14"/>
  <c r="BT97" i="14"/>
  <c r="BT98" i="14"/>
  <c r="BT99" i="14"/>
  <c r="BT100" i="14"/>
  <c r="BT101" i="14"/>
  <c r="BT102" i="14"/>
  <c r="BT103" i="14"/>
  <c r="BT104" i="14"/>
  <c r="BT105" i="14"/>
  <c r="BT106" i="14"/>
  <c r="BT107" i="14"/>
  <c r="BT108" i="14"/>
  <c r="BT109" i="14"/>
  <c r="BT110" i="14"/>
  <c r="BT111" i="14"/>
  <c r="BT112" i="14"/>
  <c r="BT113" i="14"/>
  <c r="BT114" i="14"/>
  <c r="BT115" i="14"/>
  <c r="BT116" i="14"/>
  <c r="BT117" i="14"/>
  <c r="BT118" i="14"/>
  <c r="BT119" i="14"/>
  <c r="BT120" i="14"/>
  <c r="BT121" i="14"/>
  <c r="BT122" i="14"/>
  <c r="BT123" i="14"/>
  <c r="BT124" i="14"/>
  <c r="BT125" i="14"/>
  <c r="BT126" i="14"/>
  <c r="BT127" i="14"/>
  <c r="BT128" i="14"/>
  <c r="BT129" i="14"/>
  <c r="BT130" i="14"/>
  <c r="BT131" i="14"/>
  <c r="BT132" i="14"/>
  <c r="BT133" i="14"/>
  <c r="BT134" i="14"/>
  <c r="BT135" i="14"/>
  <c r="BT136" i="14"/>
  <c r="BT137" i="14"/>
  <c r="BT138" i="14"/>
  <c r="BT139" i="14"/>
  <c r="BT140" i="14"/>
  <c r="BT141" i="14"/>
  <c r="BT142" i="14"/>
  <c r="BT143" i="14"/>
  <c r="BT144" i="14"/>
  <c r="BT145" i="14"/>
  <c r="BT146" i="14"/>
  <c r="BT147" i="14"/>
  <c r="BT148" i="14"/>
  <c r="BT149" i="14"/>
  <c r="BT150" i="14"/>
  <c r="BT151" i="14"/>
  <c r="BT152" i="14"/>
  <c r="BT153" i="14"/>
  <c r="BT154" i="14"/>
  <c r="BT155" i="14"/>
  <c r="BT156" i="14"/>
  <c r="BT157" i="14"/>
  <c r="BT158" i="14"/>
  <c r="BT159" i="14"/>
  <c r="BT160" i="14"/>
  <c r="BT161" i="14"/>
  <c r="BT162" i="14"/>
  <c r="BT163" i="14"/>
  <c r="BT164" i="14"/>
  <c r="BT165" i="14"/>
  <c r="BT166" i="14"/>
  <c r="BT167" i="14"/>
  <c r="BT168" i="14"/>
  <c r="BT169" i="14"/>
  <c r="BT170" i="14"/>
  <c r="BT171" i="14"/>
  <c r="BT172" i="14"/>
  <c r="BT173" i="14"/>
  <c r="BT174" i="14"/>
  <c r="BT175" i="14"/>
  <c r="BT176" i="14"/>
  <c r="BT177" i="14"/>
  <c r="BT178" i="14"/>
  <c r="BT179" i="14"/>
  <c r="BT180" i="14"/>
  <c r="BT181" i="14"/>
  <c r="BT182" i="14"/>
  <c r="BT183" i="14"/>
  <c r="BT184" i="14"/>
  <c r="BT185" i="14"/>
  <c r="BT186" i="14"/>
  <c r="BT187" i="14"/>
  <c r="BT188" i="14"/>
  <c r="BT189" i="14"/>
  <c r="BT190" i="14"/>
  <c r="BT191" i="14"/>
  <c r="BT192" i="14"/>
  <c r="BT193" i="14"/>
  <c r="BT194" i="14"/>
  <c r="BT195" i="14"/>
  <c r="BT196" i="14"/>
  <c r="BT197" i="14"/>
  <c r="BT198" i="14"/>
  <c r="BT199" i="14"/>
  <c r="BT200" i="14"/>
  <c r="BT201" i="14"/>
  <c r="BG4" i="14"/>
  <c r="BG5" i="14"/>
  <c r="BG6" i="14"/>
  <c r="BG7" i="14"/>
  <c r="BG8" i="14"/>
  <c r="BG9" i="14"/>
  <c r="BG10" i="14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28" i="14"/>
  <c r="BG29" i="14"/>
  <c r="BG30" i="14"/>
  <c r="BG31" i="14"/>
  <c r="BG32" i="14"/>
  <c r="BG33" i="14"/>
  <c r="BG34" i="14"/>
  <c r="BG35" i="14"/>
  <c r="BG36" i="14"/>
  <c r="BG37" i="14"/>
  <c r="BG38" i="14"/>
  <c r="BG39" i="14"/>
  <c r="BG40" i="14"/>
  <c r="BG41" i="14"/>
  <c r="BG42" i="14"/>
  <c r="BG43" i="14"/>
  <c r="BG44" i="14"/>
  <c r="BG45" i="14"/>
  <c r="BG46" i="14"/>
  <c r="BG47" i="14"/>
  <c r="BG48" i="14"/>
  <c r="BG49" i="14"/>
  <c r="BG50" i="14"/>
  <c r="BG51" i="14"/>
  <c r="BG52" i="14"/>
  <c r="BG53" i="14"/>
  <c r="BG54" i="14"/>
  <c r="BG55" i="14"/>
  <c r="BG56" i="14"/>
  <c r="BG57" i="14"/>
  <c r="BG58" i="14"/>
  <c r="BG59" i="14"/>
  <c r="BG60" i="14"/>
  <c r="BG61" i="14"/>
  <c r="BG62" i="14"/>
  <c r="BG63" i="14"/>
  <c r="BG64" i="14"/>
  <c r="BG65" i="14"/>
  <c r="BG66" i="14"/>
  <c r="BG67" i="14"/>
  <c r="BG68" i="14"/>
  <c r="BG69" i="14"/>
  <c r="BG70" i="14"/>
  <c r="BG71" i="14"/>
  <c r="BG72" i="14"/>
  <c r="BG73" i="14"/>
  <c r="BG74" i="14"/>
  <c r="BG75" i="14"/>
  <c r="BG76" i="14"/>
  <c r="BG77" i="14"/>
  <c r="BG78" i="14"/>
  <c r="BG79" i="14"/>
  <c r="BG80" i="14"/>
  <c r="BG81" i="14"/>
  <c r="BG82" i="14"/>
  <c r="BG83" i="14"/>
  <c r="BG84" i="14"/>
  <c r="BG85" i="14"/>
  <c r="BG86" i="14"/>
  <c r="BG87" i="14"/>
  <c r="BG88" i="14"/>
  <c r="BG89" i="14"/>
  <c r="BG90" i="14"/>
  <c r="BG91" i="14"/>
  <c r="BG92" i="14"/>
  <c r="BG93" i="14"/>
  <c r="BG94" i="14"/>
  <c r="BG95" i="14"/>
  <c r="BG96" i="14"/>
  <c r="BG97" i="14"/>
  <c r="BG98" i="14"/>
  <c r="BG99" i="14"/>
  <c r="BG100" i="14"/>
  <c r="BG101" i="14"/>
  <c r="BG102" i="14"/>
  <c r="BG103" i="14"/>
  <c r="BG104" i="14"/>
  <c r="BG105" i="14"/>
  <c r="BG106" i="14"/>
  <c r="BG107" i="14"/>
  <c r="BG108" i="14"/>
  <c r="BG109" i="14"/>
  <c r="BG110" i="14"/>
  <c r="BG111" i="14"/>
  <c r="BG112" i="14"/>
  <c r="BG113" i="14"/>
  <c r="BG114" i="14"/>
  <c r="BG115" i="14"/>
  <c r="BG116" i="14"/>
  <c r="BG117" i="14"/>
  <c r="BG118" i="14"/>
  <c r="BG119" i="14"/>
  <c r="BG120" i="14"/>
  <c r="BG121" i="14"/>
  <c r="BG122" i="14"/>
  <c r="BG123" i="14"/>
  <c r="BG124" i="14"/>
  <c r="BG125" i="14"/>
  <c r="BG126" i="14"/>
  <c r="BG127" i="14"/>
  <c r="BG128" i="14"/>
  <c r="BG129" i="14"/>
  <c r="BG130" i="14"/>
  <c r="BG131" i="14"/>
  <c r="BG132" i="14"/>
  <c r="BG133" i="14"/>
  <c r="BG134" i="14"/>
  <c r="BG135" i="14"/>
  <c r="BG136" i="14"/>
  <c r="BG137" i="14"/>
  <c r="BG138" i="14"/>
  <c r="BG139" i="14"/>
  <c r="BG140" i="14"/>
  <c r="BG141" i="14"/>
  <c r="BG142" i="14"/>
  <c r="BG143" i="14"/>
  <c r="BG144" i="14"/>
  <c r="BG145" i="14"/>
  <c r="BG146" i="14"/>
  <c r="BG147" i="14"/>
  <c r="BG148" i="14"/>
  <c r="BG149" i="14"/>
  <c r="BG150" i="14"/>
  <c r="BG151" i="14"/>
  <c r="BG152" i="14"/>
  <c r="BG153" i="14"/>
  <c r="BG154" i="14"/>
  <c r="BG155" i="14"/>
  <c r="BG156" i="14"/>
  <c r="BG157" i="14"/>
  <c r="BG158" i="14"/>
  <c r="BG159" i="14"/>
  <c r="BG160" i="14"/>
  <c r="BG161" i="14"/>
  <c r="BG162" i="14"/>
  <c r="BG163" i="14"/>
  <c r="BG164" i="14"/>
  <c r="BG165" i="14"/>
  <c r="BG166" i="14"/>
  <c r="BG167" i="14"/>
  <c r="BG168" i="14"/>
  <c r="BG169" i="14"/>
  <c r="BG170" i="14"/>
  <c r="BG171" i="14"/>
  <c r="BG172" i="14"/>
  <c r="BG173" i="14"/>
  <c r="BG174" i="14"/>
  <c r="BG175" i="14"/>
  <c r="BG176" i="14"/>
  <c r="BG177" i="14"/>
  <c r="BG178" i="14"/>
  <c r="BG179" i="14"/>
  <c r="BG180" i="14"/>
  <c r="BG181" i="14"/>
  <c r="BG182" i="14"/>
  <c r="BG183" i="14"/>
  <c r="BG184" i="14"/>
  <c r="BG185" i="14"/>
  <c r="BG186" i="14"/>
  <c r="BG187" i="14"/>
  <c r="BG188" i="14"/>
  <c r="BG189" i="14"/>
  <c r="BG190" i="14"/>
  <c r="BG191" i="14"/>
  <c r="BG192" i="14"/>
  <c r="BG193" i="14"/>
  <c r="BG194" i="14"/>
  <c r="BG195" i="14"/>
  <c r="BG196" i="14"/>
  <c r="BG197" i="14"/>
  <c r="BG198" i="14"/>
  <c r="BG199" i="14"/>
  <c r="BG200" i="14"/>
  <c r="BG201" i="14"/>
  <c r="AZ4" i="14"/>
  <c r="AZ5" i="14"/>
  <c r="AZ6" i="14"/>
  <c r="AZ7" i="14"/>
  <c r="AZ8" i="14"/>
  <c r="AZ9" i="14"/>
  <c r="AZ10" i="14"/>
  <c r="AZ11" i="14"/>
  <c r="AZ12" i="14"/>
  <c r="AZ13" i="14"/>
  <c r="AZ14" i="14"/>
  <c r="AZ15" i="14"/>
  <c r="AZ16" i="14"/>
  <c r="AZ17" i="14"/>
  <c r="AZ18" i="14"/>
  <c r="AZ19" i="14"/>
  <c r="AZ20" i="14"/>
  <c r="AZ21" i="14"/>
  <c r="AZ22" i="14"/>
  <c r="AZ23" i="14"/>
  <c r="AZ24" i="14"/>
  <c r="AZ25" i="14"/>
  <c r="AZ26" i="14"/>
  <c r="AZ27" i="14"/>
  <c r="AZ28" i="14"/>
  <c r="AZ29" i="14"/>
  <c r="AZ30" i="14"/>
  <c r="AZ31" i="14"/>
  <c r="AZ32" i="14"/>
  <c r="AZ33" i="14"/>
  <c r="AZ34" i="14"/>
  <c r="AZ35" i="14"/>
  <c r="AZ36" i="14"/>
  <c r="AZ37" i="14"/>
  <c r="AZ38" i="14"/>
  <c r="AZ39" i="14"/>
  <c r="AZ40" i="14"/>
  <c r="AZ41" i="14"/>
  <c r="AZ42" i="14"/>
  <c r="AZ43" i="14"/>
  <c r="AZ44" i="14"/>
  <c r="AZ45" i="14"/>
  <c r="AZ46" i="14"/>
  <c r="AZ47" i="14"/>
  <c r="AZ48" i="14"/>
  <c r="AZ49" i="14"/>
  <c r="AZ50" i="14"/>
  <c r="AZ51" i="14"/>
  <c r="AZ52" i="14"/>
  <c r="AZ53" i="14"/>
  <c r="AZ54" i="14"/>
  <c r="AZ55" i="14"/>
  <c r="AZ56" i="14"/>
  <c r="AZ57" i="14"/>
  <c r="AZ58" i="14"/>
  <c r="AZ59" i="14"/>
  <c r="AZ60" i="14"/>
  <c r="AZ61" i="14"/>
  <c r="AZ62" i="14"/>
  <c r="AZ63" i="14"/>
  <c r="AZ64" i="14"/>
  <c r="AZ65" i="14"/>
  <c r="AZ66" i="14"/>
  <c r="AZ67" i="14"/>
  <c r="AZ68" i="14"/>
  <c r="AZ69" i="14"/>
  <c r="AZ70" i="14"/>
  <c r="AZ71" i="14"/>
  <c r="AZ72" i="14"/>
  <c r="AZ73" i="14"/>
  <c r="AZ74" i="14"/>
  <c r="AZ75" i="14"/>
  <c r="AZ76" i="14"/>
  <c r="AZ77" i="14"/>
  <c r="AZ78" i="14"/>
  <c r="AZ79" i="14"/>
  <c r="AZ80" i="14"/>
  <c r="AZ81" i="14"/>
  <c r="AZ82" i="14"/>
  <c r="AZ83" i="14"/>
  <c r="AZ84" i="14"/>
  <c r="AZ85" i="14"/>
  <c r="AZ86" i="14"/>
  <c r="AZ87" i="14"/>
  <c r="AZ88" i="14"/>
  <c r="AZ89" i="14"/>
  <c r="AZ90" i="14"/>
  <c r="AZ91" i="14"/>
  <c r="AZ92" i="14"/>
  <c r="AZ93" i="14"/>
  <c r="AZ94" i="14"/>
  <c r="AZ95" i="14"/>
  <c r="AZ96" i="14"/>
  <c r="AZ97" i="14"/>
  <c r="AZ98" i="14"/>
  <c r="AZ99" i="14"/>
  <c r="AZ100" i="14"/>
  <c r="AZ101" i="14"/>
  <c r="AZ102" i="14"/>
  <c r="AZ103" i="14"/>
  <c r="AZ104" i="14"/>
  <c r="AZ105" i="14"/>
  <c r="AZ106" i="14"/>
  <c r="AZ107" i="14"/>
  <c r="AZ108" i="14"/>
  <c r="AZ109" i="14"/>
  <c r="AZ110" i="14"/>
  <c r="AZ111" i="14"/>
  <c r="AZ112" i="14"/>
  <c r="AZ113" i="14"/>
  <c r="AZ114" i="14"/>
  <c r="AZ115" i="14"/>
  <c r="AZ116" i="14"/>
  <c r="AZ117" i="14"/>
  <c r="AZ118" i="14"/>
  <c r="AZ119" i="14"/>
  <c r="AZ120" i="14"/>
  <c r="AZ121" i="14"/>
  <c r="AZ122" i="14"/>
  <c r="AZ123" i="14"/>
  <c r="AZ124" i="14"/>
  <c r="AZ125" i="14"/>
  <c r="AZ126" i="14"/>
  <c r="AZ127" i="14"/>
  <c r="AZ128" i="14"/>
  <c r="AZ129" i="14"/>
  <c r="AZ130" i="14"/>
  <c r="AZ131" i="14"/>
  <c r="AZ132" i="14"/>
  <c r="AZ133" i="14"/>
  <c r="AZ134" i="14"/>
  <c r="AZ135" i="14"/>
  <c r="AZ136" i="14"/>
  <c r="AZ137" i="14"/>
  <c r="AZ138" i="14"/>
  <c r="AZ139" i="14"/>
  <c r="AZ140" i="14"/>
  <c r="AZ141" i="14"/>
  <c r="AZ142" i="14"/>
  <c r="AZ143" i="14"/>
  <c r="AZ144" i="14"/>
  <c r="AZ145" i="14"/>
  <c r="AZ146" i="14"/>
  <c r="AZ147" i="14"/>
  <c r="AZ148" i="14"/>
  <c r="AZ149" i="14"/>
  <c r="AZ150" i="14"/>
  <c r="AZ151" i="14"/>
  <c r="AZ152" i="14"/>
  <c r="AZ153" i="14"/>
  <c r="AZ154" i="14"/>
  <c r="AZ155" i="14"/>
  <c r="AZ156" i="14"/>
  <c r="AZ157" i="14"/>
  <c r="AZ158" i="14"/>
  <c r="AZ159" i="14"/>
  <c r="AZ160" i="14"/>
  <c r="AZ161" i="14"/>
  <c r="AZ162" i="14"/>
  <c r="AZ163" i="14"/>
  <c r="AZ164" i="14"/>
  <c r="AZ165" i="14"/>
  <c r="AZ166" i="14"/>
  <c r="AZ167" i="14"/>
  <c r="AZ168" i="14"/>
  <c r="AZ169" i="14"/>
  <c r="AZ170" i="14"/>
  <c r="AZ171" i="14"/>
  <c r="AZ172" i="14"/>
  <c r="AZ173" i="14"/>
  <c r="AZ174" i="14"/>
  <c r="AZ175" i="14"/>
  <c r="AZ176" i="14"/>
  <c r="AZ177" i="14"/>
  <c r="AZ178" i="14"/>
  <c r="AZ179" i="14"/>
  <c r="AZ180" i="14"/>
  <c r="AZ181" i="14"/>
  <c r="AZ182" i="14"/>
  <c r="AZ183" i="14"/>
  <c r="AZ184" i="14"/>
  <c r="AZ185" i="14"/>
  <c r="AZ186" i="14"/>
  <c r="AZ187" i="14"/>
  <c r="AZ188" i="14"/>
  <c r="AZ189" i="14"/>
  <c r="AZ190" i="14"/>
  <c r="AZ191" i="14"/>
  <c r="AZ192" i="14"/>
  <c r="AZ193" i="14"/>
  <c r="AZ194" i="14"/>
  <c r="AZ195" i="14"/>
  <c r="AZ196" i="14"/>
  <c r="AZ197" i="14"/>
  <c r="AZ198" i="14"/>
  <c r="AZ199" i="14"/>
  <c r="AZ200" i="14"/>
  <c r="AZ201" i="14"/>
  <c r="AS4" i="14"/>
  <c r="AS5" i="14"/>
  <c r="AS6" i="14"/>
  <c r="AS7" i="14"/>
  <c r="AS8" i="14"/>
  <c r="AS9" i="14"/>
  <c r="AS10" i="14"/>
  <c r="AS11" i="14"/>
  <c r="AS12" i="14"/>
  <c r="AS13" i="14"/>
  <c r="AS14" i="14"/>
  <c r="AS15" i="14"/>
  <c r="AS16" i="14"/>
  <c r="AS17" i="14"/>
  <c r="AS18" i="14"/>
  <c r="AS19" i="14"/>
  <c r="AS20" i="14"/>
  <c r="AS21" i="14"/>
  <c r="AS22" i="14"/>
  <c r="AS23" i="14"/>
  <c r="AS24" i="14"/>
  <c r="AS25" i="14"/>
  <c r="AS26" i="14"/>
  <c r="AS27" i="14"/>
  <c r="AS28" i="14"/>
  <c r="AS29" i="14"/>
  <c r="AS30" i="14"/>
  <c r="AS31" i="14"/>
  <c r="AS32" i="14"/>
  <c r="AS33" i="14"/>
  <c r="AS34" i="14"/>
  <c r="AS35" i="14"/>
  <c r="AS36" i="14"/>
  <c r="AS37" i="14"/>
  <c r="AS38" i="14"/>
  <c r="AS39" i="14"/>
  <c r="AS40" i="14"/>
  <c r="AS41" i="14"/>
  <c r="AS42" i="14"/>
  <c r="AS43" i="14"/>
  <c r="AS44" i="14"/>
  <c r="AS45" i="14"/>
  <c r="AS46" i="14"/>
  <c r="AS47" i="14"/>
  <c r="AS48" i="14"/>
  <c r="AS49" i="14"/>
  <c r="AS50" i="14"/>
  <c r="AS51" i="14"/>
  <c r="AS52" i="14"/>
  <c r="AS53" i="14"/>
  <c r="AS54" i="14"/>
  <c r="AS55" i="14"/>
  <c r="AS56" i="14"/>
  <c r="AS57" i="14"/>
  <c r="AS58" i="14"/>
  <c r="AS59" i="14"/>
  <c r="AS60" i="14"/>
  <c r="AS61" i="14"/>
  <c r="AS62" i="14"/>
  <c r="AS63" i="14"/>
  <c r="AS64" i="14"/>
  <c r="AS65" i="14"/>
  <c r="AS66" i="14"/>
  <c r="AS67" i="14"/>
  <c r="AS68" i="14"/>
  <c r="AS69" i="14"/>
  <c r="AS70" i="14"/>
  <c r="AS71" i="14"/>
  <c r="AS72" i="14"/>
  <c r="AS73" i="14"/>
  <c r="AS74" i="14"/>
  <c r="AS75" i="14"/>
  <c r="AS76" i="14"/>
  <c r="AS77" i="14"/>
  <c r="AS78" i="14"/>
  <c r="AS79" i="14"/>
  <c r="AS80" i="14"/>
  <c r="AS81" i="14"/>
  <c r="AS82" i="14"/>
  <c r="AS83" i="14"/>
  <c r="AS84" i="14"/>
  <c r="AS85" i="14"/>
  <c r="AS86" i="14"/>
  <c r="AS87" i="14"/>
  <c r="AS88" i="14"/>
  <c r="AS89" i="14"/>
  <c r="AS90" i="14"/>
  <c r="AS91" i="14"/>
  <c r="AS92" i="14"/>
  <c r="AS93" i="14"/>
  <c r="AS94" i="14"/>
  <c r="AS95" i="14"/>
  <c r="AS96" i="14"/>
  <c r="AS97" i="14"/>
  <c r="AS98" i="14"/>
  <c r="AS99" i="14"/>
  <c r="AS100" i="14"/>
  <c r="AS101" i="14"/>
  <c r="AS102" i="14"/>
  <c r="AS103" i="14"/>
  <c r="AS104" i="14"/>
  <c r="AS105" i="14"/>
  <c r="AS106" i="14"/>
  <c r="AS107" i="14"/>
  <c r="AS108" i="14"/>
  <c r="AS109" i="14"/>
  <c r="AS110" i="14"/>
  <c r="AS111" i="14"/>
  <c r="AS112" i="14"/>
  <c r="AS113" i="14"/>
  <c r="AS114" i="14"/>
  <c r="AS115" i="14"/>
  <c r="AS116" i="14"/>
  <c r="AS117" i="14"/>
  <c r="AS118" i="14"/>
  <c r="AS119" i="14"/>
  <c r="AS120" i="14"/>
  <c r="AS121" i="14"/>
  <c r="AS122" i="14"/>
  <c r="AS123" i="14"/>
  <c r="AS124" i="14"/>
  <c r="AS125" i="14"/>
  <c r="AS126" i="14"/>
  <c r="AS127" i="14"/>
  <c r="AS128" i="14"/>
  <c r="AS129" i="14"/>
  <c r="AS130" i="14"/>
  <c r="AS131" i="14"/>
  <c r="AS132" i="14"/>
  <c r="AS133" i="14"/>
  <c r="AS134" i="14"/>
  <c r="AS135" i="14"/>
  <c r="AS136" i="14"/>
  <c r="AS137" i="14"/>
  <c r="AS138" i="14"/>
  <c r="AS139" i="14"/>
  <c r="AS140" i="14"/>
  <c r="AS141" i="14"/>
  <c r="AS142" i="14"/>
  <c r="AS143" i="14"/>
  <c r="AS144" i="14"/>
  <c r="AS145" i="14"/>
  <c r="AS146" i="14"/>
  <c r="AS147" i="14"/>
  <c r="AS148" i="14"/>
  <c r="AS149" i="14"/>
  <c r="AS150" i="14"/>
  <c r="AS151" i="14"/>
  <c r="AS152" i="14"/>
  <c r="AS153" i="14"/>
  <c r="AS154" i="14"/>
  <c r="AS155" i="14"/>
  <c r="AS156" i="14"/>
  <c r="AS157" i="14"/>
  <c r="AS158" i="14"/>
  <c r="AS159" i="14"/>
  <c r="AS160" i="14"/>
  <c r="AS161" i="14"/>
  <c r="AS162" i="14"/>
  <c r="AS163" i="14"/>
  <c r="AS164" i="14"/>
  <c r="AS165" i="14"/>
  <c r="AS166" i="14"/>
  <c r="AS167" i="14"/>
  <c r="AS168" i="14"/>
  <c r="AS169" i="14"/>
  <c r="AS170" i="14"/>
  <c r="AS171" i="14"/>
  <c r="AS172" i="14"/>
  <c r="AS173" i="14"/>
  <c r="AS174" i="14"/>
  <c r="AS175" i="14"/>
  <c r="AS176" i="14"/>
  <c r="AS177" i="14"/>
  <c r="AS178" i="14"/>
  <c r="AS179" i="14"/>
  <c r="AS180" i="14"/>
  <c r="AS181" i="14"/>
  <c r="AS182" i="14"/>
  <c r="AS183" i="14"/>
  <c r="AS184" i="14"/>
  <c r="AS185" i="14"/>
  <c r="AS186" i="14"/>
  <c r="AS187" i="14"/>
  <c r="AS188" i="14"/>
  <c r="AS189" i="14"/>
  <c r="AS190" i="14"/>
  <c r="AS191" i="14"/>
  <c r="AS192" i="14"/>
  <c r="AS193" i="14"/>
  <c r="AS194" i="14"/>
  <c r="AS195" i="14"/>
  <c r="AS196" i="14"/>
  <c r="AS197" i="14"/>
  <c r="AS198" i="14"/>
  <c r="AS199" i="14"/>
  <c r="AS200" i="14"/>
  <c r="AS201" i="14"/>
  <c r="AF4" i="14"/>
  <c r="AF5" i="14"/>
  <c r="AF6" i="14"/>
  <c r="AF7" i="14"/>
  <c r="AF8" i="14"/>
  <c r="AF9" i="14"/>
  <c r="AF10" i="14"/>
  <c r="AF11" i="14"/>
  <c r="AF12" i="14"/>
  <c r="AF13" i="14"/>
  <c r="AF14" i="14"/>
  <c r="AF15" i="14"/>
  <c r="AF16" i="14"/>
  <c r="AF17" i="14"/>
  <c r="AF18" i="14"/>
  <c r="AF19" i="14"/>
  <c r="AF20" i="14"/>
  <c r="AF21" i="14"/>
  <c r="AF22" i="14"/>
  <c r="AF23" i="14"/>
  <c r="AF24" i="14"/>
  <c r="AF25" i="14"/>
  <c r="AF26" i="14"/>
  <c r="AF27" i="14"/>
  <c r="AF28" i="14"/>
  <c r="AF29" i="14"/>
  <c r="AF30" i="14"/>
  <c r="AF31" i="14"/>
  <c r="AF32" i="14"/>
  <c r="AF33" i="14"/>
  <c r="AF34" i="14"/>
  <c r="AF35" i="14"/>
  <c r="AF36" i="14"/>
  <c r="AF37" i="14"/>
  <c r="AF38" i="14"/>
  <c r="AF39" i="14"/>
  <c r="AF40" i="14"/>
  <c r="AF41" i="14"/>
  <c r="AF42" i="14"/>
  <c r="AF43" i="14"/>
  <c r="AF44" i="14"/>
  <c r="AF45" i="14"/>
  <c r="AF46" i="14"/>
  <c r="AF47" i="14"/>
  <c r="AF48" i="14"/>
  <c r="AF49" i="14"/>
  <c r="AF50" i="14"/>
  <c r="AF51" i="14"/>
  <c r="AF52" i="14"/>
  <c r="AF53" i="14"/>
  <c r="AF54" i="14"/>
  <c r="AF55" i="14"/>
  <c r="AF56" i="14"/>
  <c r="AF57" i="14"/>
  <c r="AF58" i="14"/>
  <c r="AF59" i="14"/>
  <c r="AF60" i="14"/>
  <c r="AF61" i="14"/>
  <c r="AF62" i="14"/>
  <c r="AF63" i="14"/>
  <c r="AF64" i="14"/>
  <c r="AF65" i="14"/>
  <c r="AF66" i="14"/>
  <c r="AF67" i="14"/>
  <c r="AF68" i="14"/>
  <c r="AF69" i="14"/>
  <c r="AF70" i="14"/>
  <c r="AF71" i="14"/>
  <c r="AF72" i="14"/>
  <c r="AF73" i="14"/>
  <c r="AF74" i="14"/>
  <c r="AF75" i="14"/>
  <c r="AF76" i="14"/>
  <c r="AF77" i="14"/>
  <c r="AF78" i="14"/>
  <c r="AF79" i="14"/>
  <c r="AF80" i="14"/>
  <c r="AF81" i="14"/>
  <c r="AF82" i="14"/>
  <c r="AF83" i="14"/>
  <c r="AF84" i="14"/>
  <c r="AF85" i="14"/>
  <c r="AF86" i="14"/>
  <c r="AF87" i="14"/>
  <c r="AF88" i="14"/>
  <c r="AF89" i="14"/>
  <c r="AF90" i="14"/>
  <c r="AF91" i="14"/>
  <c r="AF92" i="14"/>
  <c r="AF93" i="14"/>
  <c r="AF94" i="14"/>
  <c r="AF95" i="14"/>
  <c r="AF96" i="14"/>
  <c r="AF97" i="14"/>
  <c r="AF98" i="14"/>
  <c r="AF99" i="14"/>
  <c r="AF100" i="14"/>
  <c r="AF101" i="14"/>
  <c r="AF102" i="14"/>
  <c r="AF103" i="14"/>
  <c r="AF104" i="14"/>
  <c r="AF105" i="14"/>
  <c r="AF106" i="14"/>
  <c r="AF107" i="14"/>
  <c r="AF108" i="14"/>
  <c r="AF109" i="14"/>
  <c r="AF110" i="14"/>
  <c r="AF111" i="14"/>
  <c r="AF112" i="14"/>
  <c r="AF113" i="14"/>
  <c r="AF114" i="14"/>
  <c r="AF115" i="14"/>
  <c r="AF116" i="14"/>
  <c r="AF117" i="14"/>
  <c r="AF118" i="14"/>
  <c r="AF119" i="14"/>
  <c r="AF120" i="14"/>
  <c r="AF121" i="14"/>
  <c r="AF122" i="14"/>
  <c r="AF123" i="14"/>
  <c r="AF124" i="14"/>
  <c r="AF125" i="14"/>
  <c r="AF126" i="14"/>
  <c r="AF127" i="14"/>
  <c r="AF128" i="14"/>
  <c r="AF129" i="14"/>
  <c r="AF130" i="14"/>
  <c r="AF131" i="14"/>
  <c r="AF132" i="14"/>
  <c r="AF133" i="14"/>
  <c r="AF134" i="14"/>
  <c r="AF135" i="14"/>
  <c r="AF136" i="14"/>
  <c r="AF137" i="14"/>
  <c r="AF138" i="14"/>
  <c r="AF139" i="14"/>
  <c r="AF140" i="14"/>
  <c r="AF141" i="14"/>
  <c r="AF142" i="14"/>
  <c r="AF143" i="14"/>
  <c r="AF144" i="14"/>
  <c r="AF145" i="14"/>
  <c r="AF146" i="14"/>
  <c r="AF147" i="14"/>
  <c r="AF148" i="14"/>
  <c r="AF149" i="14"/>
  <c r="AF150" i="14"/>
  <c r="AF151" i="14"/>
  <c r="AF152" i="14"/>
  <c r="AF153" i="14"/>
  <c r="AF154" i="14"/>
  <c r="AF155" i="14"/>
  <c r="AF156" i="14"/>
  <c r="AF157" i="14"/>
  <c r="AF158" i="14"/>
  <c r="AF159" i="14"/>
  <c r="AF160" i="14"/>
  <c r="AF161" i="14"/>
  <c r="AF162" i="14"/>
  <c r="AF163" i="14"/>
  <c r="AF164" i="14"/>
  <c r="AF165" i="14"/>
  <c r="AF166" i="14"/>
  <c r="AF167" i="14"/>
  <c r="AF168" i="14"/>
  <c r="AF169" i="14"/>
  <c r="AF170" i="14"/>
  <c r="AF171" i="14"/>
  <c r="AF172" i="14"/>
  <c r="AF173" i="14"/>
  <c r="AF174" i="14"/>
  <c r="AF175" i="14"/>
  <c r="AF176" i="14"/>
  <c r="AF177" i="14"/>
  <c r="AF178" i="14"/>
  <c r="AF179" i="14"/>
  <c r="AF180" i="14"/>
  <c r="AF181" i="14"/>
  <c r="AF182" i="14"/>
  <c r="AF183" i="14"/>
  <c r="AF184" i="14"/>
  <c r="AF185" i="14"/>
  <c r="AF186" i="14"/>
  <c r="AF187" i="14"/>
  <c r="AF188" i="14"/>
  <c r="AF189" i="14"/>
  <c r="AF190" i="14"/>
  <c r="AF191" i="14"/>
  <c r="AF192" i="14"/>
  <c r="AF193" i="14"/>
  <c r="AF194" i="14"/>
  <c r="AF195" i="14"/>
  <c r="AF196" i="14"/>
  <c r="AF197" i="14"/>
  <c r="AF198" i="14"/>
  <c r="AF199" i="14"/>
  <c r="AF200" i="14"/>
  <c r="AF201" i="14"/>
  <c r="Y4" i="14"/>
  <c r="Y5" i="14"/>
  <c r="Y6" i="14"/>
  <c r="Y7" i="14"/>
  <c r="Y8" i="14"/>
  <c r="Y9" i="14"/>
  <c r="Y10" i="14"/>
  <c r="Y11" i="14"/>
  <c r="Y12" i="14"/>
  <c r="Y13" i="14"/>
  <c r="Y14" i="14"/>
  <c r="Y15" i="14"/>
  <c r="Y16" i="14"/>
  <c r="Y17" i="14"/>
  <c r="Y18" i="14"/>
  <c r="Y19" i="14"/>
  <c r="Y20" i="14"/>
  <c r="Y21" i="14"/>
  <c r="Y22" i="14"/>
  <c r="Y23" i="14"/>
  <c r="Y24" i="14"/>
  <c r="Y25" i="14"/>
  <c r="Y26" i="14"/>
  <c r="Y27" i="14"/>
  <c r="Y28" i="14"/>
  <c r="Y29" i="14"/>
  <c r="Y30" i="14"/>
  <c r="Y31" i="14"/>
  <c r="Y32" i="14"/>
  <c r="Y33" i="14"/>
  <c r="Y34" i="14"/>
  <c r="Y35" i="14"/>
  <c r="Y36" i="14"/>
  <c r="Y37" i="14"/>
  <c r="Y38" i="14"/>
  <c r="Y39" i="14"/>
  <c r="Y40" i="14"/>
  <c r="Y41" i="14"/>
  <c r="Y42" i="14"/>
  <c r="Y43" i="14"/>
  <c r="Y44" i="14"/>
  <c r="Y45" i="14"/>
  <c r="Y46" i="14"/>
  <c r="Y47" i="14"/>
  <c r="Y48" i="14"/>
  <c r="Y49" i="14"/>
  <c r="Y50" i="14"/>
  <c r="Y51" i="14"/>
  <c r="Y52" i="14"/>
  <c r="Y53" i="14"/>
  <c r="Y54" i="14"/>
  <c r="Y55" i="14"/>
  <c r="Y56" i="14"/>
  <c r="Y57" i="14"/>
  <c r="Y58" i="14"/>
  <c r="Y59" i="14"/>
  <c r="Y60" i="14"/>
  <c r="Y61" i="14"/>
  <c r="Y62" i="14"/>
  <c r="Y63" i="14"/>
  <c r="Y64" i="14"/>
  <c r="Y65" i="14"/>
  <c r="Y66" i="14"/>
  <c r="Y67" i="14"/>
  <c r="Y68" i="14"/>
  <c r="Y69" i="14"/>
  <c r="Y70" i="14"/>
  <c r="Y71" i="14"/>
  <c r="Y72" i="14"/>
  <c r="Y73" i="14"/>
  <c r="Y74" i="14"/>
  <c r="Y75" i="14"/>
  <c r="Y76" i="14"/>
  <c r="Y77" i="14"/>
  <c r="Y78" i="14"/>
  <c r="Y79" i="14"/>
  <c r="Y80" i="14"/>
  <c r="Y81" i="14"/>
  <c r="Y82" i="14"/>
  <c r="Y83" i="14"/>
  <c r="Y84" i="14"/>
  <c r="Y85" i="14"/>
  <c r="Y86" i="14"/>
  <c r="Y87" i="14"/>
  <c r="Y88" i="14"/>
  <c r="Y89" i="14"/>
  <c r="Y90" i="14"/>
  <c r="Y91" i="14"/>
  <c r="Y92" i="14"/>
  <c r="Y93" i="14"/>
  <c r="Y94" i="14"/>
  <c r="Y95" i="14"/>
  <c r="Y96" i="14"/>
  <c r="Y97" i="14"/>
  <c r="Y98" i="14"/>
  <c r="Y99" i="14"/>
  <c r="Y100" i="14"/>
  <c r="Y101" i="14"/>
  <c r="Y102" i="14"/>
  <c r="Y103" i="14"/>
  <c r="Y104" i="14"/>
  <c r="Y105" i="14"/>
  <c r="Y106" i="14"/>
  <c r="Y107" i="14"/>
  <c r="Y108" i="14"/>
  <c r="Y109" i="14"/>
  <c r="Y110" i="14"/>
  <c r="Y111" i="14"/>
  <c r="Y112" i="14"/>
  <c r="Y113" i="14"/>
  <c r="Y114" i="14"/>
  <c r="Y115" i="14"/>
  <c r="Y116" i="14"/>
  <c r="Y117" i="14"/>
  <c r="Y118" i="14"/>
  <c r="Y119" i="14"/>
  <c r="Y120" i="14"/>
  <c r="Y121" i="14"/>
  <c r="Y122" i="14"/>
  <c r="Y123" i="14"/>
  <c r="Y124" i="14"/>
  <c r="Y125" i="14"/>
  <c r="Y126" i="14"/>
  <c r="Y127" i="14"/>
  <c r="Y128" i="14"/>
  <c r="Y129" i="14"/>
  <c r="Y130" i="14"/>
  <c r="Y131" i="14"/>
  <c r="Y132" i="14"/>
  <c r="Y133" i="14"/>
  <c r="Y134" i="14"/>
  <c r="Y135" i="14"/>
  <c r="Y136" i="14"/>
  <c r="Y137" i="14"/>
  <c r="Y138" i="14"/>
  <c r="Y139" i="14"/>
  <c r="Y140" i="14"/>
  <c r="Y141" i="14"/>
  <c r="Y142" i="14"/>
  <c r="Y143" i="14"/>
  <c r="Y144" i="14"/>
  <c r="Y145" i="14"/>
  <c r="Y146" i="14"/>
  <c r="Y147" i="14"/>
  <c r="Y148" i="14"/>
  <c r="Y149" i="14"/>
  <c r="Y150" i="14"/>
  <c r="Y151" i="14"/>
  <c r="Y152" i="14"/>
  <c r="Y153" i="14"/>
  <c r="Y154" i="14"/>
  <c r="Y155" i="14"/>
  <c r="Y156" i="14"/>
  <c r="Y157" i="14"/>
  <c r="Y158" i="14"/>
  <c r="Y159" i="14"/>
  <c r="Y160" i="14"/>
  <c r="Y161" i="14"/>
  <c r="Y162" i="14"/>
  <c r="Y163" i="14"/>
  <c r="Y164" i="14"/>
  <c r="Y165" i="14"/>
  <c r="Y166" i="14"/>
  <c r="Y167" i="14"/>
  <c r="Y168" i="14"/>
  <c r="Y169" i="14"/>
  <c r="Y170" i="14"/>
  <c r="Y171" i="14"/>
  <c r="Y172" i="14"/>
  <c r="Y173" i="14"/>
  <c r="Y174" i="14"/>
  <c r="Y175" i="14"/>
  <c r="Y176" i="14"/>
  <c r="Y177" i="14"/>
  <c r="Y178" i="14"/>
  <c r="Y179" i="14"/>
  <c r="Y180" i="14"/>
  <c r="Y181" i="14"/>
  <c r="Y182" i="14"/>
  <c r="Y183" i="14"/>
  <c r="Y184" i="14"/>
  <c r="Y185" i="14"/>
  <c r="Y186" i="14"/>
  <c r="Y187" i="14"/>
  <c r="Y188" i="14"/>
  <c r="Y189" i="14"/>
  <c r="Y190" i="14"/>
  <c r="Y191" i="14"/>
  <c r="Y192" i="14"/>
  <c r="Y193" i="14"/>
  <c r="Y194" i="14"/>
  <c r="Y195" i="14"/>
  <c r="Y196" i="14"/>
  <c r="Y197" i="14"/>
  <c r="Y198" i="14"/>
  <c r="Y199" i="14"/>
  <c r="Y200" i="14"/>
  <c r="Y201" i="14"/>
  <c r="R4" i="14"/>
  <c r="R5" i="14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57" i="14"/>
  <c r="R58" i="14"/>
  <c r="R59" i="14"/>
  <c r="R60" i="14"/>
  <c r="R61" i="14"/>
  <c r="R62" i="14"/>
  <c r="R63" i="14"/>
  <c r="R64" i="14"/>
  <c r="R65" i="14"/>
  <c r="R66" i="14"/>
  <c r="R67" i="14"/>
  <c r="R68" i="14"/>
  <c r="R69" i="14"/>
  <c r="R70" i="14"/>
  <c r="R71" i="14"/>
  <c r="R72" i="14"/>
  <c r="R73" i="14"/>
  <c r="R74" i="14"/>
  <c r="R75" i="14"/>
  <c r="R76" i="14"/>
  <c r="R77" i="14"/>
  <c r="R78" i="14"/>
  <c r="R79" i="14"/>
  <c r="R80" i="14"/>
  <c r="R81" i="14"/>
  <c r="R82" i="14"/>
  <c r="R83" i="14"/>
  <c r="R84" i="14"/>
  <c r="R85" i="14"/>
  <c r="R86" i="14"/>
  <c r="R87" i="14"/>
  <c r="R88" i="14"/>
  <c r="R89" i="14"/>
  <c r="R90" i="14"/>
  <c r="R91" i="14"/>
  <c r="R92" i="14"/>
  <c r="R93" i="14"/>
  <c r="R94" i="14"/>
  <c r="R95" i="14"/>
  <c r="R96" i="14"/>
  <c r="R97" i="14"/>
  <c r="R98" i="14"/>
  <c r="R99" i="14"/>
  <c r="R100" i="14"/>
  <c r="R101" i="14"/>
  <c r="R102" i="14"/>
  <c r="R103" i="14"/>
  <c r="R104" i="14"/>
  <c r="R105" i="14"/>
  <c r="R106" i="14"/>
  <c r="R107" i="14"/>
  <c r="R108" i="14"/>
  <c r="R109" i="14"/>
  <c r="R110" i="14"/>
  <c r="R111" i="14"/>
  <c r="R112" i="14"/>
  <c r="R113" i="14"/>
  <c r="R114" i="14"/>
  <c r="R115" i="14"/>
  <c r="R116" i="14"/>
  <c r="R117" i="14"/>
  <c r="R118" i="14"/>
  <c r="R119" i="14"/>
  <c r="R120" i="14"/>
  <c r="R121" i="14"/>
  <c r="R122" i="14"/>
  <c r="R123" i="14"/>
  <c r="R124" i="14"/>
  <c r="R125" i="14"/>
  <c r="R126" i="14"/>
  <c r="R127" i="14"/>
  <c r="R128" i="14"/>
  <c r="R129" i="14"/>
  <c r="R130" i="14"/>
  <c r="R131" i="14"/>
  <c r="R132" i="14"/>
  <c r="R133" i="14"/>
  <c r="R134" i="14"/>
  <c r="R135" i="14"/>
  <c r="R136" i="14"/>
  <c r="R137" i="14"/>
  <c r="R138" i="14"/>
  <c r="R139" i="14"/>
  <c r="R140" i="14"/>
  <c r="R141" i="14"/>
  <c r="R142" i="14"/>
  <c r="R143" i="14"/>
  <c r="R144" i="14"/>
  <c r="R145" i="14"/>
  <c r="R146" i="14"/>
  <c r="R147" i="14"/>
  <c r="R148" i="14"/>
  <c r="R149" i="14"/>
  <c r="R150" i="14"/>
  <c r="R151" i="14"/>
  <c r="R152" i="14"/>
  <c r="R153" i="14"/>
  <c r="R154" i="14"/>
  <c r="R155" i="14"/>
  <c r="R156" i="14"/>
  <c r="R157" i="14"/>
  <c r="R158" i="14"/>
  <c r="R159" i="14"/>
  <c r="R160" i="14"/>
  <c r="R161" i="14"/>
  <c r="R162" i="14"/>
  <c r="R163" i="14"/>
  <c r="R164" i="14"/>
  <c r="R165" i="14"/>
  <c r="R166" i="14"/>
  <c r="R167" i="14"/>
  <c r="R168" i="14"/>
  <c r="R169" i="14"/>
  <c r="R170" i="14"/>
  <c r="R171" i="14"/>
  <c r="R172" i="14"/>
  <c r="R173" i="14"/>
  <c r="R174" i="14"/>
  <c r="R175" i="14"/>
  <c r="R176" i="14"/>
  <c r="R177" i="14"/>
  <c r="R178" i="14"/>
  <c r="R179" i="14"/>
  <c r="R180" i="14"/>
  <c r="R181" i="14"/>
  <c r="R182" i="14"/>
  <c r="R183" i="14"/>
  <c r="R184" i="14"/>
  <c r="R185" i="14"/>
  <c r="R186" i="14"/>
  <c r="R187" i="14"/>
  <c r="R188" i="14"/>
  <c r="R189" i="14"/>
  <c r="R190" i="14"/>
  <c r="R191" i="14"/>
  <c r="R192" i="14"/>
  <c r="R193" i="14"/>
  <c r="R194" i="14"/>
  <c r="R195" i="14"/>
  <c r="R196" i="14"/>
  <c r="R197" i="14"/>
  <c r="R198" i="14"/>
  <c r="R199" i="14"/>
  <c r="R200" i="14"/>
  <c r="R201" i="14"/>
  <c r="O155" i="2" l="1"/>
  <c r="O154" i="2"/>
  <c r="N26" i="2"/>
  <c r="CH4" i="13"/>
  <c r="CH5" i="13"/>
  <c r="CH6" i="13"/>
  <c r="CH7" i="13"/>
  <c r="CH8" i="13"/>
  <c r="CH9" i="13"/>
  <c r="CH10" i="13"/>
  <c r="CH11" i="13"/>
  <c r="CH12" i="13"/>
  <c r="CH13" i="13"/>
  <c r="CH14" i="13"/>
  <c r="CH15" i="13"/>
  <c r="CH16" i="13"/>
  <c r="CH17" i="13"/>
  <c r="CH18" i="13"/>
  <c r="CH19" i="13"/>
  <c r="CH20" i="13"/>
  <c r="CH21" i="13"/>
  <c r="CH22" i="13"/>
  <c r="CH23" i="13"/>
  <c r="CH24" i="13"/>
  <c r="CH25" i="13"/>
  <c r="CH26" i="13"/>
  <c r="CH27" i="13"/>
  <c r="CH28" i="13"/>
  <c r="CH29" i="13"/>
  <c r="CH30" i="13"/>
  <c r="CH31" i="13"/>
  <c r="CH32" i="13"/>
  <c r="CH33" i="13"/>
  <c r="CH34" i="13"/>
  <c r="CH35" i="13"/>
  <c r="CH36" i="13"/>
  <c r="CH37" i="13"/>
  <c r="CH38" i="13"/>
  <c r="CH39" i="13"/>
  <c r="CH40" i="13"/>
  <c r="CH41" i="13"/>
  <c r="CH42" i="13"/>
  <c r="CH43" i="13"/>
  <c r="CH44" i="13"/>
  <c r="CH45" i="13"/>
  <c r="CH46" i="13"/>
  <c r="CH47" i="13"/>
  <c r="CH48" i="13"/>
  <c r="CH49" i="13"/>
  <c r="CH50" i="13"/>
  <c r="CH51" i="13"/>
  <c r="CH52" i="13"/>
  <c r="CH53" i="13"/>
  <c r="CH54" i="13"/>
  <c r="CH55" i="13"/>
  <c r="CH56" i="13"/>
  <c r="CH57" i="13"/>
  <c r="CH58" i="13"/>
  <c r="CH59" i="13"/>
  <c r="CH60" i="13"/>
  <c r="CH61" i="13"/>
  <c r="CH62" i="13"/>
  <c r="CH63" i="13"/>
  <c r="CH64" i="13"/>
  <c r="CH65" i="13"/>
  <c r="CH66" i="13"/>
  <c r="CH67" i="13"/>
  <c r="CH68" i="13"/>
  <c r="CH69" i="13"/>
  <c r="CH70" i="13"/>
  <c r="CH71" i="13"/>
  <c r="CH72" i="13"/>
  <c r="CH73" i="13"/>
  <c r="CH74" i="13"/>
  <c r="CH75" i="13"/>
  <c r="CH76" i="13"/>
  <c r="CH77" i="13"/>
  <c r="CH78" i="13"/>
  <c r="CH79" i="13"/>
  <c r="CH80" i="13"/>
  <c r="CH81" i="13"/>
  <c r="CH82" i="13"/>
  <c r="CH83" i="13"/>
  <c r="CH84" i="13"/>
  <c r="CH85" i="13"/>
  <c r="CH86" i="13"/>
  <c r="CH87" i="13"/>
  <c r="CH88" i="13"/>
  <c r="CH89" i="13"/>
  <c r="CH90" i="13"/>
  <c r="CH91" i="13"/>
  <c r="CH92" i="13"/>
  <c r="CH93" i="13"/>
  <c r="CH94" i="13"/>
  <c r="CH95" i="13"/>
  <c r="CH96" i="13"/>
  <c r="CH97" i="13"/>
  <c r="CH98" i="13"/>
  <c r="CH99" i="13"/>
  <c r="CH100" i="13"/>
  <c r="CH101" i="13"/>
  <c r="CH102" i="13"/>
  <c r="CH103" i="13"/>
  <c r="CH104" i="13"/>
  <c r="CH105" i="13"/>
  <c r="CH106" i="13"/>
  <c r="CH107" i="13"/>
  <c r="CH108" i="13"/>
  <c r="CH109" i="13"/>
  <c r="CH110" i="13"/>
  <c r="CH111" i="13"/>
  <c r="CH112" i="13"/>
  <c r="CH113" i="13"/>
  <c r="CH114" i="13"/>
  <c r="CH115" i="13"/>
  <c r="CH116" i="13"/>
  <c r="CH117" i="13"/>
  <c r="CH118" i="13"/>
  <c r="CH119" i="13"/>
  <c r="CH120" i="13"/>
  <c r="CH121" i="13"/>
  <c r="CH122" i="13"/>
  <c r="CH123" i="13"/>
  <c r="CH124" i="13"/>
  <c r="CH125" i="13"/>
  <c r="CH126" i="13"/>
  <c r="CH127" i="13"/>
  <c r="CH128" i="13"/>
  <c r="CH129" i="13"/>
  <c r="CH130" i="13"/>
  <c r="CH131" i="13"/>
  <c r="CH132" i="13"/>
  <c r="CH133" i="13"/>
  <c r="CH134" i="13"/>
  <c r="CH135" i="13"/>
  <c r="CH136" i="13"/>
  <c r="CH137" i="13"/>
  <c r="CH138" i="13"/>
  <c r="CH139" i="13"/>
  <c r="CH140" i="13"/>
  <c r="CH141" i="13"/>
  <c r="CH142" i="13"/>
  <c r="CH143" i="13"/>
  <c r="CH144" i="13"/>
  <c r="CH145" i="13"/>
  <c r="CH146" i="13"/>
  <c r="CH147" i="13"/>
  <c r="CH148" i="13"/>
  <c r="CH149" i="13"/>
  <c r="CH150" i="13"/>
  <c r="CH151" i="13"/>
  <c r="CH152" i="13"/>
  <c r="CH153" i="13"/>
  <c r="CH154" i="13"/>
  <c r="CH155" i="13"/>
  <c r="CH156" i="13"/>
  <c r="CH157" i="13"/>
  <c r="CH158" i="13"/>
  <c r="CH159" i="13"/>
  <c r="CH160" i="13"/>
  <c r="CH161" i="13"/>
  <c r="CH162" i="13"/>
  <c r="CH163" i="13"/>
  <c r="CH164" i="13"/>
  <c r="CH165" i="13"/>
  <c r="CH166" i="13"/>
  <c r="CH167" i="13"/>
  <c r="CH168" i="13"/>
  <c r="CH169" i="13"/>
  <c r="CH170" i="13"/>
  <c r="CH171" i="13"/>
  <c r="CH172" i="13"/>
  <c r="CH173" i="13"/>
  <c r="CH174" i="13"/>
  <c r="CH175" i="13"/>
  <c r="CH176" i="13"/>
  <c r="CH177" i="13"/>
  <c r="CH178" i="13"/>
  <c r="CH179" i="13"/>
  <c r="CH180" i="13"/>
  <c r="CH181" i="13"/>
  <c r="CH182" i="13"/>
  <c r="CH183" i="13"/>
  <c r="CH184" i="13"/>
  <c r="CH185" i="13"/>
  <c r="CH186" i="13"/>
  <c r="CH187" i="13"/>
  <c r="CH188" i="13"/>
  <c r="CH189" i="13"/>
  <c r="CH190" i="13"/>
  <c r="CH191" i="13"/>
  <c r="CH192" i="13"/>
  <c r="CH193" i="13"/>
  <c r="CH194" i="13"/>
  <c r="CH195" i="13"/>
  <c r="CH196" i="13"/>
  <c r="CH197" i="13"/>
  <c r="CH198" i="13"/>
  <c r="CH199" i="13"/>
  <c r="CH200" i="13"/>
  <c r="CH201" i="13"/>
  <c r="CA4" i="13"/>
  <c r="CA5" i="13"/>
  <c r="CA6" i="13"/>
  <c r="CA7" i="13"/>
  <c r="CA8" i="13"/>
  <c r="CA9" i="13"/>
  <c r="CA10" i="13"/>
  <c r="CA11" i="13"/>
  <c r="CA12" i="13"/>
  <c r="CA13" i="13"/>
  <c r="CA14" i="13"/>
  <c r="CA15" i="13"/>
  <c r="CA16" i="13"/>
  <c r="CA17" i="13"/>
  <c r="CA18" i="13"/>
  <c r="CA19" i="13"/>
  <c r="CA20" i="13"/>
  <c r="CA21" i="13"/>
  <c r="CA22" i="13"/>
  <c r="CA23" i="13"/>
  <c r="CA24" i="13"/>
  <c r="CA25" i="13"/>
  <c r="CA26" i="13"/>
  <c r="CA27" i="13"/>
  <c r="CA28" i="13"/>
  <c r="CA29" i="13"/>
  <c r="CA30" i="13"/>
  <c r="CA31" i="13"/>
  <c r="CA32" i="13"/>
  <c r="CA33" i="13"/>
  <c r="CA34" i="13"/>
  <c r="CA35" i="13"/>
  <c r="CA36" i="13"/>
  <c r="CA37" i="13"/>
  <c r="CA38" i="13"/>
  <c r="CA39" i="13"/>
  <c r="CA40" i="13"/>
  <c r="CA41" i="13"/>
  <c r="CA42" i="13"/>
  <c r="CA43" i="13"/>
  <c r="CA44" i="13"/>
  <c r="CA45" i="13"/>
  <c r="CA46" i="13"/>
  <c r="CA47" i="13"/>
  <c r="CA48" i="13"/>
  <c r="CA49" i="13"/>
  <c r="CA50" i="13"/>
  <c r="CA51" i="13"/>
  <c r="CA52" i="13"/>
  <c r="CA53" i="13"/>
  <c r="CA54" i="13"/>
  <c r="CA55" i="13"/>
  <c r="CA56" i="13"/>
  <c r="CA57" i="13"/>
  <c r="CA58" i="13"/>
  <c r="CA59" i="13"/>
  <c r="CA60" i="13"/>
  <c r="CA61" i="13"/>
  <c r="CA62" i="13"/>
  <c r="CA63" i="13"/>
  <c r="CA64" i="13"/>
  <c r="CA65" i="13"/>
  <c r="CA66" i="13"/>
  <c r="CA67" i="13"/>
  <c r="CA68" i="13"/>
  <c r="CA69" i="13"/>
  <c r="CA70" i="13"/>
  <c r="CA71" i="13"/>
  <c r="CA72" i="13"/>
  <c r="CA73" i="13"/>
  <c r="CA74" i="13"/>
  <c r="CA75" i="13"/>
  <c r="CA76" i="13"/>
  <c r="CA77" i="13"/>
  <c r="CA78" i="13"/>
  <c r="CA79" i="13"/>
  <c r="CA80" i="13"/>
  <c r="CA81" i="13"/>
  <c r="CA82" i="13"/>
  <c r="CA83" i="13"/>
  <c r="CA84" i="13"/>
  <c r="CA85" i="13"/>
  <c r="CA86" i="13"/>
  <c r="CA87" i="13"/>
  <c r="CA88" i="13"/>
  <c r="CA89" i="13"/>
  <c r="CA90" i="13"/>
  <c r="CA91" i="13"/>
  <c r="CA92" i="13"/>
  <c r="CA93" i="13"/>
  <c r="CA94" i="13"/>
  <c r="CA95" i="13"/>
  <c r="CA96" i="13"/>
  <c r="CA97" i="13"/>
  <c r="CA98" i="13"/>
  <c r="CA99" i="13"/>
  <c r="CA100" i="13"/>
  <c r="CA101" i="13"/>
  <c r="CA102" i="13"/>
  <c r="CA103" i="13"/>
  <c r="CA104" i="13"/>
  <c r="CA105" i="13"/>
  <c r="CA106" i="13"/>
  <c r="CA107" i="13"/>
  <c r="CA108" i="13"/>
  <c r="CA109" i="13"/>
  <c r="CA110" i="13"/>
  <c r="CA111" i="13"/>
  <c r="CA112" i="13"/>
  <c r="CA113" i="13"/>
  <c r="CA114" i="13"/>
  <c r="CA115" i="13"/>
  <c r="CA116" i="13"/>
  <c r="CA117" i="13"/>
  <c r="CA118" i="13"/>
  <c r="CA119" i="13"/>
  <c r="CA120" i="13"/>
  <c r="CA121" i="13"/>
  <c r="CA122" i="13"/>
  <c r="CA123" i="13"/>
  <c r="CA124" i="13"/>
  <c r="CA125" i="13"/>
  <c r="CA126" i="13"/>
  <c r="CA127" i="13"/>
  <c r="CA128" i="13"/>
  <c r="CA129" i="13"/>
  <c r="CA130" i="13"/>
  <c r="CA131" i="13"/>
  <c r="CA132" i="13"/>
  <c r="CA133" i="13"/>
  <c r="CA134" i="13"/>
  <c r="CA135" i="13"/>
  <c r="CA136" i="13"/>
  <c r="CA137" i="13"/>
  <c r="CA138" i="13"/>
  <c r="CA139" i="13"/>
  <c r="CA140" i="13"/>
  <c r="CA141" i="13"/>
  <c r="CA142" i="13"/>
  <c r="CA143" i="13"/>
  <c r="CA144" i="13"/>
  <c r="CA145" i="13"/>
  <c r="CA146" i="13"/>
  <c r="CA147" i="13"/>
  <c r="CA148" i="13"/>
  <c r="CA149" i="13"/>
  <c r="CA150" i="13"/>
  <c r="CA151" i="13"/>
  <c r="CA152" i="13"/>
  <c r="CA153" i="13"/>
  <c r="CA154" i="13"/>
  <c r="CA155" i="13"/>
  <c r="CA156" i="13"/>
  <c r="CA157" i="13"/>
  <c r="CA158" i="13"/>
  <c r="CA159" i="13"/>
  <c r="CA160" i="13"/>
  <c r="CA161" i="13"/>
  <c r="CA162" i="13"/>
  <c r="CA163" i="13"/>
  <c r="CA164" i="13"/>
  <c r="CA165" i="13"/>
  <c r="CA166" i="13"/>
  <c r="CA167" i="13"/>
  <c r="CA168" i="13"/>
  <c r="CA169" i="13"/>
  <c r="CA170" i="13"/>
  <c r="CA171" i="13"/>
  <c r="CA172" i="13"/>
  <c r="CA173" i="13"/>
  <c r="CA174" i="13"/>
  <c r="CA175" i="13"/>
  <c r="CA176" i="13"/>
  <c r="CA177" i="13"/>
  <c r="CA178" i="13"/>
  <c r="CA179" i="13"/>
  <c r="CA180" i="13"/>
  <c r="CA181" i="13"/>
  <c r="CA182" i="13"/>
  <c r="CA183" i="13"/>
  <c r="CA184" i="13"/>
  <c r="CA185" i="13"/>
  <c r="CA186" i="13"/>
  <c r="CA187" i="13"/>
  <c r="CA188" i="13"/>
  <c r="CA189" i="13"/>
  <c r="CA190" i="13"/>
  <c r="CA191" i="13"/>
  <c r="CA192" i="13"/>
  <c r="CA193" i="13"/>
  <c r="CA194" i="13"/>
  <c r="CA195" i="13"/>
  <c r="CA196" i="13"/>
  <c r="CA197" i="13"/>
  <c r="CA198" i="13"/>
  <c r="CA199" i="13"/>
  <c r="CA200" i="13"/>
  <c r="CA201" i="13"/>
  <c r="BT4" i="13"/>
  <c r="BT5" i="13"/>
  <c r="BT6" i="13"/>
  <c r="BT7" i="13"/>
  <c r="BT8" i="13"/>
  <c r="BT9" i="13"/>
  <c r="BT10" i="13"/>
  <c r="BT11" i="13"/>
  <c r="BT12" i="13"/>
  <c r="BT13" i="13"/>
  <c r="BT14" i="13"/>
  <c r="BT15" i="13"/>
  <c r="BT16" i="13"/>
  <c r="BT17" i="13"/>
  <c r="BT18" i="13"/>
  <c r="BT19" i="13"/>
  <c r="BT20" i="13"/>
  <c r="BT21" i="13"/>
  <c r="BT22" i="13"/>
  <c r="BT23" i="13"/>
  <c r="BT24" i="13"/>
  <c r="BT25" i="13"/>
  <c r="BT26" i="13"/>
  <c r="BT27" i="13"/>
  <c r="BT28" i="13"/>
  <c r="BT29" i="13"/>
  <c r="BT30" i="13"/>
  <c r="BT31" i="13"/>
  <c r="BT32" i="13"/>
  <c r="BT33" i="13"/>
  <c r="BT34" i="13"/>
  <c r="BT35" i="13"/>
  <c r="BT36" i="13"/>
  <c r="BT37" i="13"/>
  <c r="BT38" i="13"/>
  <c r="BT39" i="13"/>
  <c r="BT40" i="13"/>
  <c r="BT41" i="13"/>
  <c r="BT42" i="13"/>
  <c r="BT43" i="13"/>
  <c r="BT44" i="13"/>
  <c r="BT45" i="13"/>
  <c r="BT46" i="13"/>
  <c r="BT47" i="13"/>
  <c r="BT48" i="13"/>
  <c r="BT49" i="13"/>
  <c r="BT50" i="13"/>
  <c r="BT51" i="13"/>
  <c r="BT52" i="13"/>
  <c r="BT53" i="13"/>
  <c r="BT54" i="13"/>
  <c r="BT55" i="13"/>
  <c r="BT56" i="13"/>
  <c r="BT57" i="13"/>
  <c r="BT58" i="13"/>
  <c r="BT59" i="13"/>
  <c r="BT60" i="13"/>
  <c r="BT61" i="13"/>
  <c r="BT62" i="13"/>
  <c r="BT63" i="13"/>
  <c r="BT64" i="13"/>
  <c r="BT65" i="13"/>
  <c r="BT66" i="13"/>
  <c r="BT67" i="13"/>
  <c r="BT68" i="13"/>
  <c r="BT69" i="13"/>
  <c r="BT70" i="13"/>
  <c r="BT71" i="13"/>
  <c r="BT72" i="13"/>
  <c r="BT73" i="13"/>
  <c r="BT74" i="13"/>
  <c r="BT75" i="13"/>
  <c r="BT76" i="13"/>
  <c r="BT77" i="13"/>
  <c r="BT78" i="13"/>
  <c r="BT79" i="13"/>
  <c r="BT80" i="13"/>
  <c r="BT81" i="13"/>
  <c r="BT82" i="13"/>
  <c r="BT83" i="13"/>
  <c r="BT84" i="13"/>
  <c r="BT85" i="13"/>
  <c r="BT86" i="13"/>
  <c r="BT87" i="13"/>
  <c r="BT88" i="13"/>
  <c r="BT89" i="13"/>
  <c r="BT90" i="13"/>
  <c r="BT91" i="13"/>
  <c r="BT92" i="13"/>
  <c r="BT93" i="13"/>
  <c r="BT94" i="13"/>
  <c r="BT95" i="13"/>
  <c r="BT96" i="13"/>
  <c r="BT97" i="13"/>
  <c r="BT98" i="13"/>
  <c r="BT99" i="13"/>
  <c r="BT100" i="13"/>
  <c r="BT101" i="13"/>
  <c r="BT102" i="13"/>
  <c r="BT103" i="13"/>
  <c r="BT104" i="13"/>
  <c r="BT105" i="13"/>
  <c r="BT106" i="13"/>
  <c r="BT107" i="13"/>
  <c r="BT108" i="13"/>
  <c r="BT109" i="13"/>
  <c r="BT110" i="13"/>
  <c r="BT111" i="13"/>
  <c r="BT112" i="13"/>
  <c r="BT113" i="13"/>
  <c r="BT114" i="13"/>
  <c r="BT115" i="13"/>
  <c r="BT116" i="13"/>
  <c r="BT117" i="13"/>
  <c r="BT118" i="13"/>
  <c r="BT119" i="13"/>
  <c r="BT120" i="13"/>
  <c r="BT121" i="13"/>
  <c r="BT122" i="13"/>
  <c r="BT123" i="13"/>
  <c r="BT124" i="13"/>
  <c r="BT125" i="13"/>
  <c r="BT126" i="13"/>
  <c r="BT127" i="13"/>
  <c r="BT128" i="13"/>
  <c r="BT129" i="13"/>
  <c r="BT130" i="13"/>
  <c r="BT131" i="13"/>
  <c r="BT132" i="13"/>
  <c r="BT133" i="13"/>
  <c r="BT134" i="13"/>
  <c r="BT135" i="13"/>
  <c r="BT136" i="13"/>
  <c r="BT137" i="13"/>
  <c r="BT138" i="13"/>
  <c r="BT139" i="13"/>
  <c r="BT140" i="13"/>
  <c r="BT141" i="13"/>
  <c r="BT142" i="13"/>
  <c r="BT143" i="13"/>
  <c r="BT144" i="13"/>
  <c r="BT145" i="13"/>
  <c r="BT146" i="13"/>
  <c r="BT147" i="13"/>
  <c r="BT148" i="13"/>
  <c r="BT149" i="13"/>
  <c r="BT150" i="13"/>
  <c r="BT151" i="13"/>
  <c r="BT152" i="13"/>
  <c r="BT153" i="13"/>
  <c r="BT154" i="13"/>
  <c r="BT155" i="13"/>
  <c r="BT156" i="13"/>
  <c r="BT157" i="13"/>
  <c r="BT158" i="13"/>
  <c r="BT159" i="13"/>
  <c r="BT160" i="13"/>
  <c r="BT161" i="13"/>
  <c r="BT162" i="13"/>
  <c r="BT163" i="13"/>
  <c r="BT164" i="13"/>
  <c r="BT165" i="13"/>
  <c r="BT166" i="13"/>
  <c r="BT167" i="13"/>
  <c r="BT168" i="13"/>
  <c r="BT169" i="13"/>
  <c r="BT170" i="13"/>
  <c r="BT171" i="13"/>
  <c r="BT172" i="13"/>
  <c r="BT173" i="13"/>
  <c r="BT174" i="13"/>
  <c r="BT175" i="13"/>
  <c r="BT176" i="13"/>
  <c r="BT177" i="13"/>
  <c r="BT178" i="13"/>
  <c r="BT179" i="13"/>
  <c r="BT180" i="13"/>
  <c r="BT181" i="13"/>
  <c r="BT182" i="13"/>
  <c r="BT183" i="13"/>
  <c r="BT184" i="13"/>
  <c r="BT185" i="13"/>
  <c r="BT186" i="13"/>
  <c r="BT187" i="13"/>
  <c r="BT188" i="13"/>
  <c r="BT189" i="13"/>
  <c r="BT190" i="13"/>
  <c r="BT191" i="13"/>
  <c r="BT192" i="13"/>
  <c r="BT193" i="13"/>
  <c r="BT194" i="13"/>
  <c r="BT195" i="13"/>
  <c r="BT196" i="13"/>
  <c r="BT197" i="13"/>
  <c r="BT198" i="13"/>
  <c r="BT199" i="13"/>
  <c r="BT200" i="13"/>
  <c r="BT201" i="13"/>
  <c r="BG4" i="13"/>
  <c r="BG5" i="13"/>
  <c r="BG6" i="13"/>
  <c r="BG7" i="13"/>
  <c r="BG8" i="13"/>
  <c r="BG9" i="13"/>
  <c r="BG10" i="13"/>
  <c r="BG11" i="13"/>
  <c r="BG12" i="13"/>
  <c r="BG13" i="13"/>
  <c r="BG14" i="13"/>
  <c r="BG15" i="13"/>
  <c r="BG16" i="13"/>
  <c r="BG17" i="13"/>
  <c r="BG18" i="13"/>
  <c r="BG19" i="13"/>
  <c r="BG20" i="13"/>
  <c r="BG21" i="13"/>
  <c r="BG22" i="13"/>
  <c r="BG23" i="13"/>
  <c r="BG24" i="13"/>
  <c r="BG25" i="13"/>
  <c r="BG26" i="13"/>
  <c r="BG27" i="13"/>
  <c r="BG28" i="13"/>
  <c r="BG29" i="13"/>
  <c r="BG30" i="13"/>
  <c r="BG31" i="13"/>
  <c r="BG32" i="13"/>
  <c r="BG33" i="13"/>
  <c r="BG34" i="13"/>
  <c r="BG35" i="13"/>
  <c r="BG36" i="13"/>
  <c r="BG37" i="13"/>
  <c r="BG38" i="13"/>
  <c r="BG39" i="13"/>
  <c r="BG40" i="13"/>
  <c r="BG41" i="13"/>
  <c r="BG42" i="13"/>
  <c r="BG43" i="13"/>
  <c r="BG44" i="13"/>
  <c r="BG45" i="13"/>
  <c r="BG46" i="13"/>
  <c r="BG47" i="13"/>
  <c r="BG48" i="13"/>
  <c r="BG49" i="13"/>
  <c r="BG50" i="13"/>
  <c r="BG51" i="13"/>
  <c r="BG52" i="13"/>
  <c r="BG53" i="13"/>
  <c r="BG54" i="13"/>
  <c r="BG55" i="13"/>
  <c r="BG56" i="13"/>
  <c r="BG57" i="13"/>
  <c r="BG58" i="13"/>
  <c r="BG59" i="13"/>
  <c r="BG60" i="13"/>
  <c r="BG61" i="13"/>
  <c r="BG62" i="13"/>
  <c r="BG63" i="13"/>
  <c r="BG64" i="13"/>
  <c r="BG65" i="13"/>
  <c r="BG66" i="13"/>
  <c r="BG67" i="13"/>
  <c r="BG68" i="13"/>
  <c r="BG69" i="13"/>
  <c r="BG70" i="13"/>
  <c r="BG71" i="13"/>
  <c r="BG72" i="13"/>
  <c r="BG73" i="13"/>
  <c r="BG74" i="13"/>
  <c r="BG75" i="13"/>
  <c r="BG76" i="13"/>
  <c r="BG77" i="13"/>
  <c r="BG78" i="13"/>
  <c r="BG79" i="13"/>
  <c r="BG80" i="13"/>
  <c r="BG81" i="13"/>
  <c r="BG82" i="13"/>
  <c r="BG83" i="13"/>
  <c r="BG84" i="13"/>
  <c r="BG85" i="13"/>
  <c r="BG86" i="13"/>
  <c r="BG87" i="13"/>
  <c r="BG88" i="13"/>
  <c r="BG89" i="13"/>
  <c r="BG90" i="13"/>
  <c r="BG91" i="13"/>
  <c r="BG92" i="13"/>
  <c r="BG93" i="13"/>
  <c r="BG94" i="13"/>
  <c r="BG95" i="13"/>
  <c r="BG96" i="13"/>
  <c r="BG97" i="13"/>
  <c r="BG98" i="13"/>
  <c r="BG99" i="13"/>
  <c r="BG100" i="13"/>
  <c r="BG101" i="13"/>
  <c r="BG102" i="13"/>
  <c r="BG103" i="13"/>
  <c r="BG104" i="13"/>
  <c r="BG105" i="13"/>
  <c r="BG106" i="13"/>
  <c r="BG107" i="13"/>
  <c r="BG108" i="13"/>
  <c r="BG109" i="13"/>
  <c r="BG110" i="13"/>
  <c r="BG111" i="13"/>
  <c r="BG112" i="13"/>
  <c r="BG113" i="13"/>
  <c r="BG114" i="13"/>
  <c r="BG115" i="13"/>
  <c r="BG116" i="13"/>
  <c r="BG117" i="13"/>
  <c r="BG118" i="13"/>
  <c r="BG119" i="13"/>
  <c r="BG120" i="13"/>
  <c r="BG121" i="13"/>
  <c r="BG122" i="13"/>
  <c r="BG123" i="13"/>
  <c r="BG124" i="13"/>
  <c r="BG125" i="13"/>
  <c r="BG126" i="13"/>
  <c r="BG127" i="13"/>
  <c r="BG128" i="13"/>
  <c r="BG129" i="13"/>
  <c r="BG130" i="13"/>
  <c r="BG131" i="13"/>
  <c r="BG132" i="13"/>
  <c r="BG133" i="13"/>
  <c r="BG134" i="13"/>
  <c r="BG135" i="13"/>
  <c r="BG136" i="13"/>
  <c r="BG137" i="13"/>
  <c r="BG138" i="13"/>
  <c r="BG139" i="13"/>
  <c r="BG140" i="13"/>
  <c r="BG141" i="13"/>
  <c r="BG142" i="13"/>
  <c r="BG143" i="13"/>
  <c r="BG144" i="13"/>
  <c r="BG145" i="13"/>
  <c r="BG146" i="13"/>
  <c r="BG147" i="13"/>
  <c r="BG148" i="13"/>
  <c r="BG149" i="13"/>
  <c r="BG150" i="13"/>
  <c r="BG151" i="13"/>
  <c r="BG152" i="13"/>
  <c r="BG153" i="13"/>
  <c r="BG154" i="13"/>
  <c r="BG155" i="13"/>
  <c r="BG156" i="13"/>
  <c r="BG157" i="13"/>
  <c r="BG158" i="13"/>
  <c r="BG159" i="13"/>
  <c r="BG160" i="13"/>
  <c r="BG161" i="13"/>
  <c r="BG162" i="13"/>
  <c r="BG163" i="13"/>
  <c r="BG164" i="13"/>
  <c r="BG165" i="13"/>
  <c r="BG166" i="13"/>
  <c r="BG167" i="13"/>
  <c r="BG168" i="13"/>
  <c r="BG169" i="13"/>
  <c r="BG170" i="13"/>
  <c r="BG171" i="13"/>
  <c r="BG172" i="13"/>
  <c r="BG173" i="13"/>
  <c r="BG174" i="13"/>
  <c r="BG175" i="13"/>
  <c r="BG176" i="13"/>
  <c r="BG177" i="13"/>
  <c r="BG178" i="13"/>
  <c r="BG179" i="13"/>
  <c r="BG180" i="13"/>
  <c r="BG181" i="13"/>
  <c r="BG182" i="13"/>
  <c r="BG183" i="13"/>
  <c r="BG184" i="13"/>
  <c r="BG185" i="13"/>
  <c r="BG186" i="13"/>
  <c r="BG187" i="13"/>
  <c r="BG188" i="13"/>
  <c r="BG189" i="13"/>
  <c r="BG190" i="13"/>
  <c r="BG191" i="13"/>
  <c r="BG192" i="13"/>
  <c r="BG193" i="13"/>
  <c r="BG194" i="13"/>
  <c r="BG195" i="13"/>
  <c r="BG196" i="13"/>
  <c r="BG197" i="13"/>
  <c r="BG198" i="13"/>
  <c r="BG199" i="13"/>
  <c r="BG200" i="13"/>
  <c r="BG201" i="13"/>
  <c r="AZ4" i="13"/>
  <c r="AZ5" i="13"/>
  <c r="AZ6" i="13"/>
  <c r="AZ7" i="13"/>
  <c r="AZ8" i="13"/>
  <c r="AZ9" i="13"/>
  <c r="AZ10" i="13"/>
  <c r="AZ11" i="13"/>
  <c r="AZ12" i="13"/>
  <c r="AZ13" i="13"/>
  <c r="AZ14" i="13"/>
  <c r="AZ15" i="13"/>
  <c r="AZ16" i="13"/>
  <c r="AZ17" i="13"/>
  <c r="AZ18" i="13"/>
  <c r="AZ19" i="13"/>
  <c r="AZ20" i="13"/>
  <c r="AZ21" i="13"/>
  <c r="AZ22" i="13"/>
  <c r="AZ23" i="13"/>
  <c r="AZ24" i="13"/>
  <c r="AZ25" i="13"/>
  <c r="AZ26" i="13"/>
  <c r="AZ27" i="13"/>
  <c r="AZ28" i="13"/>
  <c r="AZ29" i="13"/>
  <c r="AZ30" i="13"/>
  <c r="AZ31" i="13"/>
  <c r="AZ32" i="13"/>
  <c r="AZ33" i="13"/>
  <c r="AZ34" i="13"/>
  <c r="AZ35" i="13"/>
  <c r="AZ36" i="13"/>
  <c r="AZ37" i="13"/>
  <c r="AZ38" i="13"/>
  <c r="AZ39" i="13"/>
  <c r="AZ40" i="13"/>
  <c r="AZ41" i="13"/>
  <c r="AZ42" i="13"/>
  <c r="AZ43" i="13"/>
  <c r="AZ44" i="13"/>
  <c r="AZ45" i="13"/>
  <c r="AZ46" i="13"/>
  <c r="AZ47" i="13"/>
  <c r="AZ48" i="13"/>
  <c r="AZ49" i="13"/>
  <c r="AZ50" i="13"/>
  <c r="AZ51" i="13"/>
  <c r="AZ52" i="13"/>
  <c r="AZ53" i="13"/>
  <c r="AZ54" i="13"/>
  <c r="AZ55" i="13"/>
  <c r="AZ56" i="13"/>
  <c r="AZ57" i="13"/>
  <c r="AZ58" i="13"/>
  <c r="AZ59" i="13"/>
  <c r="AZ60" i="13"/>
  <c r="AZ61" i="13"/>
  <c r="AZ62" i="13"/>
  <c r="AZ63" i="13"/>
  <c r="AZ64" i="13"/>
  <c r="AZ65" i="13"/>
  <c r="AZ66" i="13"/>
  <c r="AZ67" i="13"/>
  <c r="AZ68" i="13"/>
  <c r="AZ69" i="13"/>
  <c r="AZ70" i="13"/>
  <c r="AZ71" i="13"/>
  <c r="AZ72" i="13"/>
  <c r="AZ73" i="13"/>
  <c r="AZ74" i="13"/>
  <c r="AZ75" i="13"/>
  <c r="AZ76" i="13"/>
  <c r="AZ77" i="13"/>
  <c r="AZ78" i="13"/>
  <c r="AZ79" i="13"/>
  <c r="AZ80" i="13"/>
  <c r="AZ81" i="13"/>
  <c r="AZ82" i="13"/>
  <c r="AZ83" i="13"/>
  <c r="AZ84" i="13"/>
  <c r="AZ85" i="13"/>
  <c r="AZ86" i="13"/>
  <c r="AZ87" i="13"/>
  <c r="AZ88" i="13"/>
  <c r="AZ89" i="13"/>
  <c r="AZ90" i="13"/>
  <c r="AZ91" i="13"/>
  <c r="AZ92" i="13"/>
  <c r="AZ93" i="13"/>
  <c r="AZ94" i="13"/>
  <c r="AZ95" i="13"/>
  <c r="AZ96" i="13"/>
  <c r="AZ97" i="13"/>
  <c r="AZ98" i="13"/>
  <c r="AZ99" i="13"/>
  <c r="AZ100" i="13"/>
  <c r="AZ101" i="13"/>
  <c r="AZ102" i="13"/>
  <c r="AZ103" i="13"/>
  <c r="AZ104" i="13"/>
  <c r="AZ105" i="13"/>
  <c r="AZ106" i="13"/>
  <c r="AZ107" i="13"/>
  <c r="AZ108" i="13"/>
  <c r="AZ109" i="13"/>
  <c r="AZ110" i="13"/>
  <c r="AZ111" i="13"/>
  <c r="AZ112" i="13"/>
  <c r="AZ113" i="13"/>
  <c r="AZ114" i="13"/>
  <c r="AZ115" i="13"/>
  <c r="AZ116" i="13"/>
  <c r="AZ117" i="13"/>
  <c r="AZ118" i="13"/>
  <c r="AZ119" i="13"/>
  <c r="AZ120" i="13"/>
  <c r="AZ121" i="13"/>
  <c r="AZ122" i="13"/>
  <c r="AZ123" i="13"/>
  <c r="AZ124" i="13"/>
  <c r="AZ125" i="13"/>
  <c r="AZ126" i="13"/>
  <c r="AZ127" i="13"/>
  <c r="AZ128" i="13"/>
  <c r="AZ129" i="13"/>
  <c r="AZ130" i="13"/>
  <c r="AZ131" i="13"/>
  <c r="AZ132" i="13"/>
  <c r="AZ133" i="13"/>
  <c r="AZ134" i="13"/>
  <c r="AZ135" i="13"/>
  <c r="AZ136" i="13"/>
  <c r="AZ137" i="13"/>
  <c r="AZ138" i="13"/>
  <c r="AZ139" i="13"/>
  <c r="AZ140" i="13"/>
  <c r="AZ141" i="13"/>
  <c r="AZ142" i="13"/>
  <c r="AZ143" i="13"/>
  <c r="AZ144" i="13"/>
  <c r="AZ145" i="13"/>
  <c r="AZ146" i="13"/>
  <c r="AZ147" i="13"/>
  <c r="AZ148" i="13"/>
  <c r="AZ149" i="13"/>
  <c r="AZ150" i="13"/>
  <c r="AZ151" i="13"/>
  <c r="AZ152" i="13"/>
  <c r="AZ153" i="13"/>
  <c r="AZ154" i="13"/>
  <c r="AZ155" i="13"/>
  <c r="AZ156" i="13"/>
  <c r="AZ157" i="13"/>
  <c r="AZ158" i="13"/>
  <c r="AZ159" i="13"/>
  <c r="AZ160" i="13"/>
  <c r="AZ161" i="13"/>
  <c r="AZ162" i="13"/>
  <c r="AZ163" i="13"/>
  <c r="AZ164" i="13"/>
  <c r="AZ165" i="13"/>
  <c r="AZ166" i="13"/>
  <c r="AZ167" i="13"/>
  <c r="AZ168" i="13"/>
  <c r="AZ169" i="13"/>
  <c r="AZ170" i="13"/>
  <c r="AZ171" i="13"/>
  <c r="AZ172" i="13"/>
  <c r="AZ173" i="13"/>
  <c r="AZ174" i="13"/>
  <c r="AZ175" i="13"/>
  <c r="AZ176" i="13"/>
  <c r="AZ177" i="13"/>
  <c r="AZ178" i="13"/>
  <c r="AZ179" i="13"/>
  <c r="AZ180" i="13"/>
  <c r="AZ181" i="13"/>
  <c r="AZ182" i="13"/>
  <c r="AZ183" i="13"/>
  <c r="AZ184" i="13"/>
  <c r="AZ185" i="13"/>
  <c r="AZ186" i="13"/>
  <c r="AZ187" i="13"/>
  <c r="AZ188" i="13"/>
  <c r="AZ189" i="13"/>
  <c r="AZ190" i="13"/>
  <c r="AZ191" i="13"/>
  <c r="AZ192" i="13"/>
  <c r="AZ193" i="13"/>
  <c r="AZ194" i="13"/>
  <c r="AZ195" i="13"/>
  <c r="AZ196" i="13"/>
  <c r="AZ197" i="13"/>
  <c r="AZ198" i="13"/>
  <c r="AZ199" i="13"/>
  <c r="AZ200" i="13"/>
  <c r="AZ201" i="13"/>
  <c r="AS4" i="13"/>
  <c r="AS5" i="13"/>
  <c r="AS6" i="13"/>
  <c r="AS7" i="13"/>
  <c r="AS8" i="13"/>
  <c r="AS9" i="13"/>
  <c r="AS10" i="13"/>
  <c r="AS11" i="13"/>
  <c r="AS12" i="13"/>
  <c r="AS13" i="13"/>
  <c r="AS14" i="13"/>
  <c r="AS15" i="13"/>
  <c r="AS16" i="13"/>
  <c r="AS17" i="13"/>
  <c r="AS18" i="13"/>
  <c r="AS19" i="13"/>
  <c r="AS20" i="13"/>
  <c r="AS21" i="13"/>
  <c r="AS22" i="13"/>
  <c r="AS23" i="13"/>
  <c r="AS24" i="13"/>
  <c r="AS25" i="13"/>
  <c r="AS26" i="13"/>
  <c r="AS27" i="13"/>
  <c r="AS28" i="13"/>
  <c r="AS29" i="13"/>
  <c r="AS30" i="13"/>
  <c r="AS31" i="13"/>
  <c r="AS32" i="13"/>
  <c r="AS33" i="13"/>
  <c r="AS34" i="13"/>
  <c r="AS35" i="13"/>
  <c r="AS36" i="13"/>
  <c r="AS37" i="13"/>
  <c r="AS38" i="13"/>
  <c r="AS39" i="13"/>
  <c r="AS40" i="13"/>
  <c r="AS41" i="13"/>
  <c r="AS42" i="13"/>
  <c r="AS43" i="13"/>
  <c r="AS44" i="13"/>
  <c r="AS45" i="13"/>
  <c r="AS46" i="13"/>
  <c r="AS47" i="13"/>
  <c r="AS48" i="13"/>
  <c r="AS49" i="13"/>
  <c r="AS50" i="13"/>
  <c r="AS51" i="13"/>
  <c r="AS52" i="13"/>
  <c r="AS53" i="13"/>
  <c r="AS54" i="13"/>
  <c r="AS55" i="13"/>
  <c r="AS56" i="13"/>
  <c r="AS57" i="13"/>
  <c r="AS58" i="13"/>
  <c r="AS59" i="13"/>
  <c r="AS60" i="13"/>
  <c r="AS61" i="13"/>
  <c r="AS62" i="13"/>
  <c r="AS63" i="13"/>
  <c r="AS64" i="13"/>
  <c r="AS65" i="13"/>
  <c r="AS66" i="13"/>
  <c r="AS67" i="13"/>
  <c r="AS68" i="13"/>
  <c r="AS69" i="13"/>
  <c r="AS70" i="13"/>
  <c r="AS71" i="13"/>
  <c r="AS72" i="13"/>
  <c r="AS73" i="13"/>
  <c r="AS74" i="13"/>
  <c r="AS75" i="13"/>
  <c r="AS76" i="13"/>
  <c r="AS77" i="13"/>
  <c r="AS78" i="13"/>
  <c r="AS79" i="13"/>
  <c r="AS80" i="13"/>
  <c r="AS81" i="13"/>
  <c r="AS82" i="13"/>
  <c r="AS83" i="13"/>
  <c r="AS84" i="13"/>
  <c r="AS85" i="13"/>
  <c r="AS86" i="13"/>
  <c r="AS87" i="13"/>
  <c r="AS88" i="13"/>
  <c r="AS89" i="13"/>
  <c r="AS90" i="13"/>
  <c r="AS91" i="13"/>
  <c r="AS92" i="13"/>
  <c r="AS93" i="13"/>
  <c r="AS94" i="13"/>
  <c r="AS95" i="13"/>
  <c r="AS96" i="13"/>
  <c r="AS97" i="13"/>
  <c r="AS98" i="13"/>
  <c r="AS99" i="13"/>
  <c r="AS100" i="13"/>
  <c r="AS101" i="13"/>
  <c r="AS102" i="13"/>
  <c r="AS103" i="13"/>
  <c r="AS104" i="13"/>
  <c r="AS105" i="13"/>
  <c r="AS106" i="13"/>
  <c r="AS107" i="13"/>
  <c r="AS108" i="13"/>
  <c r="AS109" i="13"/>
  <c r="AS110" i="13"/>
  <c r="AS111" i="13"/>
  <c r="AS112" i="13"/>
  <c r="AS113" i="13"/>
  <c r="AS114" i="13"/>
  <c r="AS115" i="13"/>
  <c r="AS116" i="13"/>
  <c r="AS117" i="13"/>
  <c r="AS118" i="13"/>
  <c r="AS119" i="13"/>
  <c r="AS120" i="13"/>
  <c r="AS121" i="13"/>
  <c r="AS122" i="13"/>
  <c r="AS123" i="13"/>
  <c r="AS124" i="13"/>
  <c r="AS125" i="13"/>
  <c r="AS126" i="13"/>
  <c r="AS127" i="13"/>
  <c r="AS128" i="13"/>
  <c r="AS129" i="13"/>
  <c r="AS130" i="13"/>
  <c r="AS131" i="13"/>
  <c r="AS132" i="13"/>
  <c r="AS133" i="13"/>
  <c r="AS134" i="13"/>
  <c r="AS135" i="13"/>
  <c r="AS136" i="13"/>
  <c r="AS137" i="13"/>
  <c r="AS138" i="13"/>
  <c r="AS139" i="13"/>
  <c r="AS140" i="13"/>
  <c r="AS141" i="13"/>
  <c r="AS142" i="13"/>
  <c r="AS143" i="13"/>
  <c r="AS144" i="13"/>
  <c r="AS145" i="13"/>
  <c r="AS146" i="13"/>
  <c r="AS147" i="13"/>
  <c r="AS148" i="13"/>
  <c r="AS149" i="13"/>
  <c r="AS150" i="13"/>
  <c r="AS151" i="13"/>
  <c r="AS152" i="13"/>
  <c r="AS153" i="13"/>
  <c r="AS154" i="13"/>
  <c r="AS155" i="13"/>
  <c r="AS156" i="13"/>
  <c r="AS157" i="13"/>
  <c r="AS158" i="13"/>
  <c r="AS159" i="13"/>
  <c r="AS160" i="13"/>
  <c r="AS161" i="13"/>
  <c r="AS162" i="13"/>
  <c r="AS163" i="13"/>
  <c r="AS164" i="13"/>
  <c r="AS165" i="13"/>
  <c r="AS166" i="13"/>
  <c r="AS167" i="13"/>
  <c r="AS168" i="13"/>
  <c r="AS169" i="13"/>
  <c r="AS170" i="13"/>
  <c r="AS171" i="13"/>
  <c r="AS172" i="13"/>
  <c r="AS173" i="13"/>
  <c r="AS174" i="13"/>
  <c r="AS175" i="13"/>
  <c r="AS176" i="13"/>
  <c r="AS177" i="13"/>
  <c r="AS178" i="13"/>
  <c r="AS179" i="13"/>
  <c r="AS180" i="13"/>
  <c r="AS181" i="13"/>
  <c r="AS182" i="13"/>
  <c r="AS183" i="13"/>
  <c r="AS184" i="13"/>
  <c r="AS185" i="13"/>
  <c r="AS186" i="13"/>
  <c r="AS187" i="13"/>
  <c r="AS188" i="13"/>
  <c r="AS189" i="13"/>
  <c r="AS190" i="13"/>
  <c r="AS191" i="13"/>
  <c r="AS192" i="13"/>
  <c r="AS193" i="13"/>
  <c r="AS194" i="13"/>
  <c r="AS195" i="13"/>
  <c r="AS196" i="13"/>
  <c r="AS197" i="13"/>
  <c r="AS198" i="13"/>
  <c r="AS199" i="13"/>
  <c r="AS200" i="13"/>
  <c r="AS201" i="13"/>
  <c r="AF5" i="13"/>
  <c r="AF6" i="13"/>
  <c r="AF7" i="13"/>
  <c r="AF8" i="13"/>
  <c r="AF9" i="13"/>
  <c r="AF10" i="13"/>
  <c r="AF11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4" i="13"/>
  <c r="AF25" i="13"/>
  <c r="AF26" i="13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F39" i="13"/>
  <c r="AF40" i="13"/>
  <c r="AF41" i="13"/>
  <c r="AF42" i="13"/>
  <c r="AF43" i="13"/>
  <c r="AF44" i="13"/>
  <c r="AF45" i="13"/>
  <c r="AF46" i="13"/>
  <c r="AF47" i="13"/>
  <c r="AF48" i="13"/>
  <c r="AF49" i="13"/>
  <c r="AF50" i="13"/>
  <c r="AF51" i="13"/>
  <c r="AF52" i="13"/>
  <c r="AF53" i="13"/>
  <c r="AF54" i="13"/>
  <c r="AF55" i="13"/>
  <c r="AF56" i="13"/>
  <c r="AF57" i="13"/>
  <c r="AF58" i="13"/>
  <c r="AF59" i="13"/>
  <c r="AF60" i="13"/>
  <c r="AF61" i="13"/>
  <c r="AF62" i="13"/>
  <c r="AF63" i="13"/>
  <c r="AF64" i="13"/>
  <c r="AF65" i="13"/>
  <c r="AF66" i="13"/>
  <c r="AF67" i="13"/>
  <c r="AF68" i="13"/>
  <c r="AF69" i="13"/>
  <c r="AF70" i="13"/>
  <c r="AF71" i="13"/>
  <c r="AF72" i="13"/>
  <c r="AF73" i="13"/>
  <c r="AF74" i="13"/>
  <c r="AF75" i="13"/>
  <c r="AF76" i="13"/>
  <c r="AF77" i="13"/>
  <c r="AF78" i="13"/>
  <c r="AF79" i="13"/>
  <c r="AF80" i="13"/>
  <c r="AF81" i="13"/>
  <c r="AF82" i="13"/>
  <c r="AF83" i="13"/>
  <c r="AF84" i="13"/>
  <c r="AF85" i="13"/>
  <c r="AF86" i="13"/>
  <c r="AF87" i="13"/>
  <c r="AF88" i="13"/>
  <c r="AF89" i="13"/>
  <c r="AF90" i="13"/>
  <c r="AF91" i="13"/>
  <c r="AF92" i="13"/>
  <c r="AF93" i="13"/>
  <c r="AF94" i="13"/>
  <c r="AF95" i="13"/>
  <c r="AF96" i="13"/>
  <c r="AF97" i="13"/>
  <c r="AF98" i="13"/>
  <c r="AF99" i="13"/>
  <c r="AF100" i="13"/>
  <c r="AF101" i="13"/>
  <c r="AF102" i="13"/>
  <c r="AF103" i="13"/>
  <c r="AF104" i="13"/>
  <c r="AF105" i="13"/>
  <c r="AF106" i="13"/>
  <c r="AF107" i="13"/>
  <c r="AF108" i="13"/>
  <c r="AF109" i="13"/>
  <c r="AF110" i="13"/>
  <c r="AF111" i="13"/>
  <c r="AF112" i="13"/>
  <c r="AF113" i="13"/>
  <c r="AF114" i="13"/>
  <c r="AF115" i="13"/>
  <c r="AF116" i="13"/>
  <c r="AF117" i="13"/>
  <c r="AF118" i="13"/>
  <c r="AF119" i="13"/>
  <c r="AF120" i="13"/>
  <c r="AF121" i="13"/>
  <c r="AF122" i="13"/>
  <c r="AF123" i="13"/>
  <c r="AF124" i="13"/>
  <c r="AF125" i="13"/>
  <c r="AF126" i="13"/>
  <c r="AF127" i="13"/>
  <c r="AF128" i="13"/>
  <c r="AF129" i="13"/>
  <c r="AF130" i="13"/>
  <c r="AF131" i="13"/>
  <c r="AF132" i="13"/>
  <c r="AF133" i="13"/>
  <c r="AF134" i="13"/>
  <c r="AF135" i="13"/>
  <c r="AF136" i="13"/>
  <c r="AF137" i="13"/>
  <c r="AF138" i="13"/>
  <c r="AF139" i="13"/>
  <c r="AF140" i="13"/>
  <c r="AF141" i="13"/>
  <c r="AF142" i="13"/>
  <c r="AF143" i="13"/>
  <c r="AF144" i="13"/>
  <c r="AF145" i="13"/>
  <c r="AF146" i="13"/>
  <c r="AF147" i="13"/>
  <c r="AF148" i="13"/>
  <c r="AF149" i="13"/>
  <c r="AF150" i="13"/>
  <c r="AF151" i="13"/>
  <c r="AF152" i="13"/>
  <c r="AF153" i="13"/>
  <c r="AF154" i="13"/>
  <c r="AF155" i="13"/>
  <c r="AF156" i="13"/>
  <c r="AF157" i="13"/>
  <c r="AF158" i="13"/>
  <c r="AF159" i="13"/>
  <c r="AF160" i="13"/>
  <c r="AF161" i="13"/>
  <c r="AF162" i="13"/>
  <c r="AF163" i="13"/>
  <c r="AF164" i="13"/>
  <c r="AF165" i="13"/>
  <c r="AF166" i="13"/>
  <c r="AF167" i="13"/>
  <c r="AF168" i="13"/>
  <c r="AF169" i="13"/>
  <c r="AF170" i="13"/>
  <c r="AF171" i="13"/>
  <c r="AF172" i="13"/>
  <c r="AF173" i="13"/>
  <c r="AF174" i="13"/>
  <c r="AF175" i="13"/>
  <c r="AF176" i="13"/>
  <c r="AF177" i="13"/>
  <c r="AF178" i="13"/>
  <c r="AF179" i="13"/>
  <c r="AF180" i="13"/>
  <c r="AF181" i="13"/>
  <c r="AF182" i="13"/>
  <c r="AF183" i="13"/>
  <c r="AF184" i="13"/>
  <c r="AF185" i="13"/>
  <c r="AF186" i="13"/>
  <c r="AF187" i="13"/>
  <c r="AF188" i="13"/>
  <c r="AF189" i="13"/>
  <c r="AF190" i="13"/>
  <c r="AF191" i="13"/>
  <c r="AF192" i="13"/>
  <c r="AF193" i="13"/>
  <c r="AF194" i="13"/>
  <c r="AF195" i="13"/>
  <c r="AF196" i="13"/>
  <c r="AF197" i="13"/>
  <c r="AF198" i="13"/>
  <c r="AF199" i="13"/>
  <c r="AF200" i="13"/>
  <c r="AF201" i="13"/>
  <c r="AF4" i="13"/>
  <c r="Y5" i="13"/>
  <c r="Y6" i="13"/>
  <c r="Y7" i="13"/>
  <c r="Y8" i="13"/>
  <c r="Y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Y48" i="13"/>
  <c r="Y49" i="13"/>
  <c r="Y50" i="13"/>
  <c r="Y51" i="13"/>
  <c r="Y52" i="13"/>
  <c r="Y53" i="13"/>
  <c r="Y54" i="13"/>
  <c r="Y55" i="13"/>
  <c r="Y56" i="13"/>
  <c r="Y57" i="13"/>
  <c r="Y58" i="13"/>
  <c r="Y59" i="13"/>
  <c r="Y60" i="13"/>
  <c r="Y61" i="13"/>
  <c r="Y62" i="13"/>
  <c r="Y63" i="13"/>
  <c r="Y64" i="13"/>
  <c r="Y65" i="13"/>
  <c r="Y66" i="13"/>
  <c r="Y67" i="13"/>
  <c r="Y68" i="13"/>
  <c r="Y69" i="13"/>
  <c r="Y70" i="13"/>
  <c r="Y71" i="13"/>
  <c r="Y72" i="13"/>
  <c r="Y73" i="13"/>
  <c r="Y74" i="13"/>
  <c r="Y75" i="13"/>
  <c r="Y76" i="13"/>
  <c r="Y77" i="13"/>
  <c r="Y78" i="13"/>
  <c r="Y79" i="13"/>
  <c r="Y80" i="13"/>
  <c r="Y81" i="13"/>
  <c r="Y82" i="13"/>
  <c r="Y83" i="13"/>
  <c r="Y84" i="13"/>
  <c r="Y85" i="13"/>
  <c r="Y86" i="13"/>
  <c r="Y87" i="13"/>
  <c r="Y88" i="13"/>
  <c r="Y89" i="13"/>
  <c r="Y90" i="13"/>
  <c r="Y91" i="13"/>
  <c r="Y92" i="13"/>
  <c r="Y93" i="13"/>
  <c r="Y94" i="13"/>
  <c r="Y95" i="13"/>
  <c r="Y96" i="13"/>
  <c r="Y97" i="13"/>
  <c r="Y98" i="13"/>
  <c r="Y99" i="13"/>
  <c r="Y100" i="13"/>
  <c r="Y101" i="13"/>
  <c r="Y102" i="13"/>
  <c r="Y103" i="13"/>
  <c r="Y104" i="13"/>
  <c r="Y105" i="13"/>
  <c r="Y106" i="13"/>
  <c r="Y107" i="13"/>
  <c r="Y108" i="13"/>
  <c r="Y109" i="13"/>
  <c r="Y110" i="13"/>
  <c r="Y111" i="13"/>
  <c r="Y112" i="13"/>
  <c r="Y113" i="13"/>
  <c r="Y114" i="13"/>
  <c r="Y115" i="13"/>
  <c r="Y116" i="13"/>
  <c r="Y117" i="13"/>
  <c r="Y118" i="13"/>
  <c r="Y119" i="13"/>
  <c r="Y120" i="13"/>
  <c r="Y121" i="13"/>
  <c r="Y122" i="13"/>
  <c r="Y123" i="13"/>
  <c r="Y124" i="13"/>
  <c r="Y125" i="13"/>
  <c r="Y126" i="13"/>
  <c r="Y127" i="13"/>
  <c r="Y128" i="13"/>
  <c r="Y129" i="13"/>
  <c r="Y130" i="13"/>
  <c r="Y131" i="13"/>
  <c r="Y132" i="13"/>
  <c r="Y133" i="13"/>
  <c r="Y134" i="13"/>
  <c r="Y135" i="13"/>
  <c r="Y136" i="13"/>
  <c r="Y137" i="13"/>
  <c r="Y138" i="13"/>
  <c r="Y139" i="13"/>
  <c r="Y140" i="13"/>
  <c r="Y141" i="13"/>
  <c r="Y142" i="13"/>
  <c r="Y143" i="13"/>
  <c r="Y144" i="13"/>
  <c r="Y145" i="13"/>
  <c r="Y146" i="13"/>
  <c r="Y147" i="13"/>
  <c r="Y148" i="13"/>
  <c r="Y149" i="13"/>
  <c r="Y150" i="13"/>
  <c r="Y151" i="13"/>
  <c r="Y152" i="13"/>
  <c r="Y153" i="13"/>
  <c r="Y154" i="13"/>
  <c r="Y155" i="13"/>
  <c r="Y156" i="13"/>
  <c r="Y157" i="13"/>
  <c r="Y158" i="13"/>
  <c r="Y159" i="13"/>
  <c r="Y160" i="13"/>
  <c r="Y161" i="13"/>
  <c r="Y162" i="13"/>
  <c r="Y163" i="13"/>
  <c r="Y164" i="13"/>
  <c r="Y165" i="13"/>
  <c r="Y166" i="13"/>
  <c r="Y167" i="13"/>
  <c r="Y168" i="13"/>
  <c r="Y169" i="13"/>
  <c r="Y170" i="13"/>
  <c r="Y171" i="13"/>
  <c r="Y172" i="13"/>
  <c r="Y173" i="13"/>
  <c r="Y174" i="13"/>
  <c r="Y175" i="13"/>
  <c r="Y176" i="13"/>
  <c r="Y177" i="13"/>
  <c r="Y178" i="13"/>
  <c r="Y179" i="13"/>
  <c r="Y180" i="13"/>
  <c r="Y181" i="13"/>
  <c r="Y182" i="13"/>
  <c r="Y183" i="13"/>
  <c r="Y184" i="13"/>
  <c r="Y185" i="13"/>
  <c r="Y186" i="13"/>
  <c r="Y187" i="13"/>
  <c r="Y188" i="13"/>
  <c r="Y189" i="13"/>
  <c r="Y190" i="13"/>
  <c r="Y191" i="13"/>
  <c r="Y192" i="13"/>
  <c r="Y193" i="13"/>
  <c r="Y194" i="13"/>
  <c r="Y195" i="13"/>
  <c r="Y196" i="13"/>
  <c r="Y197" i="13"/>
  <c r="Y198" i="13"/>
  <c r="Y199" i="13"/>
  <c r="Y200" i="13"/>
  <c r="Y201" i="13"/>
  <c r="Y4" i="13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102" i="13"/>
  <c r="R103" i="13"/>
  <c r="R104" i="13"/>
  <c r="R105" i="13"/>
  <c r="R106" i="13"/>
  <c r="R107" i="13"/>
  <c r="R108" i="13"/>
  <c r="R109" i="13"/>
  <c r="R110" i="13"/>
  <c r="R111" i="13"/>
  <c r="R112" i="13"/>
  <c r="R113" i="13"/>
  <c r="R114" i="13"/>
  <c r="R115" i="13"/>
  <c r="R116" i="13"/>
  <c r="R117" i="13"/>
  <c r="R118" i="13"/>
  <c r="R119" i="13"/>
  <c r="R120" i="13"/>
  <c r="R121" i="13"/>
  <c r="R122" i="13"/>
  <c r="R123" i="13"/>
  <c r="R124" i="13"/>
  <c r="R125" i="13"/>
  <c r="R126" i="13"/>
  <c r="R127" i="13"/>
  <c r="R128" i="13"/>
  <c r="R129" i="13"/>
  <c r="R130" i="13"/>
  <c r="R131" i="13"/>
  <c r="R132" i="13"/>
  <c r="R133" i="13"/>
  <c r="R134" i="13"/>
  <c r="R135" i="13"/>
  <c r="R136" i="13"/>
  <c r="R137" i="13"/>
  <c r="R138" i="13"/>
  <c r="R139" i="13"/>
  <c r="R140" i="13"/>
  <c r="R141" i="13"/>
  <c r="R142" i="13"/>
  <c r="R143" i="13"/>
  <c r="R144" i="13"/>
  <c r="R145" i="13"/>
  <c r="R146" i="13"/>
  <c r="R147" i="13"/>
  <c r="R148" i="13"/>
  <c r="R149" i="13"/>
  <c r="R150" i="13"/>
  <c r="R151" i="13"/>
  <c r="R152" i="13"/>
  <c r="R153" i="13"/>
  <c r="R154" i="13"/>
  <c r="R155" i="13"/>
  <c r="R156" i="13"/>
  <c r="R157" i="13"/>
  <c r="R158" i="13"/>
  <c r="R159" i="13"/>
  <c r="R160" i="13"/>
  <c r="R161" i="13"/>
  <c r="R162" i="13"/>
  <c r="R163" i="13"/>
  <c r="R164" i="13"/>
  <c r="R165" i="13"/>
  <c r="R166" i="13"/>
  <c r="R167" i="13"/>
  <c r="R168" i="13"/>
  <c r="R169" i="13"/>
  <c r="R170" i="13"/>
  <c r="R171" i="13"/>
  <c r="R172" i="13"/>
  <c r="R173" i="13"/>
  <c r="R174" i="13"/>
  <c r="R175" i="13"/>
  <c r="R176" i="13"/>
  <c r="R177" i="13"/>
  <c r="R178" i="13"/>
  <c r="R179" i="13"/>
  <c r="R180" i="13"/>
  <c r="R181" i="13"/>
  <c r="R182" i="13"/>
  <c r="R183" i="13"/>
  <c r="R184" i="13"/>
  <c r="R185" i="13"/>
  <c r="R186" i="13"/>
  <c r="R187" i="13"/>
  <c r="R188" i="13"/>
  <c r="R189" i="13"/>
  <c r="R190" i="13"/>
  <c r="R191" i="13"/>
  <c r="R192" i="13"/>
  <c r="R193" i="13"/>
  <c r="R194" i="13"/>
  <c r="R195" i="13"/>
  <c r="R196" i="13"/>
  <c r="R197" i="13"/>
  <c r="R198" i="13"/>
  <c r="R199" i="13"/>
  <c r="R200" i="13"/>
  <c r="R201" i="13"/>
  <c r="R4" i="13"/>
  <c r="CH4" i="12"/>
  <c r="CH5" i="12"/>
  <c r="CH6" i="12"/>
  <c r="CH7" i="12"/>
  <c r="CH8" i="12"/>
  <c r="CH9" i="12"/>
  <c r="CH10" i="12"/>
  <c r="CH11" i="12"/>
  <c r="CH12" i="12"/>
  <c r="CH13" i="12"/>
  <c r="CH14" i="12"/>
  <c r="CH15" i="12"/>
  <c r="CH16" i="12"/>
  <c r="CH17" i="12"/>
  <c r="CH18" i="12"/>
  <c r="CH19" i="12"/>
  <c r="CH20" i="12"/>
  <c r="CH21" i="12"/>
  <c r="CH22" i="12"/>
  <c r="CH23" i="12"/>
  <c r="CH24" i="12"/>
  <c r="CH25" i="12"/>
  <c r="CH26" i="12"/>
  <c r="CH27" i="12"/>
  <c r="CH28" i="12"/>
  <c r="CH29" i="12"/>
  <c r="CH30" i="12"/>
  <c r="CH31" i="12"/>
  <c r="CH32" i="12"/>
  <c r="CH33" i="12"/>
  <c r="CH34" i="12"/>
  <c r="CH35" i="12"/>
  <c r="CH36" i="12"/>
  <c r="CH37" i="12"/>
  <c r="CH38" i="12"/>
  <c r="CH39" i="12"/>
  <c r="CH40" i="12"/>
  <c r="CH41" i="12"/>
  <c r="CH42" i="12"/>
  <c r="CH43" i="12"/>
  <c r="CH44" i="12"/>
  <c r="CH45" i="12"/>
  <c r="CH46" i="12"/>
  <c r="CH47" i="12"/>
  <c r="CH48" i="12"/>
  <c r="CH49" i="12"/>
  <c r="CH50" i="12"/>
  <c r="CH51" i="12"/>
  <c r="CH52" i="12"/>
  <c r="CH53" i="12"/>
  <c r="CH54" i="12"/>
  <c r="CH55" i="12"/>
  <c r="CH56" i="12"/>
  <c r="CH57" i="12"/>
  <c r="CH58" i="12"/>
  <c r="CH59" i="12"/>
  <c r="CH60" i="12"/>
  <c r="CH61" i="12"/>
  <c r="CH62" i="12"/>
  <c r="CH63" i="12"/>
  <c r="CH64" i="12"/>
  <c r="CH65" i="12"/>
  <c r="CH66" i="12"/>
  <c r="CH67" i="12"/>
  <c r="CH68" i="12"/>
  <c r="CH69" i="12"/>
  <c r="CH70" i="12"/>
  <c r="CH71" i="12"/>
  <c r="CH72" i="12"/>
  <c r="CH73" i="12"/>
  <c r="CH74" i="12"/>
  <c r="CH75" i="12"/>
  <c r="CH76" i="12"/>
  <c r="CH77" i="12"/>
  <c r="CH78" i="12"/>
  <c r="CH79" i="12"/>
  <c r="CH80" i="12"/>
  <c r="CH81" i="12"/>
  <c r="CH82" i="12"/>
  <c r="CH83" i="12"/>
  <c r="CH84" i="12"/>
  <c r="CH85" i="12"/>
  <c r="CH86" i="12"/>
  <c r="CH87" i="12"/>
  <c r="CH88" i="12"/>
  <c r="CH89" i="12"/>
  <c r="CH90" i="12"/>
  <c r="CH91" i="12"/>
  <c r="CH92" i="12"/>
  <c r="CH93" i="12"/>
  <c r="CH94" i="12"/>
  <c r="CH95" i="12"/>
  <c r="CH96" i="12"/>
  <c r="CH97" i="12"/>
  <c r="CH98" i="12"/>
  <c r="CH99" i="12"/>
  <c r="CH100" i="12"/>
  <c r="CH101" i="12"/>
  <c r="CH102" i="12"/>
  <c r="CH103" i="12"/>
  <c r="CH104" i="12"/>
  <c r="CH105" i="12"/>
  <c r="CH106" i="12"/>
  <c r="CH107" i="12"/>
  <c r="CH108" i="12"/>
  <c r="CH109" i="12"/>
  <c r="CH110" i="12"/>
  <c r="CH111" i="12"/>
  <c r="CH112" i="12"/>
  <c r="CH113" i="12"/>
  <c r="CH114" i="12"/>
  <c r="CH115" i="12"/>
  <c r="CH116" i="12"/>
  <c r="CH117" i="12"/>
  <c r="CH118" i="12"/>
  <c r="CH119" i="12"/>
  <c r="CH120" i="12"/>
  <c r="CH121" i="12"/>
  <c r="CH122" i="12"/>
  <c r="CH123" i="12"/>
  <c r="CH124" i="12"/>
  <c r="CH125" i="12"/>
  <c r="CH126" i="12"/>
  <c r="CH127" i="12"/>
  <c r="CH128" i="12"/>
  <c r="CH129" i="12"/>
  <c r="CH130" i="12"/>
  <c r="CH131" i="12"/>
  <c r="CH132" i="12"/>
  <c r="CH133" i="12"/>
  <c r="CH134" i="12"/>
  <c r="CH135" i="12"/>
  <c r="CH136" i="12"/>
  <c r="CH137" i="12"/>
  <c r="CH138" i="12"/>
  <c r="CH139" i="12"/>
  <c r="CH140" i="12"/>
  <c r="CH141" i="12"/>
  <c r="CH142" i="12"/>
  <c r="CH143" i="12"/>
  <c r="CH144" i="12"/>
  <c r="CH145" i="12"/>
  <c r="CH146" i="12"/>
  <c r="CH147" i="12"/>
  <c r="CH148" i="12"/>
  <c r="CH149" i="12"/>
  <c r="CH150" i="12"/>
  <c r="CH151" i="12"/>
  <c r="CH152" i="12"/>
  <c r="CH153" i="12"/>
  <c r="CH154" i="12"/>
  <c r="CH155" i="12"/>
  <c r="CH156" i="12"/>
  <c r="CH157" i="12"/>
  <c r="CH158" i="12"/>
  <c r="CH159" i="12"/>
  <c r="CH160" i="12"/>
  <c r="CH161" i="12"/>
  <c r="CH162" i="12"/>
  <c r="CH163" i="12"/>
  <c r="CH164" i="12"/>
  <c r="CH165" i="12"/>
  <c r="CH166" i="12"/>
  <c r="CH167" i="12"/>
  <c r="CH168" i="12"/>
  <c r="CH169" i="12"/>
  <c r="CH170" i="12"/>
  <c r="CH171" i="12"/>
  <c r="CH172" i="12"/>
  <c r="CH173" i="12"/>
  <c r="CH174" i="12"/>
  <c r="CH175" i="12"/>
  <c r="CH176" i="12"/>
  <c r="CH177" i="12"/>
  <c r="CH178" i="12"/>
  <c r="CH179" i="12"/>
  <c r="CH180" i="12"/>
  <c r="CH181" i="12"/>
  <c r="CH182" i="12"/>
  <c r="CH183" i="12"/>
  <c r="CH184" i="12"/>
  <c r="CH185" i="12"/>
  <c r="CH186" i="12"/>
  <c r="CH187" i="12"/>
  <c r="CH188" i="12"/>
  <c r="CH189" i="12"/>
  <c r="CH190" i="12"/>
  <c r="CH191" i="12"/>
  <c r="CH192" i="12"/>
  <c r="CH193" i="12"/>
  <c r="CH194" i="12"/>
  <c r="CH195" i="12"/>
  <c r="CH196" i="12"/>
  <c r="CH197" i="12"/>
  <c r="CH198" i="12"/>
  <c r="CH199" i="12"/>
  <c r="CH200" i="12"/>
  <c r="CH201" i="12"/>
  <c r="CA4" i="12"/>
  <c r="CA5" i="12"/>
  <c r="CA6" i="12"/>
  <c r="CA7" i="12"/>
  <c r="CA8" i="12"/>
  <c r="CA9" i="12"/>
  <c r="CA10" i="12"/>
  <c r="CA11" i="12"/>
  <c r="CA12" i="12"/>
  <c r="CA13" i="12"/>
  <c r="CA14" i="12"/>
  <c r="CA15" i="12"/>
  <c r="CA16" i="12"/>
  <c r="CA17" i="12"/>
  <c r="CA18" i="12"/>
  <c r="CA19" i="12"/>
  <c r="CA20" i="12"/>
  <c r="CA21" i="12"/>
  <c r="CA22" i="12"/>
  <c r="CA23" i="12"/>
  <c r="CA24" i="12"/>
  <c r="CA25" i="12"/>
  <c r="CA26" i="12"/>
  <c r="CA27" i="12"/>
  <c r="CA28" i="12"/>
  <c r="CA29" i="12"/>
  <c r="CA30" i="12"/>
  <c r="CA31" i="12"/>
  <c r="CA32" i="12"/>
  <c r="CA33" i="12"/>
  <c r="CA34" i="12"/>
  <c r="CA35" i="12"/>
  <c r="CA36" i="12"/>
  <c r="CA37" i="12"/>
  <c r="CA38" i="12"/>
  <c r="CA39" i="12"/>
  <c r="CA40" i="12"/>
  <c r="CA41" i="12"/>
  <c r="CA42" i="12"/>
  <c r="CA43" i="12"/>
  <c r="CA44" i="12"/>
  <c r="CA45" i="12"/>
  <c r="CA46" i="12"/>
  <c r="CA47" i="12"/>
  <c r="CA48" i="12"/>
  <c r="CA49" i="12"/>
  <c r="CA50" i="12"/>
  <c r="CA51" i="12"/>
  <c r="CA52" i="12"/>
  <c r="CA53" i="12"/>
  <c r="CA54" i="12"/>
  <c r="CA55" i="12"/>
  <c r="CA56" i="12"/>
  <c r="CA57" i="12"/>
  <c r="CA58" i="12"/>
  <c r="CA59" i="12"/>
  <c r="CA60" i="12"/>
  <c r="CA61" i="12"/>
  <c r="CA62" i="12"/>
  <c r="CA63" i="12"/>
  <c r="CA64" i="12"/>
  <c r="CA65" i="12"/>
  <c r="CA66" i="12"/>
  <c r="CA67" i="12"/>
  <c r="CA68" i="12"/>
  <c r="CA69" i="12"/>
  <c r="CA70" i="12"/>
  <c r="CA71" i="12"/>
  <c r="CA72" i="12"/>
  <c r="CA73" i="12"/>
  <c r="CA74" i="12"/>
  <c r="CA75" i="12"/>
  <c r="CA76" i="12"/>
  <c r="CA77" i="12"/>
  <c r="CA78" i="12"/>
  <c r="CA79" i="12"/>
  <c r="CA80" i="12"/>
  <c r="CA81" i="12"/>
  <c r="CA82" i="12"/>
  <c r="CA83" i="12"/>
  <c r="CA84" i="12"/>
  <c r="CA85" i="12"/>
  <c r="CA86" i="12"/>
  <c r="CA87" i="12"/>
  <c r="CA88" i="12"/>
  <c r="CA89" i="12"/>
  <c r="CA90" i="12"/>
  <c r="CA91" i="12"/>
  <c r="CA92" i="12"/>
  <c r="CA93" i="12"/>
  <c r="CA94" i="12"/>
  <c r="CA95" i="12"/>
  <c r="CA96" i="12"/>
  <c r="CA97" i="12"/>
  <c r="CA98" i="12"/>
  <c r="CA99" i="12"/>
  <c r="CA100" i="12"/>
  <c r="CA101" i="12"/>
  <c r="CA102" i="12"/>
  <c r="CA103" i="12"/>
  <c r="CA104" i="12"/>
  <c r="CA105" i="12"/>
  <c r="CA106" i="12"/>
  <c r="CA107" i="12"/>
  <c r="CA108" i="12"/>
  <c r="CA109" i="12"/>
  <c r="CA110" i="12"/>
  <c r="CA111" i="12"/>
  <c r="CA112" i="12"/>
  <c r="CA113" i="12"/>
  <c r="CA114" i="12"/>
  <c r="CA115" i="12"/>
  <c r="CA116" i="12"/>
  <c r="CA117" i="12"/>
  <c r="CA118" i="12"/>
  <c r="CA119" i="12"/>
  <c r="CA120" i="12"/>
  <c r="CA121" i="12"/>
  <c r="CA122" i="12"/>
  <c r="CA123" i="12"/>
  <c r="CA124" i="12"/>
  <c r="CA125" i="12"/>
  <c r="CA126" i="12"/>
  <c r="CA127" i="12"/>
  <c r="CA128" i="12"/>
  <c r="CA129" i="12"/>
  <c r="CA130" i="12"/>
  <c r="CA131" i="12"/>
  <c r="CA132" i="12"/>
  <c r="CA133" i="12"/>
  <c r="CA134" i="12"/>
  <c r="CA135" i="12"/>
  <c r="CA136" i="12"/>
  <c r="CA137" i="12"/>
  <c r="CA138" i="12"/>
  <c r="CA139" i="12"/>
  <c r="CA140" i="12"/>
  <c r="CA141" i="12"/>
  <c r="CA142" i="12"/>
  <c r="CA143" i="12"/>
  <c r="CA144" i="12"/>
  <c r="CA145" i="12"/>
  <c r="CA146" i="12"/>
  <c r="CA147" i="12"/>
  <c r="CA148" i="12"/>
  <c r="CA149" i="12"/>
  <c r="CA150" i="12"/>
  <c r="CA151" i="12"/>
  <c r="CA152" i="12"/>
  <c r="CA153" i="12"/>
  <c r="CA154" i="12"/>
  <c r="CA155" i="12"/>
  <c r="CA156" i="12"/>
  <c r="CA157" i="12"/>
  <c r="CA158" i="12"/>
  <c r="CA159" i="12"/>
  <c r="CA160" i="12"/>
  <c r="CA161" i="12"/>
  <c r="CA162" i="12"/>
  <c r="CA163" i="12"/>
  <c r="CA164" i="12"/>
  <c r="CA165" i="12"/>
  <c r="CA166" i="12"/>
  <c r="CA167" i="12"/>
  <c r="CA168" i="12"/>
  <c r="CA169" i="12"/>
  <c r="CA170" i="12"/>
  <c r="CA171" i="12"/>
  <c r="CA172" i="12"/>
  <c r="CA173" i="12"/>
  <c r="CA174" i="12"/>
  <c r="CA175" i="12"/>
  <c r="CA176" i="12"/>
  <c r="CA177" i="12"/>
  <c r="CA178" i="12"/>
  <c r="CA179" i="12"/>
  <c r="CA180" i="12"/>
  <c r="CA181" i="12"/>
  <c r="CA182" i="12"/>
  <c r="CA183" i="12"/>
  <c r="CA184" i="12"/>
  <c r="CA185" i="12"/>
  <c r="CA186" i="12"/>
  <c r="CA187" i="12"/>
  <c r="CA188" i="12"/>
  <c r="CA189" i="12"/>
  <c r="CA190" i="12"/>
  <c r="CA191" i="12"/>
  <c r="CA192" i="12"/>
  <c r="CA193" i="12"/>
  <c r="CA194" i="12"/>
  <c r="CA195" i="12"/>
  <c r="CA196" i="12"/>
  <c r="CA197" i="12"/>
  <c r="CA198" i="12"/>
  <c r="CA199" i="12"/>
  <c r="CA200" i="12"/>
  <c r="CA201" i="12"/>
  <c r="BT4" i="12"/>
  <c r="BT5" i="12"/>
  <c r="BT6" i="12"/>
  <c r="BT7" i="12"/>
  <c r="BT8" i="12"/>
  <c r="BT9" i="12"/>
  <c r="BT10" i="12"/>
  <c r="BT11" i="12"/>
  <c r="BT12" i="12"/>
  <c r="BT13" i="12"/>
  <c r="BT14" i="12"/>
  <c r="BT15" i="12"/>
  <c r="BT16" i="12"/>
  <c r="BT17" i="12"/>
  <c r="BT18" i="12"/>
  <c r="BT19" i="12"/>
  <c r="BT20" i="12"/>
  <c r="BT21" i="12"/>
  <c r="BT22" i="12"/>
  <c r="BT23" i="12"/>
  <c r="BT24" i="12"/>
  <c r="BT25" i="12"/>
  <c r="BT26" i="12"/>
  <c r="BT27" i="12"/>
  <c r="BT28" i="12"/>
  <c r="BT29" i="12"/>
  <c r="BT30" i="12"/>
  <c r="BT31" i="12"/>
  <c r="BT32" i="12"/>
  <c r="BT33" i="12"/>
  <c r="BT34" i="12"/>
  <c r="BT35" i="12"/>
  <c r="BT36" i="12"/>
  <c r="BT37" i="12"/>
  <c r="BT38" i="12"/>
  <c r="BT39" i="12"/>
  <c r="BT40" i="12"/>
  <c r="BT41" i="12"/>
  <c r="BT42" i="12"/>
  <c r="BT43" i="12"/>
  <c r="BT44" i="12"/>
  <c r="BT45" i="12"/>
  <c r="BT46" i="12"/>
  <c r="BT47" i="12"/>
  <c r="BT48" i="12"/>
  <c r="BT49" i="12"/>
  <c r="BT50" i="12"/>
  <c r="BT51" i="12"/>
  <c r="BT52" i="12"/>
  <c r="BT53" i="12"/>
  <c r="BT54" i="12"/>
  <c r="BT55" i="12"/>
  <c r="BT56" i="12"/>
  <c r="BT57" i="12"/>
  <c r="BT58" i="12"/>
  <c r="BT59" i="12"/>
  <c r="BT60" i="12"/>
  <c r="BT61" i="12"/>
  <c r="BT62" i="12"/>
  <c r="BT63" i="12"/>
  <c r="BT64" i="12"/>
  <c r="BT65" i="12"/>
  <c r="BT66" i="12"/>
  <c r="BT67" i="12"/>
  <c r="BT68" i="12"/>
  <c r="BT69" i="12"/>
  <c r="BT70" i="12"/>
  <c r="BT71" i="12"/>
  <c r="BT72" i="12"/>
  <c r="BT73" i="12"/>
  <c r="BT74" i="12"/>
  <c r="BT75" i="12"/>
  <c r="BT76" i="12"/>
  <c r="BT77" i="12"/>
  <c r="BT78" i="12"/>
  <c r="BT79" i="12"/>
  <c r="BT80" i="12"/>
  <c r="BT81" i="12"/>
  <c r="BT82" i="12"/>
  <c r="BT83" i="12"/>
  <c r="BT84" i="12"/>
  <c r="BT85" i="12"/>
  <c r="BT86" i="12"/>
  <c r="BT87" i="12"/>
  <c r="BT88" i="12"/>
  <c r="BT89" i="12"/>
  <c r="BT90" i="12"/>
  <c r="BT91" i="12"/>
  <c r="BT92" i="12"/>
  <c r="BT93" i="12"/>
  <c r="BT94" i="12"/>
  <c r="BT95" i="12"/>
  <c r="BT96" i="12"/>
  <c r="BT97" i="12"/>
  <c r="BT98" i="12"/>
  <c r="BT99" i="12"/>
  <c r="BT100" i="12"/>
  <c r="BT101" i="12"/>
  <c r="BT102" i="12"/>
  <c r="BT103" i="12"/>
  <c r="BT104" i="12"/>
  <c r="BT105" i="12"/>
  <c r="BT106" i="12"/>
  <c r="BT107" i="12"/>
  <c r="BT108" i="12"/>
  <c r="BT109" i="12"/>
  <c r="BT110" i="12"/>
  <c r="BT111" i="12"/>
  <c r="BT112" i="12"/>
  <c r="BT113" i="12"/>
  <c r="BT114" i="12"/>
  <c r="BT115" i="12"/>
  <c r="BT116" i="12"/>
  <c r="BT117" i="12"/>
  <c r="BT118" i="12"/>
  <c r="BT119" i="12"/>
  <c r="BT120" i="12"/>
  <c r="BT121" i="12"/>
  <c r="BT122" i="12"/>
  <c r="BT123" i="12"/>
  <c r="BT124" i="12"/>
  <c r="BT125" i="12"/>
  <c r="BT126" i="12"/>
  <c r="BT127" i="12"/>
  <c r="BT128" i="12"/>
  <c r="BT129" i="12"/>
  <c r="BT130" i="12"/>
  <c r="BT131" i="12"/>
  <c r="BT132" i="12"/>
  <c r="BT133" i="12"/>
  <c r="BT134" i="12"/>
  <c r="BT135" i="12"/>
  <c r="BT136" i="12"/>
  <c r="BT137" i="12"/>
  <c r="BT138" i="12"/>
  <c r="BT139" i="12"/>
  <c r="BT140" i="12"/>
  <c r="BT141" i="12"/>
  <c r="BT142" i="12"/>
  <c r="BT143" i="12"/>
  <c r="BT144" i="12"/>
  <c r="BT145" i="12"/>
  <c r="BT146" i="12"/>
  <c r="BT147" i="12"/>
  <c r="BT148" i="12"/>
  <c r="BT149" i="12"/>
  <c r="BT150" i="12"/>
  <c r="BT151" i="12"/>
  <c r="BT152" i="12"/>
  <c r="BT153" i="12"/>
  <c r="BT154" i="12"/>
  <c r="BT155" i="12"/>
  <c r="BT156" i="12"/>
  <c r="BT157" i="12"/>
  <c r="BT158" i="12"/>
  <c r="BT159" i="12"/>
  <c r="BT160" i="12"/>
  <c r="BT161" i="12"/>
  <c r="BT162" i="12"/>
  <c r="BT163" i="12"/>
  <c r="BT164" i="12"/>
  <c r="BT165" i="12"/>
  <c r="BT166" i="12"/>
  <c r="BT167" i="12"/>
  <c r="BT168" i="12"/>
  <c r="BT169" i="12"/>
  <c r="BT170" i="12"/>
  <c r="BT171" i="12"/>
  <c r="BT172" i="12"/>
  <c r="BT173" i="12"/>
  <c r="BT174" i="12"/>
  <c r="BT175" i="12"/>
  <c r="BT176" i="12"/>
  <c r="BT177" i="12"/>
  <c r="BT178" i="12"/>
  <c r="BT179" i="12"/>
  <c r="BT180" i="12"/>
  <c r="BT181" i="12"/>
  <c r="BT182" i="12"/>
  <c r="BT183" i="12"/>
  <c r="BT184" i="12"/>
  <c r="BT185" i="12"/>
  <c r="BT186" i="12"/>
  <c r="BT187" i="12"/>
  <c r="BT188" i="12"/>
  <c r="BT189" i="12"/>
  <c r="BT190" i="12"/>
  <c r="BT191" i="12"/>
  <c r="BT192" i="12"/>
  <c r="BT193" i="12"/>
  <c r="BT194" i="12"/>
  <c r="BT195" i="12"/>
  <c r="BT196" i="12"/>
  <c r="BT197" i="12"/>
  <c r="BT198" i="12"/>
  <c r="BT199" i="12"/>
  <c r="BT200" i="12"/>
  <c r="BT201" i="12"/>
  <c r="BG4" i="12"/>
  <c r="BG5" i="12"/>
  <c r="BG6" i="12"/>
  <c r="BG7" i="12"/>
  <c r="BG8" i="12"/>
  <c r="BG9" i="12"/>
  <c r="BG10" i="12"/>
  <c r="BG11" i="12"/>
  <c r="BG12" i="12"/>
  <c r="BG13" i="12"/>
  <c r="BG14" i="12"/>
  <c r="BG15" i="12"/>
  <c r="BG16" i="12"/>
  <c r="BG17" i="12"/>
  <c r="BG18" i="12"/>
  <c r="BG19" i="12"/>
  <c r="BG20" i="12"/>
  <c r="BG21" i="12"/>
  <c r="BG22" i="12"/>
  <c r="BG23" i="12"/>
  <c r="BG24" i="12"/>
  <c r="BG25" i="12"/>
  <c r="BG26" i="12"/>
  <c r="BG27" i="12"/>
  <c r="BG28" i="12"/>
  <c r="BG29" i="12"/>
  <c r="BG30" i="12"/>
  <c r="BG31" i="12"/>
  <c r="BG32" i="12"/>
  <c r="BG33" i="12"/>
  <c r="BG34" i="12"/>
  <c r="BG35" i="12"/>
  <c r="BG36" i="12"/>
  <c r="BG37" i="12"/>
  <c r="BG38" i="12"/>
  <c r="BG39" i="12"/>
  <c r="BG40" i="12"/>
  <c r="BG41" i="12"/>
  <c r="BG42" i="12"/>
  <c r="BG43" i="12"/>
  <c r="BG44" i="12"/>
  <c r="BG45" i="12"/>
  <c r="BG46" i="12"/>
  <c r="BG47" i="12"/>
  <c r="BG48" i="12"/>
  <c r="BG49" i="12"/>
  <c r="BG50" i="12"/>
  <c r="BG51" i="12"/>
  <c r="BG52" i="12"/>
  <c r="BG53" i="12"/>
  <c r="BG54" i="12"/>
  <c r="BG55" i="12"/>
  <c r="BG56" i="12"/>
  <c r="BG57" i="12"/>
  <c r="BG58" i="12"/>
  <c r="BG59" i="12"/>
  <c r="BG60" i="12"/>
  <c r="BG61" i="12"/>
  <c r="BG62" i="12"/>
  <c r="BG63" i="12"/>
  <c r="BG64" i="12"/>
  <c r="BG65" i="12"/>
  <c r="BG66" i="12"/>
  <c r="BG67" i="12"/>
  <c r="BG68" i="12"/>
  <c r="BG69" i="12"/>
  <c r="BG70" i="12"/>
  <c r="BG71" i="12"/>
  <c r="BG72" i="12"/>
  <c r="BG73" i="12"/>
  <c r="BG74" i="12"/>
  <c r="BG75" i="12"/>
  <c r="BG76" i="12"/>
  <c r="BG77" i="12"/>
  <c r="BG78" i="12"/>
  <c r="BG79" i="12"/>
  <c r="BG80" i="12"/>
  <c r="BG81" i="12"/>
  <c r="BG82" i="12"/>
  <c r="BG83" i="12"/>
  <c r="BG84" i="12"/>
  <c r="BG85" i="12"/>
  <c r="BG86" i="12"/>
  <c r="BG87" i="12"/>
  <c r="BG88" i="12"/>
  <c r="BG89" i="12"/>
  <c r="BG90" i="12"/>
  <c r="BG91" i="12"/>
  <c r="BG92" i="12"/>
  <c r="BG93" i="12"/>
  <c r="BG94" i="12"/>
  <c r="BG95" i="12"/>
  <c r="BG96" i="12"/>
  <c r="BG97" i="12"/>
  <c r="BG98" i="12"/>
  <c r="BG99" i="12"/>
  <c r="BG100" i="12"/>
  <c r="BG101" i="12"/>
  <c r="BG102" i="12"/>
  <c r="BG103" i="12"/>
  <c r="BG104" i="12"/>
  <c r="BG105" i="12"/>
  <c r="BG106" i="12"/>
  <c r="BG107" i="12"/>
  <c r="BG108" i="12"/>
  <c r="BG109" i="12"/>
  <c r="BG110" i="12"/>
  <c r="BG111" i="12"/>
  <c r="BG112" i="12"/>
  <c r="BG113" i="12"/>
  <c r="BG114" i="12"/>
  <c r="BG115" i="12"/>
  <c r="BG116" i="12"/>
  <c r="BG117" i="12"/>
  <c r="BG118" i="12"/>
  <c r="BG119" i="12"/>
  <c r="BG120" i="12"/>
  <c r="BG121" i="12"/>
  <c r="BG122" i="12"/>
  <c r="BG123" i="12"/>
  <c r="BG124" i="12"/>
  <c r="BG125" i="12"/>
  <c r="BG126" i="12"/>
  <c r="BG127" i="12"/>
  <c r="BG128" i="12"/>
  <c r="BG129" i="12"/>
  <c r="BG130" i="12"/>
  <c r="BG131" i="12"/>
  <c r="BG132" i="12"/>
  <c r="BG133" i="12"/>
  <c r="BG134" i="12"/>
  <c r="BG135" i="12"/>
  <c r="BG136" i="12"/>
  <c r="BG137" i="12"/>
  <c r="BG138" i="12"/>
  <c r="BG139" i="12"/>
  <c r="BG140" i="12"/>
  <c r="BG141" i="12"/>
  <c r="BG142" i="12"/>
  <c r="BG143" i="12"/>
  <c r="BG144" i="12"/>
  <c r="BG145" i="12"/>
  <c r="BG146" i="12"/>
  <c r="BG147" i="12"/>
  <c r="BG148" i="12"/>
  <c r="BG149" i="12"/>
  <c r="BG150" i="12"/>
  <c r="BG151" i="12"/>
  <c r="BG152" i="12"/>
  <c r="BG153" i="12"/>
  <c r="BG154" i="12"/>
  <c r="BG155" i="12"/>
  <c r="BG156" i="12"/>
  <c r="BG157" i="12"/>
  <c r="BG158" i="12"/>
  <c r="BG159" i="12"/>
  <c r="BG160" i="12"/>
  <c r="BG161" i="12"/>
  <c r="BG162" i="12"/>
  <c r="BG163" i="12"/>
  <c r="BG164" i="12"/>
  <c r="BG165" i="12"/>
  <c r="BG166" i="12"/>
  <c r="BG167" i="12"/>
  <c r="BG168" i="12"/>
  <c r="BG169" i="12"/>
  <c r="BG170" i="12"/>
  <c r="BG171" i="12"/>
  <c r="BG172" i="12"/>
  <c r="BG173" i="12"/>
  <c r="BG174" i="12"/>
  <c r="BG175" i="12"/>
  <c r="BG176" i="12"/>
  <c r="BG177" i="12"/>
  <c r="BG178" i="12"/>
  <c r="BG179" i="12"/>
  <c r="BG180" i="12"/>
  <c r="BG181" i="12"/>
  <c r="BG182" i="12"/>
  <c r="BG183" i="12"/>
  <c r="BG184" i="12"/>
  <c r="BG185" i="12"/>
  <c r="BG186" i="12"/>
  <c r="BG187" i="12"/>
  <c r="BG188" i="12"/>
  <c r="BG189" i="12"/>
  <c r="BG190" i="12"/>
  <c r="BG191" i="12"/>
  <c r="BG192" i="12"/>
  <c r="BG193" i="12"/>
  <c r="BG194" i="12"/>
  <c r="BG195" i="12"/>
  <c r="BG196" i="12"/>
  <c r="BG197" i="12"/>
  <c r="BG198" i="12"/>
  <c r="BG199" i="12"/>
  <c r="BG200" i="12"/>
  <c r="BG201" i="12"/>
  <c r="AZ4" i="12"/>
  <c r="AZ5" i="12"/>
  <c r="AZ6" i="12"/>
  <c r="AZ7" i="12"/>
  <c r="AZ8" i="12"/>
  <c r="AZ9" i="12"/>
  <c r="AZ10" i="12"/>
  <c r="AZ11" i="12"/>
  <c r="AZ12" i="12"/>
  <c r="AZ13" i="12"/>
  <c r="AZ14" i="12"/>
  <c r="AZ15" i="12"/>
  <c r="AZ16" i="12"/>
  <c r="AZ17" i="12"/>
  <c r="AZ18" i="12"/>
  <c r="AZ19" i="12"/>
  <c r="AZ20" i="12"/>
  <c r="AZ21" i="12"/>
  <c r="AZ22" i="12"/>
  <c r="AZ23" i="12"/>
  <c r="AZ24" i="12"/>
  <c r="AZ25" i="12"/>
  <c r="AZ26" i="12"/>
  <c r="AZ27" i="12"/>
  <c r="AZ28" i="12"/>
  <c r="AZ29" i="12"/>
  <c r="AZ30" i="12"/>
  <c r="AZ31" i="12"/>
  <c r="AZ32" i="12"/>
  <c r="AZ33" i="12"/>
  <c r="AZ34" i="12"/>
  <c r="AZ35" i="12"/>
  <c r="AZ36" i="12"/>
  <c r="AZ37" i="12"/>
  <c r="AZ38" i="12"/>
  <c r="AZ39" i="12"/>
  <c r="AZ40" i="12"/>
  <c r="AZ41" i="12"/>
  <c r="AZ42" i="12"/>
  <c r="AZ43" i="12"/>
  <c r="AZ44" i="12"/>
  <c r="AZ45" i="12"/>
  <c r="AZ46" i="12"/>
  <c r="AZ47" i="12"/>
  <c r="AZ48" i="12"/>
  <c r="AZ49" i="12"/>
  <c r="AZ50" i="12"/>
  <c r="AZ51" i="12"/>
  <c r="AZ52" i="12"/>
  <c r="AZ53" i="12"/>
  <c r="AZ54" i="12"/>
  <c r="AZ55" i="12"/>
  <c r="AZ56" i="12"/>
  <c r="AZ57" i="12"/>
  <c r="AZ58" i="12"/>
  <c r="AZ59" i="12"/>
  <c r="AZ60" i="12"/>
  <c r="AZ61" i="12"/>
  <c r="AZ62" i="12"/>
  <c r="AZ63" i="12"/>
  <c r="AZ64" i="12"/>
  <c r="AZ65" i="12"/>
  <c r="AZ66" i="12"/>
  <c r="AZ67" i="12"/>
  <c r="AZ68" i="12"/>
  <c r="AZ69" i="12"/>
  <c r="AZ70" i="12"/>
  <c r="AZ71" i="12"/>
  <c r="AZ72" i="12"/>
  <c r="AZ73" i="12"/>
  <c r="AZ74" i="12"/>
  <c r="AZ75" i="12"/>
  <c r="AZ76" i="12"/>
  <c r="AZ77" i="12"/>
  <c r="AZ78" i="12"/>
  <c r="AZ79" i="12"/>
  <c r="AZ80" i="12"/>
  <c r="AZ81" i="12"/>
  <c r="AZ82" i="12"/>
  <c r="AZ83" i="12"/>
  <c r="AZ84" i="12"/>
  <c r="AZ85" i="12"/>
  <c r="AZ86" i="12"/>
  <c r="AZ87" i="12"/>
  <c r="AZ88" i="12"/>
  <c r="AZ89" i="12"/>
  <c r="AZ90" i="12"/>
  <c r="AZ91" i="12"/>
  <c r="AZ92" i="12"/>
  <c r="AZ93" i="12"/>
  <c r="AZ94" i="12"/>
  <c r="AZ95" i="12"/>
  <c r="AZ96" i="12"/>
  <c r="AZ97" i="12"/>
  <c r="AZ98" i="12"/>
  <c r="AZ99" i="12"/>
  <c r="AZ100" i="12"/>
  <c r="AZ101" i="12"/>
  <c r="AZ102" i="12"/>
  <c r="AZ103" i="12"/>
  <c r="AZ104" i="12"/>
  <c r="AZ105" i="12"/>
  <c r="AZ106" i="12"/>
  <c r="AZ107" i="12"/>
  <c r="AZ108" i="12"/>
  <c r="AZ109" i="12"/>
  <c r="AZ110" i="12"/>
  <c r="AZ111" i="12"/>
  <c r="AZ112" i="12"/>
  <c r="AZ113" i="12"/>
  <c r="AZ114" i="12"/>
  <c r="AZ115" i="12"/>
  <c r="AZ116" i="12"/>
  <c r="AZ117" i="12"/>
  <c r="AZ118" i="12"/>
  <c r="AZ119" i="12"/>
  <c r="AZ120" i="12"/>
  <c r="AZ121" i="12"/>
  <c r="AZ122" i="12"/>
  <c r="AZ123" i="12"/>
  <c r="AZ124" i="12"/>
  <c r="AZ125" i="12"/>
  <c r="AZ126" i="12"/>
  <c r="AZ127" i="12"/>
  <c r="AZ128" i="12"/>
  <c r="AZ129" i="12"/>
  <c r="AZ130" i="12"/>
  <c r="AZ131" i="12"/>
  <c r="AZ132" i="12"/>
  <c r="AZ133" i="12"/>
  <c r="AZ134" i="12"/>
  <c r="AZ135" i="12"/>
  <c r="AZ136" i="12"/>
  <c r="AZ137" i="12"/>
  <c r="AZ138" i="12"/>
  <c r="AZ139" i="12"/>
  <c r="AZ140" i="12"/>
  <c r="AZ141" i="12"/>
  <c r="AZ142" i="12"/>
  <c r="AZ143" i="12"/>
  <c r="AZ144" i="12"/>
  <c r="AZ145" i="12"/>
  <c r="AZ146" i="12"/>
  <c r="AZ147" i="12"/>
  <c r="AZ148" i="12"/>
  <c r="AZ149" i="12"/>
  <c r="AZ150" i="12"/>
  <c r="AZ151" i="12"/>
  <c r="AZ152" i="12"/>
  <c r="AZ153" i="12"/>
  <c r="AZ154" i="12"/>
  <c r="AZ155" i="12"/>
  <c r="AZ156" i="12"/>
  <c r="AZ157" i="12"/>
  <c r="AZ158" i="12"/>
  <c r="AZ159" i="12"/>
  <c r="AZ160" i="12"/>
  <c r="AZ161" i="12"/>
  <c r="AZ162" i="12"/>
  <c r="AZ163" i="12"/>
  <c r="AZ164" i="12"/>
  <c r="AZ165" i="12"/>
  <c r="AZ166" i="12"/>
  <c r="AZ167" i="12"/>
  <c r="AZ168" i="12"/>
  <c r="AZ169" i="12"/>
  <c r="AZ170" i="12"/>
  <c r="AZ171" i="12"/>
  <c r="AZ172" i="12"/>
  <c r="AZ173" i="12"/>
  <c r="AZ174" i="12"/>
  <c r="AZ175" i="12"/>
  <c r="AZ176" i="12"/>
  <c r="AZ177" i="12"/>
  <c r="AZ178" i="12"/>
  <c r="AZ179" i="12"/>
  <c r="AZ180" i="12"/>
  <c r="AZ181" i="12"/>
  <c r="AZ182" i="12"/>
  <c r="AZ183" i="12"/>
  <c r="AZ184" i="12"/>
  <c r="AZ185" i="12"/>
  <c r="AZ186" i="12"/>
  <c r="AZ187" i="12"/>
  <c r="AZ188" i="12"/>
  <c r="AZ189" i="12"/>
  <c r="AZ190" i="12"/>
  <c r="AZ191" i="12"/>
  <c r="AZ192" i="12"/>
  <c r="AZ193" i="12"/>
  <c r="AZ194" i="12"/>
  <c r="AZ195" i="12"/>
  <c r="AZ196" i="12"/>
  <c r="AZ197" i="12"/>
  <c r="AZ198" i="12"/>
  <c r="AZ199" i="12"/>
  <c r="AZ200" i="12"/>
  <c r="AZ201" i="12"/>
  <c r="AS4" i="12"/>
  <c r="AS5" i="12"/>
  <c r="AS6" i="12"/>
  <c r="AS7" i="12"/>
  <c r="AS8" i="12"/>
  <c r="AS9" i="12"/>
  <c r="AS10" i="12"/>
  <c r="AS11" i="12"/>
  <c r="AS12" i="12"/>
  <c r="AS13" i="12"/>
  <c r="AS14" i="12"/>
  <c r="AS15" i="12"/>
  <c r="AS16" i="12"/>
  <c r="AS17" i="12"/>
  <c r="AS18" i="12"/>
  <c r="AS19" i="12"/>
  <c r="AS20" i="12"/>
  <c r="AS21" i="12"/>
  <c r="AS22" i="12"/>
  <c r="AS23" i="12"/>
  <c r="AS24" i="12"/>
  <c r="AS25" i="12"/>
  <c r="AS26" i="12"/>
  <c r="AS27" i="12"/>
  <c r="AS28" i="12"/>
  <c r="AS29" i="12"/>
  <c r="AS30" i="12"/>
  <c r="AS31" i="12"/>
  <c r="AS32" i="12"/>
  <c r="AS33" i="12"/>
  <c r="AS34" i="12"/>
  <c r="AS35" i="12"/>
  <c r="AS36" i="12"/>
  <c r="AS37" i="12"/>
  <c r="AS38" i="12"/>
  <c r="AS39" i="12"/>
  <c r="AS40" i="12"/>
  <c r="AS41" i="12"/>
  <c r="AS42" i="12"/>
  <c r="AS43" i="12"/>
  <c r="AS44" i="12"/>
  <c r="AS45" i="12"/>
  <c r="AS46" i="12"/>
  <c r="AS47" i="12"/>
  <c r="AS48" i="12"/>
  <c r="AS49" i="12"/>
  <c r="AS50" i="12"/>
  <c r="AS51" i="12"/>
  <c r="AS52" i="12"/>
  <c r="AS53" i="12"/>
  <c r="AS54" i="12"/>
  <c r="AS55" i="12"/>
  <c r="AS56" i="12"/>
  <c r="AS57" i="12"/>
  <c r="AS58" i="12"/>
  <c r="AS59" i="12"/>
  <c r="AS60" i="12"/>
  <c r="AS61" i="12"/>
  <c r="AS62" i="12"/>
  <c r="AS63" i="12"/>
  <c r="AS64" i="12"/>
  <c r="AS65" i="12"/>
  <c r="AS66" i="12"/>
  <c r="AS67" i="12"/>
  <c r="AS68" i="12"/>
  <c r="AS69" i="12"/>
  <c r="AS70" i="12"/>
  <c r="AS71" i="12"/>
  <c r="AS72" i="12"/>
  <c r="AS73" i="12"/>
  <c r="AS74" i="12"/>
  <c r="AS75" i="12"/>
  <c r="AS76" i="12"/>
  <c r="AS77" i="12"/>
  <c r="AS78" i="12"/>
  <c r="AS79" i="12"/>
  <c r="AS80" i="12"/>
  <c r="AS81" i="12"/>
  <c r="AS82" i="12"/>
  <c r="AS83" i="12"/>
  <c r="AS84" i="12"/>
  <c r="AS85" i="12"/>
  <c r="AS86" i="12"/>
  <c r="AS87" i="12"/>
  <c r="AS88" i="12"/>
  <c r="AS89" i="12"/>
  <c r="AS90" i="12"/>
  <c r="AS91" i="12"/>
  <c r="AS92" i="12"/>
  <c r="AS93" i="12"/>
  <c r="AS94" i="12"/>
  <c r="AS95" i="12"/>
  <c r="AS96" i="12"/>
  <c r="AS97" i="12"/>
  <c r="AS98" i="12"/>
  <c r="AS99" i="12"/>
  <c r="AS100" i="12"/>
  <c r="AS101" i="12"/>
  <c r="AS102" i="12"/>
  <c r="AS103" i="12"/>
  <c r="AS104" i="12"/>
  <c r="AS105" i="12"/>
  <c r="AS106" i="12"/>
  <c r="AS107" i="12"/>
  <c r="AS108" i="12"/>
  <c r="AS109" i="12"/>
  <c r="AS110" i="12"/>
  <c r="AS111" i="12"/>
  <c r="AS112" i="12"/>
  <c r="AS113" i="12"/>
  <c r="AS114" i="12"/>
  <c r="AS115" i="12"/>
  <c r="AS116" i="12"/>
  <c r="AS117" i="12"/>
  <c r="AS118" i="12"/>
  <c r="AS119" i="12"/>
  <c r="AS120" i="12"/>
  <c r="AS121" i="12"/>
  <c r="AS122" i="12"/>
  <c r="AS123" i="12"/>
  <c r="AS124" i="12"/>
  <c r="AS125" i="12"/>
  <c r="AS126" i="12"/>
  <c r="AS127" i="12"/>
  <c r="AS128" i="12"/>
  <c r="AS129" i="12"/>
  <c r="AS130" i="12"/>
  <c r="AS131" i="12"/>
  <c r="AS132" i="12"/>
  <c r="AS133" i="12"/>
  <c r="AS134" i="12"/>
  <c r="AS135" i="12"/>
  <c r="AS136" i="12"/>
  <c r="AS137" i="12"/>
  <c r="AS138" i="12"/>
  <c r="AS139" i="12"/>
  <c r="AS140" i="12"/>
  <c r="AS141" i="12"/>
  <c r="AS142" i="12"/>
  <c r="AS143" i="12"/>
  <c r="AS144" i="12"/>
  <c r="AS145" i="12"/>
  <c r="AS146" i="12"/>
  <c r="AS147" i="12"/>
  <c r="AS148" i="12"/>
  <c r="AS149" i="12"/>
  <c r="AS150" i="12"/>
  <c r="AS151" i="12"/>
  <c r="AS152" i="12"/>
  <c r="AS153" i="12"/>
  <c r="AS154" i="12"/>
  <c r="AS155" i="12"/>
  <c r="AS156" i="12"/>
  <c r="AS157" i="12"/>
  <c r="AS158" i="12"/>
  <c r="AS159" i="12"/>
  <c r="AS160" i="12"/>
  <c r="AS161" i="12"/>
  <c r="AS162" i="12"/>
  <c r="AS163" i="12"/>
  <c r="AS164" i="12"/>
  <c r="AS165" i="12"/>
  <c r="AS166" i="12"/>
  <c r="AS167" i="12"/>
  <c r="AS168" i="12"/>
  <c r="AS169" i="12"/>
  <c r="AS170" i="12"/>
  <c r="AS171" i="12"/>
  <c r="AS172" i="12"/>
  <c r="AS173" i="12"/>
  <c r="AS174" i="12"/>
  <c r="AS175" i="12"/>
  <c r="AS176" i="12"/>
  <c r="AS177" i="12"/>
  <c r="AS178" i="12"/>
  <c r="AS179" i="12"/>
  <c r="AS180" i="12"/>
  <c r="AS181" i="12"/>
  <c r="AS182" i="12"/>
  <c r="AS183" i="12"/>
  <c r="AS184" i="12"/>
  <c r="AS185" i="12"/>
  <c r="AS186" i="12"/>
  <c r="AS187" i="12"/>
  <c r="AS188" i="12"/>
  <c r="AS189" i="12"/>
  <c r="AS190" i="12"/>
  <c r="AS191" i="12"/>
  <c r="AS192" i="12"/>
  <c r="AS193" i="12"/>
  <c r="AS194" i="12"/>
  <c r="AS195" i="12"/>
  <c r="AS196" i="12"/>
  <c r="AS197" i="12"/>
  <c r="AS198" i="12"/>
  <c r="AS199" i="12"/>
  <c r="AS200" i="12"/>
  <c r="AS201" i="12"/>
  <c r="AF4" i="12"/>
  <c r="AF5" i="12"/>
  <c r="AF6" i="12"/>
  <c r="AF7" i="12"/>
  <c r="AF8" i="12"/>
  <c r="AF9" i="12"/>
  <c r="AF10" i="12"/>
  <c r="AF11" i="12"/>
  <c r="AF12" i="12"/>
  <c r="AF13" i="12"/>
  <c r="AF14" i="12"/>
  <c r="AF15" i="12"/>
  <c r="AF16" i="12"/>
  <c r="AF17" i="12"/>
  <c r="AF18" i="12"/>
  <c r="AF19" i="12"/>
  <c r="AF20" i="12"/>
  <c r="AF21" i="12"/>
  <c r="AF22" i="12"/>
  <c r="AF23" i="12"/>
  <c r="AF24" i="12"/>
  <c r="AF25" i="12"/>
  <c r="AF26" i="12"/>
  <c r="AF27" i="12"/>
  <c r="AF28" i="12"/>
  <c r="AF29" i="12"/>
  <c r="AF30" i="12"/>
  <c r="AF31" i="12"/>
  <c r="AF32" i="12"/>
  <c r="AF33" i="12"/>
  <c r="AF34" i="12"/>
  <c r="AF35" i="12"/>
  <c r="AF36" i="12"/>
  <c r="AF37" i="12"/>
  <c r="AF38" i="12"/>
  <c r="AF39" i="12"/>
  <c r="AF40" i="12"/>
  <c r="AF41" i="12"/>
  <c r="AF42" i="12"/>
  <c r="AF43" i="12"/>
  <c r="AF44" i="12"/>
  <c r="AF45" i="12"/>
  <c r="AF46" i="12"/>
  <c r="AF47" i="12"/>
  <c r="AF48" i="12"/>
  <c r="AF49" i="12"/>
  <c r="AF50" i="12"/>
  <c r="AF51" i="12"/>
  <c r="AF52" i="12"/>
  <c r="AF53" i="12"/>
  <c r="AF54" i="12"/>
  <c r="AF55" i="12"/>
  <c r="AF56" i="12"/>
  <c r="AF57" i="12"/>
  <c r="AF58" i="12"/>
  <c r="AF59" i="12"/>
  <c r="AF60" i="12"/>
  <c r="AF61" i="12"/>
  <c r="AF62" i="12"/>
  <c r="AF63" i="12"/>
  <c r="AF64" i="12"/>
  <c r="AF65" i="12"/>
  <c r="AF66" i="12"/>
  <c r="AF67" i="12"/>
  <c r="AF68" i="12"/>
  <c r="AF69" i="12"/>
  <c r="AF70" i="12"/>
  <c r="AF71" i="12"/>
  <c r="AF72" i="12"/>
  <c r="AF73" i="12"/>
  <c r="AF74" i="12"/>
  <c r="AF75" i="12"/>
  <c r="AF76" i="12"/>
  <c r="AF77" i="12"/>
  <c r="AF78" i="12"/>
  <c r="AF79" i="12"/>
  <c r="AF80" i="12"/>
  <c r="AF81" i="12"/>
  <c r="AF82" i="12"/>
  <c r="AF83" i="12"/>
  <c r="AF84" i="12"/>
  <c r="AF85" i="12"/>
  <c r="AF86" i="12"/>
  <c r="AF87" i="12"/>
  <c r="AF88" i="12"/>
  <c r="AF89" i="12"/>
  <c r="AF90" i="12"/>
  <c r="AF91" i="12"/>
  <c r="AF92" i="12"/>
  <c r="AF93" i="12"/>
  <c r="AF94" i="12"/>
  <c r="AF95" i="12"/>
  <c r="AF96" i="12"/>
  <c r="AF97" i="12"/>
  <c r="AF98" i="12"/>
  <c r="AF99" i="12"/>
  <c r="AF100" i="12"/>
  <c r="AF101" i="12"/>
  <c r="AF102" i="12"/>
  <c r="AF103" i="12"/>
  <c r="AF104" i="12"/>
  <c r="AF105" i="12"/>
  <c r="AF106" i="12"/>
  <c r="AF107" i="12"/>
  <c r="AF108" i="12"/>
  <c r="AF109" i="12"/>
  <c r="AF110" i="12"/>
  <c r="AF111" i="12"/>
  <c r="AF112" i="12"/>
  <c r="AF113" i="12"/>
  <c r="AF114" i="12"/>
  <c r="AF115" i="12"/>
  <c r="AF116" i="12"/>
  <c r="AF117" i="12"/>
  <c r="AF118" i="12"/>
  <c r="AF119" i="12"/>
  <c r="AF120" i="12"/>
  <c r="AF121" i="12"/>
  <c r="AF122" i="12"/>
  <c r="AF123" i="12"/>
  <c r="AF124" i="12"/>
  <c r="AF125" i="12"/>
  <c r="AF126" i="12"/>
  <c r="AF127" i="12"/>
  <c r="AF128" i="12"/>
  <c r="AF129" i="12"/>
  <c r="AF130" i="12"/>
  <c r="AF131" i="12"/>
  <c r="AF132" i="12"/>
  <c r="AF133" i="12"/>
  <c r="AF134" i="12"/>
  <c r="AF135" i="12"/>
  <c r="AF136" i="12"/>
  <c r="AF137" i="12"/>
  <c r="AF138" i="12"/>
  <c r="AF139" i="12"/>
  <c r="AF140" i="12"/>
  <c r="AF141" i="12"/>
  <c r="AF142" i="12"/>
  <c r="AF143" i="12"/>
  <c r="AF144" i="12"/>
  <c r="AF145" i="12"/>
  <c r="AF146" i="12"/>
  <c r="AF147" i="12"/>
  <c r="AF148" i="12"/>
  <c r="AF149" i="12"/>
  <c r="AF150" i="12"/>
  <c r="AF151" i="12"/>
  <c r="AF152" i="12"/>
  <c r="AF153" i="12"/>
  <c r="AF154" i="12"/>
  <c r="AF155" i="12"/>
  <c r="AF156" i="12"/>
  <c r="AF157" i="12"/>
  <c r="AF158" i="12"/>
  <c r="AF159" i="12"/>
  <c r="AF160" i="12"/>
  <c r="AF161" i="12"/>
  <c r="AF162" i="12"/>
  <c r="AF163" i="12"/>
  <c r="AF164" i="12"/>
  <c r="AF165" i="12"/>
  <c r="AF166" i="12"/>
  <c r="AF167" i="12"/>
  <c r="AF168" i="12"/>
  <c r="AF169" i="12"/>
  <c r="AF170" i="12"/>
  <c r="AF171" i="12"/>
  <c r="AF172" i="12"/>
  <c r="AF173" i="12"/>
  <c r="AF174" i="12"/>
  <c r="AF175" i="12"/>
  <c r="AF176" i="12"/>
  <c r="AF177" i="12"/>
  <c r="AF178" i="12"/>
  <c r="AF179" i="12"/>
  <c r="AF180" i="12"/>
  <c r="AF181" i="12"/>
  <c r="AF182" i="12"/>
  <c r="AF183" i="12"/>
  <c r="AF184" i="12"/>
  <c r="AF185" i="12"/>
  <c r="AF186" i="12"/>
  <c r="AF187" i="12"/>
  <c r="AF188" i="12"/>
  <c r="AF189" i="12"/>
  <c r="AF190" i="12"/>
  <c r="AF191" i="12"/>
  <c r="AF192" i="12"/>
  <c r="AF193" i="12"/>
  <c r="AF194" i="12"/>
  <c r="AF195" i="12"/>
  <c r="AF196" i="12"/>
  <c r="AF197" i="12"/>
  <c r="AF198" i="12"/>
  <c r="AF199" i="12"/>
  <c r="AF200" i="12"/>
  <c r="AF201" i="12"/>
  <c r="Y4" i="12"/>
  <c r="Y5" i="12"/>
  <c r="Y6" i="12"/>
  <c r="Y7" i="12"/>
  <c r="Y8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Y48" i="12"/>
  <c r="Y49" i="12"/>
  <c r="Y50" i="12"/>
  <c r="Y51" i="12"/>
  <c r="Y52" i="12"/>
  <c r="Y53" i="12"/>
  <c r="Y54" i="12"/>
  <c r="Y55" i="12"/>
  <c r="Y56" i="12"/>
  <c r="Y57" i="12"/>
  <c r="Y58" i="12"/>
  <c r="Y59" i="12"/>
  <c r="Y60" i="12"/>
  <c r="Y61" i="12"/>
  <c r="Y62" i="12"/>
  <c r="Y63" i="12"/>
  <c r="Y64" i="12"/>
  <c r="Y65" i="12"/>
  <c r="Y66" i="12"/>
  <c r="Y67" i="12"/>
  <c r="Y68" i="12"/>
  <c r="Y69" i="12"/>
  <c r="Y70" i="12"/>
  <c r="Y71" i="12"/>
  <c r="Y72" i="12"/>
  <c r="Y73" i="12"/>
  <c r="Y74" i="12"/>
  <c r="Y75" i="12"/>
  <c r="Y76" i="12"/>
  <c r="Y77" i="12"/>
  <c r="Y78" i="12"/>
  <c r="Y79" i="12"/>
  <c r="Y80" i="12"/>
  <c r="Y81" i="12"/>
  <c r="Y82" i="12"/>
  <c r="Y83" i="12"/>
  <c r="Y84" i="12"/>
  <c r="Y85" i="12"/>
  <c r="Y86" i="12"/>
  <c r="Y87" i="12"/>
  <c r="Y88" i="12"/>
  <c r="Y89" i="12"/>
  <c r="Y90" i="12"/>
  <c r="Y91" i="12"/>
  <c r="Y92" i="12"/>
  <c r="Y93" i="12"/>
  <c r="Y94" i="12"/>
  <c r="Y95" i="12"/>
  <c r="Y96" i="12"/>
  <c r="Y97" i="12"/>
  <c r="Y98" i="12"/>
  <c r="Y99" i="12"/>
  <c r="Y100" i="12"/>
  <c r="Y101" i="12"/>
  <c r="Y102" i="12"/>
  <c r="Y103" i="12"/>
  <c r="Y104" i="12"/>
  <c r="Y105" i="12"/>
  <c r="Y106" i="12"/>
  <c r="Y107" i="12"/>
  <c r="Y108" i="12"/>
  <c r="Y109" i="12"/>
  <c r="Y110" i="12"/>
  <c r="Y111" i="12"/>
  <c r="Y112" i="12"/>
  <c r="Y113" i="12"/>
  <c r="Y114" i="12"/>
  <c r="Y115" i="12"/>
  <c r="Y116" i="12"/>
  <c r="Y117" i="12"/>
  <c r="Y118" i="12"/>
  <c r="Y119" i="12"/>
  <c r="Y120" i="12"/>
  <c r="Y121" i="12"/>
  <c r="Y122" i="12"/>
  <c r="Y123" i="12"/>
  <c r="Y124" i="12"/>
  <c r="Y125" i="12"/>
  <c r="Y126" i="12"/>
  <c r="Y127" i="12"/>
  <c r="Y128" i="12"/>
  <c r="Y129" i="12"/>
  <c r="Y130" i="12"/>
  <c r="Y131" i="12"/>
  <c r="Y132" i="12"/>
  <c r="Y133" i="12"/>
  <c r="Y134" i="12"/>
  <c r="Y135" i="12"/>
  <c r="Y136" i="12"/>
  <c r="Y137" i="12"/>
  <c r="Y138" i="12"/>
  <c r="Y139" i="12"/>
  <c r="Y140" i="12"/>
  <c r="Y141" i="12"/>
  <c r="Y142" i="12"/>
  <c r="Y143" i="12"/>
  <c r="Y144" i="12"/>
  <c r="Y145" i="12"/>
  <c r="Y146" i="12"/>
  <c r="Y147" i="12"/>
  <c r="Y148" i="12"/>
  <c r="Y149" i="12"/>
  <c r="Y150" i="12"/>
  <c r="Y151" i="12"/>
  <c r="Y152" i="12"/>
  <c r="Y153" i="12"/>
  <c r="Y154" i="12"/>
  <c r="Y155" i="12"/>
  <c r="Y156" i="12"/>
  <c r="Y157" i="12"/>
  <c r="Y158" i="12"/>
  <c r="Y159" i="12"/>
  <c r="Y160" i="12"/>
  <c r="Y161" i="12"/>
  <c r="Y162" i="12"/>
  <c r="Y163" i="12"/>
  <c r="Y164" i="12"/>
  <c r="Y165" i="12"/>
  <c r="Y166" i="12"/>
  <c r="Y167" i="12"/>
  <c r="Y168" i="12"/>
  <c r="Y169" i="12"/>
  <c r="Y170" i="12"/>
  <c r="Y171" i="12"/>
  <c r="Y172" i="12"/>
  <c r="Y173" i="12"/>
  <c r="Y174" i="12"/>
  <c r="Y175" i="12"/>
  <c r="Y176" i="12"/>
  <c r="Y177" i="12"/>
  <c r="Y178" i="12"/>
  <c r="Y179" i="12"/>
  <c r="Y180" i="12"/>
  <c r="Y181" i="12"/>
  <c r="Y182" i="12"/>
  <c r="Y183" i="12"/>
  <c r="Y184" i="12"/>
  <c r="Y185" i="12"/>
  <c r="Y186" i="12"/>
  <c r="Y187" i="12"/>
  <c r="Y188" i="12"/>
  <c r="Y189" i="12"/>
  <c r="Y190" i="12"/>
  <c r="Y191" i="12"/>
  <c r="Y192" i="12"/>
  <c r="Y193" i="12"/>
  <c r="Y194" i="12"/>
  <c r="Y195" i="12"/>
  <c r="Y196" i="12"/>
  <c r="Y197" i="12"/>
  <c r="Y198" i="12"/>
  <c r="Y199" i="12"/>
  <c r="Y200" i="12"/>
  <c r="Y201" i="12"/>
  <c r="R5" i="12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R97" i="12"/>
  <c r="R98" i="12"/>
  <c r="R99" i="12"/>
  <c r="R100" i="12"/>
  <c r="R101" i="12"/>
  <c r="R102" i="12"/>
  <c r="R103" i="12"/>
  <c r="R104" i="12"/>
  <c r="R105" i="12"/>
  <c r="R106" i="12"/>
  <c r="R107" i="12"/>
  <c r="R108" i="12"/>
  <c r="R109" i="12"/>
  <c r="R110" i="12"/>
  <c r="R111" i="12"/>
  <c r="R112" i="12"/>
  <c r="R113" i="12"/>
  <c r="R114" i="12"/>
  <c r="R115" i="12"/>
  <c r="R116" i="12"/>
  <c r="R117" i="12"/>
  <c r="R118" i="12"/>
  <c r="R119" i="12"/>
  <c r="R120" i="12"/>
  <c r="R121" i="12"/>
  <c r="R122" i="12"/>
  <c r="R123" i="12"/>
  <c r="R124" i="12"/>
  <c r="R125" i="12"/>
  <c r="R126" i="12"/>
  <c r="R127" i="12"/>
  <c r="R128" i="12"/>
  <c r="R129" i="12"/>
  <c r="R130" i="12"/>
  <c r="R131" i="12"/>
  <c r="R132" i="12"/>
  <c r="R133" i="12"/>
  <c r="R134" i="12"/>
  <c r="R135" i="12"/>
  <c r="R136" i="12"/>
  <c r="R137" i="12"/>
  <c r="R138" i="12"/>
  <c r="R139" i="12"/>
  <c r="R140" i="12"/>
  <c r="R141" i="12"/>
  <c r="R142" i="12"/>
  <c r="R143" i="12"/>
  <c r="R144" i="12"/>
  <c r="R145" i="12"/>
  <c r="R146" i="12"/>
  <c r="R147" i="12"/>
  <c r="R148" i="12"/>
  <c r="R149" i="12"/>
  <c r="R150" i="12"/>
  <c r="R151" i="12"/>
  <c r="R152" i="12"/>
  <c r="R153" i="12"/>
  <c r="R154" i="12"/>
  <c r="R155" i="12"/>
  <c r="R156" i="12"/>
  <c r="R157" i="12"/>
  <c r="R158" i="12"/>
  <c r="R159" i="12"/>
  <c r="R160" i="12"/>
  <c r="R161" i="12"/>
  <c r="R162" i="12"/>
  <c r="R163" i="12"/>
  <c r="R164" i="12"/>
  <c r="R165" i="12"/>
  <c r="R166" i="12"/>
  <c r="R167" i="12"/>
  <c r="R168" i="12"/>
  <c r="R169" i="12"/>
  <c r="R170" i="12"/>
  <c r="R171" i="12"/>
  <c r="R172" i="12"/>
  <c r="R173" i="12"/>
  <c r="R174" i="12"/>
  <c r="R175" i="12"/>
  <c r="R176" i="12"/>
  <c r="R177" i="12"/>
  <c r="R178" i="12"/>
  <c r="R179" i="12"/>
  <c r="R180" i="12"/>
  <c r="R181" i="12"/>
  <c r="R182" i="12"/>
  <c r="R183" i="12"/>
  <c r="R184" i="12"/>
  <c r="R185" i="12"/>
  <c r="R186" i="12"/>
  <c r="R187" i="12"/>
  <c r="R188" i="12"/>
  <c r="R189" i="12"/>
  <c r="R190" i="12"/>
  <c r="R191" i="12"/>
  <c r="R192" i="12"/>
  <c r="R193" i="12"/>
  <c r="R194" i="12"/>
  <c r="R195" i="12"/>
  <c r="R196" i="12"/>
  <c r="R197" i="12"/>
  <c r="R198" i="12"/>
  <c r="R199" i="12"/>
  <c r="R200" i="12"/>
  <c r="R201" i="12"/>
  <c r="R4" i="12"/>
  <c r="V14" i="2" l="1"/>
  <c r="V13" i="2"/>
  <c r="V12" i="2"/>
  <c r="V11" i="2"/>
  <c r="V10" i="2"/>
  <c r="V9" i="2"/>
  <c r="V8" i="2"/>
  <c r="V7" i="2"/>
  <c r="V6" i="2"/>
  <c r="V5" i="2"/>
  <c r="V4" i="2"/>
  <c r="V3" i="2"/>
  <c r="U14" i="2"/>
  <c r="U13" i="2"/>
  <c r="U12" i="2"/>
  <c r="U11" i="2"/>
  <c r="U10" i="2"/>
  <c r="U9" i="2"/>
  <c r="U8" i="2"/>
  <c r="U7" i="2"/>
  <c r="U6" i="2"/>
  <c r="U5" i="2"/>
  <c r="U4" i="2"/>
  <c r="U3" i="2"/>
  <c r="L22" i="2"/>
  <c r="B21" i="2"/>
  <c r="M32" i="2"/>
  <c r="L32" i="2"/>
  <c r="K32" i="2"/>
  <c r="J32" i="2"/>
  <c r="I32" i="2"/>
  <c r="H32" i="2"/>
  <c r="G32" i="2"/>
  <c r="F32" i="2"/>
  <c r="E32" i="2"/>
  <c r="D32" i="2"/>
  <c r="C32" i="2"/>
  <c r="B32" i="2"/>
  <c r="M31" i="2"/>
  <c r="L31" i="2"/>
  <c r="K31" i="2"/>
  <c r="J31" i="2"/>
  <c r="I31" i="2"/>
  <c r="H31" i="2"/>
  <c r="G31" i="2"/>
  <c r="F31" i="2"/>
  <c r="E31" i="2"/>
  <c r="D31" i="2"/>
  <c r="C31" i="2"/>
  <c r="B31" i="2"/>
  <c r="M30" i="2"/>
  <c r="L30" i="2"/>
  <c r="K30" i="2"/>
  <c r="J30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J29" i="2"/>
  <c r="K29" i="2"/>
  <c r="L29" i="2"/>
  <c r="M29" i="2"/>
  <c r="B29" i="2"/>
  <c r="V15" i="2" l="1"/>
  <c r="U15" i="2"/>
  <c r="N32" i="2"/>
  <c r="N29" i="2"/>
  <c r="C53" i="2"/>
  <c r="C52" i="2"/>
  <c r="C51" i="2"/>
  <c r="C50" i="2"/>
  <c r="C49" i="2"/>
  <c r="C48" i="2"/>
  <c r="C47" i="2"/>
  <c r="C46" i="2"/>
  <c r="C45" i="2"/>
  <c r="C44" i="2"/>
  <c r="C43" i="2"/>
  <c r="C42" i="2"/>
  <c r="B46" i="2"/>
  <c r="B53" i="2"/>
  <c r="B52" i="2"/>
  <c r="B51" i="2"/>
  <c r="B50" i="2"/>
  <c r="B49" i="2"/>
  <c r="B48" i="2"/>
  <c r="B47" i="2"/>
  <c r="B45" i="2"/>
  <c r="B44" i="2"/>
  <c r="B42" i="2"/>
  <c r="B43" i="2"/>
  <c r="I13" i="2"/>
  <c r="I12" i="2"/>
  <c r="I11" i="2"/>
  <c r="I10" i="2"/>
  <c r="I9" i="2"/>
  <c r="I8" i="2"/>
  <c r="I7" i="2"/>
  <c r="I6" i="2"/>
  <c r="I5" i="2"/>
  <c r="I4" i="2"/>
  <c r="I3" i="2"/>
  <c r="I2" i="2"/>
  <c r="G2" i="2"/>
  <c r="M22" i="2"/>
  <c r="M19" i="2"/>
  <c r="L19" i="2"/>
  <c r="K22" i="2"/>
  <c r="K19" i="2"/>
  <c r="J22" i="2"/>
  <c r="J19" i="2"/>
  <c r="I22" i="2"/>
  <c r="I19" i="2"/>
  <c r="H22" i="2"/>
  <c r="H19" i="2"/>
  <c r="G22" i="2"/>
  <c r="G19" i="2"/>
  <c r="F22" i="2"/>
  <c r="F19" i="2"/>
  <c r="E22" i="2"/>
  <c r="E19" i="2"/>
  <c r="D22" i="2"/>
  <c r="D19" i="2"/>
  <c r="C22" i="2"/>
  <c r="C19" i="2"/>
  <c r="B22" i="2"/>
  <c r="B19" i="2"/>
  <c r="N22" i="2" l="1"/>
  <c r="C54" i="2"/>
  <c r="B54" i="2"/>
  <c r="I14" i="2"/>
  <c r="C22" i="8"/>
  <c r="M36" i="2"/>
  <c r="M35" i="2"/>
  <c r="M34" i="2"/>
  <c r="M33" i="2"/>
  <c r="M28" i="2"/>
  <c r="M27" i="2"/>
  <c r="M24" i="2"/>
  <c r="M21" i="2"/>
  <c r="M20" i="2"/>
  <c r="L36" i="2"/>
  <c r="L35" i="2"/>
  <c r="L34" i="2"/>
  <c r="L33" i="2"/>
  <c r="L28" i="2"/>
  <c r="L27" i="2"/>
  <c r="L24" i="2"/>
  <c r="L21" i="2"/>
  <c r="L20" i="2"/>
  <c r="K36" i="2"/>
  <c r="K35" i="2"/>
  <c r="K34" i="2"/>
  <c r="K33" i="2"/>
  <c r="K28" i="2"/>
  <c r="K27" i="2"/>
  <c r="K24" i="2"/>
  <c r="K21" i="2"/>
  <c r="K20" i="2"/>
  <c r="J36" i="2"/>
  <c r="J35" i="2"/>
  <c r="J34" i="2"/>
  <c r="J33" i="2"/>
  <c r="J28" i="2"/>
  <c r="J27" i="2"/>
  <c r="J24" i="2"/>
  <c r="J21" i="2"/>
  <c r="J20" i="2"/>
  <c r="I36" i="2"/>
  <c r="I35" i="2"/>
  <c r="I34" i="2"/>
  <c r="I33" i="2"/>
  <c r="I28" i="2"/>
  <c r="I27" i="2"/>
  <c r="I24" i="2"/>
  <c r="I21" i="2"/>
  <c r="I20" i="2"/>
  <c r="H36" i="2"/>
  <c r="H35" i="2"/>
  <c r="H34" i="2"/>
  <c r="H33" i="2"/>
  <c r="H28" i="2"/>
  <c r="H27" i="2"/>
  <c r="H24" i="2"/>
  <c r="H21" i="2"/>
  <c r="H20" i="2"/>
  <c r="G36" i="2"/>
  <c r="G35" i="2"/>
  <c r="G34" i="2"/>
  <c r="G33" i="2"/>
  <c r="G28" i="2"/>
  <c r="G27" i="2"/>
  <c r="G24" i="2"/>
  <c r="G21" i="2"/>
  <c r="G20" i="2"/>
  <c r="F36" i="2"/>
  <c r="F35" i="2"/>
  <c r="F34" i="2"/>
  <c r="F33" i="2"/>
  <c r="F28" i="2"/>
  <c r="F27" i="2"/>
  <c r="F24" i="2"/>
  <c r="F21" i="2"/>
  <c r="F20" i="2"/>
  <c r="E36" i="2"/>
  <c r="E35" i="2"/>
  <c r="E34" i="2"/>
  <c r="E33" i="2"/>
  <c r="E28" i="2"/>
  <c r="E27" i="2"/>
  <c r="E24" i="2"/>
  <c r="E21" i="2"/>
  <c r="E20" i="2"/>
  <c r="D36" i="2"/>
  <c r="D35" i="2"/>
  <c r="D34" i="2"/>
  <c r="D33" i="2"/>
  <c r="D28" i="2"/>
  <c r="D27" i="2"/>
  <c r="D24" i="2"/>
  <c r="D21" i="2"/>
  <c r="D20" i="2"/>
  <c r="C36" i="2"/>
  <c r="C35" i="2"/>
  <c r="C34" i="2"/>
  <c r="C33" i="2"/>
  <c r="C28" i="2"/>
  <c r="C27" i="2"/>
  <c r="C24" i="2"/>
  <c r="C21" i="2"/>
  <c r="C20" i="2"/>
  <c r="B36" i="2"/>
  <c r="B35" i="2"/>
  <c r="B34" i="2"/>
  <c r="B33" i="2"/>
  <c r="B28" i="2"/>
  <c r="B27" i="2"/>
  <c r="B24" i="2"/>
  <c r="B20" i="2"/>
  <c r="N21" i="2" l="1"/>
  <c r="N28" i="2"/>
  <c r="N31" i="2"/>
  <c r="N35" i="2"/>
  <c r="N20" i="2"/>
  <c r="N27" i="2"/>
  <c r="N33" i="2"/>
  <c r="N36" i="2"/>
  <c r="N25" i="2"/>
  <c r="N24" i="2"/>
  <c r="N30" i="2"/>
  <c r="N34" i="2"/>
  <c r="N19" i="2"/>
  <c r="G13" i="2"/>
  <c r="G12" i="2"/>
  <c r="G11" i="2"/>
  <c r="G10" i="2"/>
  <c r="G9" i="2"/>
  <c r="G8" i="2"/>
  <c r="G7" i="2"/>
  <c r="G6" i="2"/>
  <c r="G5" i="2"/>
  <c r="G4" i="2"/>
  <c r="G3" i="2"/>
  <c r="E13" i="2"/>
  <c r="E12" i="2"/>
  <c r="E11" i="2"/>
  <c r="E10" i="2"/>
  <c r="E9" i="2"/>
  <c r="E8" i="2"/>
  <c r="E7" i="2"/>
  <c r="E6" i="2"/>
  <c r="E5" i="2"/>
  <c r="E4" i="2"/>
  <c r="E3" i="2"/>
  <c r="CM202" i="23"/>
  <c r="CM202" i="22"/>
  <c r="CM202" i="21"/>
  <c r="CM202" i="20"/>
  <c r="CM202" i="19"/>
  <c r="CM202" i="18"/>
  <c r="M143" i="2" s="1"/>
  <c r="CM202" i="17"/>
  <c r="CM202" i="16"/>
  <c r="M141" i="2" s="1"/>
  <c r="CM202" i="15"/>
  <c r="CM202" i="14"/>
  <c r="CM202" i="13"/>
  <c r="M148" i="2" l="1"/>
  <c r="L148" i="2"/>
  <c r="K148" i="2"/>
  <c r="K147" i="2"/>
  <c r="M147" i="2"/>
  <c r="L147" i="2"/>
  <c r="K146" i="2"/>
  <c r="L146" i="2"/>
  <c r="M146" i="2"/>
  <c r="K145" i="2"/>
  <c r="L145" i="2"/>
  <c r="M145" i="2"/>
  <c r="M144" i="2"/>
  <c r="L144" i="2"/>
  <c r="K144" i="2"/>
  <c r="L142" i="2"/>
  <c r="K142" i="2"/>
  <c r="M142" i="2"/>
  <c r="M140" i="2"/>
  <c r="K140" i="2"/>
  <c r="L140" i="2"/>
  <c r="M139" i="2"/>
  <c r="L139" i="2"/>
  <c r="K139" i="2"/>
  <c r="K138" i="2"/>
  <c r="L138" i="2"/>
  <c r="M138" i="2"/>
  <c r="K141" i="2"/>
  <c r="L141" i="2"/>
  <c r="L143" i="2"/>
  <c r="K143" i="2"/>
  <c r="Y89" i="2"/>
  <c r="Y87" i="2"/>
  <c r="Y90" i="2"/>
  <c r="Y86" i="2"/>
  <c r="Y88" i="2"/>
  <c r="AC89" i="2"/>
  <c r="AC87" i="2"/>
  <c r="AC88" i="2"/>
  <c r="AC90" i="2"/>
  <c r="AC86" i="2"/>
  <c r="X90" i="2"/>
  <c r="X86" i="2"/>
  <c r="X89" i="2"/>
  <c r="X88" i="2"/>
  <c r="X87" i="2"/>
  <c r="AB90" i="2"/>
  <c r="AB86" i="2"/>
  <c r="AB89" i="2"/>
  <c r="AB88" i="2"/>
  <c r="AB87" i="2"/>
  <c r="AF90" i="2"/>
  <c r="AF86" i="2"/>
  <c r="AF89" i="2"/>
  <c r="AF88" i="2"/>
  <c r="AF87" i="2"/>
  <c r="W86" i="2"/>
  <c r="W89" i="2"/>
  <c r="W90" i="2"/>
  <c r="W88" i="2"/>
  <c r="W87" i="2"/>
  <c r="AA87" i="2"/>
  <c r="AA86" i="2"/>
  <c r="AA89" i="2"/>
  <c r="AA90" i="2"/>
  <c r="AA88" i="2"/>
  <c r="AE87" i="2"/>
  <c r="AE90" i="2"/>
  <c r="AE89" i="2"/>
  <c r="AE86" i="2"/>
  <c r="AE88" i="2"/>
  <c r="Z88" i="2"/>
  <c r="Z90" i="2"/>
  <c r="Z86" i="2"/>
  <c r="Z87" i="2"/>
  <c r="Z89" i="2"/>
  <c r="AD88" i="2"/>
  <c r="AD87" i="2"/>
  <c r="AD90" i="2"/>
  <c r="AD86" i="2"/>
  <c r="AD89" i="2"/>
  <c r="V89" i="2"/>
  <c r="V88" i="2"/>
  <c r="V87" i="2"/>
  <c r="V90" i="2"/>
  <c r="V86" i="2"/>
  <c r="AA69" i="2"/>
  <c r="Y69" i="2"/>
  <c r="W69" i="2"/>
  <c r="U69" i="2"/>
  <c r="S69" i="2"/>
  <c r="Q69" i="2"/>
  <c r="O69" i="2"/>
  <c r="M69" i="2"/>
  <c r="K69" i="2"/>
  <c r="I69" i="2"/>
  <c r="G69" i="2"/>
  <c r="AB69" i="2"/>
  <c r="Z69" i="2"/>
  <c r="X69" i="2"/>
  <c r="V69" i="2"/>
  <c r="T69" i="2"/>
  <c r="R69" i="2"/>
  <c r="P69" i="2"/>
  <c r="N69" i="2"/>
  <c r="L69" i="2"/>
  <c r="J69" i="2"/>
  <c r="H69" i="2"/>
  <c r="AB68" i="2"/>
  <c r="Z68" i="2"/>
  <c r="X68" i="2"/>
  <c r="V68" i="2"/>
  <c r="T68" i="2"/>
  <c r="R68" i="2"/>
  <c r="P68" i="2"/>
  <c r="N68" i="2"/>
  <c r="L68" i="2"/>
  <c r="J68" i="2"/>
  <c r="H68" i="2"/>
  <c r="AA68" i="2"/>
  <c r="Y68" i="2"/>
  <c r="W68" i="2"/>
  <c r="U68" i="2"/>
  <c r="S68" i="2"/>
  <c r="Q68" i="2"/>
  <c r="O68" i="2"/>
  <c r="M68" i="2"/>
  <c r="K68" i="2"/>
  <c r="I68" i="2"/>
  <c r="AB76" i="2"/>
  <c r="Z76" i="2"/>
  <c r="X76" i="2"/>
  <c r="V76" i="2"/>
  <c r="T76" i="2"/>
  <c r="R76" i="2"/>
  <c r="P76" i="2"/>
  <c r="N76" i="2"/>
  <c r="L76" i="2"/>
  <c r="J76" i="2"/>
  <c r="H76" i="2"/>
  <c r="AA76" i="2"/>
  <c r="Y76" i="2"/>
  <c r="W76" i="2"/>
  <c r="U76" i="2"/>
  <c r="S76" i="2"/>
  <c r="Q76" i="2"/>
  <c r="O76" i="2"/>
  <c r="M76" i="2"/>
  <c r="K76" i="2"/>
  <c r="I76" i="2"/>
  <c r="G76" i="2"/>
  <c r="AB71" i="2"/>
  <c r="Z71" i="2"/>
  <c r="X71" i="2"/>
  <c r="V71" i="2"/>
  <c r="T71" i="2"/>
  <c r="R71" i="2"/>
  <c r="P71" i="2"/>
  <c r="N71" i="2"/>
  <c r="L71" i="2"/>
  <c r="J71" i="2"/>
  <c r="H71" i="2"/>
  <c r="AA71" i="2"/>
  <c r="Y71" i="2"/>
  <c r="W71" i="2"/>
  <c r="U71" i="2"/>
  <c r="S71" i="2"/>
  <c r="Q71" i="2"/>
  <c r="O71" i="2"/>
  <c r="M71" i="2"/>
  <c r="K71" i="2"/>
  <c r="I71" i="2"/>
  <c r="G71" i="2"/>
  <c r="AB66" i="2"/>
  <c r="Z66" i="2"/>
  <c r="X66" i="2"/>
  <c r="V66" i="2"/>
  <c r="T66" i="2"/>
  <c r="R66" i="2"/>
  <c r="P66" i="2"/>
  <c r="N66" i="2"/>
  <c r="L66" i="2"/>
  <c r="J66" i="2"/>
  <c r="H66" i="2"/>
  <c r="G66" i="2"/>
  <c r="AA66" i="2"/>
  <c r="Y66" i="2"/>
  <c r="W66" i="2"/>
  <c r="U66" i="2"/>
  <c r="S66" i="2"/>
  <c r="Q66" i="2"/>
  <c r="O66" i="2"/>
  <c r="M66" i="2"/>
  <c r="K66" i="2"/>
  <c r="I66" i="2"/>
  <c r="AA70" i="2"/>
  <c r="Y70" i="2"/>
  <c r="W70" i="2"/>
  <c r="U70" i="2"/>
  <c r="S70" i="2"/>
  <c r="Q70" i="2"/>
  <c r="O70" i="2"/>
  <c r="M70" i="2"/>
  <c r="K70" i="2"/>
  <c r="I70" i="2"/>
  <c r="G70" i="2"/>
  <c r="AB70" i="2"/>
  <c r="Z70" i="2"/>
  <c r="X70" i="2"/>
  <c r="V70" i="2"/>
  <c r="T70" i="2"/>
  <c r="R70" i="2"/>
  <c r="P70" i="2"/>
  <c r="N70" i="2"/>
  <c r="L70" i="2"/>
  <c r="J70" i="2"/>
  <c r="H70" i="2"/>
  <c r="H75" i="2"/>
  <c r="Y75" i="2"/>
  <c r="V75" i="2"/>
  <c r="S75" i="2"/>
  <c r="Q75" i="2"/>
  <c r="N75" i="2"/>
  <c r="K75" i="2"/>
  <c r="AB75" i="2"/>
  <c r="AA75" i="2"/>
  <c r="X75" i="2"/>
  <c r="U75" i="2"/>
  <c r="P75" i="2"/>
  <c r="L75" i="2"/>
  <c r="J75" i="2"/>
  <c r="G75" i="2"/>
  <c r="Z75" i="2"/>
  <c r="W75" i="2"/>
  <c r="T75" i="2"/>
  <c r="R75" i="2"/>
  <c r="O75" i="2"/>
  <c r="M75" i="2"/>
  <c r="I75" i="2"/>
  <c r="Z74" i="2"/>
  <c r="V74" i="2"/>
  <c r="R74" i="2"/>
  <c r="N74" i="2"/>
  <c r="J74" i="2"/>
  <c r="Y74" i="2"/>
  <c r="U74" i="2"/>
  <c r="Q74" i="2"/>
  <c r="M74" i="2"/>
  <c r="I74" i="2"/>
  <c r="H74" i="2"/>
  <c r="AB74" i="2"/>
  <c r="X74" i="2"/>
  <c r="T74" i="2"/>
  <c r="P74" i="2"/>
  <c r="L74" i="2"/>
  <c r="AA74" i="2"/>
  <c r="W74" i="2"/>
  <c r="S74" i="2"/>
  <c r="O74" i="2"/>
  <c r="K74" i="2"/>
  <c r="G74" i="2"/>
  <c r="Y73" i="2"/>
  <c r="W73" i="2"/>
  <c r="AA73" i="2"/>
  <c r="U73" i="2"/>
  <c r="S73" i="2"/>
  <c r="Q73" i="2"/>
  <c r="O73" i="2"/>
  <c r="M73" i="2"/>
  <c r="K73" i="2"/>
  <c r="H73" i="2"/>
  <c r="G73" i="2"/>
  <c r="V73" i="2"/>
  <c r="T73" i="2"/>
  <c r="P73" i="2"/>
  <c r="L73" i="2"/>
  <c r="AB73" i="2"/>
  <c r="Z73" i="2"/>
  <c r="X73" i="2"/>
  <c r="R73" i="2"/>
  <c r="N73" i="2"/>
  <c r="J73" i="2"/>
  <c r="I73" i="2"/>
  <c r="AB72" i="2"/>
  <c r="X72" i="2"/>
  <c r="T72" i="2"/>
  <c r="P72" i="2"/>
  <c r="L72" i="2"/>
  <c r="G72" i="2"/>
  <c r="Y72" i="2"/>
  <c r="U72" i="2"/>
  <c r="Q72" i="2"/>
  <c r="M72" i="2"/>
  <c r="I72" i="2"/>
  <c r="Z72" i="2"/>
  <c r="V72" i="2"/>
  <c r="R72" i="2"/>
  <c r="N72" i="2"/>
  <c r="J72" i="2"/>
  <c r="AA72" i="2"/>
  <c r="W72" i="2"/>
  <c r="S72" i="2"/>
  <c r="O72" i="2"/>
  <c r="K72" i="2"/>
  <c r="H72" i="2"/>
  <c r="Y67" i="2"/>
  <c r="U67" i="2"/>
  <c r="Q67" i="2"/>
  <c r="M67" i="2"/>
  <c r="I67" i="2"/>
  <c r="G67" i="2"/>
  <c r="AB67" i="2"/>
  <c r="X67" i="2"/>
  <c r="T67" i="2"/>
  <c r="P67" i="2"/>
  <c r="AA67" i="2"/>
  <c r="W67" i="2"/>
  <c r="S67" i="2"/>
  <c r="O67" i="2"/>
  <c r="K67" i="2"/>
  <c r="H67" i="2"/>
  <c r="Z67" i="2"/>
  <c r="V67" i="2"/>
  <c r="R67" i="2"/>
  <c r="N67" i="2"/>
  <c r="J67" i="2"/>
  <c r="L67" i="2"/>
  <c r="G68" i="2"/>
  <c r="N37" i="2"/>
  <c r="O26" i="2" s="1"/>
  <c r="B5" i="2"/>
  <c r="C6" i="3" s="1"/>
  <c r="G14" i="2"/>
  <c r="E2" i="2"/>
  <c r="E14" i="2" s="1"/>
  <c r="M7" i="2" s="1"/>
  <c r="B3" i="2"/>
  <c r="B4" i="2"/>
  <c r="C5" i="3" s="1"/>
  <c r="B6" i="2"/>
  <c r="C7" i="3" s="1"/>
  <c r="B7" i="2"/>
  <c r="C8" i="3" s="1"/>
  <c r="B8" i="2"/>
  <c r="C9" i="3" s="1"/>
  <c r="B9" i="2"/>
  <c r="C10" i="3" s="1"/>
  <c r="B10" i="2"/>
  <c r="C11" i="3" s="1"/>
  <c r="B11" i="2"/>
  <c r="C12" i="3" s="1"/>
  <c r="B12" i="2"/>
  <c r="C13" i="3" s="1"/>
  <c r="B13" i="2"/>
  <c r="C14" i="3" s="1"/>
  <c r="B2" i="2"/>
  <c r="O29" i="2" l="1"/>
  <c r="O32" i="2"/>
  <c r="O30" i="2"/>
  <c r="O22" i="2"/>
  <c r="O19" i="2"/>
  <c r="O24" i="2"/>
  <c r="O35" i="2"/>
  <c r="O25" i="2"/>
  <c r="O36" i="2"/>
  <c r="O33" i="2"/>
  <c r="O31" i="2"/>
  <c r="O21" i="2"/>
  <c r="O34" i="2"/>
  <c r="O28" i="2"/>
  <c r="O20" i="2"/>
  <c r="O27" i="2"/>
  <c r="C4" i="3"/>
  <c r="C3" i="3"/>
  <c r="B14" i="2"/>
  <c r="C15" i="3" l="1"/>
  <c r="M8" i="2"/>
  <c r="M9" i="2" s="1"/>
  <c r="M10" i="2" s="1"/>
  <c r="CM202" i="12"/>
  <c r="L137" i="2" l="1"/>
  <c r="L150" i="2" s="1"/>
  <c r="K137" i="2"/>
  <c r="K150" i="2" s="1"/>
  <c r="M137" i="2"/>
  <c r="M150" i="2" s="1"/>
  <c r="U87" i="2"/>
  <c r="G65" i="2"/>
  <c r="G77" i="2" s="1"/>
  <c r="M65" i="2"/>
  <c r="M77" i="2" s="1"/>
  <c r="R65" i="2"/>
  <c r="R77" i="2" s="1"/>
  <c r="W65" i="2"/>
  <c r="W77" i="2" s="1"/>
  <c r="AB65" i="2"/>
  <c r="AB77" i="2" s="1"/>
  <c r="U90" i="2"/>
  <c r="AH90" i="2" s="1"/>
  <c r="Y65" i="2"/>
  <c r="Y77" i="2" s="1"/>
  <c r="I65" i="2"/>
  <c r="I77" i="2" s="1"/>
  <c r="N65" i="2"/>
  <c r="N77" i="2" s="1"/>
  <c r="S65" i="2"/>
  <c r="S77" i="2" s="1"/>
  <c r="X65" i="2"/>
  <c r="X77" i="2" s="1"/>
  <c r="H65" i="2"/>
  <c r="H77" i="2" s="1"/>
  <c r="U86" i="2"/>
  <c r="AH86" i="2" s="1"/>
  <c r="U65" i="2"/>
  <c r="U77" i="2" s="1"/>
  <c r="Z65" i="2"/>
  <c r="Z77" i="2" s="1"/>
  <c r="J65" i="2"/>
  <c r="J77" i="2" s="1"/>
  <c r="O65" i="2"/>
  <c r="O77" i="2" s="1"/>
  <c r="T65" i="2"/>
  <c r="T77" i="2" s="1"/>
  <c r="L65" i="2"/>
  <c r="L77" i="2" s="1"/>
  <c r="U88" i="2"/>
  <c r="AH88" i="2" s="1"/>
  <c r="U89" i="2"/>
  <c r="AH89" i="2" s="1"/>
  <c r="Q65" i="2"/>
  <c r="Q77" i="2" s="1"/>
  <c r="V65" i="2"/>
  <c r="V77" i="2" s="1"/>
  <c r="AA65" i="2"/>
  <c r="AA77" i="2" s="1"/>
  <c r="K65" i="2"/>
  <c r="K77" i="2" s="1"/>
  <c r="P65" i="2"/>
  <c r="P77" i="2" s="1"/>
  <c r="AH87" i="2" l="1"/>
  <c r="V79" i="2"/>
  <c r="T79" i="2" l="1"/>
  <c r="Z79" i="2"/>
  <c r="P79" i="2"/>
  <c r="L79" i="2"/>
  <c r="Y79" i="2"/>
  <c r="J79" i="2"/>
  <c r="U79" i="2"/>
  <c r="I79" i="2"/>
  <c r="AB79" i="2"/>
  <c r="M79" i="2"/>
  <c r="R79" i="2"/>
  <c r="AA79" i="2"/>
  <c r="N79" i="2"/>
  <c r="W79" i="2"/>
  <c r="G79" i="2"/>
  <c r="S79" i="2"/>
  <c r="O79" i="2"/>
  <c r="H79" i="2"/>
  <c r="Q79" i="2"/>
  <c r="X79" i="2"/>
  <c r="K79" i="2"/>
</calcChain>
</file>

<file path=xl/sharedStrings.xml><?xml version="1.0" encoding="utf-8"?>
<sst xmlns="http://schemas.openxmlformats.org/spreadsheetml/2006/main" count="1944" uniqueCount="342">
  <si>
    <t>Patient Sex</t>
  </si>
  <si>
    <t>Reason for Visit</t>
  </si>
  <si>
    <t>Patient Prescribed Antibiotic</t>
  </si>
  <si>
    <t>Drug Class</t>
  </si>
  <si>
    <t>Date of Service</t>
  </si>
  <si>
    <t>Patient Medical Record Number</t>
  </si>
  <si>
    <t>Patient Species</t>
  </si>
  <si>
    <t>Total Number of Antibiotics Prescribed</t>
  </si>
  <si>
    <t>Drug Name</t>
  </si>
  <si>
    <t>Duration 
(in days)</t>
  </si>
  <si>
    <t>mm/dd/yyyy</t>
  </si>
  <si>
    <t>Free Text</t>
  </si>
  <si>
    <t>Canine</t>
  </si>
  <si>
    <t>Feline</t>
  </si>
  <si>
    <t>Male Intact</t>
  </si>
  <si>
    <t>Male Neutered</t>
  </si>
  <si>
    <t>Female Intact</t>
  </si>
  <si>
    <t>Female Spayed</t>
  </si>
  <si>
    <t>Preventive Care</t>
  </si>
  <si>
    <t>Re-check</t>
  </si>
  <si>
    <t>Sick</t>
  </si>
  <si>
    <t>Other</t>
  </si>
  <si>
    <t>Yes</t>
  </si>
  <si>
    <t>No</t>
  </si>
  <si>
    <t>Numerical value</t>
  </si>
  <si>
    <t>Amikacin</t>
  </si>
  <si>
    <t>Amoxicillin</t>
  </si>
  <si>
    <t>Ampicillin</t>
  </si>
  <si>
    <t>Azithromycin</t>
  </si>
  <si>
    <t>Cefadroxil</t>
  </si>
  <si>
    <t>Cefazolin</t>
  </si>
  <si>
    <t>Cefepime</t>
  </si>
  <si>
    <t>Cefotaxime</t>
  </si>
  <si>
    <t>Ceftazidime</t>
  </si>
  <si>
    <t>Ceftriaxone</t>
  </si>
  <si>
    <t>Cephalexin</t>
  </si>
  <si>
    <t>Chloramphenicol</t>
  </si>
  <si>
    <t>Clarithromycin</t>
  </si>
  <si>
    <t>Clindamycin</t>
  </si>
  <si>
    <t>Doxycycline</t>
  </si>
  <si>
    <t>Erythromycin</t>
  </si>
  <si>
    <t>Gentamicin</t>
  </si>
  <si>
    <t>Imipenem/Cilastatin</t>
  </si>
  <si>
    <t>Metronidazole</t>
  </si>
  <si>
    <t>Minocycline</t>
  </si>
  <si>
    <t>Nitrofurantoin</t>
  </si>
  <si>
    <t>Penicillin G</t>
  </si>
  <si>
    <t>Polymyxin B</t>
  </si>
  <si>
    <t>Rifampin</t>
  </si>
  <si>
    <t>Sulfamethoxazole/Trimethoprim</t>
  </si>
  <si>
    <t>Tetracycline</t>
  </si>
  <si>
    <t>Vancomycin</t>
  </si>
  <si>
    <t>Aminoglycosides</t>
  </si>
  <si>
    <t>Penicillins</t>
  </si>
  <si>
    <t>Macrolides</t>
  </si>
  <si>
    <t>Cephalosporins</t>
  </si>
  <si>
    <t>Phenicols</t>
  </si>
  <si>
    <t>Fluoroquinolones</t>
  </si>
  <si>
    <t>Lincosamides</t>
  </si>
  <si>
    <t>Polymyxins</t>
  </si>
  <si>
    <t>Glycopeptides</t>
  </si>
  <si>
    <t>Tetracyclines</t>
  </si>
  <si>
    <t>Nitroimidazoles</t>
  </si>
  <si>
    <t>Nitrofurans</t>
  </si>
  <si>
    <t>Unknown</t>
  </si>
  <si>
    <t>Frequency</t>
  </si>
  <si>
    <t>Numerical Value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</si>
  <si>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</si>
  <si>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</si>
  <si>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</si>
  <si>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</si>
  <si>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</si>
  <si>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</si>
  <si>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</si>
  <si>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</si>
  <si>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</si>
  <si>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</si>
  <si>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</si>
  <si>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</si>
  <si>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</si>
  <si>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Patients </t>
  </si>
  <si>
    <t>Patients Seen per Month</t>
  </si>
  <si>
    <t>Disease/Infection Type</t>
  </si>
  <si>
    <t>Disease Description</t>
  </si>
  <si>
    <t>Dose (in mg)</t>
  </si>
  <si>
    <t>Route</t>
  </si>
  <si>
    <t>Dermatologic Disease</t>
  </si>
  <si>
    <t>Acute</t>
  </si>
  <si>
    <t>SID</t>
  </si>
  <si>
    <t>PO</t>
  </si>
  <si>
    <t>Dental Disease</t>
  </si>
  <si>
    <t>Chronic</t>
  </si>
  <si>
    <t>BID</t>
  </si>
  <si>
    <t>SQ</t>
  </si>
  <si>
    <t>Recurrent</t>
  </si>
  <si>
    <t>TID</t>
  </si>
  <si>
    <t>IV</t>
  </si>
  <si>
    <t>Reproductive Disease</t>
  </si>
  <si>
    <t>Topical</t>
  </si>
  <si>
    <t>Peri-operative</t>
  </si>
  <si>
    <t>None</t>
  </si>
  <si>
    <t>Vector-borne Disease</t>
  </si>
  <si>
    <t>Gastrointestinal Disease</t>
  </si>
  <si>
    <t>PATIENT VISIT INFORMATION</t>
  </si>
  <si>
    <t>Disease 1 Antibiotic 1</t>
  </si>
  <si>
    <t>Disease 1  Antibiotic 2</t>
  </si>
  <si>
    <t>Disease 1  Antibiotic 3</t>
  </si>
  <si>
    <t>Disease 2 Antibiotic 1</t>
  </si>
  <si>
    <t>Disease 3  Antibiotic 3</t>
  </si>
  <si>
    <t>Disease 3 Antibiotic 1</t>
  </si>
  <si>
    <t>Disease 3  Antibiotic 2</t>
  </si>
  <si>
    <t>Patient Age</t>
  </si>
  <si>
    <t>Notes/Comments</t>
  </si>
  <si>
    <t>If Other Diseasee/Infection Type Explain</t>
  </si>
  <si>
    <t>Number of Antibiotics Prescribed for this Condition</t>
  </si>
  <si>
    <t>Diagnostics Offered for Infectious Condition</t>
  </si>
  <si>
    <t>Diagnostic Performed for Infectious Condition</t>
  </si>
  <si>
    <t>0-4 months</t>
  </si>
  <si>
    <t xml:space="preserve">Free Text </t>
  </si>
  <si>
    <t>B-lactam/B-lactamase inhibitor combination</t>
  </si>
  <si>
    <t>QID</t>
  </si>
  <si>
    <t>IM</t>
  </si>
  <si>
    <t>Once</t>
  </si>
  <si>
    <t>&gt;10 years</t>
  </si>
  <si>
    <t>Bacitracin</t>
  </si>
  <si>
    <t>Polypeptides</t>
  </si>
  <si>
    <t>N/A</t>
  </si>
  <si>
    <t>Ceftiofur sodium</t>
  </si>
  <si>
    <t>Ceftiofur crystalline free acid (long acting formulation)</t>
  </si>
  <si>
    <t>Chlortetracycline</t>
  </si>
  <si>
    <t>Enrofloxacin</t>
  </si>
  <si>
    <t>Lincomycin</t>
  </si>
  <si>
    <t>Neomycin</t>
  </si>
  <si>
    <t>Ofloxacin</t>
  </si>
  <si>
    <t>Oxytetracycline</t>
  </si>
  <si>
    <t>Oxytetracycline/Polymyxin B</t>
  </si>
  <si>
    <t>Tetracyclines/Polymyxins</t>
  </si>
  <si>
    <t>Penicillins/beta-lactamase inhibitor</t>
  </si>
  <si>
    <t>Pradofloxacin</t>
  </si>
  <si>
    <t>Silver Sulfadiazine (SSD)</t>
  </si>
  <si>
    <t>Sulfonamides</t>
  </si>
  <si>
    <t>Sulfadiazine/Trimethoprim</t>
  </si>
  <si>
    <t>Sulfonamides/Folate pathway inhibitors</t>
  </si>
  <si>
    <t>Sulfadimethoxine</t>
  </si>
  <si>
    <t>Sulfadimethoxine/Ormetoprim</t>
  </si>
  <si>
    <t>Sulfasalazine</t>
  </si>
  <si>
    <t>Tobramycin Sulfate</t>
  </si>
  <si>
    <t>Tulathromycin</t>
  </si>
  <si>
    <t>Tylosin</t>
  </si>
  <si>
    <t>Surgery/Procedure</t>
  </si>
  <si>
    <t>If Other Reason for Visit Explain</t>
  </si>
  <si>
    <t>Disease Informatiom</t>
  </si>
  <si>
    <t>Antibiotic Information</t>
  </si>
  <si>
    <t>Disease 1</t>
  </si>
  <si>
    <t>Disease 2</t>
  </si>
  <si>
    <t>Disease 2  Antibiotic 3</t>
  </si>
  <si>
    <t>Disease 3</t>
  </si>
  <si>
    <t>Drug Name2</t>
  </si>
  <si>
    <t>Drug Class3</t>
  </si>
  <si>
    <t>Dose (in mg)4</t>
  </si>
  <si>
    <t>Frequency5</t>
  </si>
  <si>
    <t>Route6</t>
  </si>
  <si>
    <t>Duration 
(in days)7</t>
  </si>
  <si>
    <t>Dose (in mg)2</t>
  </si>
  <si>
    <t>Drug Class2</t>
  </si>
  <si>
    <t>Frequency3</t>
  </si>
  <si>
    <t>Frequency2</t>
  </si>
  <si>
    <t>Route2</t>
  </si>
  <si>
    <t>Drug Name3</t>
  </si>
  <si>
    <t>Dose (in mg)3</t>
  </si>
  <si>
    <t>Route3</t>
  </si>
  <si>
    <t>Duration 
(in days)2</t>
  </si>
  <si>
    <t>Duration 
(in days)3</t>
  </si>
  <si>
    <t>Disease/Infection Type2</t>
  </si>
  <si>
    <t>Disease Description2</t>
  </si>
  <si>
    <t>Number of Antibiotics Prescribed for this Condition2</t>
  </si>
  <si>
    <t>Drug Name4</t>
  </si>
  <si>
    <t>Drug Class4</t>
  </si>
  <si>
    <t>Frequency4</t>
  </si>
  <si>
    <t>Route4</t>
  </si>
  <si>
    <t>Duration 
(in days)4</t>
  </si>
  <si>
    <t>Drug Name5</t>
  </si>
  <si>
    <t>Drug Class5</t>
  </si>
  <si>
    <t>Dose (in mg)5</t>
  </si>
  <si>
    <t>Route5</t>
  </si>
  <si>
    <t>Duration 
(in days)5</t>
  </si>
  <si>
    <t>Drug Name6</t>
  </si>
  <si>
    <t>Drug Class6</t>
  </si>
  <si>
    <t>Dose (in mg)6</t>
  </si>
  <si>
    <t>Frequency6</t>
  </si>
  <si>
    <t>Duration 
(in days)6</t>
  </si>
  <si>
    <t>Disease/Infection Type3</t>
  </si>
  <si>
    <t>Disease Description3</t>
  </si>
  <si>
    <t>Number of Antibiotics Prescribed for this Condition3</t>
  </si>
  <si>
    <t>Drug Name7</t>
  </si>
  <si>
    <t>Drug Class7</t>
  </si>
  <si>
    <t>Dose (in mg)7</t>
  </si>
  <si>
    <t>Frequency7</t>
  </si>
  <si>
    <t>Route7</t>
  </si>
  <si>
    <t>Drug Name8</t>
  </si>
  <si>
    <t>Drug Class8</t>
  </si>
  <si>
    <t>Dose (in mg)8</t>
  </si>
  <si>
    <t>Frequency8</t>
  </si>
  <si>
    <t>Route8</t>
  </si>
  <si>
    <t>Duration 
(in days)8</t>
  </si>
  <si>
    <t>Drug Name9</t>
  </si>
  <si>
    <t>Drug Class9</t>
  </si>
  <si>
    <t>Dose (in mg)9</t>
  </si>
  <si>
    <t>Frequency9</t>
  </si>
  <si>
    <t>Route9</t>
  </si>
  <si>
    <t>Duration 
(in days)9</t>
  </si>
  <si>
    <t xml:space="preserve">Number of Antibiotics Prescribed for this Condition </t>
  </si>
  <si>
    <t>Diagnostics Offered for Infectious Condition (Y/N)</t>
  </si>
  <si>
    <t>Diagnostic Performed for Infectious Condition (Y/N)</t>
  </si>
  <si>
    <t>Total Number of Antibiotics Prescribed for Patient</t>
  </si>
  <si>
    <t>If Other Disease/Infection Type Explain</t>
  </si>
  <si>
    <t>Disease 2 Antibiotic 2</t>
  </si>
  <si>
    <t>Attending Clinician</t>
  </si>
  <si>
    <t>Patient Prescribed Antibiotic (Y/N/WW)</t>
  </si>
  <si>
    <t xml:space="preserve">Location Filled </t>
  </si>
  <si>
    <t>Location Filled2</t>
  </si>
  <si>
    <t>Location Filled3</t>
  </si>
  <si>
    <t>If Other Disease/Infection Type Explain2</t>
  </si>
  <si>
    <t>Diagnostics Offered for Infectious Condition (Y/N)2</t>
  </si>
  <si>
    <t>Diagnostic Performed for Infectious Condition (Y/N)2</t>
  </si>
  <si>
    <t>Location Filled4</t>
  </si>
  <si>
    <t>Location Filled5</t>
  </si>
  <si>
    <t>Location Filled6</t>
  </si>
  <si>
    <t>Diagnostics Offered for Infectious Condition (Y/N)3</t>
  </si>
  <si>
    <t>Diagnostic Performed for Infectious Condition (Y/N)3</t>
  </si>
  <si>
    <t>Locatio  Filled7</t>
  </si>
  <si>
    <t>Location Filled8</t>
  </si>
  <si>
    <t>Location Filled9</t>
  </si>
  <si>
    <t>If Other Disease/Infection Type Explain3</t>
  </si>
  <si>
    <t>Patient Visit Information</t>
  </si>
  <si>
    <t>*Free text whole number up to 9*</t>
  </si>
  <si>
    <t>Location Filled</t>
  </si>
  <si>
    <t>In Clinic</t>
  </si>
  <si>
    <t xml:space="preserve"> </t>
  </si>
  <si>
    <t>Total</t>
  </si>
  <si>
    <t>Total Patients Seen</t>
  </si>
  <si>
    <t xml:space="preserve">December </t>
  </si>
  <si>
    <t xml:space="preserve">Total </t>
  </si>
  <si>
    <t>Total Patients Prescribed Antibiotics</t>
  </si>
  <si>
    <t>Total Patients Not Prescribed Antibiotics</t>
  </si>
  <si>
    <t>&gt;4-12 months</t>
  </si>
  <si>
    <t>&gt;1-3 years</t>
  </si>
  <si>
    <t>&gt;3-7 years</t>
  </si>
  <si>
    <t>&gt;7-10 years</t>
  </si>
  <si>
    <t>Leptospirosis</t>
  </si>
  <si>
    <t>Neurological Disease</t>
  </si>
  <si>
    <t>Ocular Disease</t>
  </si>
  <si>
    <t>Florfenicol</t>
  </si>
  <si>
    <t>Otic Florfenicol (Claro, Osurnia, etc.)</t>
  </si>
  <si>
    <t>Otic Gentamicin (Mometamax, Otomax, etc.)</t>
  </si>
  <si>
    <t>Otic Enrofloxacin (Baytril Otic, etc.)</t>
  </si>
  <si>
    <t>Otic Orbifloxacin (Posatex, etc.)</t>
  </si>
  <si>
    <t>Otic Neomycin (Animax, etc.)</t>
  </si>
  <si>
    <t xml:space="preserve">Antibiotics prescribed by Disease </t>
  </si>
  <si>
    <t>TOTAL</t>
  </si>
  <si>
    <t>Condition</t>
  </si>
  <si>
    <t xml:space="preserve">Percent </t>
  </si>
  <si>
    <t>Diagnostics Offered</t>
  </si>
  <si>
    <t>Otic Polymyxin B (Surolan, etc.)</t>
  </si>
  <si>
    <t>Ciprofloxacin (oral)</t>
  </si>
  <si>
    <t>Otic</t>
  </si>
  <si>
    <t>Ampicillin/Sulbactam (Unasyn)</t>
  </si>
  <si>
    <t>Amoxicillin/Clavulanic Acid (Clavamox, Augmentin)</t>
  </si>
  <si>
    <t>Cefovecin (Convenia)</t>
  </si>
  <si>
    <t xml:space="preserve">Cefpodoxime Proxetil </t>
  </si>
  <si>
    <t>Marbofloxacin (Zeniquin)</t>
  </si>
  <si>
    <t>Orbifloxacin (Orbax)</t>
  </si>
  <si>
    <t>Hepatic Disease</t>
  </si>
  <si>
    <t>External Pharmacy</t>
  </si>
  <si>
    <t>Watchful Waiting</t>
  </si>
  <si>
    <t>EOD</t>
  </si>
  <si>
    <t>Mupirocin (Bactroban)</t>
  </si>
  <si>
    <t>carboxylic acid </t>
  </si>
  <si>
    <t xml:space="preserve">Ophthalmic Antibiotic </t>
  </si>
  <si>
    <t>Ophthalmic</t>
  </si>
  <si>
    <t>Fosfomycin (Monurol)</t>
  </si>
  <si>
    <t>Fosfomycins</t>
  </si>
  <si>
    <t>Meropenem</t>
  </si>
  <si>
    <t>Carbapenems/dehydropeptidase inhibitors</t>
  </si>
  <si>
    <t>Carbapenems</t>
  </si>
  <si>
    <t>Tigecycline</t>
  </si>
  <si>
    <t>Glycylcyclines</t>
  </si>
  <si>
    <t>Piperacillin/Tazobactam (Zosyn)</t>
  </si>
  <si>
    <t>Linezolid</t>
  </si>
  <si>
    <t>Linezolid (Zyvox)</t>
  </si>
  <si>
    <t>Oxazolidinones</t>
  </si>
  <si>
    <t>Teicoplanin</t>
  </si>
  <si>
    <t>Colistin</t>
  </si>
  <si>
    <t>Total Patients Watchful Waiting</t>
  </si>
  <si>
    <t>Diagnostics Performed</t>
  </si>
  <si>
    <t>For patients prescribed antibiotics</t>
  </si>
  <si>
    <t>Drug Name Reference</t>
  </si>
  <si>
    <t>TOTAL:</t>
  </si>
  <si>
    <t>Percent</t>
  </si>
  <si>
    <t>Polymixin B</t>
  </si>
  <si>
    <t>Avoid Drugs</t>
  </si>
  <si>
    <t>Drugs</t>
  </si>
  <si>
    <t>Total Prescriptions</t>
  </si>
  <si>
    <t>Upper Urinary Tract Disease</t>
  </si>
  <si>
    <t>Lower Urinary Tract Disease</t>
  </si>
  <si>
    <t>Upper Respiratory Tract Disease</t>
  </si>
  <si>
    <t>Lower Respiratory Tract Disease</t>
  </si>
  <si>
    <t>Watchful Waiting By Disease</t>
  </si>
  <si>
    <t>Upper Respiratory</t>
  </si>
  <si>
    <t>First Generation</t>
  </si>
  <si>
    <t>Second Generation</t>
  </si>
  <si>
    <t xml:space="preserve">Third Generation </t>
  </si>
  <si>
    <t xml:space="preserve">Penicillin </t>
  </si>
  <si>
    <t>Fourth Generation</t>
  </si>
  <si>
    <t>Drug Use by Generation</t>
  </si>
  <si>
    <t>1st Generation</t>
  </si>
  <si>
    <t>2nd Generation</t>
  </si>
  <si>
    <t>3rd Generation</t>
  </si>
  <si>
    <t>Percentage of Patients Prescribed Antibiotics</t>
  </si>
  <si>
    <t>Otic Disease</t>
  </si>
  <si>
    <t>Euthanasia</t>
  </si>
  <si>
    <t>Percentage Dogs and Cats</t>
  </si>
  <si>
    <t>Total Patients</t>
  </si>
  <si>
    <t>Dental</t>
  </si>
  <si>
    <t>Dermatologic</t>
  </si>
  <si>
    <t xml:space="preserve">Gastrointestinal </t>
  </si>
  <si>
    <t>Hepatic</t>
  </si>
  <si>
    <t xml:space="preserve">Neurological </t>
  </si>
  <si>
    <t>Ocular</t>
  </si>
  <si>
    <t>Reproductive</t>
  </si>
  <si>
    <t xml:space="preserve">Upper Respiratory Tract </t>
  </si>
  <si>
    <t xml:space="preserve">Lower Respiratory Tract </t>
  </si>
  <si>
    <t xml:space="preserve">Upper Urinary Tract </t>
  </si>
  <si>
    <t xml:space="preserve">Lower Urinary Tract </t>
  </si>
  <si>
    <t xml:space="preserve">Vector-borne </t>
  </si>
  <si>
    <t>Otic Florfenicol (e.g. Claro, Osurnia)</t>
  </si>
  <si>
    <t>Otic Gentamicin (e.g. Mometamax, Otomax)</t>
  </si>
  <si>
    <t>Otic Enrofloxacin (e.g. Baytril Otic)</t>
  </si>
  <si>
    <t>Otic Orbifloxacin (e.g. Posatex)</t>
  </si>
  <si>
    <t>Otic Polymyxin B (e.g. Surolan)</t>
  </si>
  <si>
    <t>Otic Neomycin (e.g. Animax)</t>
  </si>
  <si>
    <t xml:space="preserve">Reason for Visit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</si>
</sst>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0" tint="-0.14999847407452621"/>
      <name val="Calibri"/>
      <family val="2"/>
    </font>
    <font>
      <sz val="11"/>
      <color theme="0" tint="-0.14999847407452621"/>
      <name val="Calibri"/>
      <family val="2"/>
    </font>
    <font>
      <b/>
      <sz val="11"/>
      <color theme="0" tint="-0.14999847407452621"/>
      <name val="Calibri"/>
      <family val="2"/>
    </font>
    <font>
      <b/>
      <sz val="16"/>
      <color theme="2" tint="-0.749992370372631"/>
      <name val="Calibri"/>
      <family val="2"/>
      <scheme val="minor"/>
    </font>
    <font>
      <sz val="14"/>
      <color rgb="FF222222"/>
      <name val="Calibri"/>
      <family val="2"/>
      <scheme val="minor"/>
    </font>
    <font>
      <sz val="12"/>
      <color theme="1"/>
      <name val="Calibri (Body)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000000"/>
      </patternFill>
    </fill>
    <fill>
      <patternFill patternType="solid">
        <fgColor rgb="FF921429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6" tint="-0.249977111117893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theme="9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2" fillId="5" borderId="0" xfId="0" applyFont="1" applyFill="1"/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6" fillId="0" borderId="8" xfId="0" applyFont="1" applyBorder="1"/>
    <xf numFmtId="0" fontId="0" fillId="0" borderId="0" xfId="0" applyAlignment="1">
      <alignment wrapText="1"/>
    </xf>
    <xf numFmtId="0" fontId="0" fillId="0" borderId="9" xfId="0" applyFont="1" applyFill="1" applyBorder="1"/>
    <xf numFmtId="0" fontId="17" fillId="0" borderId="0" xfId="0" applyFont="1"/>
    <xf numFmtId="0" fontId="0" fillId="0" borderId="0" xfId="0" applyFont="1"/>
    <xf numFmtId="0" fontId="18" fillId="0" borderId="0" xfId="0" applyFont="1"/>
    <xf numFmtId="2" fontId="1" fillId="0" borderId="0" xfId="0" applyNumberFormat="1" applyFont="1"/>
    <xf numFmtId="0" fontId="19" fillId="0" borderId="0" xfId="0" applyFont="1"/>
    <xf numFmtId="0" fontId="19" fillId="0" borderId="0" xfId="0" applyFont="1" applyAlignment="1">
      <alignment wrapText="1"/>
    </xf>
    <xf numFmtId="0" fontId="0" fillId="0" borderId="6" xfId="0" applyBorder="1" applyProtection="1"/>
    <xf numFmtId="0" fontId="0" fillId="0" borderId="0" xfId="0" applyProtection="1"/>
    <xf numFmtId="0" fontId="6" fillId="15" borderId="8" xfId="0" applyFont="1" applyFill="1" applyBorder="1"/>
    <xf numFmtId="0" fontId="7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2" fontId="0" fillId="0" borderId="0" xfId="1" applyNumberFormat="1" applyFont="1" applyProtection="1"/>
    <xf numFmtId="2" fontId="0" fillId="0" borderId="0" xfId="0" applyNumberFormat="1" applyProtection="1"/>
    <xf numFmtId="0" fontId="1" fillId="0" borderId="0" xfId="0" applyFont="1" applyProtection="1"/>
    <xf numFmtId="0" fontId="0" fillId="0" borderId="0" xfId="0" quotePrefix="1" applyProtection="1"/>
    <xf numFmtId="0" fontId="0" fillId="0" borderId="0" xfId="0" applyFont="1" applyProtection="1"/>
    <xf numFmtId="0" fontId="0" fillId="0" borderId="0" xfId="0" applyAlignment="1" applyProtection="1">
      <alignment wrapText="1"/>
    </xf>
    <xf numFmtId="0" fontId="6" fillId="0" borderId="0" xfId="0" applyFont="1" applyAlignment="1" applyProtection="1">
      <alignment wrapText="1"/>
    </xf>
    <xf numFmtId="0" fontId="6" fillId="0" borderId="0" xfId="0" applyFont="1" applyProtection="1"/>
    <xf numFmtId="0" fontId="6" fillId="15" borderId="8" xfId="0" applyFont="1" applyFill="1" applyBorder="1" applyProtection="1"/>
    <xf numFmtId="0" fontId="6" fillId="0" borderId="8" xfId="0" applyFont="1" applyBorder="1" applyProtection="1"/>
    <xf numFmtId="0" fontId="1" fillId="11" borderId="0" xfId="0" applyFont="1" applyFill="1" applyProtection="1">
      <protection locked="0"/>
    </xf>
    <xf numFmtId="0" fontId="10" fillId="12" borderId="0" xfId="0" applyFont="1" applyFill="1" applyProtection="1">
      <protection locked="0"/>
    </xf>
    <xf numFmtId="0" fontId="1" fillId="13" borderId="0" xfId="0" applyFont="1" applyFill="1" applyProtection="1">
      <protection locked="0"/>
    </xf>
    <xf numFmtId="0" fontId="2" fillId="14" borderId="0" xfId="0" applyFont="1" applyFill="1" applyProtection="1">
      <protection locked="0"/>
    </xf>
    <xf numFmtId="0" fontId="3" fillId="14" borderId="0" xfId="0" applyFont="1" applyFill="1" applyProtection="1">
      <protection locked="0"/>
    </xf>
    <xf numFmtId="0" fontId="8" fillId="5" borderId="0" xfId="0" applyFont="1" applyFill="1" applyProtection="1">
      <protection locked="0"/>
    </xf>
    <xf numFmtId="0" fontId="10" fillId="6" borderId="0" xfId="0" applyFont="1" applyFill="1" applyAlignment="1" applyProtection="1">
      <alignment horizontal="left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14" fontId="6" fillId="0" borderId="0" xfId="0" applyNumberFormat="1" applyFont="1" applyProtection="1">
      <protection locked="0"/>
    </xf>
    <xf numFmtId="49" fontId="6" fillId="0" borderId="0" xfId="0" applyNumberFormat="1" applyFon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1" fillId="9" borderId="0" xfId="0" applyFont="1" applyFill="1" applyAlignment="1" applyProtection="1">
      <alignment horizontal="center"/>
      <protection locked="0"/>
    </xf>
    <xf numFmtId="0" fontId="9" fillId="10" borderId="0" xfId="0" applyFont="1" applyFill="1" applyAlignment="1" applyProtection="1">
      <alignment horizontal="center"/>
      <protection locked="0"/>
    </xf>
    <xf numFmtId="0" fontId="10" fillId="10" borderId="0" xfId="0" applyFont="1" applyFill="1" applyAlignment="1" applyProtection="1">
      <alignment horizontal="left"/>
      <protection locked="0"/>
    </xf>
    <xf numFmtId="0" fontId="8" fillId="5" borderId="0" xfId="0" applyFont="1" applyFill="1" applyAlignment="1" applyProtection="1">
      <alignment horizontal="left"/>
      <protection locked="0"/>
    </xf>
    <xf numFmtId="0" fontId="8" fillId="6" borderId="0" xfId="0" applyFont="1" applyFill="1" applyAlignment="1" applyProtection="1">
      <alignment horizontal="left"/>
      <protection locked="0"/>
    </xf>
    <xf numFmtId="0" fontId="8" fillId="7" borderId="0" xfId="0" applyFont="1" applyFill="1" applyAlignment="1" applyProtection="1">
      <alignment horizontal="center"/>
      <protection locked="0"/>
    </xf>
    <xf numFmtId="0" fontId="16" fillId="5" borderId="0" xfId="0" applyFont="1" applyFill="1" applyAlignment="1" applyProtection="1">
      <alignment horizontal="left"/>
      <protection locked="0"/>
    </xf>
    <xf numFmtId="0" fontId="2" fillId="8" borderId="0" xfId="0" applyFont="1" applyFill="1" applyAlignment="1" applyProtection="1">
      <alignment horizontal="left"/>
      <protection locked="0"/>
    </xf>
    <xf numFmtId="0" fontId="2" fillId="6" borderId="0" xfId="0" applyFont="1" applyFill="1" applyAlignment="1" applyProtection="1">
      <alignment horizontal="left"/>
      <protection locked="0"/>
    </xf>
    <xf numFmtId="0" fontId="2" fillId="7" borderId="0" xfId="0" applyFont="1" applyFill="1" applyAlignment="1" applyProtection="1">
      <alignment horizontal="left"/>
      <protection locked="0"/>
    </xf>
    <xf numFmtId="0" fontId="10" fillId="12" borderId="0" xfId="0" applyFont="1" applyFill="1" applyAlignment="1" applyProtection="1">
      <alignment horizontal="left"/>
      <protection locked="0"/>
    </xf>
    <xf numFmtId="0" fontId="12" fillId="14" borderId="0" xfId="0" applyFont="1" applyFill="1" applyAlignment="1" applyProtection="1">
      <alignment horizontal="left"/>
      <protection locked="0"/>
    </xf>
    <xf numFmtId="0" fontId="2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22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font>
        <color rgb="FF000000"/>
      </font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font>
        <color rgb="FF000000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font>
        <color rgb="FF000000"/>
      </font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font>
        <color rgb="FF000000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font>
        <color rgb="FF000000"/>
      </font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font>
        <color rgb="FF000000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font>
        <color rgb="FF000000"/>
      </font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font>
        <color rgb="FF000000"/>
      </font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m/d/yy"/>
      <protection locked="0" hidden="0"/>
    </dxf>
    <dxf>
      <protection locked="0" hidden="0"/>
    </dxf>
    <dxf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/>
      </font>
      <numFmt numFmtId="0" formatCode="General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</font>
    </dxf>
    <dxf>
      <border diagonalUp="0" diagonalDown="0" outline="0">
        <left style="thin">
          <color auto="1"/>
        </left>
        <right/>
        <top style="thin">
          <color auto="1"/>
        </top>
        <bottom/>
      </border>
      <protection locked="1" hidden="0"/>
    </dxf>
    <dxf>
      <protection locked="0" hidden="0"/>
    </dxf>
    <dxf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fill>
        <patternFill patternType="solid">
          <fgColor indexed="64"/>
          <bgColor rgb="FF92142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921429"/>
      <color rgb="FF7B1D1A"/>
      <color rgb="FFD87C79"/>
      <color rgb="FFFBDE7A"/>
      <color rgb="FF8C7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Antibiotic Prescriptions </a:t>
            </a:r>
            <a:r>
              <a:rPr lang="en-US" sz="1800" b="1" baseline="0"/>
              <a:t>by Month </a:t>
            </a:r>
            <a:endParaRPr lang="en-US" sz="1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Antibiotic Prescribed</c:v>
          </c:tx>
          <c:spPr>
            <a:solidFill>
              <a:srgbClr val="921429"/>
            </a:solidFill>
            <a:ln>
              <a:noFill/>
            </a:ln>
            <a:effectLst/>
          </c:spPr>
          <c:invertIfNegative val="0"/>
          <c:val>
            <c:numRef>
              <c:f>Calculations!$E$2:$E$14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E-0A4E-94C3-E7C3C5C358CF}"/>
            </c:ext>
          </c:extLst>
        </c:ser>
        <c:ser>
          <c:idx val="0"/>
          <c:order val="1"/>
          <c:tx>
            <c:v>No Antibiotic Prescribed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Calculations!$A$2:$A$14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 </c:v>
                </c:pt>
                <c:pt idx="12">
                  <c:v>Total </c:v>
                </c:pt>
              </c:strCache>
            </c:strRef>
          </c:cat>
          <c:val>
            <c:numRef>
              <c:f>Calculations!$G$2:$G$14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E-0A4E-94C3-E7C3C5C358CF}"/>
            </c:ext>
          </c:extLst>
        </c:ser>
        <c:ser>
          <c:idx val="2"/>
          <c:order val="2"/>
          <c:tx>
            <c:v>Watchful Waiting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Calculations!$I$2:$I$14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A-1748-B8A4-A579F48E9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133347504"/>
        <c:axId val="1133349136"/>
      </c:barChart>
      <c:catAx>
        <c:axId val="11333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349136"/>
        <c:crosses val="autoZero"/>
        <c:auto val="1"/>
        <c:lblAlgn val="ctr"/>
        <c:lblOffset val="100"/>
        <c:noMultiLvlLbl val="0"/>
      </c:catAx>
      <c:valAx>
        <c:axId val="113334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Number of Patients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3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Percentage of Total Patient</a:t>
            </a:r>
            <a:r>
              <a:rPr lang="en-US" sz="2400" b="1" baseline="0"/>
              <a:t>s by Sex</a:t>
            </a:r>
            <a:endParaRPr lang="en-US" sz="2400" b="1"/>
          </a:p>
        </c:rich>
      </c:tx>
      <c:layout>
        <c:manualLayout>
          <c:xMode val="edge"/>
          <c:yMode val="edge"/>
          <c:x val="0.25965565379246158"/>
          <c:y val="8.4831056483865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048583110532505"/>
          <c:y val="0.25411334657462692"/>
          <c:w val="0.38126277122245045"/>
          <c:h val="0.5797031678248476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E2-304A-BF00-6966327843CC}"/>
              </c:ext>
            </c:extLst>
          </c:dPt>
          <c:dPt>
            <c:idx val="1"/>
            <c:bubble3D val="0"/>
            <c:spPr>
              <a:solidFill>
                <a:srgbClr val="92142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E2-304A-BF00-6966327843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E2-304A-BF00-6966327843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4E2-304A-BF00-6966327843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Calculations!$N$161:$N$164</c:f>
              <c:strCache>
                <c:ptCount val="4"/>
                <c:pt idx="0">
                  <c:v>Female Intact</c:v>
                </c:pt>
                <c:pt idx="1">
                  <c:v>Female Spayed</c:v>
                </c:pt>
                <c:pt idx="2">
                  <c:v>Male Intact</c:v>
                </c:pt>
                <c:pt idx="3">
                  <c:v>Male Neutered</c:v>
                </c:pt>
              </c:strCache>
            </c:strRef>
          </c:cat>
          <c:val>
            <c:numRef>
              <c:f>Calculations!$O$161:$O$164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E-5941-ADA5-9F394CA7C7B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7717555046156131E-2"/>
          <c:y val="0.91752619969579763"/>
          <c:w val="0.89999996209616784"/>
          <c:h val="7.59516990882762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Percentage of</a:t>
            </a:r>
            <a:r>
              <a:rPr lang="en-US" sz="2400" b="1" baseline="0"/>
              <a:t> Total Patients by Age</a:t>
            </a:r>
            <a:endParaRPr lang="en-US" sz="2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774265018223608"/>
          <c:y val="0.14233381643164927"/>
          <c:w val="0.48766045507629396"/>
          <c:h val="0.648953702656886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7F4-4141-963D-03F7F037A5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7F4-4141-963D-03F7F037A5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CA7-9246-933D-0FF5726772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CA7-9246-933D-0FF572677204}"/>
              </c:ext>
            </c:extLst>
          </c:dPt>
          <c:dPt>
            <c:idx val="4"/>
            <c:bubble3D val="0"/>
            <c:spPr>
              <a:solidFill>
                <a:srgbClr val="92142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CA7-9246-933D-0FF5726772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7F4-4141-963D-03F7F037A5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Calculations!$N$171:$N$176</c:f>
              <c:strCache>
                <c:ptCount val="6"/>
                <c:pt idx="0">
                  <c:v>0-4 months</c:v>
                </c:pt>
                <c:pt idx="1">
                  <c:v>&gt;4-12 months</c:v>
                </c:pt>
                <c:pt idx="2">
                  <c:v>&gt;1-3 years</c:v>
                </c:pt>
                <c:pt idx="3">
                  <c:v>&gt;3-7 years</c:v>
                </c:pt>
                <c:pt idx="4">
                  <c:v>&gt;7-10 years</c:v>
                </c:pt>
                <c:pt idx="5">
                  <c:v>&gt;10 years</c:v>
                </c:pt>
              </c:strCache>
            </c:strRef>
          </c:cat>
          <c:val>
            <c:numRef>
              <c:f>Calculations!$O$171:$O$176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4-4141-963D-03F7F037A5D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299072781741466"/>
          <c:y val="0.85206903281696178"/>
          <c:w val="0.5812341749851887"/>
          <c:h val="0.132508001513533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Percentage</a:t>
            </a:r>
            <a:r>
              <a:rPr lang="en-US" sz="1800" b="1" baseline="0"/>
              <a:t> of Total Patients by Reason for Visit </a:t>
            </a:r>
            <a:endParaRPr lang="en-US" sz="1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512397832315127"/>
          <c:y val="0.12997951189441742"/>
          <c:w val="0.47286399825926556"/>
          <c:h val="0.6557875924793802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CBF-144A-9DF5-94EDCE2A43FF}"/>
              </c:ext>
            </c:extLst>
          </c:dPt>
          <c:dPt>
            <c:idx val="1"/>
            <c:bubble3D val="0"/>
            <c:spPr>
              <a:solidFill>
                <a:srgbClr val="92142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BF-144A-9DF5-94EDCE2A43F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BF-144A-9DF5-94EDCE2A43F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9FB-1D4D-82B4-7BDD15190A3C}"/>
              </c:ext>
            </c:extLst>
          </c:dPt>
          <c:dPt>
            <c:idx val="4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CBF-144A-9DF5-94EDCE2A43FF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CBF-144A-9DF5-94EDCE2A43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Calculations!$N$180:$N$185</c:f>
              <c:strCache>
                <c:ptCount val="6"/>
                <c:pt idx="0">
                  <c:v>Preventive Care</c:v>
                </c:pt>
                <c:pt idx="1">
                  <c:v>Re-check</c:v>
                </c:pt>
                <c:pt idx="2">
                  <c:v>Sick</c:v>
                </c:pt>
                <c:pt idx="3">
                  <c:v>Surgery/Procedure</c:v>
                </c:pt>
                <c:pt idx="4">
                  <c:v>Euthanasia</c:v>
                </c:pt>
                <c:pt idx="5">
                  <c:v>Other</c:v>
                </c:pt>
              </c:strCache>
            </c:strRef>
          </c:cat>
          <c:val>
            <c:numRef>
              <c:f>Calculations!$O$180:$O$185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F-144A-9DF5-94EDCE2A43F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425053834369509"/>
          <c:y val="0.83071401166894299"/>
          <c:w val="0.75442497934348041"/>
          <c:h val="0.163979946191961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Percentage of Patients Receiving Antibiotics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rgbClr val="7B1D1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2E6-1144-85C4-61464AAF7F6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E2E6-1144-85C4-61464AAF7F6C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2E6-1144-85C4-61464AAF7F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Calculations!$M$9:$M$10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2E6-1144-85C4-61464AAF7F6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Percentage of </a:t>
            </a:r>
            <a:r>
              <a:rPr lang="en-US" sz="1800" b="1" baseline="0"/>
              <a:t>Total Antibiotics Prescribed by Condition/Disease </a:t>
            </a:r>
            <a:endParaRPr lang="en-US" sz="1800" b="1"/>
          </a:p>
        </c:rich>
      </c:tx>
      <c:layout>
        <c:manualLayout>
          <c:xMode val="edge"/>
          <c:yMode val="edge"/>
          <c:x val="0.19271160669409426"/>
          <c:y val="2.5243901750490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Calculations!$O$36</c:f>
              <c:strCache>
                <c:ptCount val="1"/>
                <c:pt idx="0">
                  <c:v>#DIV/0!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Calculations!$P$19:$P$36</c:f>
              <c:strCache>
                <c:ptCount val="18"/>
                <c:pt idx="0">
                  <c:v>Dental</c:v>
                </c:pt>
                <c:pt idx="1">
                  <c:v>Dermatologic</c:v>
                </c:pt>
                <c:pt idx="2">
                  <c:v>Gastrointestinal </c:v>
                </c:pt>
                <c:pt idx="3">
                  <c:v>Hepatic</c:v>
                </c:pt>
                <c:pt idx="4">
                  <c:v>Leptospirosis</c:v>
                </c:pt>
                <c:pt idx="5">
                  <c:v>Neurological </c:v>
                </c:pt>
                <c:pt idx="6">
                  <c:v>Ocular</c:v>
                </c:pt>
                <c:pt idx="7">
                  <c:v>Otic</c:v>
                </c:pt>
                <c:pt idx="8">
                  <c:v>Peri-operative</c:v>
                </c:pt>
                <c:pt idx="9">
                  <c:v>Reproductive</c:v>
                </c:pt>
                <c:pt idx="10">
                  <c:v>Upper Respiratory Tract </c:v>
                </c:pt>
                <c:pt idx="11">
                  <c:v>Lower Respiratory Tract </c:v>
                </c:pt>
                <c:pt idx="12">
                  <c:v>Upper Urinary Tract </c:v>
                </c:pt>
                <c:pt idx="13">
                  <c:v>Lower Urinary Tract </c:v>
                </c:pt>
                <c:pt idx="14">
                  <c:v>Vector-borne </c:v>
                </c:pt>
                <c:pt idx="15">
                  <c:v>Other</c:v>
                </c:pt>
                <c:pt idx="16">
                  <c:v>None</c:v>
                </c:pt>
                <c:pt idx="17">
                  <c:v>Unknown</c:v>
                </c:pt>
              </c:strCache>
            </c:strRef>
          </c:cat>
          <c:val>
            <c:numRef>
              <c:f>Calculations!$O$19:$O$36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7F-C146-93ED-901B806F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09004416"/>
        <c:axId val="1221660304"/>
      </c:barChart>
      <c:catAx>
        <c:axId val="709004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1660304"/>
        <c:crosses val="autoZero"/>
        <c:auto val="1"/>
        <c:lblAlgn val="ctr"/>
        <c:lblOffset val="100"/>
        <c:noMultiLvlLbl val="0"/>
      </c:catAx>
      <c:valAx>
        <c:axId val="12216603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00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Diagnostics Offered vs Performed for Patients Prescribed Antibiotics</a:t>
            </a:r>
            <a:r>
              <a:rPr lang="en-US" sz="1800" b="1" baseline="0"/>
              <a:t> </a:t>
            </a:r>
            <a:endParaRPr lang="en-US" sz="1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Calculations!$B$41</c:f>
              <c:strCache>
                <c:ptCount val="1"/>
                <c:pt idx="0">
                  <c:v>Diagnostics Offered</c:v>
                </c:pt>
              </c:strCache>
            </c:strRef>
          </c:tx>
          <c:spPr>
            <a:solidFill>
              <a:srgbClr val="921429"/>
            </a:solidFill>
            <a:ln>
              <a:noFill/>
            </a:ln>
            <a:effectLst/>
          </c:spPr>
          <c:invertIfNegative val="0"/>
          <c:cat>
            <c:strRef>
              <c:f>Calculations!$A$42:$A$54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Total</c:v>
                </c:pt>
              </c:strCache>
            </c:strRef>
          </c:cat>
          <c:val>
            <c:numRef>
              <c:f>Calculations!$B$42:$B$54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5-264D-9CB8-C0A0079E71FF}"/>
            </c:ext>
          </c:extLst>
        </c:ser>
        <c:ser>
          <c:idx val="1"/>
          <c:order val="1"/>
          <c:tx>
            <c:strRef>
              <c:f>Calculations!$C$41</c:f>
              <c:strCache>
                <c:ptCount val="1"/>
                <c:pt idx="0">
                  <c:v>Diagnostics Performed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Calculations!$A$42:$A$54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Total</c:v>
                </c:pt>
              </c:strCache>
            </c:strRef>
          </c:cat>
          <c:val>
            <c:numRef>
              <c:f>Calculations!$C$42:$C$54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B5-264D-9CB8-C0A0079E7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2912688"/>
        <c:axId val="759129200"/>
      </c:barChart>
      <c:catAx>
        <c:axId val="1212912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129200"/>
        <c:crosses val="autoZero"/>
        <c:auto val="1"/>
        <c:lblAlgn val="ctr"/>
        <c:lblOffset val="100"/>
        <c:noMultiLvlLbl val="0"/>
      </c:catAx>
      <c:valAx>
        <c:axId val="75912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Number of Patients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29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en-US" sz="18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Percentage of Total Prescriptions by Drug Class</a:t>
            </a:r>
            <a:endParaRPr lang="en-US" sz="1800" b="1"/>
          </a:p>
        </c:rich>
      </c:tx>
      <c:layout>
        <c:manualLayout>
          <c:xMode val="edge"/>
          <c:yMode val="edge"/>
          <c:x val="0.31267441856165401"/>
          <c:y val="2.2960808280716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Calculations!$G$78:$AB$78</c:f>
              <c:strCache>
                <c:ptCount val="22"/>
                <c:pt idx="0">
                  <c:v>Aminoglycosides</c:v>
                </c:pt>
                <c:pt idx="1">
                  <c:v>B-lactam/B-lactamase inhibitor combination</c:v>
                </c:pt>
                <c:pt idx="2">
                  <c:v>Carbapenems</c:v>
                </c:pt>
                <c:pt idx="3">
                  <c:v>Cephalosporins</c:v>
                </c:pt>
                <c:pt idx="4">
                  <c:v>Fluoroquinolones</c:v>
                </c:pt>
                <c:pt idx="5">
                  <c:v>Fosfomycins</c:v>
                </c:pt>
                <c:pt idx="6">
                  <c:v>Glycopeptides</c:v>
                </c:pt>
                <c:pt idx="7">
                  <c:v>Glycylcyclines</c:v>
                </c:pt>
                <c:pt idx="8">
                  <c:v>Lincosamides</c:v>
                </c:pt>
                <c:pt idx="9">
                  <c:v>Macrolides</c:v>
                </c:pt>
                <c:pt idx="10">
                  <c:v>Nitrofurans</c:v>
                </c:pt>
                <c:pt idx="11">
                  <c:v>Nitroimidazoles</c:v>
                </c:pt>
                <c:pt idx="12">
                  <c:v>Ophthalmic</c:v>
                </c:pt>
                <c:pt idx="13">
                  <c:v>Otic</c:v>
                </c:pt>
                <c:pt idx="14">
                  <c:v>Oxazolidinones</c:v>
                </c:pt>
                <c:pt idx="15">
                  <c:v>Penicillins</c:v>
                </c:pt>
                <c:pt idx="16">
                  <c:v>Phenicols</c:v>
                </c:pt>
                <c:pt idx="17">
                  <c:v>Polymyxins</c:v>
                </c:pt>
                <c:pt idx="18">
                  <c:v>Polypeptides</c:v>
                </c:pt>
                <c:pt idx="19">
                  <c:v>Rifampin</c:v>
                </c:pt>
                <c:pt idx="20">
                  <c:v>Sulfonamides</c:v>
                </c:pt>
                <c:pt idx="21">
                  <c:v>Tetracyclines</c:v>
                </c:pt>
              </c:strCache>
            </c:strRef>
          </c:cat>
          <c:val>
            <c:numRef>
              <c:f>Calculations!$G$79:$AB$79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4-C440-917F-211238948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2467008"/>
        <c:axId val="1212668336"/>
      </c:barChart>
      <c:catAx>
        <c:axId val="7624670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2668336"/>
        <c:crosses val="autoZero"/>
        <c:auto val="1"/>
        <c:lblAlgn val="ctr"/>
        <c:lblOffset val="100"/>
        <c:noMultiLvlLbl val="0"/>
      </c:catAx>
      <c:valAx>
        <c:axId val="12126683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46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Number</a:t>
            </a:r>
            <a:r>
              <a:rPr lang="en-US" sz="1800" b="1" baseline="0">
                <a:solidFill>
                  <a:schemeClr val="tx1"/>
                </a:solidFill>
              </a:rPr>
              <a:t> of Prescriptions of Drugs to Avoid Using</a:t>
            </a:r>
            <a:endParaRPr lang="en-US" sz="18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Calculations!$AG$86</c:f>
              <c:strCache>
                <c:ptCount val="1"/>
                <c:pt idx="0">
                  <c:v>Vancomycin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Calculations!$AH$85</c:f>
              <c:strCache>
                <c:ptCount val="1"/>
                <c:pt idx="0">
                  <c:v>Total Prescriptions</c:v>
                </c:pt>
              </c:strCache>
            </c:strRef>
          </c:cat>
          <c:val>
            <c:numRef>
              <c:f>Calculations!$AH$86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89-E347-B31B-90AC9833A33D}"/>
            </c:ext>
          </c:extLst>
        </c:ser>
        <c:ser>
          <c:idx val="1"/>
          <c:order val="1"/>
          <c:tx>
            <c:strRef>
              <c:f>Calculations!$AG$87</c:f>
              <c:strCache>
                <c:ptCount val="1"/>
                <c:pt idx="0">
                  <c:v>Linezolid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Calculations!$AH$85</c:f>
              <c:strCache>
                <c:ptCount val="1"/>
                <c:pt idx="0">
                  <c:v>Total Prescriptions</c:v>
                </c:pt>
              </c:strCache>
            </c:strRef>
          </c:cat>
          <c:val>
            <c:numRef>
              <c:f>Calculations!$AH$87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89-E347-B31B-90AC9833A33D}"/>
            </c:ext>
          </c:extLst>
        </c:ser>
        <c:ser>
          <c:idx val="2"/>
          <c:order val="2"/>
          <c:tx>
            <c:strRef>
              <c:f>Calculations!$AG$88</c:f>
              <c:strCache>
                <c:ptCount val="1"/>
                <c:pt idx="0">
                  <c:v>Teicoplanin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Calculations!$AH$85</c:f>
              <c:strCache>
                <c:ptCount val="1"/>
                <c:pt idx="0">
                  <c:v>Total Prescriptions</c:v>
                </c:pt>
              </c:strCache>
            </c:strRef>
          </c:cat>
          <c:val>
            <c:numRef>
              <c:f>Calculations!$AH$88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89-E347-B31B-90AC9833A33D}"/>
            </c:ext>
          </c:extLst>
        </c:ser>
        <c:ser>
          <c:idx val="3"/>
          <c:order val="3"/>
          <c:tx>
            <c:strRef>
              <c:f>Calculations!$AG$89</c:f>
              <c:strCache>
                <c:ptCount val="1"/>
                <c:pt idx="0">
                  <c:v>Colistin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Calculations!$AH$85</c:f>
              <c:strCache>
                <c:ptCount val="1"/>
                <c:pt idx="0">
                  <c:v>Total Prescriptions</c:v>
                </c:pt>
              </c:strCache>
            </c:strRef>
          </c:cat>
          <c:val>
            <c:numRef>
              <c:f>Calculations!$AH$89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89-E347-B31B-90AC9833A33D}"/>
            </c:ext>
          </c:extLst>
        </c:ser>
        <c:ser>
          <c:idx val="4"/>
          <c:order val="4"/>
          <c:tx>
            <c:strRef>
              <c:f>Calculations!$AG$90</c:f>
              <c:strCache>
                <c:ptCount val="1"/>
                <c:pt idx="0">
                  <c:v>Polymixin B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Calculations!$AH$85</c:f>
              <c:strCache>
                <c:ptCount val="1"/>
                <c:pt idx="0">
                  <c:v>Total Prescriptions</c:v>
                </c:pt>
              </c:strCache>
            </c:strRef>
          </c:cat>
          <c:val>
            <c:numRef>
              <c:f>Calculations!$AH$90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89-E347-B31B-90AC9833A33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62227072"/>
        <c:axId val="776109728"/>
      </c:barChart>
      <c:catAx>
        <c:axId val="762227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76109728"/>
        <c:crosses val="autoZero"/>
        <c:auto val="1"/>
        <c:lblAlgn val="ctr"/>
        <c:lblOffset val="100"/>
        <c:noMultiLvlLbl val="0"/>
      </c:catAx>
      <c:valAx>
        <c:axId val="77610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22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201235405919085"/>
          <c:y val="0.91918644445062747"/>
          <c:w val="0.74700977464023899"/>
          <c:h val="5.96121421218107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Total Watchful Waiting Patients </a:t>
            </a:r>
          </a:p>
          <a:p>
            <a:pPr>
              <a:defRPr sz="1800" b="1"/>
            </a:pPr>
            <a:r>
              <a:rPr lang="en-US" sz="1800" b="0" baseline="0"/>
              <a:t>for Gastrointestinal and Upper Respiratory Tract Diseases</a:t>
            </a:r>
            <a:endParaRPr lang="en-US" sz="1800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931392035636189E-2"/>
          <c:y val="0.19951167910180423"/>
          <c:w val="0.90914398585269751"/>
          <c:h val="0.68462027992756669"/>
        </c:manualLayout>
      </c:layout>
      <c:barChart>
        <c:barDir val="col"/>
        <c:grouping val="stacked"/>
        <c:varyColors val="0"/>
        <c:ser>
          <c:idx val="0"/>
          <c:order val="0"/>
          <c:tx>
            <c:v>Number of Patients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Calculations!$U$16:$V$16</c:f>
              <c:strCache>
                <c:ptCount val="2"/>
                <c:pt idx="0">
                  <c:v>Gastrointestinal Disease</c:v>
                </c:pt>
                <c:pt idx="1">
                  <c:v>Upper Respiratory Tract Disease</c:v>
                </c:pt>
              </c:strCache>
            </c:strRef>
          </c:cat>
          <c:val>
            <c:numRef>
              <c:f>Calculations!$U$15:$V$15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7-5846-84DB-81B7F889C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3821392"/>
        <c:axId val="775479360"/>
      </c:barChart>
      <c:catAx>
        <c:axId val="77382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479360"/>
        <c:crosses val="autoZero"/>
        <c:auto val="1"/>
        <c:lblAlgn val="ctr"/>
        <c:lblOffset val="100"/>
        <c:noMultiLvlLbl val="0"/>
      </c:catAx>
      <c:valAx>
        <c:axId val="77547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Number of</a:t>
                </a:r>
                <a:r>
                  <a:rPr lang="en-US" sz="1200" baseline="0"/>
                  <a:t> Patients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82139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baseline="0"/>
              <a:t>Total Prescriptions by Antibiotic Generation </a:t>
            </a:r>
          </a:p>
          <a:p>
            <a:pPr>
              <a:defRPr/>
            </a:pPr>
            <a:r>
              <a:rPr lang="en-US" sz="1800" b="1" baseline="0"/>
              <a:t>(Penicillins and Cephalosporins) </a:t>
            </a:r>
            <a:endParaRPr lang="en-US" sz="1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Calculations!$K$149:$M$149</c:f>
              <c:strCache>
                <c:ptCount val="3"/>
                <c:pt idx="0">
                  <c:v>1st Generation</c:v>
                </c:pt>
                <c:pt idx="1">
                  <c:v>2nd Generation</c:v>
                </c:pt>
                <c:pt idx="2">
                  <c:v>3rd Generation</c:v>
                </c:pt>
              </c:strCache>
            </c:strRef>
          </c:cat>
          <c:val>
            <c:numRef>
              <c:f>Calculations!$K$150:$M$150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0B-794F-BD20-C56B8B669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8107248"/>
        <c:axId val="804701904"/>
      </c:barChart>
      <c:catAx>
        <c:axId val="7881072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4701904"/>
        <c:crosses val="autoZero"/>
        <c:auto val="1"/>
        <c:lblAlgn val="ctr"/>
        <c:lblOffset val="100"/>
        <c:noMultiLvlLbl val="0"/>
      </c:catAx>
      <c:valAx>
        <c:axId val="8047019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10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Percentage</a:t>
            </a:r>
            <a:r>
              <a:rPr lang="en-US" sz="2400" b="1" baseline="0"/>
              <a:t> of Canine and Feline Patient Visits </a:t>
            </a:r>
            <a:endParaRPr lang="en-US" sz="2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bg1">
                <a:lumMod val="65000"/>
              </a:schemeClr>
            </a:solidFill>
          </c:spPr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22F-014D-A7FD-F808431AA68F}"/>
              </c:ext>
            </c:extLst>
          </c:dPt>
          <c:dPt>
            <c:idx val="1"/>
            <c:bubble3D val="0"/>
            <c:spPr>
              <a:solidFill>
                <a:srgbClr val="92142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22F-014D-A7FD-F808431AA68F}"/>
              </c:ext>
            </c:extLst>
          </c:dPt>
          <c:dLbls>
            <c:dLbl>
              <c:idx val="0"/>
              <c:layout>
                <c:manualLayout>
                  <c:x val="0.25099597262986323"/>
                  <c:y val="0.198718802680095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22F-014D-A7FD-F808431AA68F}"/>
                </c:ext>
              </c:extLst>
            </c:dLbl>
            <c:dLbl>
              <c:idx val="1"/>
              <c:layout>
                <c:manualLayout>
                  <c:x val="-0.2976095104039807"/>
                  <c:y val="0.21527870290343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22F-014D-A7FD-F808431AA68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Calculations!$N$154:$N$155</c:f>
              <c:strCache>
                <c:ptCount val="2"/>
                <c:pt idx="0">
                  <c:v>Canine</c:v>
                </c:pt>
                <c:pt idx="1">
                  <c:v>Feline</c:v>
                </c:pt>
              </c:strCache>
            </c:strRef>
          </c:cat>
          <c:val>
            <c:numRef>
              <c:f>Calculations!$O$154:$O$155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2F-014D-A7FD-F808431AA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arsi.umn.edu/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23961</xdr:colOff>
      <xdr:row>1</xdr:row>
      <xdr:rowOff>46486</xdr:rowOff>
    </xdr:from>
    <xdr:to>
      <xdr:col>1</xdr:col>
      <xdr:colOff>216829</xdr:colOff>
      <xdr:row>4</xdr:row>
      <xdr:rowOff>789878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7BD6EE62-D8A9-014F-91DC-9D4F7F127AA8}"/>
            </a:ext>
          </a:extLst>
        </xdr:cNvPr>
        <xdr:cNvSpPr/>
      </xdr:nvSpPr>
      <xdr:spPr>
        <a:xfrm>
          <a:off x="23961" y="898315"/>
          <a:ext cx="4033844" cy="2834246"/>
        </a:xfrm>
        <a:prstGeom prst="roundRect">
          <a:avLst/>
        </a:prstGeom>
        <a:solidFill>
          <a:srgbClr val="7B1D1A"/>
        </a:solidFill>
        <a:ln>
          <a:solidFill>
            <a:srgbClr val="7B1D1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This</a:t>
          </a:r>
          <a:r>
            <a:rPr lang="en-US" sz="16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is an </a:t>
          </a:r>
          <a:r>
            <a:rPr lang="en-US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Infection and Antibiotic Use Tracking Tool for Companion Animal</a:t>
          </a:r>
          <a:r>
            <a:rPr lang="en-US" sz="16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Clinics</a:t>
          </a:r>
          <a:endParaRPr lang="en-US" sz="1600" b="1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600" b="1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6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Use this tool to understand your clinic's antibiotic use, prescribing patterns, and implement antibiotic stewardship initiatives based off tracking results.</a:t>
          </a:r>
          <a:endParaRPr lang="en-US" sz="1600"/>
        </a:p>
      </xdr:txBody>
    </xdr:sp>
    <xdr:clientData/>
  </xdr:twoCellAnchor>
  <xdr:twoCellAnchor>
    <xdr:from>
      <xdr:col>0</xdr:col>
      <xdr:colOff>47924</xdr:colOff>
      <xdr:row>0</xdr:row>
      <xdr:rowOff>35942</xdr:rowOff>
    </xdr:from>
    <xdr:to>
      <xdr:col>1</xdr:col>
      <xdr:colOff>619512</xdr:colOff>
      <xdr:row>1</xdr:row>
      <xdr:rowOff>108415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2432849-A8A0-F14B-B3BB-9419A51475E9}"/>
            </a:ext>
          </a:extLst>
        </xdr:cNvPr>
        <xdr:cNvSpPr txBox="1"/>
      </xdr:nvSpPr>
      <xdr:spPr>
        <a:xfrm>
          <a:off x="47924" y="35942"/>
          <a:ext cx="4412564" cy="9243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0" cap="none" spc="0">
              <a:ln w="0">
                <a:solidFill>
                  <a:srgbClr val="921429"/>
                </a:solidFill>
              </a:ln>
              <a:solidFill>
                <a:srgbClr val="921429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Antimicrobial</a:t>
          </a:r>
          <a:r>
            <a:rPr lang="en-US" sz="2400" b="0" cap="none" spc="0" baseline="0">
              <a:ln w="0">
                <a:solidFill>
                  <a:srgbClr val="921429"/>
                </a:solidFill>
              </a:ln>
              <a:solidFill>
                <a:srgbClr val="921429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Resistance and Stewardship Initiative </a:t>
          </a:r>
          <a:endParaRPr lang="en-US" sz="2400" b="0" cap="none" spc="0">
            <a:ln w="0">
              <a:solidFill>
                <a:srgbClr val="921429"/>
              </a:solidFill>
            </a:ln>
            <a:solidFill>
              <a:srgbClr val="921429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0</xdr:colOff>
      <xdr:row>4</xdr:row>
      <xdr:rowOff>972515</xdr:rowOff>
    </xdr:from>
    <xdr:to>
      <xdr:col>1</xdr:col>
      <xdr:colOff>340730</xdr:colOff>
      <xdr:row>22</xdr:row>
      <xdr:rowOff>123901</xdr:rowOff>
    </xdr:to>
    <xdr:sp macro="" textlink="">
      <xdr:nvSpPr>
        <xdr:cNvPr id="5" name="Rounded 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ED0939-F339-0B4B-AC5C-B7119C31CF33}"/>
            </a:ext>
          </a:extLst>
        </xdr:cNvPr>
        <xdr:cNvSpPr/>
      </xdr:nvSpPr>
      <xdr:spPr>
        <a:xfrm>
          <a:off x="0" y="3915198"/>
          <a:ext cx="4181706" cy="6399679"/>
        </a:xfrm>
        <a:prstGeom prst="roundRect">
          <a:avLst/>
        </a:prstGeom>
        <a:solidFill>
          <a:schemeClr val="bg2">
            <a:lumMod val="75000"/>
          </a:schemeClr>
        </a:solidFill>
        <a:ln>
          <a:solidFill>
            <a:srgbClr val="7B1D1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bg1"/>
              </a:solidFill>
            </a:rPr>
            <a:t>ARSI Project Background</a:t>
          </a:r>
        </a:p>
        <a:p>
          <a:pPr algn="ctr"/>
          <a:endParaRPr lang="en-US" sz="1600" b="1">
            <a:solidFill>
              <a:schemeClr val="bg1"/>
            </a:solidFill>
          </a:endParaRPr>
        </a:p>
        <a:p>
          <a:pPr algn="l"/>
          <a:r>
            <a:rPr lang="en-US" sz="1600" b="1">
              <a:solidFill>
                <a:schemeClr val="bg1"/>
              </a:solidFill>
            </a:rPr>
            <a:t>Mission: </a:t>
          </a:r>
          <a:r>
            <a:rPr lang="en-US" sz="1600">
              <a:solidFill>
                <a:schemeClr val="bg1"/>
              </a:solidFill>
            </a:rPr>
            <a:t>Provide an environment to foster discussion, exploration, and sharing of data and practices to enhance animal health and engage the veterinary profession. </a:t>
          </a:r>
        </a:p>
        <a:p>
          <a:pPr algn="l"/>
          <a:endParaRPr lang="en-US" sz="1600" b="1">
            <a:solidFill>
              <a:schemeClr val="bg1"/>
            </a:solidFill>
          </a:endParaRPr>
        </a:p>
        <a:p>
          <a:pPr algn="l"/>
          <a:r>
            <a:rPr lang="en-US" sz="1600" b="1">
              <a:solidFill>
                <a:schemeClr val="bg1"/>
              </a:solidFill>
            </a:rPr>
            <a:t>Goals: </a:t>
          </a:r>
        </a:p>
        <a:p>
          <a:pPr algn="l"/>
          <a:r>
            <a:rPr lang="en-US" sz="1600">
              <a:solidFill>
                <a:schemeClr val="bg1"/>
              </a:solidFill>
            </a:rPr>
            <a:t>1. To provide high-quality and evidence-based resources and materials for practitioners and clients in companion animal medicine.</a:t>
          </a:r>
        </a:p>
        <a:p>
          <a:pPr algn="l"/>
          <a:endParaRPr lang="en-US" sz="1600">
            <a:solidFill>
              <a:schemeClr val="bg1"/>
            </a:solidFill>
          </a:endParaRPr>
        </a:p>
        <a:p>
          <a:pPr algn="l"/>
          <a:r>
            <a:rPr lang="en-US" sz="1600">
              <a:solidFill>
                <a:schemeClr val="bg1"/>
              </a:solidFill>
            </a:rPr>
            <a:t>2. To establish a comprehensive surveillance system for companion animal disease and treatment.</a:t>
          </a:r>
        </a:p>
        <a:p>
          <a:pPr algn="l"/>
          <a:endParaRPr lang="en-US" sz="1600">
            <a:solidFill>
              <a:schemeClr val="bg1"/>
            </a:solidFill>
          </a:endParaRPr>
        </a:p>
        <a:p>
          <a:pPr algn="l"/>
          <a:r>
            <a:rPr lang="en-US" sz="1600">
              <a:solidFill>
                <a:schemeClr val="bg1"/>
              </a:solidFill>
            </a:rPr>
            <a:t>3. To understand local and national antimicrobial use and resistance patterns in companion animal practice.</a:t>
          </a:r>
        </a:p>
        <a:p>
          <a:pPr algn="l"/>
          <a:endParaRPr lang="en-US" sz="1200">
            <a:solidFill>
              <a:schemeClr val="bg1"/>
            </a:solidFill>
          </a:endParaRPr>
        </a:p>
        <a:p>
          <a:pPr algn="ctr"/>
          <a:r>
            <a:rPr lang="en-US" sz="1200">
              <a:solidFill>
                <a:schemeClr val="bg1"/>
              </a:solidFill>
            </a:rPr>
            <a:t>More information at:</a:t>
          </a:r>
        </a:p>
        <a:p>
          <a:pPr algn="ctr"/>
          <a:r>
            <a:rPr lang="en-US" sz="1600" b="1">
              <a:solidFill>
                <a:schemeClr val="tx1"/>
              </a:solidFill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xmlns="" val="tx"/>
                  </a:ext>
                </a:extLst>
              </a:hlinkClick>
            </a:rPr>
            <a:t>https://arsi.umn.edu/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805364</xdr:colOff>
      <xdr:row>0</xdr:row>
      <xdr:rowOff>588536</xdr:rowOff>
    </xdr:from>
    <xdr:to>
      <xdr:col>14</xdr:col>
      <xdr:colOff>232317</xdr:colOff>
      <xdr:row>10</xdr:row>
      <xdr:rowOff>77439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326428C-BF53-3744-B161-60978CA2AA9A}"/>
            </a:ext>
          </a:extLst>
        </xdr:cNvPr>
        <xdr:cNvSpPr txBox="1"/>
      </xdr:nvSpPr>
      <xdr:spPr>
        <a:xfrm>
          <a:off x="4646340" y="588536"/>
          <a:ext cx="10098050" cy="7263781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About This</a:t>
          </a:r>
          <a:r>
            <a:rPr lang="en-US" sz="2000" b="1" baseline="0"/>
            <a:t> Excel Workbook</a:t>
          </a:r>
        </a:p>
        <a:p>
          <a:pPr algn="ctr"/>
          <a:endParaRPr lang="en-US" sz="1800" baseline="0"/>
        </a:p>
        <a:p>
          <a:pPr algn="ctr"/>
          <a:r>
            <a:rPr lang="en-US" sz="1800"/>
            <a:t>This workbook contains the total patients, summary tables, tracking tool, and dropdown options.</a:t>
          </a:r>
        </a:p>
        <a:p>
          <a:pPr algn="ctr"/>
          <a:endParaRPr lang="en-US" sz="1800"/>
        </a:p>
        <a:p>
          <a:pPr algn="l"/>
          <a:r>
            <a:rPr lang="en-US" sz="1800" b="1"/>
            <a:t>The sheets in the workbook include:</a:t>
          </a:r>
        </a:p>
        <a:p>
          <a:pPr algn="l"/>
          <a:endParaRPr lang="en-US" sz="1800"/>
        </a:p>
        <a:p>
          <a:pPr algn="l"/>
          <a:endParaRPr lang="en-US" sz="1800"/>
        </a:p>
        <a:p>
          <a:pPr algn="l"/>
          <a:r>
            <a:rPr lang="en-US" sz="1800" b="1"/>
            <a:t>Data Options</a:t>
          </a:r>
          <a:r>
            <a:rPr lang="en-US" sz="1800"/>
            <a:t>. Lists the type of data expected for each column and the dropdown values that are available for non-free text columns. </a:t>
          </a:r>
          <a:r>
            <a:rPr lang="en-US" sz="1800">
              <a:solidFill>
                <a:srgbClr val="C00000"/>
              </a:solidFill>
            </a:rPr>
            <a:t>Dropdown values can be tailored to your clinic's needs, so additional values can be added on the Data Options Sheet. </a:t>
          </a:r>
        </a:p>
        <a:p>
          <a:pPr algn="l"/>
          <a:endParaRPr lang="en-US" sz="1800"/>
        </a:p>
        <a:p>
          <a:pPr algn="l"/>
          <a:r>
            <a:rPr lang="en-US" sz="1800" b="1"/>
            <a:t>Month</a:t>
          </a:r>
          <a:r>
            <a:rPr lang="en-US" sz="1800"/>
            <a:t>. Enter patient information for the month (or time period) that you define for data recording. Each time period should be entered in its own sheet.</a:t>
          </a:r>
        </a:p>
        <a:p>
          <a:pPr algn="l"/>
          <a:endParaRPr lang="en-US" sz="1800"/>
        </a:p>
        <a:p>
          <a:pPr algn="l"/>
          <a:r>
            <a:rPr lang="en-US" sz="1800" b="1"/>
            <a:t>Total Patients</a:t>
          </a:r>
          <a:r>
            <a:rPr lang="en-US" sz="1800"/>
            <a:t>. List the total number of patients that were seen each month or during specified time period.</a:t>
          </a:r>
        </a:p>
        <a:p>
          <a:pPr algn="l"/>
          <a:endParaRPr lang="en-US" sz="1800"/>
        </a:p>
        <a:p>
          <a:pPr algn="l"/>
          <a:r>
            <a:rPr lang="en-US" sz="1800" b="1"/>
            <a:t>Summary Tables</a:t>
          </a:r>
          <a:r>
            <a:rPr lang="en-US" sz="1800"/>
            <a:t>. These charts and tables will help to easily visualize antibiotic prescribing. They are automatically generated as information is entered.</a:t>
          </a:r>
        </a:p>
        <a:p>
          <a:pPr algn="l"/>
          <a:endParaRPr lang="en-US" sz="1800"/>
        </a:p>
        <a:p>
          <a:pPr algn="l"/>
          <a:r>
            <a:rPr lang="en-US" sz="1800" b="1"/>
            <a:t>Calculations (hidden). </a:t>
          </a:r>
          <a:r>
            <a:rPr lang="en-US" sz="1800"/>
            <a:t>Formula sheet that generates the Summary Tables. Do not change or edit.</a:t>
          </a:r>
        </a:p>
        <a:p>
          <a:pPr algn="ctr"/>
          <a:endParaRPr lang="en-US" sz="1800"/>
        </a:p>
        <a:p>
          <a:pPr algn="ctr"/>
          <a:r>
            <a:rPr lang="en-US" sz="2400" b="1">
              <a:solidFill>
                <a:srgbClr val="7B1D1A"/>
              </a:solidFill>
            </a:rPr>
            <a:t>Please</a:t>
          </a:r>
          <a:r>
            <a:rPr lang="en-US" sz="2400" b="1" baseline="0">
              <a:solidFill>
                <a:srgbClr val="7B1D1A"/>
              </a:solidFill>
            </a:rPr>
            <a:t> refer to the </a:t>
          </a:r>
          <a:r>
            <a:rPr lang="en-US" sz="2400" b="1" baseline="0">
              <a:solidFill>
                <a:schemeClr val="tx1"/>
              </a:solidFill>
            </a:rPr>
            <a:t>Instructions Document </a:t>
          </a:r>
          <a:r>
            <a:rPr lang="en-US" sz="2400" b="1" baseline="0">
              <a:solidFill>
                <a:srgbClr val="7B1D1A"/>
              </a:solidFill>
            </a:rPr>
            <a:t>for more detailed information on proper use of this tool. </a:t>
          </a:r>
          <a:endParaRPr lang="en-US" sz="2400" b="1">
            <a:solidFill>
              <a:srgbClr val="7B1D1A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787400</xdr:colOff>
      <xdr:row>0</xdr:row>
      <xdr:rowOff>50800</xdr:rowOff>
    </xdr:from>
    <xdr:to>
      <xdr:col>13</xdr:col>
      <xdr:colOff>365128</xdr:colOff>
      <xdr:row>24</xdr:row>
      <xdr:rowOff>174625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7A78C291-4BCC-0945-B2FD-87EC9B88762B}"/>
            </a:ext>
          </a:extLst>
        </xdr:cNvPr>
        <xdr:cNvSpPr/>
      </xdr:nvSpPr>
      <xdr:spPr>
        <a:xfrm>
          <a:off x="4978400" y="50800"/>
          <a:ext cx="7832728" cy="500062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This</a:t>
          </a:r>
          <a:r>
            <a:rPr lang="en-US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information must be manually entered </a:t>
          </a:r>
          <a:r>
            <a:rPr lang="en-US" sz="2000" b="1" u="non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before</a:t>
          </a:r>
          <a:r>
            <a:rPr lang="en-US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any auto-calculations and/or charts can be generated by Excel</a:t>
          </a:r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. </a:t>
          </a: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The total number of patients seen at your clinic must be entered in this chart.</a:t>
          </a: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The time period is set up by month by default, but can adjusted to fit your clinics goals for recording data. </a:t>
          </a: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For example, you can record data for the first week of every month, but the total number of patients entered into this chart must also be </a:t>
          </a:r>
          <a:r>
            <a:rPr lang="en-US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only</a:t>
          </a:r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from the first week of the month to reflect the correct statistics. </a:t>
          </a: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419100</xdr:colOff>
      <xdr:row>0</xdr:row>
      <xdr:rowOff>177800</xdr:rowOff>
    </xdr:from>
    <xdr:to>
      <xdr:col>3</xdr:col>
      <xdr:colOff>330200</xdr:colOff>
      <xdr:row>6</xdr:row>
      <xdr:rowOff>25400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FCF2471-DC44-B94C-8205-984A6E28B19B}"/>
            </a:ext>
          </a:extLst>
        </xdr:cNvPr>
        <xdr:cNvSpPr txBox="1"/>
      </xdr:nvSpPr>
      <xdr:spPr>
        <a:xfrm>
          <a:off x="419100" y="177800"/>
          <a:ext cx="4279900" cy="1168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 cap="none" spc="0">
              <a:ln w="0">
                <a:solidFill>
                  <a:srgbClr val="921429"/>
                </a:solidFill>
              </a:ln>
              <a:solidFill>
                <a:srgbClr val="921429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Antimicrobial</a:t>
          </a:r>
          <a:r>
            <a:rPr lang="en-US" sz="2800" b="0" cap="none" spc="0" baseline="0">
              <a:ln w="0">
                <a:solidFill>
                  <a:srgbClr val="921429"/>
                </a:solidFill>
              </a:ln>
              <a:solidFill>
                <a:srgbClr val="921429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Resistance and Stewardship Initiative </a:t>
          </a:r>
          <a:endParaRPr lang="en-US" sz="2800" b="0" cap="none" spc="0">
            <a:ln w="0">
              <a:solidFill>
                <a:srgbClr val="921429"/>
              </a:solidFill>
            </a:ln>
            <a:solidFill>
              <a:srgbClr val="921429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298842</xdr:colOff>
      <xdr:row>24</xdr:row>
      <xdr:rowOff>138133</xdr:rowOff>
    </xdr:from>
    <xdr:to>
      <xdr:col>9</xdr:col>
      <xdr:colOff>209942</xdr:colOff>
      <xdr:row>40</xdr:row>
      <xdr:rowOff>163533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23F865-CF59-2A40-84FE-C14C08FFC0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1</xdr:row>
      <xdr:rowOff>0</xdr:rowOff>
    </xdr:from>
    <xdr:to>
      <xdr:col>9</xdr:col>
      <xdr:colOff>215900</xdr:colOff>
      <xdr:row>15</xdr:row>
      <xdr:rowOff>12700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EA70EA9-525B-4D49-B692-7FB0900BC9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508000</xdr:colOff>
      <xdr:row>1</xdr:row>
      <xdr:rowOff>12700</xdr:rowOff>
    </xdr:from>
    <xdr:to>
      <xdr:col>19</xdr:col>
      <xdr:colOff>254000</xdr:colOff>
      <xdr:row>24</xdr:row>
      <xdr:rowOff>78395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E9F0A6-6DFE-8546-9514-28EFE9DDD7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304810</xdr:colOff>
      <xdr:row>78</xdr:row>
      <xdr:rowOff>86284</xdr:rowOff>
    </xdr:from>
    <xdr:to>
      <xdr:col>9</xdr:col>
      <xdr:colOff>247660</xdr:colOff>
      <xdr:row>96</xdr:row>
      <xdr:rowOff>134598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4CA2AE5-2520-5B4C-A66C-A89387C8D5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488950</xdr:colOff>
      <xdr:row>30</xdr:row>
      <xdr:rowOff>158550</xdr:rowOff>
    </xdr:from>
    <xdr:to>
      <xdr:col>20</xdr:col>
      <xdr:colOff>109753</xdr:colOff>
      <xdr:row>69</xdr:row>
      <xdr:rowOff>185854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3A0679C-7E72-2441-BB15-0E7E28CAD3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603887</xdr:colOff>
      <xdr:row>95</xdr:row>
      <xdr:rowOff>172467</xdr:rowOff>
    </xdr:from>
    <xdr:to>
      <xdr:col>18</xdr:col>
      <xdr:colOff>800188</xdr:colOff>
      <xdr:row>113</xdr:row>
      <xdr:rowOff>108340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ABEB122-A907-6149-88A6-E7F31098D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375913</xdr:colOff>
      <xdr:row>51</xdr:row>
      <xdr:rowOff>47612</xdr:rowOff>
    </xdr:from>
    <xdr:to>
      <xdr:col>9</xdr:col>
      <xdr:colOff>297519</xdr:colOff>
      <xdr:row>68</xdr:row>
      <xdr:rowOff>141685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C1EFD1F6-228A-B44F-8153-23203C2EFD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535102</xdr:colOff>
      <xdr:row>74</xdr:row>
      <xdr:rowOff>19736</xdr:rowOff>
    </xdr:from>
    <xdr:to>
      <xdr:col>19</xdr:col>
      <xdr:colOff>407654</xdr:colOff>
      <xdr:row>91</xdr:row>
      <xdr:rowOff>63100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B6E886C5-F9F1-3646-9C2A-FAEC3A5451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15678</xdr:colOff>
      <xdr:row>15</xdr:row>
      <xdr:rowOff>62716</xdr:rowOff>
    </xdr:from>
    <xdr:to>
      <xdr:col>9</xdr:col>
      <xdr:colOff>313580</xdr:colOff>
      <xdr:row>23</xdr:row>
      <xdr:rowOff>62716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251CEE8-CF8B-6847-9AF6-F7CF7DF72941}"/>
            </a:ext>
          </a:extLst>
        </xdr:cNvPr>
        <xdr:cNvSpPr txBox="1"/>
      </xdr:nvSpPr>
      <xdr:spPr>
        <a:xfrm>
          <a:off x="846666" y="3857037"/>
          <a:ext cx="8905679" cy="16306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Table 1. This table calculates the percentage of total patients prescribed antibiotics using the manually entered number on the Total Patients sheet and every patient that receives a "Yes" in Patient Prescibed Antibiotic Column for each month. </a:t>
          </a:r>
        </a:p>
        <a:p>
          <a:pPr algn="ctr"/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Figure 1. The </a:t>
          </a:r>
          <a:r>
            <a:rPr lang="en-US" sz="1600" b="1" baseline="0">
              <a:solidFill>
                <a:schemeClr val="bg2">
                  <a:lumMod val="25000"/>
                </a:schemeClr>
              </a:solidFill>
            </a:rPr>
            <a:t>total precentage of antibiotic prescriptions </a:t>
          </a:r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for all the months is illustrated by the pie graph. </a:t>
          </a:r>
          <a:endParaRPr lang="en-US" sz="1600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xdr:twoCellAnchor>
    <xdr:from>
      <xdr:col>9</xdr:col>
      <xdr:colOff>486050</xdr:colOff>
      <xdr:row>24</xdr:row>
      <xdr:rowOff>125432</xdr:rowOff>
    </xdr:from>
    <xdr:to>
      <xdr:col>18</xdr:col>
      <xdr:colOff>627161</xdr:colOff>
      <xdr:row>28</xdr:row>
      <xdr:rowOff>47037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C9E3BCF-64DB-AC41-8A84-C18BEFBB0CC6}"/>
            </a:ext>
          </a:extLst>
        </xdr:cNvPr>
        <xdr:cNvSpPr txBox="1"/>
      </xdr:nvSpPr>
      <xdr:spPr>
        <a:xfrm>
          <a:off x="9924815" y="5754197"/>
          <a:ext cx="7620000" cy="7369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Figure 2. Use this chart to evaluate which conditions are associated with the largest percentage of antibiotic prescriptions. </a:t>
          </a:r>
          <a:endParaRPr lang="en-US" sz="1600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xdr:twoCellAnchor>
    <xdr:from>
      <xdr:col>0</xdr:col>
      <xdr:colOff>391975</xdr:colOff>
      <xdr:row>41</xdr:row>
      <xdr:rowOff>109754</xdr:rowOff>
    </xdr:from>
    <xdr:to>
      <xdr:col>9</xdr:col>
      <xdr:colOff>188149</xdr:colOff>
      <xdr:row>47</xdr:row>
      <xdr:rowOff>109753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A4CF568-B74C-B64B-B6C0-2A96AAAF3929}"/>
            </a:ext>
          </a:extLst>
        </xdr:cNvPr>
        <xdr:cNvSpPr txBox="1"/>
      </xdr:nvSpPr>
      <xdr:spPr>
        <a:xfrm>
          <a:off x="391975" y="9203581"/>
          <a:ext cx="9234939" cy="12229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solidFill>
                <a:schemeClr val="bg2">
                  <a:lumMod val="25000"/>
                </a:schemeClr>
              </a:solidFill>
            </a:rPr>
            <a:t>Figure 3.</a:t>
          </a:r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 </a:t>
          </a:r>
          <a:r>
            <a:rPr lang="en-US" sz="1600">
              <a:solidFill>
                <a:schemeClr val="bg2">
                  <a:lumMod val="25000"/>
                </a:schemeClr>
              </a:solidFill>
            </a:rPr>
            <a:t>This chart summarizes</a:t>
          </a:r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 the total number of patients per month and whether they were prescribed antibiotics, not prescribed antibiotics, or utilized watchful waiting*. </a:t>
          </a:r>
        </a:p>
        <a:p>
          <a:pPr algn="ctr"/>
          <a:endParaRPr lang="en-US" sz="1600" baseline="0">
            <a:solidFill>
              <a:schemeClr val="bg2">
                <a:lumMod val="25000"/>
              </a:schemeClr>
            </a:solidFill>
          </a:endParaRPr>
        </a:p>
        <a:p>
          <a:pPr algn="ctr"/>
          <a:r>
            <a:rPr lang="en-US" sz="1600" baseline="0">
              <a:solidFill>
                <a:schemeClr val="accent6">
                  <a:lumMod val="75000"/>
                </a:schemeClr>
              </a:solidFill>
            </a:rPr>
            <a:t>*Watchful waiting is d</a:t>
          </a:r>
          <a:r>
            <a:rPr lang="en-US" sz="1600">
              <a:solidFill>
                <a:schemeClr val="accent6">
                  <a:lumMod val="75000"/>
                </a:schemeClr>
              </a:solidFill>
            </a:rPr>
            <a:t>elayed prescribing for conditions that often self-resolve. </a:t>
          </a:r>
        </a:p>
      </xdr:txBody>
    </xdr:sp>
    <xdr:clientData/>
  </xdr:twoCellAnchor>
  <xdr:twoCellAnchor>
    <xdr:from>
      <xdr:col>0</xdr:col>
      <xdr:colOff>267115</xdr:colOff>
      <xdr:row>69</xdr:row>
      <xdr:rowOff>31549</xdr:rowOff>
    </xdr:from>
    <xdr:to>
      <xdr:col>9</xdr:col>
      <xdr:colOff>282795</xdr:colOff>
      <xdr:row>76</xdr:row>
      <xdr:rowOff>191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4AE4479-33AE-E34D-AE17-DA94961BBD33}"/>
            </a:ext>
          </a:extLst>
        </xdr:cNvPr>
        <xdr:cNvSpPr txBox="1"/>
      </xdr:nvSpPr>
      <xdr:spPr>
        <a:xfrm>
          <a:off x="267115" y="14853378"/>
          <a:ext cx="9385802" cy="13780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solidFill>
                <a:schemeClr val="bg2">
                  <a:lumMod val="25000"/>
                </a:schemeClr>
              </a:solidFill>
            </a:rPr>
            <a:t>Figure 4. The</a:t>
          </a:r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 total number of patients using a watchful waiting approach for gastrointestinal disease and upper respiratory tract disease are shown in this graph.</a:t>
          </a:r>
        </a:p>
        <a:p>
          <a:pPr algn="ctr"/>
          <a:endParaRPr lang="en-US" sz="1600" baseline="0">
            <a:solidFill>
              <a:schemeClr val="bg2">
                <a:lumMod val="25000"/>
              </a:schemeClr>
            </a:solidFill>
          </a:endParaRPr>
        </a:p>
        <a:p>
          <a:pPr algn="ctr"/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 </a:t>
          </a:r>
          <a:r>
            <a:rPr lang="en-US" sz="1600" i="1" baseline="0">
              <a:solidFill>
                <a:schemeClr val="bg2">
                  <a:lumMod val="25000"/>
                </a:schemeClr>
              </a:solidFill>
            </a:rPr>
            <a:t>These types of conditions often resolve on their own so consider watchful waiting guidance for clients and reduce antibiotic prescriptions that might be unnecessary. </a:t>
          </a:r>
          <a:endParaRPr lang="en-US" sz="1600" i="1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xdr:twoCellAnchor>
    <xdr:from>
      <xdr:col>9</xdr:col>
      <xdr:colOff>547619</xdr:colOff>
      <xdr:row>70</xdr:row>
      <xdr:rowOff>62525</xdr:rowOff>
    </xdr:from>
    <xdr:to>
      <xdr:col>19</xdr:col>
      <xdr:colOff>814162</xdr:colOff>
      <xdr:row>72</xdr:row>
      <xdr:rowOff>61952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84FAE90-B13F-FC4E-B483-2F375DF27527}"/>
            </a:ext>
          </a:extLst>
        </xdr:cNvPr>
        <xdr:cNvSpPr txBox="1"/>
      </xdr:nvSpPr>
      <xdr:spPr>
        <a:xfrm>
          <a:off x="9917741" y="15085696"/>
          <a:ext cx="8475080" cy="40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Figure 5. Use this chart to evaluate which antibiotic classes have the highest percentage of usage.</a:t>
          </a:r>
          <a:endParaRPr lang="en-US" sz="1100"/>
        </a:p>
      </xdr:txBody>
    </xdr:sp>
    <xdr:clientData/>
  </xdr:twoCellAnchor>
  <xdr:twoCellAnchor>
    <xdr:from>
      <xdr:col>9</xdr:col>
      <xdr:colOff>486051</xdr:colOff>
      <xdr:row>91</xdr:row>
      <xdr:rowOff>63673</xdr:rowOff>
    </xdr:from>
    <xdr:to>
      <xdr:col>19</xdr:col>
      <xdr:colOff>454692</xdr:colOff>
      <xdr:row>96</xdr:row>
      <xdr:rowOff>957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1C96D7C-8627-4149-A9DD-95C5867D98CC}"/>
            </a:ext>
          </a:extLst>
        </xdr:cNvPr>
        <xdr:cNvSpPr txBox="1"/>
      </xdr:nvSpPr>
      <xdr:spPr>
        <a:xfrm>
          <a:off x="9856173" y="19315014"/>
          <a:ext cx="8177178" cy="9439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solidFill>
                <a:schemeClr val="bg2">
                  <a:lumMod val="25000"/>
                </a:schemeClr>
              </a:solidFill>
            </a:rPr>
            <a:t>Figure 7. This</a:t>
          </a:r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 graph shows the total number of 1st generation, 2nd generation, and 3rd generation penicillins and cephalosporins prescriptions at the clinic. </a:t>
          </a:r>
          <a:endParaRPr lang="en-US" sz="1600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xdr:twoCellAnchor>
    <xdr:from>
      <xdr:col>9</xdr:col>
      <xdr:colOff>606129</xdr:colOff>
      <xdr:row>114</xdr:row>
      <xdr:rowOff>15488</xdr:rowOff>
    </xdr:from>
    <xdr:to>
      <xdr:col>19</xdr:col>
      <xdr:colOff>98854</xdr:colOff>
      <xdr:row>119</xdr:row>
      <xdr:rowOff>140921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2E1826D2-666E-BB48-A6D0-63EF1589A452}"/>
            </a:ext>
          </a:extLst>
        </xdr:cNvPr>
        <xdr:cNvSpPr txBox="1"/>
      </xdr:nvSpPr>
      <xdr:spPr>
        <a:xfrm>
          <a:off x="9976251" y="23897683"/>
          <a:ext cx="7701262" cy="11321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ctr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Figure 8. This graph reflects the total number of antibiotic prescriptions that are considered</a:t>
          </a:r>
          <a:r>
            <a:rPr lang="en-US" sz="1600" baseline="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 restricted and should not be used in veterinary medicine</a:t>
          </a:r>
          <a:r>
            <a:rPr lang="en-US" sz="160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. They are reserved as last-line therapy for human infections. These drugs should NOT be</a:t>
          </a:r>
          <a:r>
            <a:rPr lang="en-US" sz="1600" baseline="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60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kept on-hand in the clinic. The goal for this graph is to show zero</a:t>
          </a:r>
          <a:r>
            <a:rPr lang="en-US" sz="1600" baseline="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60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prescriptions.</a:t>
          </a:r>
          <a:endParaRPr lang="en-US" sz="1600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xdr:twoCellAnchor>
    <xdr:from>
      <xdr:col>1</xdr:col>
      <xdr:colOff>187575</xdr:colOff>
      <xdr:row>97</xdr:row>
      <xdr:rowOff>79924</xdr:rowOff>
    </xdr:from>
    <xdr:to>
      <xdr:col>7</xdr:col>
      <xdr:colOff>548193</xdr:colOff>
      <xdr:row>103</xdr:row>
      <xdr:rowOff>79924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1D0B18C-FA43-3441-81C0-18ED8F969E2E}"/>
            </a:ext>
          </a:extLst>
        </xdr:cNvPr>
        <xdr:cNvSpPr txBox="1"/>
      </xdr:nvSpPr>
      <xdr:spPr>
        <a:xfrm>
          <a:off x="1008429" y="20539314"/>
          <a:ext cx="7268179" cy="12080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solidFill>
                <a:schemeClr val="bg2">
                  <a:lumMod val="25000"/>
                </a:schemeClr>
              </a:solidFill>
            </a:rPr>
            <a:t>Figure 6. Use this chart to assess how many patients</a:t>
          </a:r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 that were prescribed antibiotics were offered diagnostics compared to how many had diagnostics performed each month.</a:t>
          </a:r>
          <a:endParaRPr lang="en-US" sz="1600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xdr:twoCellAnchor>
    <xdr:from>
      <xdr:col>9</xdr:col>
      <xdr:colOff>108414</xdr:colOff>
      <xdr:row>124</xdr:row>
      <xdr:rowOff>92927</xdr:rowOff>
    </xdr:from>
    <xdr:to>
      <xdr:col>19</xdr:col>
      <xdr:colOff>371706</xdr:colOff>
      <xdr:row>150</xdr:row>
      <xdr:rowOff>15488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24B35B5A-87EF-EA44-B479-ABCA125168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409259</xdr:colOff>
      <xdr:row>124</xdr:row>
      <xdr:rowOff>79923</xdr:rowOff>
    </xdr:from>
    <xdr:to>
      <xdr:col>8</xdr:col>
      <xdr:colOff>547236</xdr:colOff>
      <xdr:row>149</xdr:row>
      <xdr:rowOff>187192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F7C88D9-3E61-2948-BEF9-8780DAC60C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156791</xdr:colOff>
      <xdr:row>154</xdr:row>
      <xdr:rowOff>170364</xdr:rowOff>
    </xdr:from>
    <xdr:to>
      <xdr:col>8</xdr:col>
      <xdr:colOff>573049</xdr:colOff>
      <xdr:row>184</xdr:row>
      <xdr:rowOff>92925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56460F2E-BC80-4749-B349-6F0436A47B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526585</xdr:colOff>
      <xdr:row>184</xdr:row>
      <xdr:rowOff>170365</xdr:rowOff>
    </xdr:from>
    <xdr:to>
      <xdr:col>8</xdr:col>
      <xdr:colOff>387195</xdr:colOff>
      <xdr:row>189</xdr:row>
      <xdr:rowOff>139390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2A2929D-9082-8B4E-8157-926A15D96F65}"/>
            </a:ext>
          </a:extLst>
        </xdr:cNvPr>
        <xdr:cNvSpPr txBox="1"/>
      </xdr:nvSpPr>
      <xdr:spPr>
        <a:xfrm>
          <a:off x="2818780" y="38146463"/>
          <a:ext cx="6117683" cy="9757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Figure 11. Age demographics</a:t>
          </a:r>
          <a:r>
            <a:rPr lang="en-US" sz="1800" baseline="0"/>
            <a:t> of patient visits.</a:t>
          </a:r>
          <a:endParaRPr lang="en-US" sz="1800"/>
        </a:p>
      </xdr:txBody>
    </xdr:sp>
    <xdr:clientData/>
  </xdr:twoCellAnchor>
  <xdr:twoCellAnchor>
    <xdr:from>
      <xdr:col>2</xdr:col>
      <xdr:colOff>15487</xdr:colOff>
      <xdr:row>150</xdr:row>
      <xdr:rowOff>77439</xdr:rowOff>
    </xdr:from>
    <xdr:to>
      <xdr:col>7</xdr:col>
      <xdr:colOff>696950</xdr:colOff>
      <xdr:row>153</xdr:row>
      <xdr:rowOff>30976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F6403F49-C422-E84C-BF65-6C40209631B6}"/>
            </a:ext>
          </a:extLst>
        </xdr:cNvPr>
        <xdr:cNvSpPr txBox="1"/>
      </xdr:nvSpPr>
      <xdr:spPr>
        <a:xfrm>
          <a:off x="2307682" y="31207927"/>
          <a:ext cx="6117683" cy="5575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Figure 9. Sex demographics</a:t>
          </a:r>
          <a:r>
            <a:rPr lang="en-US" sz="1800" baseline="0"/>
            <a:t> of patient visits.</a:t>
          </a:r>
          <a:endParaRPr lang="en-US" sz="1800"/>
        </a:p>
      </xdr:txBody>
    </xdr:sp>
    <xdr:clientData/>
  </xdr:twoCellAnchor>
  <xdr:twoCellAnchor>
    <xdr:from>
      <xdr:col>10</xdr:col>
      <xdr:colOff>681463</xdr:colOff>
      <xdr:row>150</xdr:row>
      <xdr:rowOff>92926</xdr:rowOff>
    </xdr:from>
    <xdr:to>
      <xdr:col>19</xdr:col>
      <xdr:colOff>92926</xdr:colOff>
      <xdr:row>154</xdr:row>
      <xdr:rowOff>30975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5A9E342-DBBC-F146-8C75-46676A2ED547}"/>
            </a:ext>
          </a:extLst>
        </xdr:cNvPr>
        <xdr:cNvSpPr txBox="1"/>
      </xdr:nvSpPr>
      <xdr:spPr>
        <a:xfrm>
          <a:off x="10872439" y="31223414"/>
          <a:ext cx="6799146" cy="743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Figure 10. Species demographics</a:t>
          </a:r>
          <a:r>
            <a:rPr lang="en-US" sz="1800" baseline="0"/>
            <a:t> of patient visits.</a:t>
          </a:r>
          <a:endParaRPr lang="en-US" sz="1800"/>
        </a:p>
      </xdr:txBody>
    </xdr:sp>
    <xdr:clientData/>
  </xdr:twoCellAnchor>
  <xdr:twoCellAnchor>
    <xdr:from>
      <xdr:col>9</xdr:col>
      <xdr:colOff>216831</xdr:colOff>
      <xdr:row>154</xdr:row>
      <xdr:rowOff>185853</xdr:rowOff>
    </xdr:from>
    <xdr:to>
      <xdr:col>19</xdr:col>
      <xdr:colOff>170366</xdr:colOff>
      <xdr:row>184</xdr:row>
      <xdr:rowOff>30975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69391617-05F3-FE44-8990-A4B8CA6702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oneCellAnchor>
    <xdr:from>
      <xdr:col>11</xdr:col>
      <xdr:colOff>449147</xdr:colOff>
      <xdr:row>184</xdr:row>
      <xdr:rowOff>170365</xdr:rowOff>
    </xdr:from>
    <xdr:ext cx="3866828" cy="546112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399496B-8530-F342-BA28-F1AD006137B2}"/>
            </a:ext>
          </a:extLst>
        </xdr:cNvPr>
        <xdr:cNvSpPr txBox="1"/>
      </xdr:nvSpPr>
      <xdr:spPr>
        <a:xfrm>
          <a:off x="11460976" y="38146463"/>
          <a:ext cx="3866828" cy="546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/>
            <a:t>Figure 12. Reason for visit percentages.</a:t>
          </a:r>
        </a:p>
        <a:p>
          <a:endParaRPr lang="en-US" sz="1100"/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0.3641</cdr:x>
      <cdr:y>0.9004</cdr:y>
    </cdr:from>
    <cdr:to>
      <cdr:x>0.44872</cdr:x>
      <cdr:y>0.98406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E65EE2E-E145-CA41-BAF9-517DAF360761}"/>
            </a:ext>
          </a:extLst>
        </cdr:cNvPr>
        <cdr:cNvSpPr txBox="1"/>
      </cdr:nvSpPr>
      <cdr:spPr>
        <a:xfrm xmlns:a="http://schemas.openxmlformats.org/drawingml/2006/main">
          <a:off x="1803400" y="2870200"/>
          <a:ext cx="4191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0.79828</cdr:x>
      <cdr:y>0.06007</cdr:y>
    </cdr:from>
    <cdr:to>
      <cdr:x>0.92586</cdr:x>
      <cdr:y>0.32155</cdr:y>
    </cdr:to>
    <cdr:sp macro="" textlink="">
      <cdr:nvSpPr>
        <cdr:cNvPr id="2" name="Summing Junction 1">
          <a:extLst xmlns:a="http://schemas.openxmlformats.org/drawingml/2006/main">
            <a:ext uri="{FF2B5EF4-FFF2-40B4-BE49-F238E27FC236}">
              <a16:creationId xmlns:a16="http://schemas.microsoft.com/office/drawing/2014/main" id="{F0A936C9-178D-5F46-8189-DF88687B477C}"/>
            </a:ext>
          </a:extLst>
        </cdr:cNvPr>
        <cdr:cNvSpPr/>
      </cdr:nvSpPr>
      <cdr:spPr>
        <a:xfrm xmlns:a="http://schemas.openxmlformats.org/drawingml/2006/main">
          <a:off x="5880100" y="215900"/>
          <a:ext cx="939800" cy="939800"/>
        </a:xfrm>
        <a:prstGeom xmlns:a="http://schemas.openxmlformats.org/drawingml/2006/main" prst="flowChartSummingJunction">
          <a:avLst/>
        </a:prstGeom>
        <a:solidFill xmlns:a="http://schemas.openxmlformats.org/drawingml/2006/main">
          <a:srgbClr val="FF0000"/>
        </a:solidFill>
        <a:ln xmlns:a="http://schemas.openxmlformats.org/drawingml/2006/main" w="571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0.73621</cdr:x>
      <cdr:y>0.34629</cdr:y>
    </cdr:from>
    <cdr:to>
      <cdr:x>0.98966</cdr:x>
      <cdr:y>0.75618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732F4B6-5F47-DC48-8551-78D6C0737BE5}"/>
            </a:ext>
          </a:extLst>
        </cdr:cNvPr>
        <cdr:cNvSpPr txBox="1"/>
      </cdr:nvSpPr>
      <cdr:spPr>
        <a:xfrm xmlns:a="http://schemas.openxmlformats.org/drawingml/2006/main">
          <a:off x="5422900" y="1244600"/>
          <a:ext cx="1866900" cy="147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 i="1">
              <a:effectLst/>
              <a:latin typeface="+mn-lt"/>
              <a:ea typeface="+mn-ea"/>
              <a:cs typeface="+mn-cs"/>
            </a:rPr>
            <a:t>These drugs should NOT be used, as they are reserved as last-line therapy for human infections. </a:t>
          </a:r>
          <a:endParaRPr lang="en-US" sz="1200" b="1">
            <a:effectLst/>
            <a:latin typeface="+mn-lt"/>
            <a:ea typeface="+mn-ea"/>
            <a:cs typeface="+mn-cs"/>
          </a:endParaRPr>
        </a:p>
      </cdr:txBody>
    </cdr:sp>
  </cdr:relSizeAnchor>
</c:userShapes>
</file>

<file path=xl/tables/table1.xml><?xml version="1.0" encoding="utf-8"?>
<table xmlns="http://schemas.openxmlformats.org/spreadsheetml/2006/main" id="8" name="Total_Patients" displayName="Total_Patients" ref="B9:C22" totalsRowCount="1" headerRowDxfId="2286" dataDxfId="2284" totalsRowDxfId="2282" headerRowBorderDxfId="2285" tableBorderDxfId="2283" totalsRowBorderDxfId="2281">
  <autoFilter ref="B9:C21"/>
  <tableColumns count="2">
    <tableColumn id="1" name="Month" totalsRowLabel="Total" dataDxfId="2280" totalsRowDxfId="2279"/>
    <tableColumn id="2" name="Patients Seen per Month" totalsRowFunction="custom" dataDxfId="2278" totalsRowDxfId="2277">
      <totalsRowFormula>SUM(Total_Patients[Patients Seen per Month])</totalsRowFormula>
    </tableColumn>
  </tableColumns>
  <tableStyleInfo name="TableStyleMedium4" showFirstColumn="0" showLastColumn="0" showRowStripes="1" showColumnStripes="0"/>
</table>
</file>

<file path=xl/tables/table10.xml><?xml version="1.0" encoding="utf-8"?>
<table xmlns="http://schemas.openxmlformats.org/spreadsheetml/2006/main" id="22" name="August" displayName="August" ref="A3:CM202" totalsRowCount="1" headerRowDxfId="971" dataDxfId="969" totalsRowDxfId="968" headerRowBorderDxfId="970">
  <autoFilter ref="A3:CM201"/>
  <tableColumns count="91">
    <tableColumn id="1" name="Date of Service" totalsRowLabel="Total" dataDxfId="967" totalsRowDxfId="966"/>
    <tableColumn id="3" name="Attending Clinician" dataDxfId="965" totalsRowDxfId="964"/>
    <tableColumn id="4" name="Patient Medical Record Number" dataDxfId="963" totalsRowDxfId="962"/>
    <tableColumn id="5" name="Patient Species" dataDxfId="961" totalsRowDxfId="960"/>
    <tableColumn id="6" name="Patient Sex" dataDxfId="959" totalsRowDxfId="958"/>
    <tableColumn id="7" name="Patient Age" dataDxfId="957" totalsRowDxfId="956"/>
    <tableColumn id="8" name="Reason for Visit" dataDxfId="955" totalsRowDxfId="954"/>
    <tableColumn id="9" name="If Other Reason for Visit Explain" dataDxfId="953" totalsRowDxfId="952"/>
    <tableColumn id="10" name="Patient Prescribed Antibiotic (Y/N/WW)" dataDxfId="951" totalsRowDxfId="950"/>
    <tableColumn id="11" name="Total Number of Antibiotics Prescribed for Patient" dataDxfId="949" totalsRowDxfId="948"/>
    <tableColumn id="13" name="Disease/Infection Type" dataDxfId="947" totalsRowDxfId="946"/>
    <tableColumn id="14" name="If Other Disease/Infection Type Explain" dataDxfId="945" totalsRowDxfId="944"/>
    <tableColumn id="15" name="Disease Description" dataDxfId="943" totalsRowDxfId="942"/>
    <tableColumn id="16" name="Number of Antibiotics Prescribed for this Condition " dataDxfId="941" totalsRowDxfId="940"/>
    <tableColumn id="17" name="Diagnostics Offered for Infectious Condition (Y/N)" dataDxfId="939" totalsRowDxfId="938"/>
    <tableColumn id="18" name="Diagnostic Performed for Infectious Condition (Y/N)" dataDxfId="937" totalsRowDxfId="936"/>
    <tableColumn id="23" name="Drug Name" dataDxfId="935" totalsRowDxfId="934"/>
    <tableColumn id="24" name="Drug Class" dataDxfId="933" totalsRowDxfId="932">
      <calculatedColumnFormula>IFERROR(VLOOKUP(August[[#This Row],[Drug Name]],'Data Options'!$R$1:$S$100,2,FALSE), " ")</calculatedColumnFormula>
    </tableColumn>
    <tableColumn id="25" name="Dose (in mg)" dataDxfId="931" totalsRowDxfId="930"/>
    <tableColumn id="26" name="Frequency" dataDxfId="929" totalsRowDxfId="928"/>
    <tableColumn id="27" name="Route" dataDxfId="927" totalsRowDxfId="926"/>
    <tableColumn id="28" name="Duration _x000a_(in days)" dataDxfId="925" totalsRowDxfId="924"/>
    <tableColumn id="30" name="Location Filled " dataDxfId="923" totalsRowDxfId="922"/>
    <tableColumn id="31" name="Drug Name2" dataDxfId="921" totalsRowDxfId="920"/>
    <tableColumn id="32" name="Drug Class2" dataDxfId="919" totalsRowDxfId="918">
      <calculatedColumnFormula>IFERROR(VLOOKUP(August[[#This Row],[Drug Name2]],'Data Options'!$R$1:$S$100,2,FALSE), " ")</calculatedColumnFormula>
    </tableColumn>
    <tableColumn id="33" name="Dose (in mg)2" dataDxfId="917" totalsRowDxfId="916"/>
    <tableColumn id="34" name="Frequency2" dataDxfId="915" totalsRowDxfId="914"/>
    <tableColumn id="35" name="Route2" dataDxfId="913" totalsRowDxfId="912"/>
    <tableColumn id="36" name="Duration _x000a_(in days)2" dataDxfId="911" totalsRowDxfId="910"/>
    <tableColumn id="38" name="Location Filled2" dataDxfId="909" totalsRowDxfId="908"/>
    <tableColumn id="39" name="Drug Name3" dataDxfId="907" totalsRowDxfId="906"/>
    <tableColumn id="40" name="Drug Class3" dataDxfId="905" totalsRowDxfId="904">
      <calculatedColumnFormula>IFERROR(VLOOKUP(August[[#This Row],[Drug Name3]],'Data Options'!$R$1:$S$100,2,FALSE), " ")</calculatedColumnFormula>
    </tableColumn>
    <tableColumn id="41" name="Dose (in mg)3" dataDxfId="903" totalsRowDxfId="902"/>
    <tableColumn id="42" name="Frequency3" dataDxfId="901" totalsRowDxfId="900"/>
    <tableColumn id="43" name="Route3" dataDxfId="899" totalsRowDxfId="898"/>
    <tableColumn id="44" name="Duration _x000a_(in days)3" dataDxfId="897" totalsRowDxfId="896"/>
    <tableColumn id="46" name="Location Filled3" dataDxfId="895" totalsRowDxfId="894"/>
    <tableColumn id="47" name="Disease/Infection Type2" dataDxfId="893" totalsRowDxfId="892"/>
    <tableColumn id="48" name="If Other Disease/Infection Type Explain2" dataDxfId="891" totalsRowDxfId="890"/>
    <tableColumn id="49" name="Disease Description2" dataDxfId="889" totalsRowDxfId="888"/>
    <tableColumn id="50" name="Number of Antibiotics Prescribed for this Condition2" dataDxfId="887" totalsRowDxfId="886"/>
    <tableColumn id="51" name="Diagnostics Offered for Infectious Condition (Y/N)2" dataDxfId="885" totalsRowDxfId="884"/>
    <tableColumn id="52" name="Diagnostic Performed for Infectious Condition (Y/N)2" dataDxfId="883" totalsRowDxfId="882"/>
    <tableColumn id="57" name="Drug Name4" dataDxfId="881" totalsRowDxfId="880"/>
    <tableColumn id="58" name="Drug Class4" dataDxfId="879" totalsRowDxfId="878">
      <calculatedColumnFormula>IFERROR(VLOOKUP(August[[#This Row],[Drug Name4]],'Data Options'!$R$1:$S$100,2,FALSE), " ")</calculatedColumnFormula>
    </tableColumn>
    <tableColumn id="59" name="Dose (in mg)4" dataDxfId="877" totalsRowDxfId="876"/>
    <tableColumn id="60" name="Frequency4" dataDxfId="875" totalsRowDxfId="874"/>
    <tableColumn id="61" name="Route4" dataDxfId="873" totalsRowDxfId="872"/>
    <tableColumn id="62" name="Duration _x000a_(in days)4" dataDxfId="871" totalsRowDxfId="870"/>
    <tableColumn id="64" name="Location Filled4" dataDxfId="869" totalsRowDxfId="868"/>
    <tableColumn id="65" name="Drug Name5" dataDxfId="867" totalsRowDxfId="866"/>
    <tableColumn id="66" name="Drug Class5" dataDxfId="865" totalsRowDxfId="864">
      <calculatedColumnFormula>IFERROR(VLOOKUP(August[[#This Row],[Drug Name5]],'Data Options'!$R$1:$S$100,2,FALSE), " ")</calculatedColumnFormula>
    </tableColumn>
    <tableColumn id="67" name="Dose (in mg)5" dataDxfId="863" totalsRowDxfId="862"/>
    <tableColumn id="68" name="Frequency5" dataDxfId="861" totalsRowDxfId="860"/>
    <tableColumn id="69" name="Route5" dataDxfId="859" totalsRowDxfId="858"/>
    <tableColumn id="70" name="Duration _x000a_(in days)5" dataDxfId="857" totalsRowDxfId="856"/>
    <tableColumn id="72" name="Location Filled5" dataDxfId="855" totalsRowDxfId="854"/>
    <tableColumn id="73" name="Drug Name6" dataDxfId="853" totalsRowDxfId="852"/>
    <tableColumn id="74" name="Drug Class6" dataDxfId="851" totalsRowDxfId="850">
      <calculatedColumnFormula>IFERROR(VLOOKUP(August[[#This Row],[Drug Name6]],'Data Options'!$R$1:$S$100,2,FALSE), " ")</calculatedColumnFormula>
    </tableColumn>
    <tableColumn id="75" name="Dose (in mg)6" dataDxfId="849" totalsRowDxfId="848"/>
    <tableColumn id="76" name="Frequency6" dataDxfId="847" totalsRowDxfId="846"/>
    <tableColumn id="77" name="Route6" dataDxfId="845" totalsRowDxfId="844"/>
    <tableColumn id="78" name="Duration _x000a_(in days)6" dataDxfId="843" totalsRowDxfId="842"/>
    <tableColumn id="80" name="Location Filled6" dataDxfId="841" totalsRowDxfId="840"/>
    <tableColumn id="81" name="Disease/Infection Type3" dataDxfId="839" totalsRowDxfId="838"/>
    <tableColumn id="82" name="If Other Disease/Infection Type Explain3" dataDxfId="837" totalsRowDxfId="836"/>
    <tableColumn id="83" name="Disease Description3" dataDxfId="835" totalsRowDxfId="834"/>
    <tableColumn id="84" name="Number of Antibiotics Prescribed for this Condition3" dataDxfId="833" totalsRowDxfId="832"/>
    <tableColumn id="85" name="Diagnostics Offered for Infectious Condition (Y/N)3" dataDxfId="831" totalsRowDxfId="830"/>
    <tableColumn id="86" name="Diagnostic Performed for Infectious Condition (Y/N)3" dataDxfId="829" totalsRowDxfId="828"/>
    <tableColumn id="91" name="Drug Name7" dataDxfId="827" totalsRowDxfId="826"/>
    <tableColumn id="92" name="Drug Class7" dataDxfId="825" totalsRowDxfId="824">
      <calculatedColumnFormula>IFERROR(VLOOKUP(August[[#This Row],[Drug Name7]],'Data Options'!$R$1:$S$100,2,FALSE), " ")</calculatedColumnFormula>
    </tableColumn>
    <tableColumn id="93" name="Dose (in mg)7" dataDxfId="823" totalsRowDxfId="822"/>
    <tableColumn id="94" name="Frequency7" dataDxfId="821" totalsRowDxfId="820"/>
    <tableColumn id="95" name="Route7" dataDxfId="819" totalsRowDxfId="818"/>
    <tableColumn id="96" name="Duration _x000a_(in days)7" dataDxfId="817" totalsRowDxfId="816"/>
    <tableColumn id="98" name="Locatio  Filled7" dataDxfId="815" totalsRowDxfId="814"/>
    <tableColumn id="99" name="Drug Name8" dataDxfId="813" totalsRowDxfId="812"/>
    <tableColumn id="100" name="Drug Class8" dataDxfId="811" totalsRowDxfId="810">
      <calculatedColumnFormula>IFERROR(VLOOKUP(August[[#This Row],[Drug Name8]],'Data Options'!$R$1:$S$100,2,FALSE), " ")</calculatedColumnFormula>
    </tableColumn>
    <tableColumn id="101" name="Dose (in mg)8" dataDxfId="809" totalsRowDxfId="808"/>
    <tableColumn id="102" name="Frequency8" dataDxfId="807" totalsRowDxfId="806"/>
    <tableColumn id="103" name="Route8" dataDxfId="805" totalsRowDxfId="804"/>
    <tableColumn id="104" name="Duration _x000a_(in days)8" dataDxfId="803" totalsRowDxfId="802"/>
    <tableColumn id="106" name="Location Filled8" dataDxfId="801" totalsRowDxfId="800"/>
    <tableColumn id="107" name="Drug Name9" dataDxfId="799" totalsRowDxfId="798"/>
    <tableColumn id="108" name="Drug Class9" dataDxfId="797" totalsRowDxfId="796">
      <calculatedColumnFormula>IFERROR(VLOOKUP(August[[#This Row],[Drug Name9]],'Data Options'!$R$1:$S$100,2,FALSE), " ")</calculatedColumnFormula>
    </tableColumn>
    <tableColumn id="109" name="Dose (in mg)9" dataDxfId="795" totalsRowDxfId="794"/>
    <tableColumn id="110" name="Frequency9" dataDxfId="793" totalsRowDxfId="792"/>
    <tableColumn id="111" name="Route9" dataDxfId="791" totalsRowDxfId="790"/>
    <tableColumn id="112" name="Duration _x000a_(in days)9" dataDxfId="789" totalsRowDxfId="788"/>
    <tableColumn id="114" name="Location Filled9" totalsRowFunction="count" dataDxfId="787" totalsRowDxfId="786"/>
  </tableColumns>
  <tableStyleInfo name="TableStyleLight18" showFirstColumn="0" showLastColumn="0" showRowStripes="1" showColumnStripes="0"/>
</table>
</file>

<file path=xl/tables/table11.xml><?xml version="1.0" encoding="utf-8"?>
<table xmlns="http://schemas.openxmlformats.org/spreadsheetml/2006/main" id="23" name="September" displayName="September" ref="A3:CM202" totalsRowCount="1" headerRowDxfId="785" dataDxfId="783" totalsRowDxfId="782" headerRowBorderDxfId="784">
  <autoFilter ref="A3:CM201"/>
  <tableColumns count="91">
    <tableColumn id="1" name="Date of Service" totalsRowLabel="Total" dataDxfId="781" totalsRowDxfId="780"/>
    <tableColumn id="3" name="Attending Clinician" dataDxfId="779" totalsRowDxfId="778"/>
    <tableColumn id="4" name="Patient Medical Record Number" dataDxfId="777" totalsRowDxfId="776"/>
    <tableColumn id="5" name="Patient Species" dataDxfId="775" totalsRowDxfId="774"/>
    <tableColumn id="6" name="Patient Sex" dataDxfId="773" totalsRowDxfId="772"/>
    <tableColumn id="7" name="Patient Age" dataDxfId="771" totalsRowDxfId="770"/>
    <tableColumn id="8" name="Reason for Visit" dataDxfId="769" totalsRowDxfId="768"/>
    <tableColumn id="9" name="If Other Reason for Visit Explain" dataDxfId="767" totalsRowDxfId="766"/>
    <tableColumn id="10" name="Patient Prescribed Antibiotic (Y/N/WW)" dataDxfId="765" totalsRowDxfId="764"/>
    <tableColumn id="11" name="Total Number of Antibiotics Prescribed for Patient" dataDxfId="763" totalsRowDxfId="762"/>
    <tableColumn id="13" name="Disease/Infection Type" dataDxfId="761" totalsRowDxfId="760"/>
    <tableColumn id="14" name="If Other Disease/Infection Type Explain" dataDxfId="759" totalsRowDxfId="758"/>
    <tableColumn id="15" name="Disease Description" dataDxfId="757" totalsRowDxfId="756"/>
    <tableColumn id="16" name="Number of Antibiotics Prescribed for this Condition " dataDxfId="755" totalsRowDxfId="754"/>
    <tableColumn id="17" name="Diagnostics Offered for Infectious Condition (Y/N)" dataDxfId="753" totalsRowDxfId="752"/>
    <tableColumn id="18" name="Diagnostic Performed for Infectious Condition (Y/N)" dataDxfId="751" totalsRowDxfId="750"/>
    <tableColumn id="23" name="Drug Name" dataDxfId="749" totalsRowDxfId="748"/>
    <tableColumn id="24" name="Drug Class" dataDxfId="747" totalsRowDxfId="746">
      <calculatedColumnFormula>IFERROR(VLOOKUP(September[[#This Row],[Drug Name]],'Data Options'!$R$1:$S$100,2,FALSE), " ")</calculatedColumnFormula>
    </tableColumn>
    <tableColumn id="25" name="Dose (in mg)" dataDxfId="745" totalsRowDxfId="744"/>
    <tableColumn id="26" name="Frequency" dataDxfId="743" totalsRowDxfId="742"/>
    <tableColumn id="27" name="Route" dataDxfId="741" totalsRowDxfId="740"/>
    <tableColumn id="28" name="Duration _x000a_(in days)" dataDxfId="739" totalsRowDxfId="738"/>
    <tableColumn id="30" name="Location Filled " dataDxfId="737" totalsRowDxfId="736"/>
    <tableColumn id="31" name="Drug Name2" dataDxfId="735" totalsRowDxfId="734"/>
    <tableColumn id="32" name="Drug Class2" dataDxfId="733" totalsRowDxfId="732">
      <calculatedColumnFormula>IFERROR(VLOOKUP(September[[#This Row],[Drug Name2]],'Data Options'!$R$1:$S$100,2,FALSE), " ")</calculatedColumnFormula>
    </tableColumn>
    <tableColumn id="33" name="Dose (in mg)2" dataDxfId="731" totalsRowDxfId="730"/>
    <tableColumn id="34" name="Frequency2" dataDxfId="729" totalsRowDxfId="728"/>
    <tableColumn id="35" name="Route2" dataDxfId="727" totalsRowDxfId="726"/>
    <tableColumn id="36" name="Duration _x000a_(in days)2" dataDxfId="725" totalsRowDxfId="724"/>
    <tableColumn id="38" name="Location Filled2" dataDxfId="723" totalsRowDxfId="722"/>
    <tableColumn id="39" name="Drug Name3" dataDxfId="721" totalsRowDxfId="720"/>
    <tableColumn id="40" name="Drug Class3" dataDxfId="719" totalsRowDxfId="718">
      <calculatedColumnFormula>IFERROR(VLOOKUP(September[[#This Row],[Drug Name3]],'Data Options'!$R$1:$S$100,2,FALSE), " ")</calculatedColumnFormula>
    </tableColumn>
    <tableColumn id="41" name="Dose (in mg)3" dataDxfId="717" totalsRowDxfId="716"/>
    <tableColumn id="42" name="Frequency3" dataDxfId="715" totalsRowDxfId="714"/>
    <tableColumn id="43" name="Route3" dataDxfId="713" totalsRowDxfId="712"/>
    <tableColumn id="44" name="Duration _x000a_(in days)3" dataDxfId="711" totalsRowDxfId="710"/>
    <tableColumn id="46" name="Location Filled3" dataDxfId="709" totalsRowDxfId="708"/>
    <tableColumn id="47" name="Disease/Infection Type2" dataDxfId="707" totalsRowDxfId="706"/>
    <tableColumn id="48" name="If Other Disease/Infection Type Explain2" dataDxfId="705" totalsRowDxfId="704"/>
    <tableColumn id="49" name="Disease Description2" dataDxfId="703" totalsRowDxfId="702"/>
    <tableColumn id="50" name="Number of Antibiotics Prescribed for this Condition2" dataDxfId="701" totalsRowDxfId="700"/>
    <tableColumn id="51" name="Diagnostics Offered for Infectious Condition (Y/N)2" dataDxfId="699" totalsRowDxfId="698"/>
    <tableColumn id="52" name="Diagnostic Performed for Infectious Condition (Y/N)2" dataDxfId="697" totalsRowDxfId="696"/>
    <tableColumn id="57" name="Drug Name4" dataDxfId="695" totalsRowDxfId="694"/>
    <tableColumn id="58" name="Drug Class4" dataDxfId="693" totalsRowDxfId="692">
      <calculatedColumnFormula>IFERROR(VLOOKUP(September[[#This Row],[Drug Name4]],'Data Options'!$R$1:$S$100,2,FALSE), " ")</calculatedColumnFormula>
    </tableColumn>
    <tableColumn id="59" name="Dose (in mg)4" dataDxfId="691" totalsRowDxfId="690"/>
    <tableColumn id="60" name="Frequency4" dataDxfId="689" totalsRowDxfId="688"/>
    <tableColumn id="61" name="Route4" dataDxfId="687" totalsRowDxfId="686"/>
    <tableColumn id="62" name="Duration _x000a_(in days)4" dataDxfId="685" totalsRowDxfId="684"/>
    <tableColumn id="64" name="Location Filled4" dataDxfId="683" totalsRowDxfId="682"/>
    <tableColumn id="65" name="Drug Name5" dataDxfId="681" totalsRowDxfId="680"/>
    <tableColumn id="66" name="Drug Class5" dataDxfId="679" totalsRowDxfId="678">
      <calculatedColumnFormula>IFERROR(VLOOKUP(September[[#This Row],[Drug Name5]],'Data Options'!$R$1:$S$100,2,FALSE), " ")</calculatedColumnFormula>
    </tableColumn>
    <tableColumn id="67" name="Dose (in mg)5" dataDxfId="677" totalsRowDxfId="676"/>
    <tableColumn id="68" name="Frequency5" dataDxfId="675" totalsRowDxfId="674"/>
    <tableColumn id="69" name="Route5" dataDxfId="673" totalsRowDxfId="672"/>
    <tableColumn id="70" name="Duration _x000a_(in days)5" dataDxfId="671" totalsRowDxfId="670"/>
    <tableColumn id="72" name="Location Filled5" dataDxfId="669" totalsRowDxfId="668"/>
    <tableColumn id="73" name="Drug Name6" dataDxfId="667" totalsRowDxfId="666"/>
    <tableColumn id="74" name="Drug Class6" dataDxfId="665" totalsRowDxfId="664">
      <calculatedColumnFormula>IFERROR(VLOOKUP(September[[#This Row],[Drug Name6]],'Data Options'!$R$1:$S$100,2,FALSE), " ")</calculatedColumnFormula>
    </tableColumn>
    <tableColumn id="75" name="Dose (in mg)6" dataDxfId="663" totalsRowDxfId="662"/>
    <tableColumn id="76" name="Frequency6" dataDxfId="661" totalsRowDxfId="660"/>
    <tableColumn id="77" name="Route6" dataDxfId="659" totalsRowDxfId="658"/>
    <tableColumn id="78" name="Duration _x000a_(in days)6" dataDxfId="657" totalsRowDxfId="656"/>
    <tableColumn id="80" name="Location Filled6" dataDxfId="655" totalsRowDxfId="654"/>
    <tableColumn id="81" name="Disease/Infection Type3" dataDxfId="653" totalsRowDxfId="652"/>
    <tableColumn id="82" name="If Other Disease/Infection Type Explain3" dataDxfId="651" totalsRowDxfId="650"/>
    <tableColumn id="83" name="Disease Description3" dataDxfId="649" totalsRowDxfId="648"/>
    <tableColumn id="84" name="Number of Antibiotics Prescribed for this Condition3" dataDxfId="647" totalsRowDxfId="646"/>
    <tableColumn id="85" name="Diagnostics Offered for Infectious Condition (Y/N)3" dataDxfId="645" totalsRowDxfId="644"/>
    <tableColumn id="86" name="Diagnostic Performed for Infectious Condition (Y/N)3" dataDxfId="643" totalsRowDxfId="642"/>
    <tableColumn id="91" name="Drug Name7" dataDxfId="641" totalsRowDxfId="640"/>
    <tableColumn id="92" name="Drug Class7" dataDxfId="639" totalsRowDxfId="638">
      <calculatedColumnFormula>IFERROR(VLOOKUP(September[[#This Row],[Drug Name7]],'Data Options'!$R$1:$S$100,2,FALSE), " ")</calculatedColumnFormula>
    </tableColumn>
    <tableColumn id="93" name="Dose (in mg)7" dataDxfId="637" totalsRowDxfId="636"/>
    <tableColumn id="94" name="Frequency7" dataDxfId="635" totalsRowDxfId="634"/>
    <tableColumn id="95" name="Route7" dataDxfId="633" totalsRowDxfId="632"/>
    <tableColumn id="96" name="Duration _x000a_(in days)7" dataDxfId="631" totalsRowDxfId="630"/>
    <tableColumn id="98" name="Locatio  Filled7" dataDxfId="629" totalsRowDxfId="628"/>
    <tableColumn id="99" name="Drug Name8" dataDxfId="627" totalsRowDxfId="626"/>
    <tableColumn id="100" name="Drug Class8" dataDxfId="625" totalsRowDxfId="624">
      <calculatedColumnFormula>IFERROR(VLOOKUP(September[[#This Row],[Drug Name8]],'Data Options'!$R$1:$S$100,2,FALSE), " ")</calculatedColumnFormula>
    </tableColumn>
    <tableColumn id="101" name="Dose (in mg)8" dataDxfId="623" totalsRowDxfId="622"/>
    <tableColumn id="102" name="Frequency8" dataDxfId="621" totalsRowDxfId="620"/>
    <tableColumn id="103" name="Route8" dataDxfId="619" totalsRowDxfId="618"/>
    <tableColumn id="104" name="Duration _x000a_(in days)8" dataDxfId="617" totalsRowDxfId="616"/>
    <tableColumn id="106" name="Location Filled8" dataDxfId="615" totalsRowDxfId="614"/>
    <tableColumn id="107" name="Drug Name9" dataDxfId="613" totalsRowDxfId="612"/>
    <tableColumn id="108" name="Drug Class9" dataDxfId="611" totalsRowDxfId="610">
      <calculatedColumnFormula>IFERROR(VLOOKUP(September[[#This Row],[Drug Name9]],'Data Options'!$R$1:$S$100,2,FALSE), " ")</calculatedColumnFormula>
    </tableColumn>
    <tableColumn id="109" name="Dose (in mg)9" dataDxfId="609" totalsRowDxfId="608"/>
    <tableColumn id="110" name="Frequency9" dataDxfId="607" totalsRowDxfId="606"/>
    <tableColumn id="111" name="Route9" dataDxfId="605" totalsRowDxfId="604"/>
    <tableColumn id="112" name="Duration _x000a_(in days)9" dataDxfId="603" totalsRowDxfId="602"/>
    <tableColumn id="114" name="Location Filled9" totalsRowFunction="count" dataDxfId="601" totalsRowDxfId="600"/>
  </tableColumns>
  <tableStyleInfo name="TableStyleLight18" showFirstColumn="0" showLastColumn="0" showRowStripes="1" showColumnStripes="0"/>
</table>
</file>

<file path=xl/tables/table12.xml><?xml version="1.0" encoding="utf-8"?>
<table xmlns="http://schemas.openxmlformats.org/spreadsheetml/2006/main" id="24" name="October" displayName="October" ref="A3:CM202" totalsRowCount="1" headerRowDxfId="599" dataDxfId="597" totalsRowDxfId="596" headerRowBorderDxfId="598">
  <autoFilter ref="A3:CM201"/>
  <tableColumns count="91">
    <tableColumn id="1" name="Date of Service" totalsRowLabel="Total" dataDxfId="595" totalsRowDxfId="594"/>
    <tableColumn id="3" name="Attending Clinician" dataDxfId="593" totalsRowDxfId="592"/>
    <tableColumn id="4" name="Patient Medical Record Number" dataDxfId="591" totalsRowDxfId="590"/>
    <tableColumn id="5" name="Patient Species" dataDxfId="589" totalsRowDxfId="588"/>
    <tableColumn id="6" name="Patient Sex" dataDxfId="587" totalsRowDxfId="586"/>
    <tableColumn id="7" name="Patient Age" dataDxfId="585" totalsRowDxfId="584"/>
    <tableColumn id="8" name="Reason for Visit" dataDxfId="583" totalsRowDxfId="582"/>
    <tableColumn id="9" name="If Other Reason for Visit Explain" dataDxfId="581" totalsRowDxfId="580"/>
    <tableColumn id="10" name="Patient Prescribed Antibiotic (Y/N/WW)" dataDxfId="579" totalsRowDxfId="578"/>
    <tableColumn id="11" name="Total Number of Antibiotics Prescribed for Patient" dataDxfId="577" totalsRowDxfId="576"/>
    <tableColumn id="13" name="Disease/Infection Type" dataDxfId="575" totalsRowDxfId="574"/>
    <tableColumn id="14" name="If Other Disease/Infection Type Explain" dataDxfId="573" totalsRowDxfId="572"/>
    <tableColumn id="15" name="Disease Description" dataDxfId="571" totalsRowDxfId="570"/>
    <tableColumn id="16" name="Number of Antibiotics Prescribed for this Condition " dataDxfId="569" totalsRowDxfId="568"/>
    <tableColumn id="17" name="Diagnostics Offered for Infectious Condition (Y/N)" dataDxfId="567" totalsRowDxfId="566"/>
    <tableColumn id="18" name="Diagnostic Performed for Infectious Condition (Y/N)" dataDxfId="565" totalsRowDxfId="564"/>
    <tableColumn id="23" name="Drug Name" dataDxfId="563" totalsRowDxfId="562"/>
    <tableColumn id="24" name="Drug Class" dataDxfId="561" totalsRowDxfId="560">
      <calculatedColumnFormula>IFERROR(VLOOKUP(October[[#This Row],[Drug Name]],'Data Options'!$R$1:$S$100,2,FALSE), " ")</calculatedColumnFormula>
    </tableColumn>
    <tableColumn id="25" name="Dose (in mg)" dataDxfId="559" totalsRowDxfId="558"/>
    <tableColumn id="26" name="Frequency" dataDxfId="557" totalsRowDxfId="556"/>
    <tableColumn id="27" name="Route" dataDxfId="555" totalsRowDxfId="554"/>
    <tableColumn id="28" name="Duration _x000a_(in days)" dataDxfId="553" totalsRowDxfId="552"/>
    <tableColumn id="30" name="Location Filled " dataDxfId="551" totalsRowDxfId="550"/>
    <tableColumn id="31" name="Drug Name2" dataDxfId="549" totalsRowDxfId="548"/>
    <tableColumn id="32" name="Drug Class2" dataDxfId="547" totalsRowDxfId="546">
      <calculatedColumnFormula>IFERROR(VLOOKUP(October[[#This Row],[Drug Name2]],'Data Options'!$R$1:$S$100,2,FALSE), " ")</calculatedColumnFormula>
    </tableColumn>
    <tableColumn id="33" name="Dose (in mg)2" dataDxfId="545" totalsRowDxfId="544"/>
    <tableColumn id="34" name="Frequency2" dataDxfId="543" totalsRowDxfId="542"/>
    <tableColumn id="35" name="Route2" dataDxfId="541" totalsRowDxfId="540"/>
    <tableColumn id="36" name="Duration _x000a_(in days)2" dataDxfId="539" totalsRowDxfId="538"/>
    <tableColumn id="38" name="Location Filled2" dataDxfId="537" totalsRowDxfId="536"/>
    <tableColumn id="39" name="Drug Name3" dataDxfId="535" totalsRowDxfId="534"/>
    <tableColumn id="40" name="Drug Class3" dataDxfId="533" totalsRowDxfId="532">
      <calculatedColumnFormula>IFERROR(VLOOKUP(October[[#This Row],[Drug Name3]],'Data Options'!$R$1:$S$100,2,FALSE), " ")</calculatedColumnFormula>
    </tableColumn>
    <tableColumn id="41" name="Dose (in mg)3" dataDxfId="531" totalsRowDxfId="530"/>
    <tableColumn id="42" name="Frequency3" dataDxfId="529" totalsRowDxfId="528"/>
    <tableColumn id="43" name="Route3" dataDxfId="527" totalsRowDxfId="526"/>
    <tableColumn id="44" name="Duration _x000a_(in days)3" dataDxfId="525" totalsRowDxfId="524"/>
    <tableColumn id="46" name="Location Filled3" dataDxfId="523" totalsRowDxfId="522"/>
    <tableColumn id="47" name="Disease/Infection Type2" dataDxfId="521" totalsRowDxfId="520"/>
    <tableColumn id="48" name="If Other Disease/Infection Type Explain2" dataDxfId="519" totalsRowDxfId="518"/>
    <tableColumn id="49" name="Disease Description2" dataDxfId="517" totalsRowDxfId="516"/>
    <tableColumn id="50" name="Number of Antibiotics Prescribed for this Condition2" dataDxfId="515" totalsRowDxfId="514"/>
    <tableColumn id="51" name="Diagnostics Offered for Infectious Condition (Y/N)2" dataDxfId="513" totalsRowDxfId="512"/>
    <tableColumn id="52" name="Diagnostic Performed for Infectious Condition (Y/N)2" dataDxfId="511" totalsRowDxfId="510"/>
    <tableColumn id="57" name="Drug Name4" dataDxfId="509" totalsRowDxfId="508"/>
    <tableColumn id="58" name="Drug Class4" dataDxfId="507" totalsRowDxfId="506">
      <calculatedColumnFormula>IFERROR(VLOOKUP(October[[#This Row],[Drug Name4]],'Data Options'!$R$1:$S$100,2,FALSE), " ")</calculatedColumnFormula>
    </tableColumn>
    <tableColumn id="59" name="Dose (in mg)4" dataDxfId="505" totalsRowDxfId="504"/>
    <tableColumn id="60" name="Frequency4" dataDxfId="503" totalsRowDxfId="502"/>
    <tableColumn id="61" name="Route4" dataDxfId="501" totalsRowDxfId="500"/>
    <tableColumn id="62" name="Duration _x000a_(in days)4" dataDxfId="499" totalsRowDxfId="498"/>
    <tableColumn id="64" name="Location Filled4" dataDxfId="497" totalsRowDxfId="496"/>
    <tableColumn id="65" name="Drug Name5" dataDxfId="495" totalsRowDxfId="494"/>
    <tableColumn id="66" name="Drug Class5" dataDxfId="493" totalsRowDxfId="492">
      <calculatedColumnFormula>IFERROR(VLOOKUP(October[[#This Row],[Drug Name5]],'Data Options'!$R$1:$S$100,2,FALSE), " ")</calculatedColumnFormula>
    </tableColumn>
    <tableColumn id="67" name="Dose (in mg)5" dataDxfId="491" totalsRowDxfId="490"/>
    <tableColumn id="68" name="Frequency5" dataDxfId="489" totalsRowDxfId="488"/>
    <tableColumn id="69" name="Route5" dataDxfId="487" totalsRowDxfId="486"/>
    <tableColumn id="70" name="Duration _x000a_(in days)5" dataDxfId="485" totalsRowDxfId="484"/>
    <tableColumn id="72" name="Location Filled5" dataDxfId="483" totalsRowDxfId="482"/>
    <tableColumn id="73" name="Drug Name6" dataDxfId="481" totalsRowDxfId="480"/>
    <tableColumn id="74" name="Drug Class6" dataDxfId="479" totalsRowDxfId="478">
      <calculatedColumnFormula>IFERROR(VLOOKUP(October[[#This Row],[Drug Name6]],'Data Options'!$R$1:$S$100,2,FALSE), " ")</calculatedColumnFormula>
    </tableColumn>
    <tableColumn id="75" name="Dose (in mg)6" dataDxfId="477" totalsRowDxfId="476"/>
    <tableColumn id="76" name="Frequency6" dataDxfId="475" totalsRowDxfId="474"/>
    <tableColumn id="77" name="Route6" dataDxfId="473" totalsRowDxfId="472"/>
    <tableColumn id="78" name="Duration _x000a_(in days)6" dataDxfId="471" totalsRowDxfId="470"/>
    <tableColumn id="80" name="Location Filled6" dataDxfId="469" totalsRowDxfId="468"/>
    <tableColumn id="81" name="Disease/Infection Type3" dataDxfId="467" totalsRowDxfId="466"/>
    <tableColumn id="82" name="If Other Disease/Infection Type Explain3" dataDxfId="465" totalsRowDxfId="464"/>
    <tableColumn id="83" name="Disease Description3" dataDxfId="463" totalsRowDxfId="462"/>
    <tableColumn id="84" name="Number of Antibiotics Prescribed for this Condition3" dataDxfId="461" totalsRowDxfId="460"/>
    <tableColumn id="85" name="Diagnostics Offered for Infectious Condition (Y/N)3" dataDxfId="459" totalsRowDxfId="458"/>
    <tableColumn id="86" name="Diagnostic Performed for Infectious Condition (Y/N)3" dataDxfId="457" totalsRowDxfId="456"/>
    <tableColumn id="91" name="Drug Name7" dataDxfId="455" totalsRowDxfId="454"/>
    <tableColumn id="92" name="Drug Class7" dataDxfId="453" totalsRowDxfId="452">
      <calculatedColumnFormula>IFERROR(VLOOKUP(October[[#This Row],[Drug Name7]],'Data Options'!$R$1:$S$100,2,FALSE), " ")</calculatedColumnFormula>
    </tableColumn>
    <tableColumn id="93" name="Dose (in mg)7" dataDxfId="451" totalsRowDxfId="450"/>
    <tableColumn id="94" name="Frequency7" dataDxfId="449" totalsRowDxfId="448"/>
    <tableColumn id="95" name="Route7" dataDxfId="447" totalsRowDxfId="446"/>
    <tableColumn id="96" name="Duration _x000a_(in days)7" dataDxfId="445" totalsRowDxfId="444"/>
    <tableColumn id="98" name="Locatio  Filled7" dataDxfId="443" totalsRowDxfId="442"/>
    <tableColumn id="99" name="Drug Name8" dataDxfId="441" totalsRowDxfId="440"/>
    <tableColumn id="100" name="Drug Class8" dataDxfId="439" totalsRowDxfId="438">
      <calculatedColumnFormula>IFERROR(VLOOKUP(October[[#This Row],[Drug Name8]],'Data Options'!$R$1:$S$100,2,FALSE), " ")</calculatedColumnFormula>
    </tableColumn>
    <tableColumn id="101" name="Dose (in mg)8" dataDxfId="437" totalsRowDxfId="436"/>
    <tableColumn id="102" name="Frequency8" dataDxfId="435" totalsRowDxfId="434"/>
    <tableColumn id="103" name="Route8" dataDxfId="433" totalsRowDxfId="432"/>
    <tableColumn id="104" name="Duration _x000a_(in days)8" dataDxfId="431" totalsRowDxfId="430"/>
    <tableColumn id="106" name="Location Filled8" dataDxfId="429" totalsRowDxfId="428"/>
    <tableColumn id="107" name="Drug Name9" dataDxfId="427" totalsRowDxfId="426"/>
    <tableColumn id="108" name="Drug Class9" dataDxfId="425" totalsRowDxfId="424">
      <calculatedColumnFormula>IFERROR(VLOOKUP(October[[#This Row],[Drug Name9]],'Data Options'!$R$1:$S$100,2,FALSE), " ")</calculatedColumnFormula>
    </tableColumn>
    <tableColumn id="109" name="Dose (in mg)9" dataDxfId="423" totalsRowDxfId="422"/>
    <tableColumn id="110" name="Frequency9" dataDxfId="421" totalsRowDxfId="420"/>
    <tableColumn id="111" name="Route9" dataDxfId="419" totalsRowDxfId="418"/>
    <tableColumn id="112" name="Duration _x000a_(in days)9" dataDxfId="417" totalsRowDxfId="416"/>
    <tableColumn id="114" name="Location Filled9" totalsRowFunction="count" dataDxfId="415" totalsRowDxfId="414"/>
  </tableColumns>
  <tableStyleInfo name="TableStyleLight18" showFirstColumn="0" showLastColumn="0" showRowStripes="1" showColumnStripes="0"/>
</table>
</file>

<file path=xl/tables/table13.xml><?xml version="1.0" encoding="utf-8"?>
<table xmlns="http://schemas.openxmlformats.org/spreadsheetml/2006/main" id="36" name="November" displayName="November" ref="A3:CM202" totalsRowCount="1" headerRowDxfId="413" dataDxfId="411" totalsRowDxfId="410" headerRowBorderDxfId="412">
  <autoFilter ref="A3:CM201"/>
  <tableColumns count="91">
    <tableColumn id="1" name="Date of Service" totalsRowLabel="Total" dataDxfId="409" totalsRowDxfId="408"/>
    <tableColumn id="3" name="Attending Clinician" dataDxfId="407" totalsRowDxfId="406"/>
    <tableColumn id="4" name="Patient Medical Record Number" dataDxfId="405" totalsRowDxfId="404"/>
    <tableColumn id="5" name="Patient Species" dataDxfId="403" totalsRowDxfId="402"/>
    <tableColumn id="6" name="Patient Sex" dataDxfId="401" totalsRowDxfId="400"/>
    <tableColumn id="7" name="Patient Age" dataDxfId="399" totalsRowDxfId="398"/>
    <tableColumn id="8" name="Reason for Visit" dataDxfId="397" totalsRowDxfId="396"/>
    <tableColumn id="9" name="If Other Reason for Visit Explain" dataDxfId="395" totalsRowDxfId="394"/>
    <tableColumn id="10" name="Patient Prescribed Antibiotic (Y/N/WW)" dataDxfId="393" totalsRowDxfId="392"/>
    <tableColumn id="11" name="Total Number of Antibiotics Prescribed for Patient" dataDxfId="391" totalsRowDxfId="390"/>
    <tableColumn id="13" name="Disease/Infection Type" dataDxfId="389" totalsRowDxfId="388"/>
    <tableColumn id="14" name="If Other Disease/Infection Type Explain" dataDxfId="387" totalsRowDxfId="386"/>
    <tableColumn id="15" name="Disease Description" dataDxfId="385" totalsRowDxfId="384"/>
    <tableColumn id="16" name="Number of Antibiotics Prescribed for this Condition " dataDxfId="383" totalsRowDxfId="382"/>
    <tableColumn id="17" name="Diagnostics Offered for Infectious Condition (Y/N)" dataDxfId="381" totalsRowDxfId="380"/>
    <tableColumn id="18" name="Diagnostic Performed for Infectious Condition (Y/N)" dataDxfId="379" totalsRowDxfId="378"/>
    <tableColumn id="23" name="Drug Name" dataDxfId="377" totalsRowDxfId="376"/>
    <tableColumn id="24" name="Drug Class" dataDxfId="375" totalsRowDxfId="374">
      <calculatedColumnFormula>IFERROR(VLOOKUP(November[[#This Row],[Drug Name]],'Data Options'!$R$1:$S$100,2,FALSE), " ")</calculatedColumnFormula>
    </tableColumn>
    <tableColumn id="25" name="Dose (in mg)" dataDxfId="373" totalsRowDxfId="372"/>
    <tableColumn id="26" name="Frequency" dataDxfId="371" totalsRowDxfId="370"/>
    <tableColumn id="27" name="Route" dataDxfId="369" totalsRowDxfId="368"/>
    <tableColumn id="28" name="Duration _x000a_(in days)" dataDxfId="367" totalsRowDxfId="366"/>
    <tableColumn id="30" name="Location Filled " dataDxfId="365" totalsRowDxfId="364"/>
    <tableColumn id="31" name="Drug Name2" dataDxfId="363" totalsRowDxfId="362"/>
    <tableColumn id="32" name="Drug Class2" dataDxfId="361" totalsRowDxfId="360">
      <calculatedColumnFormula>IFERROR(VLOOKUP(November[[#This Row],[Drug Name2]],'Data Options'!$R$1:$S$100,2,FALSE), " ")</calculatedColumnFormula>
    </tableColumn>
    <tableColumn id="33" name="Dose (in mg)2" dataDxfId="359" totalsRowDxfId="358"/>
    <tableColumn id="34" name="Frequency2" dataDxfId="357" totalsRowDxfId="356"/>
    <tableColumn id="35" name="Route2" dataDxfId="355" totalsRowDxfId="354"/>
    <tableColumn id="36" name="Duration _x000a_(in days)2" dataDxfId="353" totalsRowDxfId="352"/>
    <tableColumn id="38" name="Location Filled2" dataDxfId="351" totalsRowDxfId="350"/>
    <tableColumn id="39" name="Drug Name3" dataDxfId="349" totalsRowDxfId="348"/>
    <tableColumn id="40" name="Drug Class3" dataDxfId="347" totalsRowDxfId="346">
      <calculatedColumnFormula>IFERROR(VLOOKUP(November[[#This Row],[Drug Name3]],'Data Options'!$R$1:$S$100,2,FALSE), " ")</calculatedColumnFormula>
    </tableColumn>
    <tableColumn id="41" name="Dose (in mg)3" dataDxfId="345" totalsRowDxfId="344"/>
    <tableColumn id="42" name="Frequency3" dataDxfId="343" totalsRowDxfId="342"/>
    <tableColumn id="43" name="Route3" dataDxfId="341" totalsRowDxfId="340"/>
    <tableColumn id="44" name="Duration _x000a_(in days)3" dataDxfId="339" totalsRowDxfId="338"/>
    <tableColumn id="46" name="Location Filled3" dataDxfId="337" totalsRowDxfId="336"/>
    <tableColumn id="47" name="Disease/Infection Type2" dataDxfId="335" totalsRowDxfId="334"/>
    <tableColumn id="48" name="If Other Disease/Infection Type Explain2" dataDxfId="333" totalsRowDxfId="332"/>
    <tableColumn id="49" name="Disease Description2" dataDxfId="331" totalsRowDxfId="330"/>
    <tableColumn id="50" name="Number of Antibiotics Prescribed for this Condition2" dataDxfId="329" totalsRowDxfId="328"/>
    <tableColumn id="51" name="Diagnostics Offered for Infectious Condition (Y/N)2" dataDxfId="327" totalsRowDxfId="326"/>
    <tableColumn id="52" name="Diagnostic Performed for Infectious Condition (Y/N)2" dataDxfId="325" totalsRowDxfId="324"/>
    <tableColumn id="57" name="Drug Name4" dataDxfId="323" totalsRowDxfId="322"/>
    <tableColumn id="58" name="Drug Class4" dataDxfId="321" totalsRowDxfId="320">
      <calculatedColumnFormula>IFERROR(VLOOKUP(November[[#This Row],[Drug Name4]],'Data Options'!$R$1:$S$100,2,FALSE), " ")</calculatedColumnFormula>
    </tableColumn>
    <tableColumn id="59" name="Dose (in mg)4" dataDxfId="319" totalsRowDxfId="318"/>
    <tableColumn id="60" name="Frequency4" dataDxfId="317" totalsRowDxfId="316"/>
    <tableColumn id="61" name="Route4" dataDxfId="315" totalsRowDxfId="314"/>
    <tableColumn id="62" name="Duration _x000a_(in days)4" dataDxfId="313" totalsRowDxfId="312"/>
    <tableColumn id="64" name="Location Filled4" dataDxfId="311" totalsRowDxfId="310"/>
    <tableColumn id="65" name="Drug Name5" dataDxfId="309" totalsRowDxfId="308"/>
    <tableColumn id="66" name="Drug Class5" dataDxfId="307" totalsRowDxfId="306">
      <calculatedColumnFormula>IFERROR(VLOOKUP(November[[#This Row],[Drug Name5]],'Data Options'!$R$1:$S$100,2,FALSE), " ")</calculatedColumnFormula>
    </tableColumn>
    <tableColumn id="67" name="Dose (in mg)5" dataDxfId="305" totalsRowDxfId="304"/>
    <tableColumn id="68" name="Frequency5" dataDxfId="303" totalsRowDxfId="302"/>
    <tableColumn id="69" name="Route5" dataDxfId="301" totalsRowDxfId="300"/>
    <tableColumn id="70" name="Duration _x000a_(in days)5" dataDxfId="299" totalsRowDxfId="298"/>
    <tableColumn id="72" name="Location Filled5" dataDxfId="297" totalsRowDxfId="296"/>
    <tableColumn id="73" name="Drug Name6" dataDxfId="295" totalsRowDxfId="294"/>
    <tableColumn id="74" name="Drug Class6" dataDxfId="293" totalsRowDxfId="292">
      <calculatedColumnFormula>IFERROR(VLOOKUP(November[[#This Row],[Drug Name6]],'Data Options'!$R$1:$S$100,2,FALSE), " ")</calculatedColumnFormula>
    </tableColumn>
    <tableColumn id="75" name="Dose (in mg)6" dataDxfId="291" totalsRowDxfId="290"/>
    <tableColumn id="76" name="Frequency6" dataDxfId="289" totalsRowDxfId="288"/>
    <tableColumn id="77" name="Route6" dataDxfId="287" totalsRowDxfId="286"/>
    <tableColumn id="78" name="Duration _x000a_(in days)6" dataDxfId="285" totalsRowDxfId="284"/>
    <tableColumn id="80" name="Location Filled6" dataDxfId="283" totalsRowDxfId="282"/>
    <tableColumn id="81" name="Disease/Infection Type3" dataDxfId="281" totalsRowDxfId="280"/>
    <tableColumn id="82" name="If Other Disease/Infection Type Explain3" dataDxfId="279" totalsRowDxfId="278"/>
    <tableColumn id="83" name="Disease Description3" dataDxfId="277" totalsRowDxfId="276"/>
    <tableColumn id="84" name="Number of Antibiotics Prescribed for this Condition3" dataDxfId="275" totalsRowDxfId="274"/>
    <tableColumn id="85" name="Diagnostics Offered for Infectious Condition (Y/N)3" dataDxfId="273" totalsRowDxfId="272"/>
    <tableColumn id="86" name="Diagnostic Performed for Infectious Condition (Y/N)3" dataDxfId="271" totalsRowDxfId="270"/>
    <tableColumn id="91" name="Drug Name7" dataDxfId="269" totalsRowDxfId="268"/>
    <tableColumn id="92" name="Drug Class7" dataDxfId="267" totalsRowDxfId="266">
      <calculatedColumnFormula>IFERROR(VLOOKUP(November[[#This Row],[Drug Name7]],'Data Options'!$R$1:$S$100,2,FALSE), " ")</calculatedColumnFormula>
    </tableColumn>
    <tableColumn id="93" name="Dose (in mg)7" dataDxfId="265" totalsRowDxfId="264"/>
    <tableColumn id="94" name="Frequency7" dataDxfId="263" totalsRowDxfId="262"/>
    <tableColumn id="95" name="Route7" dataDxfId="261" totalsRowDxfId="260"/>
    <tableColumn id="96" name="Duration _x000a_(in days)7" dataDxfId="259" totalsRowDxfId="258"/>
    <tableColumn id="98" name="Locatio  Filled7" dataDxfId="257" totalsRowDxfId="256"/>
    <tableColumn id="99" name="Drug Name8" dataDxfId="255" totalsRowDxfId="254"/>
    <tableColumn id="100" name="Drug Class8" dataDxfId="253" totalsRowDxfId="252">
      <calculatedColumnFormula>IFERROR(VLOOKUP(November[[#This Row],[Drug Name8]],'Data Options'!$R$1:$S$100,2,FALSE), " ")</calculatedColumnFormula>
    </tableColumn>
    <tableColumn id="101" name="Dose (in mg)8" dataDxfId="251" totalsRowDxfId="250"/>
    <tableColumn id="102" name="Frequency8" dataDxfId="249" totalsRowDxfId="248"/>
    <tableColumn id="103" name="Route8" dataDxfId="247" totalsRowDxfId="246"/>
    <tableColumn id="104" name="Duration _x000a_(in days)8" dataDxfId="245" totalsRowDxfId="244"/>
    <tableColumn id="106" name="Location Filled8" dataDxfId="243" totalsRowDxfId="242"/>
    <tableColumn id="107" name="Drug Name9" dataDxfId="241" totalsRowDxfId="240"/>
    <tableColumn id="108" name="Drug Class9" dataDxfId="239" totalsRowDxfId="238">
      <calculatedColumnFormula>IFERROR(VLOOKUP(November[[#This Row],[Drug Name9]],'Data Options'!$R$1:$S$100,2,FALSE), " ")</calculatedColumnFormula>
    </tableColumn>
    <tableColumn id="109" name="Dose (in mg)9" dataDxfId="237" totalsRowDxfId="236"/>
    <tableColumn id="110" name="Frequency9" dataDxfId="235" totalsRowDxfId="234"/>
    <tableColumn id="111" name="Route9" dataDxfId="233" totalsRowDxfId="232"/>
    <tableColumn id="112" name="Duration _x000a_(in days)9" dataDxfId="231" totalsRowDxfId="230"/>
    <tableColumn id="114" name="Location Filled9" totalsRowFunction="count" dataDxfId="229" totalsRowDxfId="228"/>
  </tableColumns>
  <tableStyleInfo name="TableStyleLight18" showFirstColumn="0" showLastColumn="0" showRowStripes="1" showColumnStripes="0"/>
</table>
</file>

<file path=xl/tables/table14.xml><?xml version="1.0" encoding="utf-8"?>
<table xmlns="http://schemas.openxmlformats.org/spreadsheetml/2006/main" id="37" name="December" displayName="December" ref="A3:CM202" totalsRowCount="1" headerRowDxfId="227" dataDxfId="225" totalsRowDxfId="224" headerRowBorderDxfId="226">
  <autoFilter ref="A3:CM201"/>
  <tableColumns count="91">
    <tableColumn id="1" name="Date of Service" totalsRowLabel="Total" dataDxfId="223" totalsRowDxfId="222"/>
    <tableColumn id="3" name="Attending Clinician" dataDxfId="221" totalsRowDxfId="220"/>
    <tableColumn id="4" name="Patient Medical Record Number" dataDxfId="219" totalsRowDxfId="218"/>
    <tableColumn id="5" name="Patient Species" dataDxfId="217" totalsRowDxfId="216"/>
    <tableColumn id="6" name="Patient Sex" dataDxfId="215" totalsRowDxfId="214"/>
    <tableColumn id="7" name="Patient Age" dataDxfId="213" totalsRowDxfId="212"/>
    <tableColumn id="8" name="Reason for Visit" dataDxfId="211" totalsRowDxfId="210"/>
    <tableColumn id="9" name="If Other Reason for Visit Explain" dataDxfId="209" totalsRowDxfId="208"/>
    <tableColumn id="10" name="Patient Prescribed Antibiotic (Y/N/WW)" dataDxfId="207" totalsRowDxfId="206"/>
    <tableColumn id="11" name="Total Number of Antibiotics Prescribed for Patient" dataDxfId="205" totalsRowDxfId="204"/>
    <tableColumn id="13" name="Disease/Infection Type" dataDxfId="203" totalsRowDxfId="202"/>
    <tableColumn id="14" name="If Other Disease/Infection Type Explain" dataDxfId="201" totalsRowDxfId="200"/>
    <tableColumn id="15" name="Disease Description" dataDxfId="199" totalsRowDxfId="198"/>
    <tableColumn id="16" name="Number of Antibiotics Prescribed for this Condition " dataDxfId="197" totalsRowDxfId="196"/>
    <tableColumn id="17" name="Diagnostics Offered for Infectious Condition (Y/N)" dataDxfId="195" totalsRowDxfId="194"/>
    <tableColumn id="18" name="Diagnostic Performed for Infectious Condition (Y/N)" dataDxfId="193" totalsRowDxfId="192"/>
    <tableColumn id="23" name="Drug Name" dataDxfId="191" totalsRowDxfId="190"/>
    <tableColumn id="24" name="Drug Class" dataDxfId="189" totalsRowDxfId="188">
      <calculatedColumnFormula>IFERROR(VLOOKUP(December[[#This Row],[Drug Name]],'Data Options'!$R$1:$S$100,2,FALSE), " ")</calculatedColumnFormula>
    </tableColumn>
    <tableColumn id="25" name="Dose (in mg)" dataDxfId="187" totalsRowDxfId="186"/>
    <tableColumn id="26" name="Frequency" dataDxfId="185" totalsRowDxfId="184"/>
    <tableColumn id="27" name="Route" dataDxfId="183" totalsRowDxfId="182"/>
    <tableColumn id="28" name="Duration _x000a_(in days)" dataDxfId="181" totalsRowDxfId="180"/>
    <tableColumn id="30" name="Location Filled " dataDxfId="179" totalsRowDxfId="178"/>
    <tableColumn id="31" name="Drug Name2" dataDxfId="177" totalsRowDxfId="176"/>
    <tableColumn id="32" name="Drug Class2" dataDxfId="175" totalsRowDxfId="174">
      <calculatedColumnFormula>IFERROR(VLOOKUP(December[[#This Row],[Drug Name2]],'Data Options'!$R$1:$S$100,2,FALSE), " ")</calculatedColumnFormula>
    </tableColumn>
    <tableColumn id="33" name="Dose (in mg)2" dataDxfId="173" totalsRowDxfId="172"/>
    <tableColumn id="34" name="Frequency2" dataDxfId="171" totalsRowDxfId="170"/>
    <tableColumn id="35" name="Route2" dataDxfId="169" totalsRowDxfId="168"/>
    <tableColumn id="36" name="Duration _x000a_(in days)2" dataDxfId="167" totalsRowDxfId="166"/>
    <tableColumn id="38" name="Location Filled2" dataDxfId="165" totalsRowDxfId="164"/>
    <tableColumn id="39" name="Drug Name3" dataDxfId="163" totalsRowDxfId="162"/>
    <tableColumn id="40" name="Drug Class3" dataDxfId="161" totalsRowDxfId="160">
      <calculatedColumnFormula>IFERROR(VLOOKUP(December[[#This Row],[Drug Name3]],'Data Options'!$R$1:$S$100,2,FALSE), " ")</calculatedColumnFormula>
    </tableColumn>
    <tableColumn id="41" name="Dose (in mg)3" dataDxfId="159" totalsRowDxfId="158"/>
    <tableColumn id="42" name="Frequency3" dataDxfId="157" totalsRowDxfId="156"/>
    <tableColumn id="43" name="Route3" dataDxfId="155" totalsRowDxfId="154"/>
    <tableColumn id="44" name="Duration _x000a_(in days)3" dataDxfId="153" totalsRowDxfId="152"/>
    <tableColumn id="46" name="Location Filled3" dataDxfId="151" totalsRowDxfId="150"/>
    <tableColumn id="47" name="Disease/Infection Type2" dataDxfId="149" totalsRowDxfId="148"/>
    <tableColumn id="48" name="If Other Disease/Infection Type Explain2" dataDxfId="147" totalsRowDxfId="146"/>
    <tableColumn id="49" name="Disease Description2" dataDxfId="145" totalsRowDxfId="144"/>
    <tableColumn id="50" name="Number of Antibiotics Prescribed for this Condition2" dataDxfId="143" totalsRowDxfId="142"/>
    <tableColumn id="51" name="Diagnostics Offered for Infectious Condition (Y/N)2" dataDxfId="141" totalsRowDxfId="140"/>
    <tableColumn id="52" name="Diagnostic Performed for Infectious Condition (Y/N)2" dataDxfId="139" totalsRowDxfId="138"/>
    <tableColumn id="57" name="Drug Name4" dataDxfId="137" totalsRowDxfId="136"/>
    <tableColumn id="58" name="Drug Class4" dataDxfId="135" totalsRowDxfId="134">
      <calculatedColumnFormula>IFERROR(VLOOKUP(December[[#This Row],[Drug Name4]],'Data Options'!$R$1:$S$100,2,FALSE), " ")</calculatedColumnFormula>
    </tableColumn>
    <tableColumn id="59" name="Dose (in mg)4" dataDxfId="133" totalsRowDxfId="132"/>
    <tableColumn id="60" name="Frequency4" dataDxfId="131" totalsRowDxfId="130"/>
    <tableColumn id="61" name="Route4" dataDxfId="129" totalsRowDxfId="128"/>
    <tableColumn id="62" name="Duration _x000a_(in days)4" dataDxfId="127" totalsRowDxfId="126"/>
    <tableColumn id="64" name="Location Filled4" dataDxfId="125" totalsRowDxfId="124"/>
    <tableColumn id="65" name="Drug Name5" dataDxfId="123" totalsRowDxfId="122"/>
    <tableColumn id="66" name="Drug Class5" dataDxfId="121" totalsRowDxfId="120">
      <calculatedColumnFormula>IFERROR(VLOOKUP(December[[#This Row],[Drug Name5]],'Data Options'!$R$1:$S$100,2,FALSE), " ")</calculatedColumnFormula>
    </tableColumn>
    <tableColumn id="67" name="Dose (in mg)5" dataDxfId="119" totalsRowDxfId="118"/>
    <tableColumn id="68" name="Frequency5" dataDxfId="117" totalsRowDxfId="116"/>
    <tableColumn id="69" name="Route5" dataDxfId="115" totalsRowDxfId="114"/>
    <tableColumn id="70" name="Duration _x000a_(in days)5" dataDxfId="113" totalsRowDxfId="112"/>
    <tableColumn id="72" name="Location Filled5" dataDxfId="111" totalsRowDxfId="110"/>
    <tableColumn id="73" name="Drug Name6" dataDxfId="109" totalsRowDxfId="108"/>
    <tableColumn id="74" name="Drug Class6" dataDxfId="107" totalsRowDxfId="106">
      <calculatedColumnFormula>IFERROR(VLOOKUP(December[[#This Row],[Drug Name6]],'Data Options'!$R$1:$S$100,2,FALSE), " ")</calculatedColumnFormula>
    </tableColumn>
    <tableColumn id="75" name="Dose (in mg)6" dataDxfId="105" totalsRowDxfId="104"/>
    <tableColumn id="76" name="Frequency6" dataDxfId="103" totalsRowDxfId="102"/>
    <tableColumn id="77" name="Route6" dataDxfId="101" totalsRowDxfId="100"/>
    <tableColumn id="78" name="Duration _x000a_(in days)6" dataDxfId="99" totalsRowDxfId="98"/>
    <tableColumn id="80" name="Location Filled6" dataDxfId="97" totalsRowDxfId="96"/>
    <tableColumn id="81" name="Disease/Infection Type3" dataDxfId="95" totalsRowDxfId="94"/>
    <tableColumn id="82" name="If Other Disease/Infection Type Explain3" dataDxfId="93" totalsRowDxfId="92"/>
    <tableColumn id="83" name="Disease Description3" dataDxfId="91" totalsRowDxfId="90"/>
    <tableColumn id="84" name="Number of Antibiotics Prescribed for this Condition3" dataDxfId="89" totalsRowDxfId="88"/>
    <tableColumn id="85" name="Diagnostics Offered for Infectious Condition (Y/N)3" dataDxfId="87" totalsRowDxfId="86"/>
    <tableColumn id="86" name="Diagnostic Performed for Infectious Condition (Y/N)3" dataDxfId="85" totalsRowDxfId="84"/>
    <tableColumn id="91" name="Drug Name7" dataDxfId="83" totalsRowDxfId="82"/>
    <tableColumn id="92" name="Drug Class7" dataDxfId="81" totalsRowDxfId="80">
      <calculatedColumnFormula>IFERROR(VLOOKUP(December[[#This Row],[Drug Name7]],'Data Options'!$R$1:$S$100,2,FALSE), " ")</calculatedColumnFormula>
    </tableColumn>
    <tableColumn id="93" name="Dose (in mg)7" dataDxfId="79" totalsRowDxfId="78"/>
    <tableColumn id="94" name="Frequency7" dataDxfId="77" totalsRowDxfId="76"/>
    <tableColumn id="95" name="Route7" dataDxfId="75" totalsRowDxfId="74"/>
    <tableColumn id="96" name="Duration _x000a_(in days)7" dataDxfId="73" totalsRowDxfId="72"/>
    <tableColumn id="98" name="Locatio  Filled7" dataDxfId="71" totalsRowDxfId="70"/>
    <tableColumn id="99" name="Drug Name8" dataDxfId="69" totalsRowDxfId="68"/>
    <tableColumn id="100" name="Drug Class8" dataDxfId="67" totalsRowDxfId="66">
      <calculatedColumnFormula>IFERROR(VLOOKUP(December[[#This Row],[Drug Name8]],'Data Options'!$R$1:$S$100,2,FALSE), " ")</calculatedColumnFormula>
    </tableColumn>
    <tableColumn id="101" name="Dose (in mg)8" dataDxfId="65" totalsRowDxfId="64"/>
    <tableColumn id="102" name="Frequency8" dataDxfId="63" totalsRowDxfId="62"/>
    <tableColumn id="103" name="Route8" dataDxfId="61" totalsRowDxfId="60"/>
    <tableColumn id="104" name="Duration _x000a_(in days)8" dataDxfId="59" totalsRowDxfId="58"/>
    <tableColumn id="106" name="Location Filled8" dataDxfId="57" totalsRowDxfId="56"/>
    <tableColumn id="107" name="Drug Name9" dataDxfId="55" totalsRowDxfId="54"/>
    <tableColumn id="108" name="Drug Class9" dataDxfId="53" totalsRowDxfId="52">
      <calculatedColumnFormula>IFERROR(VLOOKUP(December[[#This Row],[Drug Name9]],'Data Options'!$R$1:$S$100,2,FALSE), " ")</calculatedColumnFormula>
    </tableColumn>
    <tableColumn id="109" name="Dose (in mg)9" dataDxfId="51" totalsRowDxfId="50"/>
    <tableColumn id="110" name="Frequency9" dataDxfId="49" totalsRowDxfId="48"/>
    <tableColumn id="111" name="Route9" dataDxfId="47" totalsRowDxfId="46"/>
    <tableColumn id="112" name="Duration _x000a_(in days)9" dataDxfId="45" totalsRowDxfId="44"/>
    <tableColumn id="114" name="Location Filled9" totalsRowFunction="count" dataDxfId="43" totalsRowDxfId="42"/>
  </tableColumns>
  <tableStyleInfo name="TableStyleLight18" showFirstColumn="0" showLastColumn="0" showRowStripes="1" showColumnStripes="0"/>
</table>
</file>

<file path=xl/tables/table15.xml><?xml version="1.0" encoding="utf-8"?>
<table xmlns="http://schemas.openxmlformats.org/spreadsheetml/2006/main" id="25" name="Species" displayName="Species" ref="D3:D5" totalsRowShown="0" headerRowDxfId="41" dataDxfId="40">
  <autoFilter ref="D3:D5"/>
  <tableColumns count="1">
    <tableColumn id="1" name="Patient Species" dataDxfId="39"/>
  </tableColumns>
  <tableStyleInfo name="TableStyleLight21" showFirstColumn="0" showLastColumn="0" showRowStripes="1" showColumnStripes="0"/>
</table>
</file>

<file path=xl/tables/table16.xml><?xml version="1.0" encoding="utf-8"?>
<table xmlns="http://schemas.openxmlformats.org/spreadsheetml/2006/main" id="26" name="Sex" displayName="Sex" ref="E3:E7" totalsRowShown="0" headerRowDxfId="38" dataDxfId="37">
  <autoFilter ref="E3:E7"/>
  <sortState ref="E4:E7">
    <sortCondition ref="E4"/>
  </sortState>
  <tableColumns count="1">
    <tableColumn id="1" name="Patient Sex" dataDxfId="36"/>
  </tableColumns>
  <tableStyleInfo name="TableStyleLight21" showFirstColumn="0" showLastColumn="0" showRowStripes="1" showColumnStripes="0"/>
</table>
</file>

<file path=xl/tables/table17.xml><?xml version="1.0" encoding="utf-8"?>
<table xmlns="http://schemas.openxmlformats.org/spreadsheetml/2006/main" id="27" name="Age" displayName="Age" ref="F3:F9" totalsRowShown="0" headerRowDxfId="35" dataDxfId="34">
  <autoFilter ref="F3:F9"/>
  <tableColumns count="1">
    <tableColumn id="1" name="Patient Age" dataDxfId="33"/>
  </tableColumns>
  <tableStyleInfo name="TableStyleLight21" showFirstColumn="0" showLastColumn="0" showRowStripes="1" showColumnStripes="0"/>
</table>
</file>

<file path=xl/tables/table18.xml><?xml version="1.0" encoding="utf-8"?>
<table xmlns="http://schemas.openxmlformats.org/spreadsheetml/2006/main" id="28" name="Visit_Reason" displayName="Visit_Reason" ref="G3:G9" totalsRowShown="0" headerRowDxfId="32" dataDxfId="31">
  <autoFilter ref="G3:G9"/>
  <tableColumns count="1">
    <tableColumn id="1" name="Reason for Visit" dataDxfId="30"/>
  </tableColumns>
  <tableStyleInfo name="TableStyleLight21" showFirstColumn="0" showLastColumn="0" showRowStripes="1" showColumnStripes="0"/>
</table>
</file>

<file path=xl/tables/table19.xml><?xml version="1.0" encoding="utf-8"?>
<table xmlns="http://schemas.openxmlformats.org/spreadsheetml/2006/main" id="29" name="ABX_YN" displayName="ABX_YN" ref="I3:I6" totalsRowShown="0" headerRowDxfId="29" dataDxfId="28">
  <autoFilter ref="I3:I6"/>
  <tableColumns count="1">
    <tableColumn id="1" name="Patient Prescribed Antibiotic" dataDxfId="27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19" name="Table19" displayName="Table19" ref="B2:C15" totalsRowShown="0" dataDxfId="2276">
  <autoFilter ref="B2:C15"/>
  <tableColumns count="2">
    <tableColumn id="1" name=" " dataDxfId="2275"/>
    <tableColumn id="2" name="Percentage of Patients Prescribed Antibiotics" dataDxfId="2274">
      <calculatedColumnFormula>IFERROR(Calculations!E2/Calculations!B2*100, " ")</calculatedColumnFormula>
    </tableColumn>
  </tableColumns>
  <tableStyleInfo name="TableStyleMedium4" showFirstColumn="0" showLastColumn="0" showRowStripes="1" showColumnStripes="0"/>
</table>
</file>

<file path=xl/tables/table20.xml><?xml version="1.0" encoding="utf-8"?>
<table xmlns="http://schemas.openxmlformats.org/spreadsheetml/2006/main" id="30" name="ABX_Number" displayName="ABX_Number" ref="J3:J12" totalsRowShown="0" headerRowDxfId="26" dataDxfId="25">
  <autoFilter ref="J3:J12"/>
  <tableColumns count="1">
    <tableColumn id="1" name="Total Number of Antibiotics Prescribed" dataDxfId="24"/>
  </tableColumns>
  <tableStyleInfo name="TableStyleLight21" showFirstColumn="0" showLastColumn="0" showRowStripes="1" showColumnStripes="0"/>
</table>
</file>

<file path=xl/tables/table21.xml><?xml version="1.0" encoding="utf-8"?>
<table xmlns="http://schemas.openxmlformats.org/spreadsheetml/2006/main" id="31" name="Disease_Type" displayName="Disease_Type" ref="L3:L21" totalsRowShown="0" headerRowDxfId="23" dataDxfId="22">
  <autoFilter ref="L3:L21"/>
  <sortState ref="L4:L18">
    <sortCondition ref="L4"/>
  </sortState>
  <tableColumns count="1">
    <tableColumn id="1" name="Disease/Infection Type" dataDxfId="21"/>
  </tableColumns>
  <tableStyleInfo name="TableStyleLight19" showFirstColumn="0" showLastColumn="0" showRowStripes="1" showColumnStripes="0"/>
</table>
</file>

<file path=xl/tables/table22.xml><?xml version="1.0" encoding="utf-8"?>
<table xmlns="http://schemas.openxmlformats.org/spreadsheetml/2006/main" id="32" name="Disease_Descrip" displayName="Disease_Descrip" ref="N3:N8" totalsRowShown="0" headerRowDxfId="20" dataDxfId="19">
  <autoFilter ref="N3:N8"/>
  <sortState ref="N4:N6">
    <sortCondition ref="N4"/>
  </sortState>
  <tableColumns count="1">
    <tableColumn id="1" name="Disease Description" dataDxfId="18"/>
  </tableColumns>
  <tableStyleInfo name="TableStyleLight19" showFirstColumn="0" showLastColumn="0" showRowStripes="1" showColumnStripes="0"/>
</table>
</file>

<file path=xl/tables/table23.xml><?xml version="1.0" encoding="utf-8"?>
<table xmlns="http://schemas.openxmlformats.org/spreadsheetml/2006/main" id="33" name="Dz_Abx_Num" displayName="Dz_Abx_Num" ref="O3:O6" totalsRowShown="0" headerRowDxfId="17" dataDxfId="16">
  <autoFilter ref="O3:O6"/>
  <tableColumns count="1">
    <tableColumn id="1" name="Number of Antibiotics Prescribed for this Condition" dataDxfId="15"/>
  </tableColumns>
  <tableStyleInfo name="TableStyleLight19" showFirstColumn="0" showLastColumn="0" showRowStripes="1" showColumnStripes="0"/>
</table>
</file>

<file path=xl/tables/table24.xml><?xml version="1.0" encoding="utf-8"?>
<table xmlns="http://schemas.openxmlformats.org/spreadsheetml/2006/main" id="34" name="Diagnostics_Offer_YN" displayName="Diagnostics_Offer_YN" ref="P3:P5" totalsRowShown="0" headerRowDxfId="14">
  <autoFilter ref="P3:P5"/>
  <tableColumns count="1">
    <tableColumn id="1" name="Diagnostics Offered for Infectious Condition"/>
  </tableColumns>
  <tableStyleInfo name="TableStyleLight19" showFirstColumn="0" showLastColumn="0" showRowStripes="1" showColumnStripes="0"/>
</table>
</file>

<file path=xl/tables/table25.xml><?xml version="1.0" encoding="utf-8"?>
<table xmlns="http://schemas.openxmlformats.org/spreadsheetml/2006/main" id="35" name="Diagnostics_Performed_YN" displayName="Diagnostics_Performed_YN" ref="Q3:Q5" totalsRowShown="0" headerRowDxfId="13">
  <autoFilter ref="Q3:Q5"/>
  <tableColumns count="1">
    <tableColumn id="1" name="Diagnostic Performed for Infectious Condition"/>
  </tableColumns>
  <tableStyleInfo name="TableStyleLight19" showFirstColumn="0" showLastColumn="0" showRowStripes="1" showColumnStripes="0"/>
</table>
</file>

<file path=xl/tables/table26.xml><?xml version="1.0" encoding="utf-8"?>
<table xmlns="http://schemas.openxmlformats.org/spreadsheetml/2006/main" id="38" name="Drug_Name" displayName="Drug_Name" ref="R3:R73" totalsRowShown="0" headerRowDxfId="12" dataDxfId="11">
  <autoFilter ref="R3:R73"/>
  <sortState ref="R4:R73">
    <sortCondition ref="R4"/>
  </sortState>
  <tableColumns count="1">
    <tableColumn id="1" name="Drug Name" dataDxfId="10"/>
  </tableColumns>
  <tableStyleInfo name="TableStyleLight18" showFirstColumn="0" showLastColumn="0" showRowStripes="1" showColumnStripes="0"/>
</table>
</file>

<file path=xl/tables/table27.xml><?xml version="1.0" encoding="utf-8"?>
<table xmlns="http://schemas.openxmlformats.org/spreadsheetml/2006/main" id="39" name="Drug_Class" displayName="Drug_Class" ref="S3:S73" totalsRowShown="0" headerRowDxfId="9">
  <autoFilter ref="S3:S73"/>
  <tableColumns count="1">
    <tableColumn id="1" name="Drug Class"/>
  </tableColumns>
  <tableStyleInfo name="TableStyleLight18" showFirstColumn="0" showLastColumn="0" showRowStripes="1" showColumnStripes="0"/>
</table>
</file>

<file path=xl/tables/table28.xml><?xml version="1.0" encoding="utf-8"?>
<table xmlns="http://schemas.openxmlformats.org/spreadsheetml/2006/main" id="40" name="Abx_Freq" displayName="Abx_Freq" ref="U3:U11" totalsRowShown="0" headerRowDxfId="8" dataDxfId="7">
  <autoFilter ref="U3:U11"/>
  <tableColumns count="1">
    <tableColumn id="1" name="Frequency" dataDxfId="6"/>
  </tableColumns>
  <tableStyleInfo name="TableStyleLight18" showFirstColumn="0" showLastColumn="0" showRowStripes="1" showColumnStripes="0"/>
</table>
</file>

<file path=xl/tables/table29.xml><?xml version="1.0" encoding="utf-8"?>
<table xmlns="http://schemas.openxmlformats.org/spreadsheetml/2006/main" id="41" name="Abx_Route" displayName="Abx_Route" ref="V3:V9" totalsRowShown="0" headerRowDxfId="5" dataDxfId="4">
  <autoFilter ref="V3:V9"/>
  <sortState ref="V4:V8">
    <sortCondition ref="V4"/>
  </sortState>
  <tableColumns count="1">
    <tableColumn id="1" name="Route" dataDxfId="3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16" name="January" displayName="January" ref="A3:CM202" totalsRowCount="1" headerRowDxfId="2273" dataDxfId="2271" totalsRowDxfId="2270" headerRowBorderDxfId="2272">
  <autoFilter ref="A3:CM201"/>
  <tableColumns count="91">
    <tableColumn id="1" name="Date of Service" totalsRowLabel="Total" dataDxfId="2269" totalsRowDxfId="2268"/>
    <tableColumn id="3" name="Attending Clinician" dataDxfId="2267" totalsRowDxfId="2266"/>
    <tableColumn id="4" name="Patient Medical Record Number" dataDxfId="2265" totalsRowDxfId="2264"/>
    <tableColumn id="5" name="Patient Species" dataDxfId="2263" totalsRowDxfId="2262"/>
    <tableColumn id="6" name="Patient Sex" dataDxfId="2261" totalsRowDxfId="2260"/>
    <tableColumn id="7" name="Patient Age" dataDxfId="2259" totalsRowDxfId="2258"/>
    <tableColumn id="8" name="Reason for Visit" dataDxfId="2257" totalsRowDxfId="2256"/>
    <tableColumn id="9" name="If Other Reason for Visit Explain" dataDxfId="2255" totalsRowDxfId="2254"/>
    <tableColumn id="10" name="Patient Prescribed Antibiotic (Y/N/WW)" dataDxfId="2253" totalsRowDxfId="2252"/>
    <tableColumn id="11" name="Total Number of Antibiotics Prescribed for Patient" dataDxfId="2251" totalsRowDxfId="2250"/>
    <tableColumn id="13" name="Disease/Infection Type" dataDxfId="2249" totalsRowDxfId="2248"/>
    <tableColumn id="14" name="If Other Disease/Infection Type Explain" dataDxfId="2247" totalsRowDxfId="2246"/>
    <tableColumn id="15" name="Disease Description" dataDxfId="2245" totalsRowDxfId="2244"/>
    <tableColumn id="16" name="Number of Antibiotics Prescribed for this Condition " dataDxfId="2243" totalsRowDxfId="2242"/>
    <tableColumn id="17" name="Diagnostics Offered for Infectious Condition (Y/N)" dataDxfId="2241" totalsRowDxfId="2240"/>
    <tableColumn id="18" name="Diagnostic Performed for Infectious Condition (Y/N)" dataDxfId="2239" totalsRowDxfId="2238"/>
    <tableColumn id="23" name="Drug Name" dataDxfId="2237" totalsRowDxfId="2236"/>
    <tableColumn id="24" name="Drug Class" dataDxfId="2235" totalsRowDxfId="2234">
      <calculatedColumnFormula>IFERROR(VLOOKUP(January[[#This Row],[Drug Name]],'Data Options'!$R$1:$S$100,2,FALSE), " ")</calculatedColumnFormula>
    </tableColumn>
    <tableColumn id="25" name="Dose (in mg)" dataDxfId="2233" totalsRowDxfId="2232"/>
    <tableColumn id="26" name="Frequency" dataDxfId="2231" totalsRowDxfId="2230"/>
    <tableColumn id="27" name="Route" dataDxfId="2229" totalsRowDxfId="2228"/>
    <tableColumn id="28" name="Duration _x000a_(in days)" dataDxfId="2227" totalsRowDxfId="2226"/>
    <tableColumn id="30" name="Location Filled " dataDxfId="2225" totalsRowDxfId="2224"/>
    <tableColumn id="31" name="Drug Name2" dataDxfId="2223" totalsRowDxfId="2222"/>
    <tableColumn id="32" name="Drug Class2" dataDxfId="2221" totalsRowDxfId="2220">
      <calculatedColumnFormula>IFERROR(VLOOKUP(January[[#This Row],[Drug Name2]],'Data Options'!$R$1:$S$100,2,FALSE), " ")</calculatedColumnFormula>
    </tableColumn>
    <tableColumn id="33" name="Dose (in mg)2" dataDxfId="2219" totalsRowDxfId="2218"/>
    <tableColumn id="34" name="Frequency2" dataDxfId="2217" totalsRowDxfId="2216"/>
    <tableColumn id="35" name="Route2" dataDxfId="2215" totalsRowDxfId="2214"/>
    <tableColumn id="36" name="Duration _x000a_(in days)2" dataDxfId="2213" totalsRowDxfId="2212"/>
    <tableColumn id="38" name="Location Filled2" dataDxfId="2211" totalsRowDxfId="2210"/>
    <tableColumn id="39" name="Drug Name3" dataDxfId="2209" totalsRowDxfId="2208"/>
    <tableColumn id="40" name="Drug Class3" dataDxfId="2207" totalsRowDxfId="2206">
      <calculatedColumnFormula>IFERROR(VLOOKUP(January[[#This Row],[Drug Name3]],'Data Options'!$R$1:$S$100,2,FALSE), " ")</calculatedColumnFormula>
    </tableColumn>
    <tableColumn id="41" name="Dose (in mg)3" dataDxfId="2205" totalsRowDxfId="2204"/>
    <tableColumn id="42" name="Frequency3" dataDxfId="2203" totalsRowDxfId="2202"/>
    <tableColumn id="43" name="Route3" dataDxfId="2201" totalsRowDxfId="2200"/>
    <tableColumn id="44" name="Duration _x000a_(in days)3" dataDxfId="2199" totalsRowDxfId="2198"/>
    <tableColumn id="46" name="Location Filled3" dataDxfId="2197" totalsRowDxfId="2196"/>
    <tableColumn id="47" name="Disease/Infection Type2" dataDxfId="2195" totalsRowDxfId="2194"/>
    <tableColumn id="48" name="If Other Disease/Infection Type Explain2" dataDxfId="2193" totalsRowDxfId="2192"/>
    <tableColumn id="49" name="Disease Description2" dataDxfId="2191" totalsRowDxfId="2190"/>
    <tableColumn id="50" name="Number of Antibiotics Prescribed for this Condition2" dataDxfId="2189" totalsRowDxfId="2188"/>
    <tableColumn id="51" name="Diagnostics Offered for Infectious Condition (Y/N)2" dataDxfId="2187" totalsRowDxfId="2186"/>
    <tableColumn id="52" name="Diagnostic Performed for Infectious Condition (Y/N)2" dataDxfId="2185" totalsRowDxfId="2184"/>
    <tableColumn id="57" name="Drug Name4" dataDxfId="2183" totalsRowDxfId="2182"/>
    <tableColumn id="58" name="Drug Class4" dataDxfId="2181" totalsRowDxfId="2180">
      <calculatedColumnFormula>IFERROR(VLOOKUP(January[[#This Row],[Drug Name4]],'Data Options'!$R$1:$S$100,2,FALSE), " ")</calculatedColumnFormula>
    </tableColumn>
    <tableColumn id="59" name="Dose (in mg)4" dataDxfId="2179" totalsRowDxfId="2178"/>
    <tableColumn id="60" name="Frequency4" dataDxfId="2177" totalsRowDxfId="2176"/>
    <tableColumn id="61" name="Route4" dataDxfId="2175" totalsRowDxfId="2174"/>
    <tableColumn id="62" name="Duration _x000a_(in days)4" dataDxfId="2173" totalsRowDxfId="2172"/>
    <tableColumn id="64" name="Location Filled4" dataDxfId="2171" totalsRowDxfId="2170"/>
    <tableColumn id="65" name="Drug Name5" dataDxfId="2169" totalsRowDxfId="2168"/>
    <tableColumn id="66" name="Drug Class5" dataDxfId="2167" totalsRowDxfId="2166">
      <calculatedColumnFormula>IFERROR(VLOOKUP(January[[#This Row],[Drug Name5]],'Data Options'!$R$1:$S$100,2,FALSE), " ")</calculatedColumnFormula>
    </tableColumn>
    <tableColumn id="67" name="Dose (in mg)5" dataDxfId="2165" totalsRowDxfId="2164"/>
    <tableColumn id="68" name="Frequency5" dataDxfId="2163" totalsRowDxfId="2162"/>
    <tableColumn id="69" name="Route5" dataDxfId="2161" totalsRowDxfId="2160"/>
    <tableColumn id="70" name="Duration _x000a_(in days)5" dataDxfId="2159" totalsRowDxfId="2158"/>
    <tableColumn id="72" name="Location Filled5" dataDxfId="2157" totalsRowDxfId="2156"/>
    <tableColumn id="73" name="Drug Name6" dataDxfId="2155" totalsRowDxfId="2154"/>
    <tableColumn id="74" name="Drug Class6" dataDxfId="2153" totalsRowDxfId="2152">
      <calculatedColumnFormula>IFERROR(VLOOKUP(January[[#This Row],[Drug Name6]],'Data Options'!$R$1:$S$100,2,FALSE), " ")</calculatedColumnFormula>
    </tableColumn>
    <tableColumn id="75" name="Dose (in mg)6" dataDxfId="2151" totalsRowDxfId="2150"/>
    <tableColumn id="76" name="Frequency6" dataDxfId="2149" totalsRowDxfId="2148"/>
    <tableColumn id="77" name="Route6" dataDxfId="2147" totalsRowDxfId="2146"/>
    <tableColumn id="78" name="Duration _x000a_(in days)6" dataDxfId="2145" totalsRowDxfId="2144"/>
    <tableColumn id="80" name="Location Filled6" dataDxfId="2143" totalsRowDxfId="2142"/>
    <tableColumn id="81" name="Disease/Infection Type3" dataDxfId="2141" totalsRowDxfId="2140"/>
    <tableColumn id="82" name="If Other Disease/Infection Type Explain3" dataDxfId="2139" totalsRowDxfId="2138"/>
    <tableColumn id="83" name="Disease Description3" dataDxfId="2137" totalsRowDxfId="2136"/>
    <tableColumn id="84" name="Number of Antibiotics Prescribed for this Condition3" dataDxfId="2135" totalsRowDxfId="2134"/>
    <tableColumn id="85" name="Diagnostics Offered for Infectious Condition (Y/N)3" dataDxfId="2133" totalsRowDxfId="2132"/>
    <tableColumn id="86" name="Diagnostic Performed for Infectious Condition (Y/N)3" dataDxfId="2131" totalsRowDxfId="2130"/>
    <tableColumn id="91" name="Drug Name7" dataDxfId="2129" totalsRowDxfId="2128"/>
    <tableColumn id="92" name="Drug Class7" dataDxfId="2127" totalsRowDxfId="2126">
      <calculatedColumnFormula>IFERROR(VLOOKUP(January[[#This Row],[Drug Name7]],'Data Options'!$R$1:$S$100,2,FALSE), " ")</calculatedColumnFormula>
    </tableColumn>
    <tableColumn id="93" name="Dose (in mg)7" dataDxfId="2125" totalsRowDxfId="2124"/>
    <tableColumn id="94" name="Frequency7" dataDxfId="2123" totalsRowDxfId="2122"/>
    <tableColumn id="95" name="Route7" dataDxfId="2121" totalsRowDxfId="2120"/>
    <tableColumn id="96" name="Duration _x000a_(in days)7" dataDxfId="2119" totalsRowDxfId="2118"/>
    <tableColumn id="98" name="Locatio  Filled7" dataDxfId="2117" totalsRowDxfId="2116"/>
    <tableColumn id="99" name="Drug Name8" dataDxfId="2115" totalsRowDxfId="2114"/>
    <tableColumn id="100" name="Drug Class8" dataDxfId="2113" totalsRowDxfId="2112">
      <calculatedColumnFormula>IFERROR(VLOOKUP(January[[#This Row],[Drug Name8]],'Data Options'!$R$1:$S$100,2,FALSE), " ")</calculatedColumnFormula>
    </tableColumn>
    <tableColumn id="101" name="Dose (in mg)8" dataDxfId="2111" totalsRowDxfId="2110"/>
    <tableColumn id="102" name="Frequency8" dataDxfId="2109" totalsRowDxfId="2108"/>
    <tableColumn id="103" name="Route8" dataDxfId="2107" totalsRowDxfId="2106"/>
    <tableColumn id="104" name="Duration _x000a_(in days)8" dataDxfId="2105" totalsRowDxfId="2104"/>
    <tableColumn id="106" name="Location Filled8" dataDxfId="2103" totalsRowDxfId="2102"/>
    <tableColumn id="107" name="Drug Name9" dataDxfId="2101" totalsRowDxfId="2100"/>
    <tableColumn id="108" name="Drug Class9" dataDxfId="2099" totalsRowDxfId="2098">
      <calculatedColumnFormula>IFERROR(VLOOKUP(January[[#This Row],[Drug Name9]],'Data Options'!$R$1:$S$100,2,FALSE), " ")</calculatedColumnFormula>
    </tableColumn>
    <tableColumn id="109" name="Dose (in mg)9" dataDxfId="2097" totalsRowDxfId="2096"/>
    <tableColumn id="110" name="Frequency9" dataDxfId="2095" totalsRowDxfId="2094"/>
    <tableColumn id="111" name="Route9" dataDxfId="2093" totalsRowDxfId="2092"/>
    <tableColumn id="112" name="Duration _x000a_(in days)9" dataDxfId="2091" totalsRowDxfId="2090"/>
    <tableColumn id="114" name="Location Filled9" totalsRowFunction="count" dataDxfId="2089" totalsRowDxfId="2088"/>
  </tableColumns>
  <tableStyleInfo name="TableStyleLight18" showFirstColumn="0" showLastColumn="0" showRowStripes="1" showColumnStripes="0"/>
</table>
</file>

<file path=xl/tables/table30.xml><?xml version="1.0" encoding="utf-8"?>
<table xmlns="http://schemas.openxmlformats.org/spreadsheetml/2006/main" id="42" name="Prescription_Type" displayName="Prescription_Type" ref="X3:X5" totalsRowShown="0" headerRowDxfId="2" dataDxfId="1">
  <autoFilter ref="X3:X5"/>
  <sortState ref="X4:X5">
    <sortCondition descending="1" ref="X5"/>
  </sortState>
  <tableColumns count="1">
    <tableColumn id="1" name="Location Filled" dataDxfId="0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13" name="February" displayName="February" ref="A3:CM202" totalsRowCount="1" headerRowDxfId="2087" dataDxfId="2085" totalsRowDxfId="2084" headerRowBorderDxfId="2086">
  <autoFilter ref="A3:CM201"/>
  <tableColumns count="91">
    <tableColumn id="1" name="Date of Service" totalsRowLabel="Total" dataDxfId="2083" totalsRowDxfId="2082"/>
    <tableColumn id="3" name="Attending Clinician" dataDxfId="2081" totalsRowDxfId="2080"/>
    <tableColumn id="4" name="Patient Medical Record Number" dataDxfId="2079" totalsRowDxfId="2078"/>
    <tableColumn id="5" name="Patient Species" dataDxfId="2077" totalsRowDxfId="2076"/>
    <tableColumn id="6" name="Patient Sex" dataDxfId="2075" totalsRowDxfId="2074"/>
    <tableColumn id="7" name="Patient Age" dataDxfId="2073" totalsRowDxfId="2072"/>
    <tableColumn id="8" name="Reason for Visit" dataDxfId="2071" totalsRowDxfId="2070"/>
    <tableColumn id="9" name="If Other Reason for Visit Explain" dataDxfId="2069" totalsRowDxfId="2068"/>
    <tableColumn id="10" name="Patient Prescribed Antibiotic (Y/N/WW)" dataDxfId="2067" totalsRowDxfId="2066"/>
    <tableColumn id="11" name="Total Number of Antibiotics Prescribed for Patient" dataDxfId="2065" totalsRowDxfId="2064"/>
    <tableColumn id="13" name="Disease/Infection Type" dataDxfId="2063" totalsRowDxfId="2062"/>
    <tableColumn id="14" name="If Other Disease/Infection Type Explain" dataDxfId="2061" totalsRowDxfId="2060"/>
    <tableColumn id="15" name="Disease Description" dataDxfId="2059" totalsRowDxfId="2058"/>
    <tableColumn id="16" name="Number of Antibiotics Prescribed for this Condition " dataDxfId="2057" totalsRowDxfId="2056"/>
    <tableColumn id="17" name="Diagnostics Offered for Infectious Condition (Y/N)" dataDxfId="2055" totalsRowDxfId="2054"/>
    <tableColumn id="18" name="Diagnostic Performed for Infectious Condition (Y/N)" dataDxfId="2053" totalsRowDxfId="2052"/>
    <tableColumn id="23" name="Drug Name" dataDxfId="2051" totalsRowDxfId="2050"/>
    <tableColumn id="24" name="Drug Class" dataDxfId="2049" totalsRowDxfId="2048">
      <calculatedColumnFormula>IFERROR(VLOOKUP(February[[#This Row],[Drug Name]],'Data Options'!$R$1:$S$100,2,FALSE), " ")</calculatedColumnFormula>
    </tableColumn>
    <tableColumn id="25" name="Dose (in mg)" dataDxfId="2047" totalsRowDxfId="2046"/>
    <tableColumn id="26" name="Frequency" dataDxfId="2045" totalsRowDxfId="2044"/>
    <tableColumn id="27" name="Route" dataDxfId="2043" totalsRowDxfId="2042"/>
    <tableColumn id="28" name="Duration _x000a_(in days)" dataDxfId="2041" totalsRowDxfId="2040"/>
    <tableColumn id="30" name="Location Filled " dataDxfId="2039" totalsRowDxfId="2038"/>
    <tableColumn id="31" name="Drug Name2" dataDxfId="2037" totalsRowDxfId="2036"/>
    <tableColumn id="32" name="Drug Class2" dataDxfId="2035" totalsRowDxfId="2034">
      <calculatedColumnFormula>IFERROR(VLOOKUP(February[[#This Row],[Drug Name2]],'Data Options'!$R$1:$S$100,2,FALSE), " ")</calculatedColumnFormula>
    </tableColumn>
    <tableColumn id="33" name="Dose (in mg)2" dataDxfId="2033" totalsRowDxfId="2032"/>
    <tableColumn id="34" name="Frequency2" dataDxfId="2031" totalsRowDxfId="2030"/>
    <tableColumn id="35" name="Route2" dataDxfId="2029" totalsRowDxfId="2028"/>
    <tableColumn id="36" name="Duration _x000a_(in days)2" dataDxfId="2027" totalsRowDxfId="2026"/>
    <tableColumn id="38" name="Location Filled2" dataDxfId="2025" totalsRowDxfId="2024"/>
    <tableColumn id="39" name="Drug Name3" dataDxfId="2023" totalsRowDxfId="2022"/>
    <tableColumn id="40" name="Drug Class3" dataDxfId="2021" totalsRowDxfId="2020">
      <calculatedColumnFormula>IFERROR(VLOOKUP(February[[#This Row],[Drug Name3]],'Data Options'!$R$1:$S$100,2,FALSE), " ")</calculatedColumnFormula>
    </tableColumn>
    <tableColumn id="41" name="Dose (in mg)3" dataDxfId="2019" totalsRowDxfId="2018"/>
    <tableColumn id="42" name="Frequency3" dataDxfId="2017" totalsRowDxfId="2016"/>
    <tableColumn id="43" name="Route3" dataDxfId="2015" totalsRowDxfId="2014"/>
    <tableColumn id="44" name="Duration _x000a_(in days)3" dataDxfId="2013" totalsRowDxfId="2012"/>
    <tableColumn id="46" name="Location Filled3" dataDxfId="2011" totalsRowDxfId="2010"/>
    <tableColumn id="47" name="Disease/Infection Type2" dataDxfId="2009" totalsRowDxfId="2008"/>
    <tableColumn id="48" name="If Other Disease/Infection Type Explain2" dataDxfId="2007" totalsRowDxfId="2006"/>
    <tableColumn id="49" name="Disease Description2" dataDxfId="2005" totalsRowDxfId="2004"/>
    <tableColumn id="50" name="Number of Antibiotics Prescribed for this Condition2" dataDxfId="2003" totalsRowDxfId="2002"/>
    <tableColumn id="51" name="Diagnostics Offered for Infectious Condition (Y/N)2" dataDxfId="2001" totalsRowDxfId="2000"/>
    <tableColumn id="52" name="Diagnostic Performed for Infectious Condition (Y/N)2" dataDxfId="1999" totalsRowDxfId="1998"/>
    <tableColumn id="57" name="Drug Name4" dataDxfId="1997" totalsRowDxfId="1996"/>
    <tableColumn id="58" name="Drug Class4" dataDxfId="1995" totalsRowDxfId="1994">
      <calculatedColumnFormula>IFERROR(VLOOKUP(February[[#This Row],[Drug Name4]],'Data Options'!$R$1:$S$100,2,FALSE), " ")</calculatedColumnFormula>
    </tableColumn>
    <tableColumn id="59" name="Dose (in mg)4" dataDxfId="1993" totalsRowDxfId="1992"/>
    <tableColumn id="60" name="Frequency4" dataDxfId="1991" totalsRowDxfId="1990"/>
    <tableColumn id="61" name="Route4" dataDxfId="1989" totalsRowDxfId="1988"/>
    <tableColumn id="62" name="Duration _x000a_(in days)4" dataDxfId="1987" totalsRowDxfId="1986"/>
    <tableColumn id="64" name="Location Filled4" dataDxfId="1985" totalsRowDxfId="1984"/>
    <tableColumn id="65" name="Drug Name5" dataDxfId="1983" totalsRowDxfId="1982"/>
    <tableColumn id="66" name="Drug Class5" dataDxfId="1981" totalsRowDxfId="1980">
      <calculatedColumnFormula>IFERROR(VLOOKUP(February[[#This Row],[Drug Name5]],'Data Options'!$R$1:$S$100,2,FALSE), " ")</calculatedColumnFormula>
    </tableColumn>
    <tableColumn id="67" name="Dose (in mg)5" dataDxfId="1979" totalsRowDxfId="1978"/>
    <tableColumn id="68" name="Frequency5" dataDxfId="1977" totalsRowDxfId="1976"/>
    <tableColumn id="69" name="Route5" dataDxfId="1975" totalsRowDxfId="1974"/>
    <tableColumn id="70" name="Duration _x000a_(in days)5" dataDxfId="1973" totalsRowDxfId="1972"/>
    <tableColumn id="72" name="Location Filled5" dataDxfId="1971" totalsRowDxfId="1970"/>
    <tableColumn id="73" name="Drug Name6" dataDxfId="1969" totalsRowDxfId="1968"/>
    <tableColumn id="74" name="Drug Class6" dataDxfId="1967" totalsRowDxfId="1966">
      <calculatedColumnFormula>IFERROR(VLOOKUP(February[[#This Row],[Drug Name6]],'Data Options'!$R$1:$S$100,2,FALSE), " ")</calculatedColumnFormula>
    </tableColumn>
    <tableColumn id="75" name="Dose (in mg)6" dataDxfId="1965" totalsRowDxfId="1964"/>
    <tableColumn id="76" name="Frequency6" dataDxfId="1963" totalsRowDxfId="1962"/>
    <tableColumn id="77" name="Route6" dataDxfId="1961" totalsRowDxfId="1960"/>
    <tableColumn id="78" name="Duration _x000a_(in days)6" dataDxfId="1959" totalsRowDxfId="1958"/>
    <tableColumn id="80" name="Location Filled6" dataDxfId="1957" totalsRowDxfId="1956"/>
    <tableColumn id="81" name="Disease/Infection Type3" dataDxfId="1955" totalsRowDxfId="1954"/>
    <tableColumn id="82" name="If Other Disease/Infection Type Explain3" dataDxfId="1953" totalsRowDxfId="1952"/>
    <tableColumn id="83" name="Disease Description3" dataDxfId="1951" totalsRowDxfId="1950"/>
    <tableColumn id="84" name="Number of Antibiotics Prescribed for this Condition3" dataDxfId="1949" totalsRowDxfId="1948"/>
    <tableColumn id="85" name="Diagnostics Offered for Infectious Condition (Y/N)3" dataDxfId="1947" totalsRowDxfId="1946"/>
    <tableColumn id="86" name="Diagnostic Performed for Infectious Condition (Y/N)3" dataDxfId="1945" totalsRowDxfId="1944"/>
    <tableColumn id="91" name="Drug Name7" dataDxfId="1943" totalsRowDxfId="1942"/>
    <tableColumn id="92" name="Drug Class7" dataDxfId="1941" totalsRowDxfId="1940">
      <calculatedColumnFormula>IFERROR(VLOOKUP(February[[#This Row],[Drug Name7]],'Data Options'!$R$1:$S$100,2,FALSE), " ")</calculatedColumnFormula>
    </tableColumn>
    <tableColumn id="93" name="Dose (in mg)7" dataDxfId="1939" totalsRowDxfId="1938"/>
    <tableColumn id="94" name="Frequency7" dataDxfId="1937" totalsRowDxfId="1936"/>
    <tableColumn id="95" name="Route7" dataDxfId="1935" totalsRowDxfId="1934"/>
    <tableColumn id="96" name="Duration _x000a_(in days)7" dataDxfId="1933" totalsRowDxfId="1932"/>
    <tableColumn id="98" name="Locatio  Filled7" dataDxfId="1931" totalsRowDxfId="1930"/>
    <tableColumn id="99" name="Drug Name8" dataDxfId="1929" totalsRowDxfId="1928"/>
    <tableColumn id="100" name="Drug Class8" dataDxfId="1927" totalsRowDxfId="1926">
      <calculatedColumnFormula>IFERROR(VLOOKUP(February[[#This Row],[Drug Name8]],'Data Options'!$R$1:$S$100,2,FALSE), " ")</calculatedColumnFormula>
    </tableColumn>
    <tableColumn id="101" name="Dose (in mg)8" dataDxfId="1925" totalsRowDxfId="1924"/>
    <tableColumn id="102" name="Frequency8" dataDxfId="1923" totalsRowDxfId="1922"/>
    <tableColumn id="103" name="Route8" dataDxfId="1921" totalsRowDxfId="1920"/>
    <tableColumn id="104" name="Duration _x000a_(in days)8" dataDxfId="1919" totalsRowDxfId="1918"/>
    <tableColumn id="106" name="Location Filled8" dataDxfId="1917" totalsRowDxfId="1916"/>
    <tableColumn id="107" name="Drug Name9" dataDxfId="1915" totalsRowDxfId="1914"/>
    <tableColumn id="108" name="Drug Class9" dataDxfId="1913" totalsRowDxfId="1912">
      <calculatedColumnFormula>IFERROR(VLOOKUP(February[[#This Row],[Drug Name9]],'Data Options'!$R$1:$S$100,2,FALSE), " ")</calculatedColumnFormula>
    </tableColumn>
    <tableColumn id="109" name="Dose (in mg)9" dataDxfId="1911" totalsRowDxfId="1910"/>
    <tableColumn id="110" name="Frequency9" dataDxfId="1909" totalsRowDxfId="1908"/>
    <tableColumn id="111" name="Route9" dataDxfId="1907" totalsRowDxfId="1906"/>
    <tableColumn id="112" name="Duration _x000a_(in days)9" dataDxfId="1905" totalsRowDxfId="1904"/>
    <tableColumn id="114" name="Location Filled9" totalsRowFunction="count" dataDxfId="1903" totalsRowDxfId="1902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15" name="March" displayName="March" ref="A3:CM202" totalsRowCount="1" headerRowDxfId="1901" dataDxfId="1899" totalsRowDxfId="1898" headerRowBorderDxfId="1900">
  <autoFilter ref="A3:CM201"/>
  <tableColumns count="91">
    <tableColumn id="1" name="Date of Service" totalsRowLabel="Total" dataDxfId="1897" totalsRowDxfId="1896"/>
    <tableColumn id="3" name="Attending Clinician" dataDxfId="1895" totalsRowDxfId="1894"/>
    <tableColumn id="4" name="Patient Medical Record Number" dataDxfId="1893" totalsRowDxfId="1892"/>
    <tableColumn id="5" name="Patient Species" dataDxfId="1891" totalsRowDxfId="1890"/>
    <tableColumn id="6" name="Patient Sex" dataDxfId="1889" totalsRowDxfId="1888"/>
    <tableColumn id="7" name="Patient Age" dataDxfId="1887" totalsRowDxfId="1886"/>
    <tableColumn id="8" name="Reason for Visit" dataDxfId="1885" totalsRowDxfId="1884"/>
    <tableColumn id="9" name="If Other Reason for Visit Explain" dataDxfId="1883" totalsRowDxfId="1882"/>
    <tableColumn id="10" name="Patient Prescribed Antibiotic (Y/N/WW)" dataDxfId="1881" totalsRowDxfId="1880"/>
    <tableColumn id="11" name="Total Number of Antibiotics Prescribed for Patient" dataDxfId="1879" totalsRowDxfId="1878"/>
    <tableColumn id="13" name="Disease/Infection Type" dataDxfId="1877" totalsRowDxfId="1876"/>
    <tableColumn id="14" name="If Other Disease/Infection Type Explain" dataDxfId="1875" totalsRowDxfId="1874"/>
    <tableColumn id="15" name="Disease Description" dataDxfId="1873" totalsRowDxfId="1872"/>
    <tableColumn id="16" name="Number of Antibiotics Prescribed for this Condition " dataDxfId="1871" totalsRowDxfId="1870"/>
    <tableColumn id="17" name="Diagnostics Offered for Infectious Condition (Y/N)" dataDxfId="1869" totalsRowDxfId="1868"/>
    <tableColumn id="18" name="Diagnostic Performed for Infectious Condition (Y/N)" dataDxfId="1867" totalsRowDxfId="1866"/>
    <tableColumn id="23" name="Drug Name" dataDxfId="1865" totalsRowDxfId="1864"/>
    <tableColumn id="24" name="Drug Class" dataDxfId="1863" totalsRowDxfId="1862">
      <calculatedColumnFormula>IFERROR(VLOOKUP(March[[#This Row],[Drug Name]],'Data Options'!$R$1:$S$100,2,FALSE), " ")</calculatedColumnFormula>
    </tableColumn>
    <tableColumn id="25" name="Dose (in mg)" dataDxfId="1861" totalsRowDxfId="1860"/>
    <tableColumn id="26" name="Frequency" dataDxfId="1859" totalsRowDxfId="1858"/>
    <tableColumn id="27" name="Route" dataDxfId="1857" totalsRowDxfId="1856"/>
    <tableColumn id="28" name="Duration _x000a_(in days)" dataDxfId="1855" totalsRowDxfId="1854"/>
    <tableColumn id="30" name="Location Filled " dataDxfId="1853" totalsRowDxfId="1852"/>
    <tableColumn id="31" name="Drug Name2" dataDxfId="1851" totalsRowDxfId="1850"/>
    <tableColumn id="32" name="Drug Class2" dataDxfId="1849" totalsRowDxfId="1848">
      <calculatedColumnFormula>IFERROR(VLOOKUP(March[[#This Row],[Drug Name2]],'Data Options'!$R$1:$S$100,2,FALSE), " ")</calculatedColumnFormula>
    </tableColumn>
    <tableColumn id="33" name="Dose (in mg)2" dataDxfId="1847" totalsRowDxfId="1846"/>
    <tableColumn id="34" name="Frequency2" dataDxfId="1845" totalsRowDxfId="1844"/>
    <tableColumn id="35" name="Route2" dataDxfId="1843" totalsRowDxfId="1842"/>
    <tableColumn id="36" name="Duration _x000a_(in days)2" dataDxfId="1841" totalsRowDxfId="1840"/>
    <tableColumn id="38" name="Location Filled2" dataDxfId="1839" totalsRowDxfId="1838"/>
    <tableColumn id="39" name="Drug Name3" dataDxfId="1837" totalsRowDxfId="1836"/>
    <tableColumn id="40" name="Drug Class3" dataDxfId="1835" totalsRowDxfId="1834">
      <calculatedColumnFormula>IFERROR(VLOOKUP(March[[#This Row],[Drug Name3]],'Data Options'!$R$1:$S$100,2,FALSE), " ")</calculatedColumnFormula>
    </tableColumn>
    <tableColumn id="41" name="Dose (in mg)3" dataDxfId="1833" totalsRowDxfId="1832"/>
    <tableColumn id="42" name="Frequency3" dataDxfId="1831" totalsRowDxfId="1830"/>
    <tableColumn id="43" name="Route3" dataDxfId="1829" totalsRowDxfId="1828"/>
    <tableColumn id="44" name="Duration _x000a_(in days)3" dataDxfId="1827" totalsRowDxfId="1826"/>
    <tableColumn id="46" name="Location Filled3" dataDxfId="1825" totalsRowDxfId="1824"/>
    <tableColumn id="47" name="Disease/Infection Type2" dataDxfId="1823" totalsRowDxfId="1822"/>
    <tableColumn id="48" name="If Other Disease/Infection Type Explain2" dataDxfId="1821" totalsRowDxfId="1820"/>
    <tableColumn id="49" name="Disease Description2" dataDxfId="1819" totalsRowDxfId="1818"/>
    <tableColumn id="50" name="Number of Antibiotics Prescribed for this Condition2" dataDxfId="1817" totalsRowDxfId="1816"/>
    <tableColumn id="51" name="Diagnostics Offered for Infectious Condition (Y/N)2" dataDxfId="1815" totalsRowDxfId="1814"/>
    <tableColumn id="52" name="Diagnostic Performed for Infectious Condition (Y/N)2" dataDxfId="1813" totalsRowDxfId="1812"/>
    <tableColumn id="57" name="Drug Name4" dataDxfId="1811" totalsRowDxfId="1810"/>
    <tableColumn id="58" name="Drug Class4" dataDxfId="1809" totalsRowDxfId="1808">
      <calculatedColumnFormula>IFERROR(VLOOKUP(March[[#This Row],[Drug Name4]],'Data Options'!$R$1:$S$100,2,FALSE), " ")</calculatedColumnFormula>
    </tableColumn>
    <tableColumn id="59" name="Dose (in mg)4" dataDxfId="1807" totalsRowDxfId="1806"/>
    <tableColumn id="60" name="Frequency4" dataDxfId="1805" totalsRowDxfId="1804"/>
    <tableColumn id="61" name="Route4" dataDxfId="1803" totalsRowDxfId="1802"/>
    <tableColumn id="62" name="Duration _x000a_(in days)4" dataDxfId="1801" totalsRowDxfId="1800"/>
    <tableColumn id="64" name="Location Filled4" dataDxfId="1799" totalsRowDxfId="1798"/>
    <tableColumn id="65" name="Drug Name5" dataDxfId="1797" totalsRowDxfId="1796"/>
    <tableColumn id="66" name="Drug Class5" dataDxfId="1795" totalsRowDxfId="1794">
      <calculatedColumnFormula>IFERROR(VLOOKUP(March[[#This Row],[Drug Name5]],'Data Options'!$R$1:$S$100,2,FALSE), " ")</calculatedColumnFormula>
    </tableColumn>
    <tableColumn id="67" name="Dose (in mg)5" dataDxfId="1793" totalsRowDxfId="1792"/>
    <tableColumn id="68" name="Frequency5" dataDxfId="1791" totalsRowDxfId="1790"/>
    <tableColumn id="69" name="Route5" dataDxfId="1789" totalsRowDxfId="1788"/>
    <tableColumn id="70" name="Duration _x000a_(in days)5" dataDxfId="1787" totalsRowDxfId="1786"/>
    <tableColumn id="72" name="Location Filled5" dataDxfId="1785" totalsRowDxfId="1784"/>
    <tableColumn id="73" name="Drug Name6" dataDxfId="1783" totalsRowDxfId="1782"/>
    <tableColumn id="74" name="Drug Class6" dataDxfId="1781" totalsRowDxfId="1780">
      <calculatedColumnFormula>IFERROR(VLOOKUP(March[[#This Row],[Drug Name6]],'Data Options'!$R$1:$S$100,2,FALSE), " ")</calculatedColumnFormula>
    </tableColumn>
    <tableColumn id="75" name="Dose (in mg)6" dataDxfId="1779" totalsRowDxfId="1778"/>
    <tableColumn id="76" name="Frequency6" dataDxfId="1777" totalsRowDxfId="1776"/>
    <tableColumn id="77" name="Route6" dataDxfId="1775" totalsRowDxfId="1774"/>
    <tableColumn id="78" name="Duration _x000a_(in days)6" dataDxfId="1773" totalsRowDxfId="1772"/>
    <tableColumn id="80" name="Location Filled6" dataDxfId="1771" totalsRowDxfId="1770"/>
    <tableColumn id="81" name="Disease/Infection Type3" dataDxfId="1769" totalsRowDxfId="1768"/>
    <tableColumn id="82" name="If Other Disease/Infection Type Explain3" dataDxfId="1767" totalsRowDxfId="1766"/>
    <tableColumn id="83" name="Disease Description3" dataDxfId="1765" totalsRowDxfId="1764"/>
    <tableColumn id="84" name="Number of Antibiotics Prescribed for this Condition3" dataDxfId="1763" totalsRowDxfId="1762"/>
    <tableColumn id="85" name="Diagnostics Offered for Infectious Condition (Y/N)3" dataDxfId="1761" totalsRowDxfId="1760"/>
    <tableColumn id="86" name="Diagnostic Performed for Infectious Condition (Y/N)3" dataDxfId="1759" totalsRowDxfId="1758"/>
    <tableColumn id="91" name="Drug Name7" dataDxfId="1757" totalsRowDxfId="1756"/>
    <tableColumn id="92" name="Drug Class7" dataDxfId="1755" totalsRowDxfId="1754">
      <calculatedColumnFormula>IFERROR(VLOOKUP(March[[#This Row],[Drug Name7]],'Data Options'!$R$1:$S$100,2,FALSE), " ")</calculatedColumnFormula>
    </tableColumn>
    <tableColumn id="93" name="Dose (in mg)7" dataDxfId="1753" totalsRowDxfId="1752"/>
    <tableColumn id="94" name="Frequency7" dataDxfId="1751" totalsRowDxfId="1750"/>
    <tableColumn id="95" name="Route7" dataDxfId="1749" totalsRowDxfId="1748"/>
    <tableColumn id="96" name="Duration _x000a_(in days)7" dataDxfId="1747" totalsRowDxfId="1746"/>
    <tableColumn id="98" name="Locatio  Filled7" dataDxfId="1745" totalsRowDxfId="1744"/>
    <tableColumn id="99" name="Drug Name8" dataDxfId="1743" totalsRowDxfId="1742"/>
    <tableColumn id="100" name="Drug Class8" dataDxfId="1741" totalsRowDxfId="1740">
      <calculatedColumnFormula>IFERROR(VLOOKUP(March[[#This Row],[Drug Name8]],'Data Options'!$R$1:$S$100,2,FALSE), " ")</calculatedColumnFormula>
    </tableColumn>
    <tableColumn id="101" name="Dose (in mg)8" dataDxfId="1739" totalsRowDxfId="1738"/>
    <tableColumn id="102" name="Frequency8" dataDxfId="1737" totalsRowDxfId="1736"/>
    <tableColumn id="103" name="Route8" dataDxfId="1735" totalsRowDxfId="1734"/>
    <tableColumn id="104" name="Duration _x000a_(in days)8" dataDxfId="1733" totalsRowDxfId="1732"/>
    <tableColumn id="106" name="Location Filled8" dataDxfId="1731" totalsRowDxfId="1730"/>
    <tableColumn id="107" name="Drug Name9" dataDxfId="1729" totalsRowDxfId="1728"/>
    <tableColumn id="108" name="Drug Class9" dataDxfId="1727" totalsRowDxfId="1726">
      <calculatedColumnFormula>IFERROR(VLOOKUP(March[[#This Row],[Drug Name9]],'Data Options'!$R$1:$S$100,2,FALSE), " ")</calculatedColumnFormula>
    </tableColumn>
    <tableColumn id="109" name="Dose (in mg)9" dataDxfId="1725" totalsRowDxfId="1724"/>
    <tableColumn id="110" name="Frequency9" dataDxfId="1723" totalsRowDxfId="1722"/>
    <tableColumn id="111" name="Route9" dataDxfId="1721" totalsRowDxfId="1720"/>
    <tableColumn id="112" name="Duration _x000a_(in days)9" dataDxfId="1719" totalsRowDxfId="1718"/>
    <tableColumn id="114" name="Location Filled9" totalsRowFunction="count" dataDxfId="1717" totalsRowDxfId="1716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id="17" name="April" displayName="April" ref="A3:CM202" totalsRowCount="1" headerRowDxfId="1715" dataDxfId="1713" totalsRowDxfId="1712" headerRowBorderDxfId="1714">
  <autoFilter ref="A3:CM201"/>
  <tableColumns count="91">
    <tableColumn id="1" name="Date of Service" totalsRowLabel="Total" dataDxfId="1711" totalsRowDxfId="1710"/>
    <tableColumn id="3" name="Attending Clinician" dataDxfId="1709" totalsRowDxfId="1708"/>
    <tableColumn id="4" name="Patient Medical Record Number" dataDxfId="1707" totalsRowDxfId="1706"/>
    <tableColumn id="5" name="Patient Species" dataDxfId="1705" totalsRowDxfId="1704"/>
    <tableColumn id="6" name="Patient Sex" dataDxfId="1703" totalsRowDxfId="1702"/>
    <tableColumn id="7" name="Patient Age" dataDxfId="1701" totalsRowDxfId="1700"/>
    <tableColumn id="8" name="Reason for Visit" dataDxfId="1699" totalsRowDxfId="1698"/>
    <tableColumn id="9" name="If Other Reason for Visit Explain" dataDxfId="1697" totalsRowDxfId="1696"/>
    <tableColumn id="10" name="Patient Prescribed Antibiotic (Y/N/WW)" dataDxfId="1695" totalsRowDxfId="1694"/>
    <tableColumn id="11" name="Total Number of Antibiotics Prescribed for Patient" dataDxfId="1693" totalsRowDxfId="1692"/>
    <tableColumn id="13" name="Disease/Infection Type" dataDxfId="1691" totalsRowDxfId="1690"/>
    <tableColumn id="14" name="If Other Disease/Infection Type Explain" dataDxfId="1689" totalsRowDxfId="1688"/>
    <tableColumn id="15" name="Disease Description" dataDxfId="1687" totalsRowDxfId="1686"/>
    <tableColumn id="16" name="Number of Antibiotics Prescribed for this Condition " dataDxfId="1685" totalsRowDxfId="1684"/>
    <tableColumn id="17" name="Diagnostics Offered for Infectious Condition (Y/N)" dataDxfId="1683" totalsRowDxfId="1682"/>
    <tableColumn id="18" name="Diagnostic Performed for Infectious Condition (Y/N)" dataDxfId="1681" totalsRowDxfId="1680"/>
    <tableColumn id="23" name="Drug Name" dataDxfId="1679" totalsRowDxfId="1678"/>
    <tableColumn id="24" name="Drug Class" dataDxfId="1677" totalsRowDxfId="1676">
      <calculatedColumnFormula>IFERROR(VLOOKUP(April[[#This Row],[Drug Name]],'Data Options'!$R$1:$S$100,2,FALSE), " ")</calculatedColumnFormula>
    </tableColumn>
    <tableColumn id="25" name="Dose (in mg)" dataDxfId="1675" totalsRowDxfId="1674"/>
    <tableColumn id="26" name="Frequency" dataDxfId="1673" totalsRowDxfId="1672"/>
    <tableColumn id="27" name="Route" dataDxfId="1671" totalsRowDxfId="1670"/>
    <tableColumn id="28" name="Duration _x000a_(in days)" dataDxfId="1669" totalsRowDxfId="1668"/>
    <tableColumn id="30" name="Location Filled " dataDxfId="1667" totalsRowDxfId="1666"/>
    <tableColumn id="31" name="Drug Name2" dataDxfId="1665" totalsRowDxfId="1664"/>
    <tableColumn id="32" name="Drug Class2" dataDxfId="1663" totalsRowDxfId="1662">
      <calculatedColumnFormula>IFERROR(VLOOKUP(April[[#This Row],[Drug Name2]],'Data Options'!$R$1:$S$100,2,FALSE), " ")</calculatedColumnFormula>
    </tableColumn>
    <tableColumn id="33" name="Dose (in mg)2" dataDxfId="1661" totalsRowDxfId="1660"/>
    <tableColumn id="34" name="Frequency2" dataDxfId="1659" totalsRowDxfId="1658"/>
    <tableColumn id="35" name="Route2" dataDxfId="1657" totalsRowDxfId="1656"/>
    <tableColumn id="36" name="Duration _x000a_(in days)2" dataDxfId="1655" totalsRowDxfId="1654"/>
    <tableColumn id="38" name="Location Filled2" dataDxfId="1653" totalsRowDxfId="1652"/>
    <tableColumn id="39" name="Drug Name3" dataDxfId="1651" totalsRowDxfId="1650"/>
    <tableColumn id="40" name="Drug Class3" dataDxfId="1649" totalsRowDxfId="1648">
      <calculatedColumnFormula>IFERROR(VLOOKUP(April[[#This Row],[Drug Name3]],'Data Options'!$R$1:$S$100,2,FALSE), " ")</calculatedColumnFormula>
    </tableColumn>
    <tableColumn id="41" name="Dose (in mg)3" dataDxfId="1647" totalsRowDxfId="1646"/>
    <tableColumn id="42" name="Frequency3" dataDxfId="1645" totalsRowDxfId="1644"/>
    <tableColumn id="43" name="Route3" dataDxfId="1643" totalsRowDxfId="1642"/>
    <tableColumn id="44" name="Duration _x000a_(in days)3" dataDxfId="1641" totalsRowDxfId="1640"/>
    <tableColumn id="46" name="Location Filled3" dataDxfId="1639" totalsRowDxfId="1638"/>
    <tableColumn id="47" name="Disease/Infection Type2" dataDxfId="1637" totalsRowDxfId="1636"/>
    <tableColumn id="48" name="If Other Disease/Infection Type Explain2" dataDxfId="1635" totalsRowDxfId="1634"/>
    <tableColumn id="49" name="Disease Description2" dataDxfId="1633" totalsRowDxfId="1632"/>
    <tableColumn id="50" name="Number of Antibiotics Prescribed for this Condition2" dataDxfId="1631" totalsRowDxfId="1630"/>
    <tableColumn id="51" name="Diagnostics Offered for Infectious Condition (Y/N)2" dataDxfId="1629" totalsRowDxfId="1628"/>
    <tableColumn id="52" name="Diagnostic Performed for Infectious Condition (Y/N)2" dataDxfId="1627" totalsRowDxfId="1626"/>
    <tableColumn id="57" name="Drug Name4" dataDxfId="1625" totalsRowDxfId="1624"/>
    <tableColumn id="58" name="Drug Class4" dataDxfId="1623" totalsRowDxfId="1622">
      <calculatedColumnFormula>IFERROR(VLOOKUP(April[[#This Row],[Drug Name4]],'Data Options'!$R$1:$S$100,2,FALSE), " ")</calculatedColumnFormula>
    </tableColumn>
    <tableColumn id="59" name="Dose (in mg)4" dataDxfId="1621" totalsRowDxfId="1620"/>
    <tableColumn id="60" name="Frequency4" dataDxfId="1619" totalsRowDxfId="1618"/>
    <tableColumn id="61" name="Route4" dataDxfId="1617" totalsRowDxfId="1616"/>
    <tableColumn id="62" name="Duration _x000a_(in days)4" dataDxfId="1615" totalsRowDxfId="1614"/>
    <tableColumn id="64" name="Location Filled4" dataDxfId="1613" totalsRowDxfId="1612"/>
    <tableColumn id="65" name="Drug Name5" dataDxfId="1611" totalsRowDxfId="1610"/>
    <tableColumn id="66" name="Drug Class5" dataDxfId="1609" totalsRowDxfId="1608">
      <calculatedColumnFormula>IFERROR(VLOOKUP(April[[#This Row],[Drug Name5]],'Data Options'!$R$1:$S$100,2,FALSE), " ")</calculatedColumnFormula>
    </tableColumn>
    <tableColumn id="67" name="Dose (in mg)5" dataDxfId="1607" totalsRowDxfId="1606"/>
    <tableColumn id="68" name="Frequency5" dataDxfId="1605" totalsRowDxfId="1604"/>
    <tableColumn id="69" name="Route5" dataDxfId="1603" totalsRowDxfId="1602"/>
    <tableColumn id="70" name="Duration _x000a_(in days)5" dataDxfId="1601" totalsRowDxfId="1600"/>
    <tableColumn id="72" name="Location Filled5" dataDxfId="1599" totalsRowDxfId="1598"/>
    <tableColumn id="73" name="Drug Name6" dataDxfId="1597" totalsRowDxfId="1596"/>
    <tableColumn id="74" name="Drug Class6" dataDxfId="1595" totalsRowDxfId="1594">
      <calculatedColumnFormula>IFERROR(VLOOKUP(April[[#This Row],[Drug Name6]],'Data Options'!$R$1:$S$100,2,FALSE), " ")</calculatedColumnFormula>
    </tableColumn>
    <tableColumn id="75" name="Dose (in mg)6" dataDxfId="1593" totalsRowDxfId="1592"/>
    <tableColumn id="76" name="Frequency6" dataDxfId="1591" totalsRowDxfId="1590"/>
    <tableColumn id="77" name="Route6" dataDxfId="1589" totalsRowDxfId="1588"/>
    <tableColumn id="78" name="Duration _x000a_(in days)6" dataDxfId="1587" totalsRowDxfId="1586"/>
    <tableColumn id="80" name="Location Filled6" dataDxfId="1585" totalsRowDxfId="1584"/>
    <tableColumn id="81" name="Disease/Infection Type3" dataDxfId="1583" totalsRowDxfId="1582"/>
    <tableColumn id="82" name="If Other Disease/Infection Type Explain3" dataDxfId="1581" totalsRowDxfId="1580"/>
    <tableColumn id="83" name="Disease Description3" dataDxfId="1579" totalsRowDxfId="1578"/>
    <tableColumn id="84" name="Number of Antibiotics Prescribed for this Condition3" dataDxfId="1577" totalsRowDxfId="1576"/>
    <tableColumn id="85" name="Diagnostics Offered for Infectious Condition (Y/N)3" dataDxfId="1575" totalsRowDxfId="1574"/>
    <tableColumn id="86" name="Diagnostic Performed for Infectious Condition (Y/N)3" dataDxfId="1573" totalsRowDxfId="1572"/>
    <tableColumn id="91" name="Drug Name7" dataDxfId="1571" totalsRowDxfId="1570"/>
    <tableColumn id="92" name="Drug Class7" dataDxfId="1569" totalsRowDxfId="1568">
      <calculatedColumnFormula>IFERROR(VLOOKUP(April[[#This Row],[Drug Name7]],'Data Options'!$R$1:$S$100,2,FALSE), " ")</calculatedColumnFormula>
    </tableColumn>
    <tableColumn id="93" name="Dose (in mg)7" dataDxfId="1567" totalsRowDxfId="1566"/>
    <tableColumn id="94" name="Frequency7" dataDxfId="1565" totalsRowDxfId="1564"/>
    <tableColumn id="95" name="Route7" dataDxfId="1563" totalsRowDxfId="1562"/>
    <tableColumn id="96" name="Duration _x000a_(in days)7" dataDxfId="1561" totalsRowDxfId="1560"/>
    <tableColumn id="98" name="Locatio  Filled7" dataDxfId="1559" totalsRowDxfId="1558"/>
    <tableColumn id="99" name="Drug Name8" dataDxfId="1557" totalsRowDxfId="1556"/>
    <tableColumn id="100" name="Drug Class8" dataDxfId="1555" totalsRowDxfId="1554">
      <calculatedColumnFormula>IFERROR(VLOOKUP(April[[#This Row],[Drug Name8]],'Data Options'!$R$1:$S$100,2,FALSE), " ")</calculatedColumnFormula>
    </tableColumn>
    <tableColumn id="101" name="Dose (in mg)8" dataDxfId="1553" totalsRowDxfId="1552"/>
    <tableColumn id="102" name="Frequency8" dataDxfId="1551" totalsRowDxfId="1550"/>
    <tableColumn id="103" name="Route8" dataDxfId="1549" totalsRowDxfId="1548"/>
    <tableColumn id="104" name="Duration _x000a_(in days)8" dataDxfId="1547" totalsRowDxfId="1546"/>
    <tableColumn id="106" name="Location Filled8" dataDxfId="1545" totalsRowDxfId="1544"/>
    <tableColumn id="107" name="Drug Name9" dataDxfId="1543" totalsRowDxfId="1542"/>
    <tableColumn id="108" name="Drug Class9" dataDxfId="1541" totalsRowDxfId="1540">
      <calculatedColumnFormula>IFERROR(VLOOKUP(April[[#This Row],[Drug Name9]],'Data Options'!$R$1:$S$100,2,FALSE), " ")</calculatedColumnFormula>
    </tableColumn>
    <tableColumn id="109" name="Dose (in mg)9" dataDxfId="1539" totalsRowDxfId="1538"/>
    <tableColumn id="110" name="Frequency9" dataDxfId="1537" totalsRowDxfId="1536"/>
    <tableColumn id="111" name="Route9" dataDxfId="1535" totalsRowDxfId="1534"/>
    <tableColumn id="112" name="Duration _x000a_(in days)9" dataDxfId="1533" totalsRowDxfId="1532"/>
    <tableColumn id="114" name="Location Filled9" totalsRowFunction="count" dataDxfId="1531" totalsRowDxfId="1530"/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id="18" name="May" displayName="May" ref="A3:CM202" totalsRowCount="1" headerRowDxfId="1529" dataDxfId="1527" totalsRowDxfId="1526" headerRowBorderDxfId="1528">
  <autoFilter ref="A3:CM201"/>
  <tableColumns count="91">
    <tableColumn id="1" name="Date of Service" totalsRowLabel="Total" dataDxfId="1525" totalsRowDxfId="1524"/>
    <tableColumn id="3" name="Attending Clinician" dataDxfId="1523" totalsRowDxfId="1522"/>
    <tableColumn id="4" name="Patient Medical Record Number" dataDxfId="1521" totalsRowDxfId="1520"/>
    <tableColumn id="5" name="Patient Species" dataDxfId="1519" totalsRowDxfId="1518"/>
    <tableColumn id="6" name="Patient Sex" dataDxfId="1517" totalsRowDxfId="1516"/>
    <tableColumn id="7" name="Patient Age" dataDxfId="1515" totalsRowDxfId="1514"/>
    <tableColumn id="8" name="Reason for Visit" dataDxfId="1513" totalsRowDxfId="1512"/>
    <tableColumn id="9" name="If Other Reason for Visit Explain" dataDxfId="1511" totalsRowDxfId="1510"/>
    <tableColumn id="10" name="Patient Prescribed Antibiotic (Y/N/WW)" dataDxfId="1509" totalsRowDxfId="1508"/>
    <tableColumn id="11" name="Total Number of Antibiotics Prescribed for Patient" dataDxfId="1507" totalsRowDxfId="1506"/>
    <tableColumn id="13" name="Disease/Infection Type" dataDxfId="1505" totalsRowDxfId="1504"/>
    <tableColumn id="14" name="If Other Disease/Infection Type Explain" dataDxfId="1503" totalsRowDxfId="1502"/>
    <tableColumn id="15" name="Disease Description" dataDxfId="1501" totalsRowDxfId="1500"/>
    <tableColumn id="16" name="Number of Antibiotics Prescribed for this Condition " dataDxfId="1499" totalsRowDxfId="1498"/>
    <tableColumn id="17" name="Diagnostics Offered for Infectious Condition (Y/N)" dataDxfId="1497" totalsRowDxfId="1496"/>
    <tableColumn id="18" name="Diagnostic Performed for Infectious Condition (Y/N)" dataDxfId="1495" totalsRowDxfId="1494"/>
    <tableColumn id="23" name="Drug Name" dataDxfId="1493" totalsRowDxfId="1492"/>
    <tableColumn id="24" name="Drug Class" dataDxfId="1491" totalsRowDxfId="1490">
      <calculatedColumnFormula>IFERROR(VLOOKUP(May[[#This Row],[Drug Name]],'Data Options'!$R$1:$S$100,2,FALSE), " ")</calculatedColumnFormula>
    </tableColumn>
    <tableColumn id="25" name="Dose (in mg)" dataDxfId="1489" totalsRowDxfId="1488"/>
    <tableColumn id="26" name="Frequency" dataDxfId="1487" totalsRowDxfId="1486"/>
    <tableColumn id="27" name="Route" dataDxfId="1485" totalsRowDxfId="1484"/>
    <tableColumn id="28" name="Duration _x000a_(in days)" dataDxfId="1483" totalsRowDxfId="1482"/>
    <tableColumn id="30" name="Location Filled " dataDxfId="1481" totalsRowDxfId="1480"/>
    <tableColumn id="31" name="Drug Name2" dataDxfId="1479" totalsRowDxfId="1478"/>
    <tableColumn id="32" name="Drug Class2" dataDxfId="1477" totalsRowDxfId="1476">
      <calculatedColumnFormula>IFERROR(VLOOKUP(May[[#This Row],[Drug Name2]],'Data Options'!$R$1:$S$100,2,FALSE), " ")</calculatedColumnFormula>
    </tableColumn>
    <tableColumn id="33" name="Dose (in mg)2" dataDxfId="1475" totalsRowDxfId="1474"/>
    <tableColumn id="34" name="Frequency2" dataDxfId="1473" totalsRowDxfId="1472"/>
    <tableColumn id="35" name="Route2" dataDxfId="1471" totalsRowDxfId="1470"/>
    <tableColumn id="36" name="Duration _x000a_(in days)2" dataDxfId="1469" totalsRowDxfId="1468"/>
    <tableColumn id="38" name="Location Filled2" dataDxfId="1467" totalsRowDxfId="1466"/>
    <tableColumn id="39" name="Drug Name3" dataDxfId="1465" totalsRowDxfId="1464"/>
    <tableColumn id="40" name="Drug Class3" dataDxfId="1463" totalsRowDxfId="1462">
      <calculatedColumnFormula>IFERROR(VLOOKUP(May[[#This Row],[Drug Name3]],'Data Options'!$R$1:$S$100,2,FALSE), " ")</calculatedColumnFormula>
    </tableColumn>
    <tableColumn id="41" name="Dose (in mg)3" dataDxfId="1461" totalsRowDxfId="1460"/>
    <tableColumn id="42" name="Frequency3" dataDxfId="1459" totalsRowDxfId="1458"/>
    <tableColumn id="43" name="Route3" dataDxfId="1457" totalsRowDxfId="1456"/>
    <tableColumn id="44" name="Duration _x000a_(in days)3" dataDxfId="1455" totalsRowDxfId="1454"/>
    <tableColumn id="46" name="Location Filled3" dataDxfId="1453" totalsRowDxfId="1452"/>
    <tableColumn id="47" name="Disease/Infection Type2" dataDxfId="1451" totalsRowDxfId="1450"/>
    <tableColumn id="48" name="If Other Disease/Infection Type Explain2" dataDxfId="1449" totalsRowDxfId="1448"/>
    <tableColumn id="49" name="Disease Description2" dataDxfId="1447" totalsRowDxfId="1446"/>
    <tableColumn id="50" name="Number of Antibiotics Prescribed for this Condition2" dataDxfId="1445" totalsRowDxfId="1444"/>
    <tableColumn id="51" name="Diagnostics Offered for Infectious Condition (Y/N)2" dataDxfId="1443" totalsRowDxfId="1442"/>
    <tableColumn id="52" name="Diagnostic Performed for Infectious Condition (Y/N)2" dataDxfId="1441" totalsRowDxfId="1440"/>
    <tableColumn id="57" name="Drug Name4" dataDxfId="1439" totalsRowDxfId="1438"/>
    <tableColumn id="58" name="Drug Class4" dataDxfId="1437" totalsRowDxfId="1436">
      <calculatedColumnFormula>IFERROR(VLOOKUP(May[[#This Row],[Drug Name4]],'Data Options'!$R$1:$S$100,2,FALSE), " ")</calculatedColumnFormula>
    </tableColumn>
    <tableColumn id="59" name="Dose (in mg)4" dataDxfId="1435" totalsRowDxfId="1434"/>
    <tableColumn id="60" name="Frequency4" dataDxfId="1433" totalsRowDxfId="1432"/>
    <tableColumn id="61" name="Route4" dataDxfId="1431" totalsRowDxfId="1430"/>
    <tableColumn id="62" name="Duration _x000a_(in days)4" dataDxfId="1429" totalsRowDxfId="1428"/>
    <tableColumn id="64" name="Location Filled4" dataDxfId="1427" totalsRowDxfId="1426"/>
    <tableColumn id="65" name="Drug Name5" dataDxfId="1425" totalsRowDxfId="1424"/>
    <tableColumn id="66" name="Drug Class5" dataDxfId="1423" totalsRowDxfId="1422">
      <calculatedColumnFormula>IFERROR(VLOOKUP(May[[#This Row],[Drug Name5]],'Data Options'!$R$1:$S$100,2,FALSE), " ")</calculatedColumnFormula>
    </tableColumn>
    <tableColumn id="67" name="Dose (in mg)5" dataDxfId="1421" totalsRowDxfId="1420"/>
    <tableColumn id="68" name="Frequency5" dataDxfId="1419" totalsRowDxfId="1418"/>
    <tableColumn id="69" name="Route5" dataDxfId="1417" totalsRowDxfId="1416"/>
    <tableColumn id="70" name="Duration _x000a_(in days)5" dataDxfId="1415" totalsRowDxfId="1414"/>
    <tableColumn id="72" name="Location Filled5" dataDxfId="1413" totalsRowDxfId="1412"/>
    <tableColumn id="73" name="Drug Name6" dataDxfId="1411" totalsRowDxfId="1410"/>
    <tableColumn id="74" name="Drug Class6" dataDxfId="1409" totalsRowDxfId="1408">
      <calculatedColumnFormula>IFERROR(VLOOKUP(May[[#This Row],[Drug Name6]],'Data Options'!$R$1:$S$100,2,FALSE), " ")</calculatedColumnFormula>
    </tableColumn>
    <tableColumn id="75" name="Dose (in mg)6" dataDxfId="1407" totalsRowDxfId="1406"/>
    <tableColumn id="76" name="Frequency6" dataDxfId="1405" totalsRowDxfId="1404"/>
    <tableColumn id="77" name="Route6" dataDxfId="1403" totalsRowDxfId="1402"/>
    <tableColumn id="78" name="Duration _x000a_(in days)6" dataDxfId="1401" totalsRowDxfId="1400"/>
    <tableColumn id="80" name="Location Filled6" dataDxfId="1399" totalsRowDxfId="1398"/>
    <tableColumn id="81" name="Disease/Infection Type3" dataDxfId="1397" totalsRowDxfId="1396"/>
    <tableColumn id="82" name="If Other Disease/Infection Type Explain3" dataDxfId="1395" totalsRowDxfId="1394"/>
    <tableColumn id="83" name="Disease Description3" dataDxfId="1393" totalsRowDxfId="1392"/>
    <tableColumn id="84" name="Number of Antibiotics Prescribed for this Condition3" dataDxfId="1391" totalsRowDxfId="1390"/>
    <tableColumn id="85" name="Diagnostics Offered for Infectious Condition (Y/N)3" dataDxfId="1389" totalsRowDxfId="1388"/>
    <tableColumn id="86" name="Diagnostic Performed for Infectious Condition (Y/N)3" dataDxfId="1387" totalsRowDxfId="1386"/>
    <tableColumn id="91" name="Drug Name7" dataDxfId="1385" totalsRowDxfId="1384"/>
    <tableColumn id="92" name="Drug Class7" dataDxfId="1383" totalsRowDxfId="1382">
      <calculatedColumnFormula>IFERROR(VLOOKUP(May[[#This Row],[Drug Name7]],'Data Options'!$R$1:$S$100,2,FALSE), " ")</calculatedColumnFormula>
    </tableColumn>
    <tableColumn id="93" name="Dose (in mg)7" dataDxfId="1381" totalsRowDxfId="1380"/>
    <tableColumn id="94" name="Frequency7" dataDxfId="1379" totalsRowDxfId="1378"/>
    <tableColumn id="95" name="Route7" dataDxfId="1377" totalsRowDxfId="1376"/>
    <tableColumn id="96" name="Duration _x000a_(in days)7" dataDxfId="1375" totalsRowDxfId="1374"/>
    <tableColumn id="98" name="Locatio  Filled7" dataDxfId="1373" totalsRowDxfId="1372"/>
    <tableColumn id="99" name="Drug Name8" dataDxfId="1371" totalsRowDxfId="1370"/>
    <tableColumn id="100" name="Drug Class8" dataDxfId="1369" totalsRowDxfId="1368">
      <calculatedColumnFormula>IFERROR(VLOOKUP(May[[#This Row],[Drug Name8]],'Data Options'!$R$1:$S$100,2,FALSE), " ")</calculatedColumnFormula>
    </tableColumn>
    <tableColumn id="101" name="Dose (in mg)8" dataDxfId="1367" totalsRowDxfId="1366"/>
    <tableColumn id="102" name="Frequency8" dataDxfId="1365" totalsRowDxfId="1364"/>
    <tableColumn id="103" name="Route8" dataDxfId="1363" totalsRowDxfId="1362"/>
    <tableColumn id="104" name="Duration _x000a_(in days)8" dataDxfId="1361" totalsRowDxfId="1360"/>
    <tableColumn id="106" name="Location Filled8" dataDxfId="1359" totalsRowDxfId="1358"/>
    <tableColumn id="107" name="Drug Name9" dataDxfId="1357" totalsRowDxfId="1356"/>
    <tableColumn id="108" name="Drug Class9" dataDxfId="1355" totalsRowDxfId="1354">
      <calculatedColumnFormula>IFERROR(VLOOKUP(May[[#This Row],[Drug Name9]],'Data Options'!$R$1:$S$100,2,FALSE), " ")</calculatedColumnFormula>
    </tableColumn>
    <tableColumn id="109" name="Dose (in mg)9" dataDxfId="1353" totalsRowDxfId="1352"/>
    <tableColumn id="110" name="Frequency9" dataDxfId="1351" totalsRowDxfId="1350"/>
    <tableColumn id="111" name="Route9" dataDxfId="1349" totalsRowDxfId="1348"/>
    <tableColumn id="112" name="Duration _x000a_(in days)9" dataDxfId="1347" totalsRowDxfId="1346"/>
    <tableColumn id="114" name="Location Filled9" totalsRowFunction="count" dataDxfId="1345" totalsRowDxfId="1344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id="20" name="June" displayName="June" ref="A3:CM202" totalsRowCount="1" headerRowDxfId="1343" dataDxfId="1341" totalsRowDxfId="1340" headerRowBorderDxfId="1342">
  <autoFilter ref="A3:CM201"/>
  <tableColumns count="91">
    <tableColumn id="1" name="Date of Service" totalsRowLabel="Total" dataDxfId="1339" totalsRowDxfId="1338"/>
    <tableColumn id="3" name="Attending Clinician" dataDxfId="1337" totalsRowDxfId="1336"/>
    <tableColumn id="4" name="Patient Medical Record Number" dataDxfId="1335" totalsRowDxfId="1334"/>
    <tableColumn id="5" name="Patient Species" dataDxfId="1333" totalsRowDxfId="1332"/>
    <tableColumn id="6" name="Patient Sex" dataDxfId="1331" totalsRowDxfId="1330"/>
    <tableColumn id="7" name="Patient Age" dataDxfId="1329" totalsRowDxfId="1328"/>
    <tableColumn id="8" name="Reason for Visit" dataDxfId="1327" totalsRowDxfId="1326"/>
    <tableColumn id="9" name="If Other Reason for Visit Explain" dataDxfId="1325" totalsRowDxfId="1324"/>
    <tableColumn id="10" name="Patient Prescribed Antibiotic (Y/N/WW)" dataDxfId="1323" totalsRowDxfId="1322"/>
    <tableColumn id="11" name="Total Number of Antibiotics Prescribed for Patient" dataDxfId="1321" totalsRowDxfId="1320"/>
    <tableColumn id="13" name="Disease/Infection Type" dataDxfId="1319" totalsRowDxfId="1318"/>
    <tableColumn id="14" name="If Other Disease/Infection Type Explain" dataDxfId="1317" totalsRowDxfId="1316"/>
    <tableColumn id="15" name="Disease Description" dataDxfId="1315" totalsRowDxfId="1314"/>
    <tableColumn id="16" name="Number of Antibiotics Prescribed for this Condition " dataDxfId="1313" totalsRowDxfId="1312"/>
    <tableColumn id="17" name="Diagnostics Offered for Infectious Condition (Y/N)" dataDxfId="1311" totalsRowDxfId="1310"/>
    <tableColumn id="18" name="Diagnostic Performed for Infectious Condition (Y/N)" dataDxfId="1309" totalsRowDxfId="1308"/>
    <tableColumn id="23" name="Drug Name" dataDxfId="1307" totalsRowDxfId="1306"/>
    <tableColumn id="24" name="Drug Class" dataDxfId="1305" totalsRowDxfId="1304">
      <calculatedColumnFormula>IFERROR(VLOOKUP(June[[#This Row],[Drug Name]],'Data Options'!$R$1:$S$100,2,FALSE), " ")</calculatedColumnFormula>
    </tableColumn>
    <tableColumn id="25" name="Dose (in mg)" dataDxfId="1303" totalsRowDxfId="1302"/>
    <tableColumn id="26" name="Frequency" dataDxfId="1301" totalsRowDxfId="1300"/>
    <tableColumn id="27" name="Route" dataDxfId="1299" totalsRowDxfId="1298"/>
    <tableColumn id="28" name="Duration _x000a_(in days)" dataDxfId="1297" totalsRowDxfId="1296"/>
    <tableColumn id="30" name="Location Filled " dataDxfId="1295" totalsRowDxfId="1294"/>
    <tableColumn id="31" name="Drug Name2" dataDxfId="1293" totalsRowDxfId="1292"/>
    <tableColumn id="32" name="Drug Class2" dataDxfId="1291" totalsRowDxfId="1290">
      <calculatedColumnFormula>IFERROR(VLOOKUP(June[[#This Row],[Drug Name2]],'Data Options'!$R$1:$S$100,2,FALSE), " ")</calculatedColumnFormula>
    </tableColumn>
    <tableColumn id="33" name="Dose (in mg)2" dataDxfId="1289" totalsRowDxfId="1288"/>
    <tableColumn id="34" name="Frequency2" dataDxfId="1287" totalsRowDxfId="1286"/>
    <tableColumn id="35" name="Route2" dataDxfId="1285" totalsRowDxfId="1284"/>
    <tableColumn id="36" name="Duration _x000a_(in days)2" dataDxfId="1283" totalsRowDxfId="1282"/>
    <tableColumn id="38" name="Location Filled2" dataDxfId="1281" totalsRowDxfId="1280"/>
    <tableColumn id="39" name="Drug Name3" dataDxfId="1279" totalsRowDxfId="1278"/>
    <tableColumn id="40" name="Drug Class3" dataDxfId="1277" totalsRowDxfId="1276">
      <calculatedColumnFormula>IFERROR(VLOOKUP(June[[#This Row],[Drug Name3]],'Data Options'!$R$1:$S$100,2,FALSE), " ")</calculatedColumnFormula>
    </tableColumn>
    <tableColumn id="41" name="Dose (in mg)3" dataDxfId="1275" totalsRowDxfId="1274"/>
    <tableColumn id="42" name="Frequency3" dataDxfId="1273" totalsRowDxfId="1272"/>
    <tableColumn id="43" name="Route3" dataDxfId="1271" totalsRowDxfId="1270"/>
    <tableColumn id="44" name="Duration _x000a_(in days)3" dataDxfId="1269" totalsRowDxfId="1268"/>
    <tableColumn id="46" name="Location Filled3" dataDxfId="1267" totalsRowDxfId="1266"/>
    <tableColumn id="47" name="Disease/Infection Type2" dataDxfId="1265" totalsRowDxfId="1264"/>
    <tableColumn id="48" name="If Other Disease/Infection Type Explain2" dataDxfId="1263" totalsRowDxfId="1262"/>
    <tableColumn id="49" name="Disease Description2" dataDxfId="1261" totalsRowDxfId="1260"/>
    <tableColumn id="50" name="Number of Antibiotics Prescribed for this Condition2" dataDxfId="1259" totalsRowDxfId="1258"/>
    <tableColumn id="51" name="Diagnostics Offered for Infectious Condition (Y/N)2" dataDxfId="1257" totalsRowDxfId="1256"/>
    <tableColumn id="52" name="Diagnostic Performed for Infectious Condition (Y/N)2" dataDxfId="1255" totalsRowDxfId="1254"/>
    <tableColumn id="57" name="Drug Name4" dataDxfId="1253" totalsRowDxfId="1252"/>
    <tableColumn id="58" name="Drug Class4" dataDxfId="1251" totalsRowDxfId="1250">
      <calculatedColumnFormula>IFERROR(VLOOKUP(June[[#This Row],[Drug Name4]],'Data Options'!$R$1:$S$100,2,FALSE), " ")</calculatedColumnFormula>
    </tableColumn>
    <tableColumn id="59" name="Dose (in mg)4" dataDxfId="1249" totalsRowDxfId="1248"/>
    <tableColumn id="60" name="Frequency4" dataDxfId="1247" totalsRowDxfId="1246"/>
    <tableColumn id="61" name="Route4" dataDxfId="1245" totalsRowDxfId="1244"/>
    <tableColumn id="62" name="Duration _x000a_(in days)4" dataDxfId="1243" totalsRowDxfId="1242"/>
    <tableColumn id="64" name="Location Filled4" dataDxfId="1241" totalsRowDxfId="1240"/>
    <tableColumn id="65" name="Drug Name5" dataDxfId="1239" totalsRowDxfId="1238"/>
    <tableColumn id="66" name="Drug Class5" dataDxfId="1237" totalsRowDxfId="1236">
      <calculatedColumnFormula>IFERROR(VLOOKUP(June[[#This Row],[Drug Name5]],'Data Options'!$R$1:$S$100,2,FALSE), " ")</calculatedColumnFormula>
    </tableColumn>
    <tableColumn id="67" name="Dose (in mg)5" dataDxfId="1235" totalsRowDxfId="1234"/>
    <tableColumn id="68" name="Frequency5" dataDxfId="1233" totalsRowDxfId="1232"/>
    <tableColumn id="69" name="Route5" dataDxfId="1231" totalsRowDxfId="1230"/>
    <tableColumn id="70" name="Duration _x000a_(in days)5" dataDxfId="1229" totalsRowDxfId="1228"/>
    <tableColumn id="72" name="Location Filled5" dataDxfId="1227" totalsRowDxfId="1226"/>
    <tableColumn id="73" name="Drug Name6" dataDxfId="1225" totalsRowDxfId="1224"/>
    <tableColumn id="74" name="Drug Class6" dataDxfId="1223" totalsRowDxfId="1222">
      <calculatedColumnFormula>IFERROR(VLOOKUP(June[[#This Row],[Drug Name6]],'Data Options'!$R$1:$S$100,2,FALSE), " ")</calculatedColumnFormula>
    </tableColumn>
    <tableColumn id="75" name="Dose (in mg)6" dataDxfId="1221" totalsRowDxfId="1220"/>
    <tableColumn id="76" name="Frequency6" dataDxfId="1219" totalsRowDxfId="1218"/>
    <tableColumn id="77" name="Route6" dataDxfId="1217" totalsRowDxfId="1216"/>
    <tableColumn id="78" name="Duration _x000a_(in days)6" dataDxfId="1215" totalsRowDxfId="1214"/>
    <tableColumn id="80" name="Location Filled6" dataDxfId="1213" totalsRowDxfId="1212"/>
    <tableColumn id="81" name="Disease/Infection Type3" dataDxfId="1211" totalsRowDxfId="1210"/>
    <tableColumn id="82" name="If Other Disease/Infection Type Explain3" dataDxfId="1209" totalsRowDxfId="1208"/>
    <tableColumn id="83" name="Disease Description3" dataDxfId="1207" totalsRowDxfId="1206"/>
    <tableColumn id="84" name="Number of Antibiotics Prescribed for this Condition3" dataDxfId="1205" totalsRowDxfId="1204"/>
    <tableColumn id="85" name="Diagnostics Offered for Infectious Condition (Y/N)3" dataDxfId="1203" totalsRowDxfId="1202"/>
    <tableColumn id="86" name="Diagnostic Performed for Infectious Condition (Y/N)3" dataDxfId="1201" totalsRowDxfId="1200"/>
    <tableColumn id="91" name="Drug Name7" dataDxfId="1199" totalsRowDxfId="1198"/>
    <tableColumn id="92" name="Drug Class7" dataDxfId="1197" totalsRowDxfId="1196">
      <calculatedColumnFormula>IFERROR(VLOOKUP(June[[#This Row],[Drug Name7]],'Data Options'!$R$1:$S$100,2,FALSE), " ")</calculatedColumnFormula>
    </tableColumn>
    <tableColumn id="93" name="Dose (in mg)7" dataDxfId="1195" totalsRowDxfId="1194"/>
    <tableColumn id="94" name="Frequency7" dataDxfId="1193" totalsRowDxfId="1192"/>
    <tableColumn id="95" name="Route7" dataDxfId="1191" totalsRowDxfId="1190"/>
    <tableColumn id="96" name="Duration _x000a_(in days)7" dataDxfId="1189" totalsRowDxfId="1188"/>
    <tableColumn id="98" name="Locatio  Filled7" dataDxfId="1187" totalsRowDxfId="1186"/>
    <tableColumn id="99" name="Drug Name8" dataDxfId="1185" totalsRowDxfId="1184"/>
    <tableColumn id="100" name="Drug Class8" dataDxfId="1183" totalsRowDxfId="1182">
      <calculatedColumnFormula>IFERROR(VLOOKUP(June[[#This Row],[Drug Name8]],'Data Options'!$R$1:$S$100,2,FALSE), " ")</calculatedColumnFormula>
    </tableColumn>
    <tableColumn id="101" name="Dose (in mg)8" dataDxfId="1181" totalsRowDxfId="1180"/>
    <tableColumn id="102" name="Frequency8" dataDxfId="1179" totalsRowDxfId="1178"/>
    <tableColumn id="103" name="Route8" dataDxfId="1177" totalsRowDxfId="1176"/>
    <tableColumn id="104" name="Duration _x000a_(in days)8" dataDxfId="1175" totalsRowDxfId="1174"/>
    <tableColumn id="106" name="Location Filled8" dataDxfId="1173" totalsRowDxfId="1172"/>
    <tableColumn id="107" name="Drug Name9" dataDxfId="1171" totalsRowDxfId="1170"/>
    <tableColumn id="108" name="Drug Class9" dataDxfId="1169" totalsRowDxfId="1168">
      <calculatedColumnFormula>IFERROR(VLOOKUP(June[[#This Row],[Drug Name9]],'Data Options'!$R$1:$S$100,2,FALSE), " ")</calculatedColumnFormula>
    </tableColumn>
    <tableColumn id="109" name="Dose (in mg)9" dataDxfId="1167" totalsRowDxfId="1166"/>
    <tableColumn id="110" name="Frequency9" dataDxfId="1165" totalsRowDxfId="1164"/>
    <tableColumn id="111" name="Route9" dataDxfId="1163" totalsRowDxfId="1162"/>
    <tableColumn id="112" name="Duration _x000a_(in days)9" dataDxfId="1161" totalsRowDxfId="1160"/>
    <tableColumn id="114" name="Location Filled9" totalsRowFunction="count" dataDxfId="1159" totalsRowDxfId="1158"/>
  </tableColumns>
  <tableStyleInfo name="TableStyleLight18" showFirstColumn="0" showLastColumn="0" showRowStripes="1" showColumnStripes="0"/>
</table>
</file>

<file path=xl/tables/table9.xml><?xml version="1.0" encoding="utf-8"?>
<table xmlns="http://schemas.openxmlformats.org/spreadsheetml/2006/main" id="21" name="July" displayName="July" ref="A3:CM202" totalsRowCount="1" headerRowDxfId="1157" dataDxfId="1155" totalsRowDxfId="1154" headerRowBorderDxfId="1156">
  <autoFilter ref="A3:CM201"/>
  <tableColumns count="91">
    <tableColumn id="1" name="Date of Service" totalsRowLabel="Total" dataDxfId="1153" totalsRowDxfId="1152"/>
    <tableColumn id="3" name="Attending Clinician" dataDxfId="1151" totalsRowDxfId="1150"/>
    <tableColumn id="4" name="Patient Medical Record Number" dataDxfId="1149" totalsRowDxfId="1148"/>
    <tableColumn id="5" name="Patient Species" dataDxfId="1147" totalsRowDxfId="1146"/>
    <tableColumn id="6" name="Patient Sex" dataDxfId="1145" totalsRowDxfId="1144"/>
    <tableColumn id="7" name="Patient Age" dataDxfId="1143" totalsRowDxfId="1142"/>
    <tableColumn id="8" name="Reason for Visit" dataDxfId="1141" totalsRowDxfId="1140"/>
    <tableColumn id="9" name="If Other Reason for Visit Explain" dataDxfId="1139" totalsRowDxfId="1138"/>
    <tableColumn id="10" name="Patient Prescribed Antibiotic (Y/N/WW)" dataDxfId="1137" totalsRowDxfId="1136"/>
    <tableColumn id="11" name="Total Number of Antibiotics Prescribed for Patient" dataDxfId="1135" totalsRowDxfId="1134"/>
    <tableColumn id="13" name="Disease/Infection Type" dataDxfId="1133" totalsRowDxfId="1132"/>
    <tableColumn id="14" name="If Other Disease/Infection Type Explain" dataDxfId="1131" totalsRowDxfId="1130"/>
    <tableColumn id="15" name="Disease Description" dataDxfId="1129" totalsRowDxfId="1128"/>
    <tableColumn id="16" name="Number of Antibiotics Prescribed for this Condition " dataDxfId="1127" totalsRowDxfId="1126"/>
    <tableColumn id="17" name="Diagnostics Offered for Infectious Condition (Y/N)" dataDxfId="1125" totalsRowDxfId="1124"/>
    <tableColumn id="18" name="Diagnostic Performed for Infectious Condition (Y/N)" dataDxfId="1123" totalsRowDxfId="1122"/>
    <tableColumn id="23" name="Drug Name" dataDxfId="1121" totalsRowDxfId="1120"/>
    <tableColumn id="24" name="Drug Class" dataDxfId="1119" totalsRowDxfId="1118">
      <calculatedColumnFormula>IFERROR(VLOOKUP(July[[#This Row],[Drug Name]],'Data Options'!$R$1:$S$100,2,FALSE), " ")</calculatedColumnFormula>
    </tableColumn>
    <tableColumn id="25" name="Dose (in mg)" dataDxfId="1117" totalsRowDxfId="1116"/>
    <tableColumn id="26" name="Frequency" dataDxfId="1115" totalsRowDxfId="1114"/>
    <tableColumn id="27" name="Route" dataDxfId="1113" totalsRowDxfId="1112"/>
    <tableColumn id="28" name="Duration _x000a_(in days)" dataDxfId="1111" totalsRowDxfId="1110"/>
    <tableColumn id="30" name="Location Filled " dataDxfId="1109" totalsRowDxfId="1108"/>
    <tableColumn id="31" name="Drug Name2" dataDxfId="1107" totalsRowDxfId="1106"/>
    <tableColumn id="32" name="Drug Class2" dataDxfId="1105" totalsRowDxfId="1104">
      <calculatedColumnFormula>IFERROR(VLOOKUP(July[[#This Row],[Drug Name2]],'Data Options'!$R$1:$S$100,2,FALSE), " ")</calculatedColumnFormula>
    </tableColumn>
    <tableColumn id="33" name="Dose (in mg)2" dataDxfId="1103" totalsRowDxfId="1102"/>
    <tableColumn id="34" name="Frequency2" dataDxfId="1101" totalsRowDxfId="1100"/>
    <tableColumn id="35" name="Route2" dataDxfId="1099" totalsRowDxfId="1098"/>
    <tableColumn id="36" name="Duration _x000a_(in days)2" dataDxfId="1097" totalsRowDxfId="1096"/>
    <tableColumn id="38" name="Location Filled2" dataDxfId="1095" totalsRowDxfId="1094"/>
    <tableColumn id="39" name="Drug Name3" dataDxfId="1093" totalsRowDxfId="1092"/>
    <tableColumn id="40" name="Drug Class3" dataDxfId="1091" totalsRowDxfId="1090">
      <calculatedColumnFormula>IFERROR(VLOOKUP(July[[#This Row],[Drug Name3]],'Data Options'!$R$1:$S$100,2,FALSE), " ")</calculatedColumnFormula>
    </tableColumn>
    <tableColumn id="41" name="Dose (in mg)3" dataDxfId="1089" totalsRowDxfId="1088"/>
    <tableColumn id="42" name="Frequency3" dataDxfId="1087" totalsRowDxfId="1086"/>
    <tableColumn id="43" name="Route3" dataDxfId="1085" totalsRowDxfId="1084"/>
    <tableColumn id="44" name="Duration _x000a_(in days)3" dataDxfId="1083" totalsRowDxfId="1082"/>
    <tableColumn id="46" name="Location Filled3" dataDxfId="1081" totalsRowDxfId="1080"/>
    <tableColumn id="47" name="Disease/Infection Type2" dataDxfId="1079" totalsRowDxfId="1078"/>
    <tableColumn id="48" name="If Other Disease/Infection Type Explain2" dataDxfId="1077" totalsRowDxfId="1076"/>
    <tableColumn id="49" name="Disease Description2" dataDxfId="1075" totalsRowDxfId="1074"/>
    <tableColumn id="50" name="Number of Antibiotics Prescribed for this Condition2" dataDxfId="1073" totalsRowDxfId="1072"/>
    <tableColumn id="51" name="Diagnostics Offered for Infectious Condition (Y/N)2" dataDxfId="1071" totalsRowDxfId="1070"/>
    <tableColumn id="52" name="Diagnostic Performed for Infectious Condition (Y/N)2" dataDxfId="1069" totalsRowDxfId="1068"/>
    <tableColumn id="57" name="Drug Name4" dataDxfId="1067" totalsRowDxfId="1066"/>
    <tableColumn id="58" name="Drug Class4" dataDxfId="1065" totalsRowDxfId="1064">
      <calculatedColumnFormula>IFERROR(VLOOKUP(July[[#This Row],[Drug Name4]],'Data Options'!$R$1:$S$100,2,FALSE), " ")</calculatedColumnFormula>
    </tableColumn>
    <tableColumn id="59" name="Dose (in mg)4" dataDxfId="1063" totalsRowDxfId="1062"/>
    <tableColumn id="60" name="Frequency4" dataDxfId="1061" totalsRowDxfId="1060"/>
    <tableColumn id="61" name="Route4" dataDxfId="1059" totalsRowDxfId="1058"/>
    <tableColumn id="62" name="Duration _x000a_(in days)4" dataDxfId="1057" totalsRowDxfId="1056"/>
    <tableColumn id="64" name="Location Filled4" dataDxfId="1055" totalsRowDxfId="1054"/>
    <tableColumn id="65" name="Drug Name5" dataDxfId="1053" totalsRowDxfId="1052"/>
    <tableColumn id="66" name="Drug Class5" dataDxfId="1051" totalsRowDxfId="1050">
      <calculatedColumnFormula>IFERROR(VLOOKUP(July[[#This Row],[Drug Name5]],'Data Options'!$R$1:$S$100,2,FALSE), " ")</calculatedColumnFormula>
    </tableColumn>
    <tableColumn id="67" name="Dose (in mg)5" dataDxfId="1049" totalsRowDxfId="1048"/>
    <tableColumn id="68" name="Frequency5" dataDxfId="1047" totalsRowDxfId="1046"/>
    <tableColumn id="69" name="Route5" dataDxfId="1045" totalsRowDxfId="1044"/>
    <tableColumn id="70" name="Duration _x000a_(in days)5" dataDxfId="1043" totalsRowDxfId="1042"/>
    <tableColumn id="72" name="Location Filled5" dataDxfId="1041" totalsRowDxfId="1040"/>
    <tableColumn id="73" name="Drug Name6" dataDxfId="1039" totalsRowDxfId="1038"/>
    <tableColumn id="74" name="Drug Class6" dataDxfId="1037" totalsRowDxfId="1036">
      <calculatedColumnFormula>IFERROR(VLOOKUP(July[[#This Row],[Drug Name6]],'Data Options'!$R$1:$S$100,2,FALSE), " ")</calculatedColumnFormula>
    </tableColumn>
    <tableColumn id="75" name="Dose (in mg)6" dataDxfId="1035" totalsRowDxfId="1034"/>
    <tableColumn id="76" name="Frequency6" dataDxfId="1033" totalsRowDxfId="1032"/>
    <tableColumn id="77" name="Route6" dataDxfId="1031" totalsRowDxfId="1030"/>
    <tableColumn id="78" name="Duration _x000a_(in days)6" dataDxfId="1029" totalsRowDxfId="1028"/>
    <tableColumn id="80" name="Location Filled6" dataDxfId="1027" totalsRowDxfId="1026"/>
    <tableColumn id="81" name="Disease/Infection Type3" dataDxfId="1025" totalsRowDxfId="1024"/>
    <tableColumn id="82" name="If Other Disease/Infection Type Explain3" dataDxfId="1023" totalsRowDxfId="1022"/>
    <tableColumn id="83" name="Disease Description3" dataDxfId="1021" totalsRowDxfId="1020"/>
    <tableColumn id="84" name="Number of Antibiotics Prescribed for this Condition3" dataDxfId="1019" totalsRowDxfId="1018"/>
    <tableColumn id="85" name="Diagnostics Offered for Infectious Condition (Y/N)3" dataDxfId="1017" totalsRowDxfId="1016"/>
    <tableColumn id="86" name="Diagnostic Performed for Infectious Condition (Y/N)3" dataDxfId="1015" totalsRowDxfId="1014"/>
    <tableColumn id="91" name="Drug Name7" dataDxfId="1013" totalsRowDxfId="1012"/>
    <tableColumn id="92" name="Drug Class7" dataDxfId="1011" totalsRowDxfId="1010">
      <calculatedColumnFormula>IFERROR(VLOOKUP(July[[#This Row],[Drug Name7]],'Data Options'!$R$1:$S$100,2,FALSE), " ")</calculatedColumnFormula>
    </tableColumn>
    <tableColumn id="93" name="Dose (in mg)7" dataDxfId="1009" totalsRowDxfId="1008"/>
    <tableColumn id="94" name="Frequency7" dataDxfId="1007" totalsRowDxfId="1006"/>
    <tableColumn id="95" name="Route7" dataDxfId="1005" totalsRowDxfId="1004"/>
    <tableColumn id="96" name="Duration _x000a_(in days)7" dataDxfId="1003" totalsRowDxfId="1002"/>
    <tableColumn id="98" name="Locatio  Filled7" dataDxfId="1001" totalsRowDxfId="1000"/>
    <tableColumn id="99" name="Drug Name8" dataDxfId="999" totalsRowDxfId="998"/>
    <tableColumn id="100" name="Drug Class8" dataDxfId="997" totalsRowDxfId="996">
      <calculatedColumnFormula>IFERROR(VLOOKUP(July[[#This Row],[Drug Name8]],'Data Options'!$R$1:$S$100,2,FALSE), " ")</calculatedColumnFormula>
    </tableColumn>
    <tableColumn id="101" name="Dose (in mg)8" dataDxfId="995" totalsRowDxfId="994"/>
    <tableColumn id="102" name="Frequency8" dataDxfId="993" totalsRowDxfId="992"/>
    <tableColumn id="103" name="Route8" dataDxfId="991" totalsRowDxfId="990"/>
    <tableColumn id="104" name="Duration _x000a_(in days)8" dataDxfId="989" totalsRowDxfId="988"/>
    <tableColumn id="106" name="Location Filled8" dataDxfId="987" totalsRowDxfId="986"/>
    <tableColumn id="107" name="Drug Name9" dataDxfId="985" totalsRowDxfId="984"/>
    <tableColumn id="108" name="Drug Class9" dataDxfId="983" totalsRowDxfId="982">
      <calculatedColumnFormula>IFERROR(VLOOKUP(July[[#This Row],[Drug Name9]],'Data Options'!$R$1:$S$100,2,FALSE), " ")</calculatedColumnFormula>
    </tableColumn>
    <tableColumn id="109" name="Dose (in mg)9" dataDxfId="981" totalsRowDxfId="980"/>
    <tableColumn id="110" name="Frequency9" dataDxfId="979" totalsRowDxfId="978"/>
    <tableColumn id="111" name="Route9" dataDxfId="977" totalsRowDxfId="976"/>
    <tableColumn id="112" name="Duration _x000a_(in days)9" dataDxfId="975" totalsRowDxfId="974"/>
    <tableColumn id="114" name="Location Filled9" totalsRowFunction="count" dataDxfId="973" totalsRowDxfId="972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Berl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13" Type="http://schemas.openxmlformats.org/officeDocument/2006/relationships/table" Target="../tables/table27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12" Type="http://schemas.openxmlformats.org/officeDocument/2006/relationships/table" Target="../tables/table26.xml"/><Relationship Id="rId2" Type="http://schemas.openxmlformats.org/officeDocument/2006/relationships/table" Target="../tables/table16.xml"/><Relationship Id="rId16" Type="http://schemas.openxmlformats.org/officeDocument/2006/relationships/table" Target="../tables/table30.xml"/><Relationship Id="rId1" Type="http://schemas.openxmlformats.org/officeDocument/2006/relationships/table" Target="../tables/table15.xml"/><Relationship Id="rId6" Type="http://schemas.openxmlformats.org/officeDocument/2006/relationships/table" Target="../tables/table20.xml"/><Relationship Id="rId11" Type="http://schemas.openxmlformats.org/officeDocument/2006/relationships/table" Target="../tables/table25.xml"/><Relationship Id="rId5" Type="http://schemas.openxmlformats.org/officeDocument/2006/relationships/table" Target="../tables/table19.xml"/><Relationship Id="rId15" Type="http://schemas.openxmlformats.org/officeDocument/2006/relationships/table" Target="../tables/table29.xml"/><Relationship Id="rId10" Type="http://schemas.openxmlformats.org/officeDocument/2006/relationships/table" Target="../tables/table24.xml"/><Relationship Id="rId4" Type="http://schemas.openxmlformats.org/officeDocument/2006/relationships/table" Target="../tables/table18.xml"/><Relationship Id="rId9" Type="http://schemas.openxmlformats.org/officeDocument/2006/relationships/table" Target="../tables/table23.xml"/><Relationship Id="rId14" Type="http://schemas.openxmlformats.org/officeDocument/2006/relationships/table" Target="../tables/table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zoomScale="81" workbookViewId="0">
      <selection activeCell="D19" sqref="D19"/>
    </sheetView>
  </sheetViews>
  <sheetFormatPr defaultColWidth="10.6640625" defaultRowHeight="15.5"/>
  <cols>
    <col min="1" max="1" width="50.5" customWidth="1"/>
  </cols>
  <sheetData>
    <row r="1" spans="1:1" ht="67" customHeight="1"/>
    <row r="2" spans="1:1" ht="62" customHeight="1"/>
    <row r="3" spans="1:1" ht="27" customHeight="1">
      <c r="A3" s="8"/>
    </row>
    <row r="4" spans="1:1" ht="76" customHeight="1">
      <c r="A4" s="9"/>
    </row>
    <row r="5" spans="1:1" ht="124" customHeight="1">
      <c r="A5" s="10"/>
    </row>
    <row r="6" spans="1:1" ht="79" customHeight="1">
      <c r="A6" s="9"/>
    </row>
    <row r="7" spans="1:1" ht="40" customHeight="1">
      <c r="A7" s="7"/>
    </row>
    <row r="8" spans="1:1" ht="60" customHeight="1">
      <c r="A8" s="7"/>
    </row>
    <row r="9" spans="1:1" ht="61" customHeight="1"/>
  </sheetData>
  <sheetProtection algorithmName="SHA-512" hashValue="b4h32RGVUoSChU8CS5V80O4kfGupicZRlAgStkDgpjigdwhWPsvGjmgjfEBZf0HMFPXI8/TGOWXyu6GbAsDnug==" saltValue="GSZkgeEpW8IoDLCTHuTloQ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02"/>
  <sheetViews>
    <sheetView workbookViewId="0">
      <pane ySplit="3" topLeftCell="A4" activePane="bottomLeft" state="frozen"/>
      <selection activeCell="E1" sqref="E1"/>
      <selection pane="bottomLeft" activeCell="A4" sqref="A4"/>
    </sheetView>
  </sheetViews>
  <sheetFormatPr defaultColWidth="10.83203125" defaultRowHeight="15.5"/>
  <cols>
    <col min="1" max="16384" width="10.83203125" style="24"/>
  </cols>
  <sheetData>
    <row r="1" spans="1:91" ht="21">
      <c r="A1" s="60" t="s">
        <v>103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43"/>
      <c r="AH1" s="43"/>
      <c r="AI1" s="43"/>
      <c r="AJ1" s="43"/>
      <c r="AK1" s="43"/>
      <c r="AL1" s="70" t="s">
        <v>154</v>
      </c>
      <c r="AM1" s="70"/>
      <c r="AN1" s="70"/>
      <c r="AO1" s="70"/>
      <c r="AP1" s="70"/>
      <c r="AQ1" s="70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5"/>
      <c r="BI1" s="45"/>
      <c r="BJ1" s="45"/>
      <c r="BK1" s="45"/>
      <c r="BL1" s="45"/>
      <c r="BM1" s="71" t="s">
        <v>156</v>
      </c>
      <c r="BN1" s="71"/>
      <c r="BO1" s="71"/>
      <c r="BP1" s="71"/>
      <c r="BQ1" s="71"/>
      <c r="BR1" s="71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7"/>
      <c r="CJ1" s="47"/>
      <c r="CK1" s="47"/>
      <c r="CL1" s="47"/>
      <c r="CM1" s="47"/>
    </row>
    <row r="2" spans="1:91" ht="21">
      <c r="A2" s="60"/>
      <c r="B2" s="60"/>
      <c r="C2" s="60"/>
      <c r="D2" s="60"/>
      <c r="E2" s="60"/>
      <c r="F2" s="60"/>
      <c r="G2" s="60"/>
      <c r="H2" s="60"/>
      <c r="I2" s="60"/>
      <c r="J2" s="60"/>
      <c r="K2" s="62" t="s">
        <v>153</v>
      </c>
      <c r="L2" s="62"/>
      <c r="M2" s="62"/>
      <c r="N2" s="62"/>
      <c r="O2" s="62"/>
      <c r="P2" s="62"/>
      <c r="Q2" s="63" t="s">
        <v>104</v>
      </c>
      <c r="R2" s="63"/>
      <c r="S2" s="63"/>
      <c r="T2" s="63"/>
      <c r="U2" s="63"/>
      <c r="V2" s="63"/>
      <c r="W2" s="48"/>
      <c r="X2" s="64" t="s">
        <v>105</v>
      </c>
      <c r="Y2" s="64"/>
      <c r="Z2" s="64"/>
      <c r="AA2" s="64"/>
      <c r="AB2" s="64"/>
      <c r="AC2" s="64"/>
      <c r="AD2" s="64"/>
      <c r="AE2" s="65" t="s">
        <v>106</v>
      </c>
      <c r="AF2" s="65"/>
      <c r="AG2" s="65"/>
      <c r="AH2" s="65"/>
      <c r="AI2" s="65"/>
      <c r="AJ2" s="65"/>
      <c r="AK2" s="65"/>
      <c r="AL2" s="70"/>
      <c r="AM2" s="70"/>
      <c r="AN2" s="70"/>
      <c r="AO2" s="70"/>
      <c r="AP2" s="70"/>
      <c r="AQ2" s="70"/>
      <c r="AR2" s="66" t="s">
        <v>107</v>
      </c>
      <c r="AS2" s="66"/>
      <c r="AT2" s="66"/>
      <c r="AU2" s="66"/>
      <c r="AV2" s="66"/>
      <c r="AW2" s="66"/>
      <c r="AX2" s="66"/>
      <c r="AY2" s="49" t="s">
        <v>216</v>
      </c>
      <c r="AZ2" s="49"/>
      <c r="BA2" s="49"/>
      <c r="BB2" s="49"/>
      <c r="BC2" s="49"/>
      <c r="BD2" s="49"/>
      <c r="BE2" s="49"/>
      <c r="BF2" s="69" t="s">
        <v>155</v>
      </c>
      <c r="BG2" s="69"/>
      <c r="BH2" s="69"/>
      <c r="BI2" s="69"/>
      <c r="BJ2" s="69"/>
      <c r="BK2" s="69"/>
      <c r="BL2" s="69"/>
      <c r="BM2" s="71"/>
      <c r="BN2" s="71"/>
      <c r="BO2" s="71"/>
      <c r="BP2" s="71"/>
      <c r="BQ2" s="71"/>
      <c r="BR2" s="71"/>
      <c r="BS2" s="67" t="s">
        <v>109</v>
      </c>
      <c r="BT2" s="67"/>
      <c r="BU2" s="67"/>
      <c r="BV2" s="67"/>
      <c r="BW2" s="67"/>
      <c r="BX2" s="67"/>
      <c r="BY2" s="67"/>
      <c r="BZ2" s="68" t="s">
        <v>110</v>
      </c>
      <c r="CA2" s="68"/>
      <c r="CB2" s="68"/>
      <c r="CC2" s="68"/>
      <c r="CD2" s="68"/>
      <c r="CE2" s="68"/>
      <c r="CF2" s="68"/>
      <c r="CG2" s="69" t="s">
        <v>108</v>
      </c>
      <c r="CH2" s="69"/>
      <c r="CI2" s="69"/>
      <c r="CJ2" s="69"/>
      <c r="CK2" s="69"/>
      <c r="CL2" s="69"/>
      <c r="CM2" s="69"/>
    </row>
    <row r="3" spans="1:91" ht="93.5" thickBot="1">
      <c r="A3" s="50" t="s">
        <v>4</v>
      </c>
      <c r="B3" s="50" t="s">
        <v>217</v>
      </c>
      <c r="C3" s="50" t="s">
        <v>5</v>
      </c>
      <c r="D3" s="50" t="s">
        <v>6</v>
      </c>
      <c r="E3" s="50" t="s">
        <v>0</v>
      </c>
      <c r="F3" s="50" t="s">
        <v>111</v>
      </c>
      <c r="G3" s="50" t="s">
        <v>1</v>
      </c>
      <c r="H3" s="50" t="s">
        <v>150</v>
      </c>
      <c r="I3" s="50" t="s">
        <v>218</v>
      </c>
      <c r="J3" s="50" t="s">
        <v>214</v>
      </c>
      <c r="K3" s="50" t="s">
        <v>82</v>
      </c>
      <c r="L3" s="50" t="s">
        <v>215</v>
      </c>
      <c r="M3" s="50" t="s">
        <v>83</v>
      </c>
      <c r="N3" s="50" t="s">
        <v>211</v>
      </c>
      <c r="O3" s="50" t="s">
        <v>212</v>
      </c>
      <c r="P3" s="50" t="s">
        <v>213</v>
      </c>
      <c r="Q3" s="51" t="s">
        <v>8</v>
      </c>
      <c r="R3" s="51" t="s">
        <v>3</v>
      </c>
      <c r="S3" s="50" t="s">
        <v>84</v>
      </c>
      <c r="T3" s="50" t="s">
        <v>65</v>
      </c>
      <c r="U3" s="50" t="s">
        <v>85</v>
      </c>
      <c r="V3" s="50" t="s">
        <v>9</v>
      </c>
      <c r="W3" s="50" t="s">
        <v>219</v>
      </c>
      <c r="X3" s="51" t="s">
        <v>157</v>
      </c>
      <c r="Y3" s="51" t="s">
        <v>164</v>
      </c>
      <c r="Z3" s="50" t="s">
        <v>163</v>
      </c>
      <c r="AA3" s="50" t="s">
        <v>166</v>
      </c>
      <c r="AB3" s="50" t="s">
        <v>167</v>
      </c>
      <c r="AC3" s="50" t="s">
        <v>171</v>
      </c>
      <c r="AD3" s="50" t="s">
        <v>220</v>
      </c>
      <c r="AE3" s="51" t="s">
        <v>168</v>
      </c>
      <c r="AF3" s="51" t="s">
        <v>158</v>
      </c>
      <c r="AG3" s="50" t="s">
        <v>169</v>
      </c>
      <c r="AH3" s="50" t="s">
        <v>165</v>
      </c>
      <c r="AI3" s="50" t="s">
        <v>170</v>
      </c>
      <c r="AJ3" s="50" t="s">
        <v>172</v>
      </c>
      <c r="AK3" s="50" t="s">
        <v>221</v>
      </c>
      <c r="AL3" s="50" t="s">
        <v>173</v>
      </c>
      <c r="AM3" s="50" t="s">
        <v>222</v>
      </c>
      <c r="AN3" s="50" t="s">
        <v>174</v>
      </c>
      <c r="AO3" s="50" t="s">
        <v>175</v>
      </c>
      <c r="AP3" s="50" t="s">
        <v>223</v>
      </c>
      <c r="AQ3" s="50" t="s">
        <v>224</v>
      </c>
      <c r="AR3" s="51" t="s">
        <v>176</v>
      </c>
      <c r="AS3" s="51" t="s">
        <v>177</v>
      </c>
      <c r="AT3" s="50" t="s">
        <v>159</v>
      </c>
      <c r="AU3" s="50" t="s">
        <v>178</v>
      </c>
      <c r="AV3" s="50" t="s">
        <v>179</v>
      </c>
      <c r="AW3" s="50" t="s">
        <v>180</v>
      </c>
      <c r="AX3" s="50" t="s">
        <v>225</v>
      </c>
      <c r="AY3" s="51" t="s">
        <v>181</v>
      </c>
      <c r="AZ3" s="51" t="s">
        <v>182</v>
      </c>
      <c r="BA3" s="50" t="s">
        <v>183</v>
      </c>
      <c r="BB3" s="50" t="s">
        <v>160</v>
      </c>
      <c r="BC3" s="50" t="s">
        <v>184</v>
      </c>
      <c r="BD3" s="50" t="s">
        <v>185</v>
      </c>
      <c r="BE3" s="50" t="s">
        <v>226</v>
      </c>
      <c r="BF3" s="51" t="s">
        <v>186</v>
      </c>
      <c r="BG3" s="51" t="s">
        <v>187</v>
      </c>
      <c r="BH3" s="50" t="s">
        <v>188</v>
      </c>
      <c r="BI3" s="50" t="s">
        <v>189</v>
      </c>
      <c r="BJ3" s="50" t="s">
        <v>161</v>
      </c>
      <c r="BK3" s="50" t="s">
        <v>190</v>
      </c>
      <c r="BL3" s="50" t="s">
        <v>227</v>
      </c>
      <c r="BM3" s="50" t="s">
        <v>191</v>
      </c>
      <c r="BN3" s="50" t="s">
        <v>233</v>
      </c>
      <c r="BO3" s="50" t="s">
        <v>192</v>
      </c>
      <c r="BP3" s="50" t="s">
        <v>193</v>
      </c>
      <c r="BQ3" s="50" t="s">
        <v>228</v>
      </c>
      <c r="BR3" s="50" t="s">
        <v>229</v>
      </c>
      <c r="BS3" s="50" t="s">
        <v>194</v>
      </c>
      <c r="BT3" s="50" t="s">
        <v>195</v>
      </c>
      <c r="BU3" s="50" t="s">
        <v>196</v>
      </c>
      <c r="BV3" s="50" t="s">
        <v>197</v>
      </c>
      <c r="BW3" s="50" t="s">
        <v>198</v>
      </c>
      <c r="BX3" s="50" t="s">
        <v>162</v>
      </c>
      <c r="BY3" s="50" t="s">
        <v>230</v>
      </c>
      <c r="BZ3" s="50" t="s">
        <v>199</v>
      </c>
      <c r="CA3" s="50" t="s">
        <v>200</v>
      </c>
      <c r="CB3" s="50" t="s">
        <v>201</v>
      </c>
      <c r="CC3" s="50" t="s">
        <v>202</v>
      </c>
      <c r="CD3" s="50" t="s">
        <v>203</v>
      </c>
      <c r="CE3" s="50" t="s">
        <v>204</v>
      </c>
      <c r="CF3" s="50" t="s">
        <v>231</v>
      </c>
      <c r="CG3" s="50" t="s">
        <v>205</v>
      </c>
      <c r="CH3" s="50" t="s">
        <v>206</v>
      </c>
      <c r="CI3" s="50" t="s">
        <v>207</v>
      </c>
      <c r="CJ3" s="50" t="s">
        <v>208</v>
      </c>
      <c r="CK3" s="50" t="s">
        <v>209</v>
      </c>
      <c r="CL3" s="50" t="s">
        <v>210</v>
      </c>
      <c r="CM3" s="50" t="s">
        <v>232</v>
      </c>
    </row>
    <row r="4" spans="1:91">
      <c r="A4" s="52"/>
      <c r="B4" s="5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1"/>
      <c r="P4" s="31"/>
      <c r="Q4" s="54"/>
      <c r="R4" s="21" t="str">
        <f>IFERROR(VLOOKUP(May[[#This Row],[Drug Name]],'Data Options'!$R$1:$S$100,2,FALSE), " ")</f>
        <v xml:space="preserve"> </v>
      </c>
      <c r="S4" s="55"/>
      <c r="T4" s="32"/>
      <c r="U4" s="32"/>
      <c r="V4" s="55"/>
      <c r="W4" s="32"/>
      <c r="X4" s="54"/>
      <c r="Y4" s="21" t="str">
        <f>IFERROR(VLOOKUP(May[[#This Row],[Drug Name2]],'Data Options'!$R$1:$S$100,2,FALSE), " ")</f>
        <v xml:space="preserve"> </v>
      </c>
      <c r="Z4" s="55"/>
      <c r="AA4" s="32"/>
      <c r="AB4" s="32"/>
      <c r="AC4" s="55"/>
      <c r="AD4" s="32"/>
      <c r="AE4" s="54"/>
      <c r="AF4" s="21" t="str">
        <f>IFERROR(VLOOKUP(May[[#This Row],[Drug Name3]],'Data Options'!$R$1:$S$100,2,FALSE), " ")</f>
        <v xml:space="preserve"> </v>
      </c>
      <c r="AG4" s="55"/>
      <c r="AH4" s="32"/>
      <c r="AI4" s="32"/>
      <c r="AJ4" s="55"/>
      <c r="AK4" s="32"/>
      <c r="AL4" s="32"/>
      <c r="AM4" s="32"/>
      <c r="AN4" s="32"/>
      <c r="AO4" s="32"/>
      <c r="AP4" s="31"/>
      <c r="AQ4" s="31"/>
      <c r="AR4" s="54"/>
      <c r="AS4" s="21" t="str">
        <f>IFERROR(VLOOKUP(May[[#This Row],[Drug Name4]],'Data Options'!$R$1:$S$100,2,FALSE), " ")</f>
        <v xml:space="preserve"> </v>
      </c>
      <c r="AT4" s="55"/>
      <c r="AU4" s="32"/>
      <c r="AV4" s="32"/>
      <c r="AW4" s="55"/>
      <c r="AX4" s="32"/>
      <c r="AY4" s="54"/>
      <c r="AZ4" s="21" t="str">
        <f>IFERROR(VLOOKUP(May[[#This Row],[Drug Name5]],'Data Options'!$R$1:$S$100,2,FALSE), " ")</f>
        <v xml:space="preserve"> </v>
      </c>
      <c r="BA4" s="55"/>
      <c r="BB4" s="32"/>
      <c r="BC4" s="32"/>
      <c r="BD4" s="55"/>
      <c r="BE4" s="32"/>
      <c r="BF4" s="54"/>
      <c r="BG4" s="21" t="str">
        <f>IFERROR(VLOOKUP(May[[#This Row],[Drug Name6]],'Data Options'!$R$1:$S$100,2,FALSE), " ")</f>
        <v xml:space="preserve"> </v>
      </c>
      <c r="BH4" s="55"/>
      <c r="BI4" s="32"/>
      <c r="BJ4" s="32"/>
      <c r="BK4" s="55"/>
      <c r="BL4" s="32"/>
      <c r="BM4" s="32"/>
      <c r="BN4" s="32"/>
      <c r="BO4" s="32"/>
      <c r="BP4" s="32"/>
      <c r="BQ4" s="31"/>
      <c r="BR4" s="31"/>
      <c r="BS4" s="54"/>
      <c r="BT4" s="21" t="str">
        <f>IFERROR(VLOOKUP(May[[#This Row],[Drug Name7]],'Data Options'!$R$1:$S$100,2,FALSE), " ")</f>
        <v xml:space="preserve"> </v>
      </c>
      <c r="BU4" s="55"/>
      <c r="BV4" s="32"/>
      <c r="BW4" s="32"/>
      <c r="BX4" s="55"/>
      <c r="BY4" s="32"/>
      <c r="BZ4" s="54"/>
      <c r="CA4" s="21" t="str">
        <f>IFERROR(VLOOKUP(May[[#This Row],[Drug Name8]],'Data Options'!$R$1:$S$100,2,FALSE), " ")</f>
        <v xml:space="preserve"> </v>
      </c>
      <c r="CB4" s="55"/>
      <c r="CC4" s="32"/>
      <c r="CD4" s="32"/>
      <c r="CE4" s="55"/>
      <c r="CF4" s="32"/>
      <c r="CG4" s="54"/>
      <c r="CH4" s="21" t="str">
        <f>IFERROR(VLOOKUP(May[[#This Row],[Drug Name9]],'Data Options'!$R$1:$S$100,2,FALSE), " ")</f>
        <v xml:space="preserve"> </v>
      </c>
      <c r="CI4" s="55"/>
      <c r="CJ4" s="32"/>
      <c r="CK4" s="32"/>
      <c r="CL4" s="55"/>
      <c r="CM4" s="32"/>
    </row>
    <row r="5" spans="1:91">
      <c r="A5" s="5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1"/>
      <c r="P5" s="31"/>
      <c r="Q5" s="54"/>
      <c r="R5" s="21" t="str">
        <f>IFERROR(VLOOKUP(May[[#This Row],[Drug Name]],'Data Options'!$R$1:$S$100,2,FALSE), " ")</f>
        <v xml:space="preserve"> </v>
      </c>
      <c r="S5" s="55"/>
      <c r="T5" s="32"/>
      <c r="U5" s="32"/>
      <c r="V5" s="55"/>
      <c r="W5" s="32"/>
      <c r="X5" s="54"/>
      <c r="Y5" s="21" t="str">
        <f>IFERROR(VLOOKUP(May[[#This Row],[Drug Name2]],'Data Options'!$R$1:$S$100,2,FALSE), " ")</f>
        <v xml:space="preserve"> </v>
      </c>
      <c r="Z5" s="55"/>
      <c r="AA5" s="32"/>
      <c r="AB5" s="32"/>
      <c r="AC5" s="55"/>
      <c r="AD5" s="32"/>
      <c r="AE5" s="54"/>
      <c r="AF5" s="21" t="str">
        <f>IFERROR(VLOOKUP(May[[#This Row],[Drug Name3]],'Data Options'!$R$1:$S$100,2,FALSE), " ")</f>
        <v xml:space="preserve"> </v>
      </c>
      <c r="AG5" s="55"/>
      <c r="AH5" s="32"/>
      <c r="AI5" s="32"/>
      <c r="AJ5" s="55"/>
      <c r="AK5" s="32"/>
      <c r="AL5" s="32"/>
      <c r="AM5" s="32"/>
      <c r="AN5" s="32"/>
      <c r="AO5" s="32"/>
      <c r="AP5" s="31"/>
      <c r="AQ5" s="31"/>
      <c r="AR5" s="54"/>
      <c r="AS5" s="21" t="str">
        <f>IFERROR(VLOOKUP(May[[#This Row],[Drug Name4]],'Data Options'!$R$1:$S$100,2,FALSE), " ")</f>
        <v xml:space="preserve"> </v>
      </c>
      <c r="AT5" s="55"/>
      <c r="AU5" s="32"/>
      <c r="AV5" s="32"/>
      <c r="AW5" s="55"/>
      <c r="AX5" s="32"/>
      <c r="AY5" s="54"/>
      <c r="AZ5" s="21" t="str">
        <f>IFERROR(VLOOKUP(May[[#This Row],[Drug Name5]],'Data Options'!$R$1:$S$100,2,FALSE), " ")</f>
        <v xml:space="preserve"> </v>
      </c>
      <c r="BA5" s="55"/>
      <c r="BB5" s="32"/>
      <c r="BC5" s="32"/>
      <c r="BD5" s="55"/>
      <c r="BE5" s="32"/>
      <c r="BF5" s="54"/>
      <c r="BG5" s="21" t="str">
        <f>IFERROR(VLOOKUP(May[[#This Row],[Drug Name6]],'Data Options'!$R$1:$S$100,2,FALSE), " ")</f>
        <v xml:space="preserve"> </v>
      </c>
      <c r="BH5" s="55"/>
      <c r="BI5" s="32"/>
      <c r="BJ5" s="32"/>
      <c r="BK5" s="55"/>
      <c r="BL5" s="32"/>
      <c r="BM5" s="32"/>
      <c r="BN5" s="32"/>
      <c r="BO5" s="32"/>
      <c r="BP5" s="32"/>
      <c r="BQ5" s="31"/>
      <c r="BR5" s="31"/>
      <c r="BS5" s="54"/>
      <c r="BT5" s="21" t="str">
        <f>IFERROR(VLOOKUP(May[[#This Row],[Drug Name7]],'Data Options'!$R$1:$S$100,2,FALSE), " ")</f>
        <v xml:space="preserve"> </v>
      </c>
      <c r="BU5" s="55"/>
      <c r="BV5" s="32"/>
      <c r="BW5" s="32"/>
      <c r="BX5" s="55"/>
      <c r="BY5" s="32"/>
      <c r="BZ5" s="54"/>
      <c r="CA5" s="21" t="str">
        <f>IFERROR(VLOOKUP(May[[#This Row],[Drug Name8]],'Data Options'!$R$1:$S$100,2,FALSE), " ")</f>
        <v xml:space="preserve"> </v>
      </c>
      <c r="CB5" s="55"/>
      <c r="CC5" s="32"/>
      <c r="CD5" s="32"/>
      <c r="CE5" s="55"/>
      <c r="CF5" s="32"/>
      <c r="CG5" s="54"/>
      <c r="CH5" s="21" t="str">
        <f>IFERROR(VLOOKUP(May[[#This Row],[Drug Name9]],'Data Options'!$R$1:$S$100,2,FALSE), " ")</f>
        <v xml:space="preserve"> </v>
      </c>
      <c r="CI5" s="55"/>
      <c r="CJ5" s="32"/>
      <c r="CK5" s="32"/>
      <c r="CL5" s="55"/>
      <c r="CM5" s="32"/>
    </row>
    <row r="6" spans="1:91">
      <c r="A6" s="5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1"/>
      <c r="P6" s="31"/>
      <c r="Q6" s="54"/>
      <c r="R6" s="21" t="str">
        <f>IFERROR(VLOOKUP(May[[#This Row],[Drug Name]],'Data Options'!$R$1:$S$100,2,FALSE), " ")</f>
        <v xml:space="preserve"> </v>
      </c>
      <c r="S6" s="55"/>
      <c r="T6" s="32"/>
      <c r="U6" s="32"/>
      <c r="V6" s="55"/>
      <c r="W6" s="32"/>
      <c r="X6" s="54"/>
      <c r="Y6" s="21" t="str">
        <f>IFERROR(VLOOKUP(May[[#This Row],[Drug Name2]],'Data Options'!$R$1:$S$100,2,FALSE), " ")</f>
        <v xml:space="preserve"> </v>
      </c>
      <c r="Z6" s="55"/>
      <c r="AA6" s="32"/>
      <c r="AB6" s="32"/>
      <c r="AC6" s="55"/>
      <c r="AD6" s="32"/>
      <c r="AE6" s="54"/>
      <c r="AF6" s="21" t="str">
        <f>IFERROR(VLOOKUP(May[[#This Row],[Drug Name3]],'Data Options'!$R$1:$S$100,2,FALSE), " ")</f>
        <v xml:space="preserve"> </v>
      </c>
      <c r="AG6" s="55"/>
      <c r="AH6" s="32"/>
      <c r="AI6" s="32"/>
      <c r="AJ6" s="55"/>
      <c r="AK6" s="32"/>
      <c r="AL6" s="32"/>
      <c r="AM6" s="32"/>
      <c r="AN6" s="32"/>
      <c r="AO6" s="32"/>
      <c r="AP6" s="31"/>
      <c r="AQ6" s="31"/>
      <c r="AR6" s="54"/>
      <c r="AS6" s="21" t="str">
        <f>IFERROR(VLOOKUP(May[[#This Row],[Drug Name4]],'Data Options'!$R$1:$S$100,2,FALSE), " ")</f>
        <v xml:space="preserve"> </v>
      </c>
      <c r="AT6" s="55"/>
      <c r="AU6" s="32"/>
      <c r="AV6" s="32"/>
      <c r="AW6" s="55"/>
      <c r="AX6" s="32"/>
      <c r="AY6" s="54"/>
      <c r="AZ6" s="21" t="str">
        <f>IFERROR(VLOOKUP(May[[#This Row],[Drug Name5]],'Data Options'!$R$1:$S$100,2,FALSE), " ")</f>
        <v xml:space="preserve"> </v>
      </c>
      <c r="BA6" s="55"/>
      <c r="BB6" s="32"/>
      <c r="BC6" s="32"/>
      <c r="BD6" s="55"/>
      <c r="BE6" s="32"/>
      <c r="BF6" s="54"/>
      <c r="BG6" s="21" t="str">
        <f>IFERROR(VLOOKUP(May[[#This Row],[Drug Name6]],'Data Options'!$R$1:$S$100,2,FALSE), " ")</f>
        <v xml:space="preserve"> </v>
      </c>
      <c r="BH6" s="55"/>
      <c r="BI6" s="32"/>
      <c r="BJ6" s="32"/>
      <c r="BK6" s="55"/>
      <c r="BL6" s="32"/>
      <c r="BM6" s="32"/>
      <c r="BN6" s="32"/>
      <c r="BO6" s="32"/>
      <c r="BP6" s="32"/>
      <c r="BQ6" s="31"/>
      <c r="BR6" s="31"/>
      <c r="BS6" s="54"/>
      <c r="BT6" s="21" t="str">
        <f>IFERROR(VLOOKUP(May[[#This Row],[Drug Name7]],'Data Options'!$R$1:$S$100,2,FALSE), " ")</f>
        <v xml:space="preserve"> </v>
      </c>
      <c r="BU6" s="55"/>
      <c r="BV6" s="32"/>
      <c r="BW6" s="32"/>
      <c r="BX6" s="55"/>
      <c r="BY6" s="32"/>
      <c r="BZ6" s="54"/>
      <c r="CA6" s="21" t="str">
        <f>IFERROR(VLOOKUP(May[[#This Row],[Drug Name8]],'Data Options'!$R$1:$S$100,2,FALSE), " ")</f>
        <v xml:space="preserve"> </v>
      </c>
      <c r="CB6" s="55"/>
      <c r="CC6" s="32"/>
      <c r="CD6" s="32"/>
      <c r="CE6" s="55"/>
      <c r="CF6" s="32"/>
      <c r="CG6" s="54"/>
      <c r="CH6" s="21" t="str">
        <f>IFERROR(VLOOKUP(May[[#This Row],[Drug Name9]],'Data Options'!$R$1:$S$100,2,FALSE), " ")</f>
        <v xml:space="preserve"> </v>
      </c>
      <c r="CI6" s="55"/>
      <c r="CJ6" s="32"/>
      <c r="CK6" s="32"/>
      <c r="CL6" s="55"/>
      <c r="CM6" s="32"/>
    </row>
    <row r="7" spans="1:91">
      <c r="A7" s="5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1"/>
      <c r="P7" s="31"/>
      <c r="Q7" s="54"/>
      <c r="R7" s="21" t="str">
        <f>IFERROR(VLOOKUP(May[[#This Row],[Drug Name]],'Data Options'!$R$1:$S$100,2,FALSE), " ")</f>
        <v xml:space="preserve"> </v>
      </c>
      <c r="S7" s="55"/>
      <c r="T7" s="32"/>
      <c r="U7" s="32"/>
      <c r="V7" s="55"/>
      <c r="W7" s="32"/>
      <c r="X7" s="54"/>
      <c r="Y7" s="21" t="str">
        <f>IFERROR(VLOOKUP(May[[#This Row],[Drug Name2]],'Data Options'!$R$1:$S$100,2,FALSE), " ")</f>
        <v xml:space="preserve"> </v>
      </c>
      <c r="Z7" s="55"/>
      <c r="AA7" s="32"/>
      <c r="AB7" s="32"/>
      <c r="AC7" s="55"/>
      <c r="AD7" s="32"/>
      <c r="AE7" s="54"/>
      <c r="AF7" s="21" t="str">
        <f>IFERROR(VLOOKUP(May[[#This Row],[Drug Name3]],'Data Options'!$R$1:$S$100,2,FALSE), " ")</f>
        <v xml:space="preserve"> </v>
      </c>
      <c r="AG7" s="55"/>
      <c r="AH7" s="32"/>
      <c r="AI7" s="32"/>
      <c r="AJ7" s="55"/>
      <c r="AK7" s="32"/>
      <c r="AL7" s="32"/>
      <c r="AM7" s="32"/>
      <c r="AN7" s="32"/>
      <c r="AO7" s="32"/>
      <c r="AP7" s="31"/>
      <c r="AQ7" s="31"/>
      <c r="AR7" s="54"/>
      <c r="AS7" s="21" t="str">
        <f>IFERROR(VLOOKUP(May[[#This Row],[Drug Name4]],'Data Options'!$R$1:$S$100,2,FALSE), " ")</f>
        <v xml:space="preserve"> </v>
      </c>
      <c r="AT7" s="55"/>
      <c r="AU7" s="32"/>
      <c r="AV7" s="32"/>
      <c r="AW7" s="55"/>
      <c r="AX7" s="32"/>
      <c r="AY7" s="54"/>
      <c r="AZ7" s="21" t="str">
        <f>IFERROR(VLOOKUP(May[[#This Row],[Drug Name5]],'Data Options'!$R$1:$S$100,2,FALSE), " ")</f>
        <v xml:space="preserve"> </v>
      </c>
      <c r="BA7" s="55"/>
      <c r="BB7" s="32"/>
      <c r="BC7" s="32"/>
      <c r="BD7" s="55"/>
      <c r="BE7" s="32"/>
      <c r="BF7" s="54"/>
      <c r="BG7" s="21" t="str">
        <f>IFERROR(VLOOKUP(May[[#This Row],[Drug Name6]],'Data Options'!$R$1:$S$100,2,FALSE), " ")</f>
        <v xml:space="preserve"> </v>
      </c>
      <c r="BH7" s="55"/>
      <c r="BI7" s="32"/>
      <c r="BJ7" s="32"/>
      <c r="BK7" s="55"/>
      <c r="BL7" s="32"/>
      <c r="BM7" s="32"/>
      <c r="BN7" s="32"/>
      <c r="BO7" s="32"/>
      <c r="BP7" s="32"/>
      <c r="BQ7" s="31"/>
      <c r="BR7" s="31"/>
      <c r="BS7" s="54"/>
      <c r="BT7" s="21" t="str">
        <f>IFERROR(VLOOKUP(May[[#This Row],[Drug Name7]],'Data Options'!$R$1:$S$100,2,FALSE), " ")</f>
        <v xml:space="preserve"> </v>
      </c>
      <c r="BU7" s="55"/>
      <c r="BV7" s="32"/>
      <c r="BW7" s="32"/>
      <c r="BX7" s="55"/>
      <c r="BY7" s="32"/>
      <c r="BZ7" s="54"/>
      <c r="CA7" s="21" t="str">
        <f>IFERROR(VLOOKUP(May[[#This Row],[Drug Name8]],'Data Options'!$R$1:$S$100,2,FALSE), " ")</f>
        <v xml:space="preserve"> </v>
      </c>
      <c r="CB7" s="55"/>
      <c r="CC7" s="32"/>
      <c r="CD7" s="32"/>
      <c r="CE7" s="55"/>
      <c r="CF7" s="32"/>
      <c r="CG7" s="54"/>
      <c r="CH7" s="21" t="str">
        <f>IFERROR(VLOOKUP(May[[#This Row],[Drug Name9]],'Data Options'!$R$1:$S$100,2,FALSE), " ")</f>
        <v xml:space="preserve"> </v>
      </c>
      <c r="CI7" s="55"/>
      <c r="CJ7" s="32"/>
      <c r="CK7" s="32"/>
      <c r="CL7" s="55"/>
      <c r="CM7" s="32"/>
    </row>
    <row r="8" spans="1:91">
      <c r="A8" s="5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1"/>
      <c r="P8" s="31"/>
      <c r="Q8" s="54"/>
      <c r="R8" s="21" t="str">
        <f>IFERROR(VLOOKUP(May[[#This Row],[Drug Name]],'Data Options'!$R$1:$S$100,2,FALSE), " ")</f>
        <v xml:space="preserve"> </v>
      </c>
      <c r="S8" s="55"/>
      <c r="T8" s="32"/>
      <c r="U8" s="32"/>
      <c r="V8" s="55"/>
      <c r="W8" s="32"/>
      <c r="X8" s="54"/>
      <c r="Y8" s="21" t="str">
        <f>IFERROR(VLOOKUP(May[[#This Row],[Drug Name2]],'Data Options'!$R$1:$S$100,2,FALSE), " ")</f>
        <v xml:space="preserve"> </v>
      </c>
      <c r="Z8" s="55"/>
      <c r="AA8" s="32"/>
      <c r="AB8" s="32"/>
      <c r="AC8" s="55"/>
      <c r="AD8" s="32"/>
      <c r="AE8" s="54"/>
      <c r="AF8" s="21" t="str">
        <f>IFERROR(VLOOKUP(May[[#This Row],[Drug Name3]],'Data Options'!$R$1:$S$100,2,FALSE), " ")</f>
        <v xml:space="preserve"> </v>
      </c>
      <c r="AG8" s="55"/>
      <c r="AH8" s="32"/>
      <c r="AI8" s="32"/>
      <c r="AJ8" s="55"/>
      <c r="AK8" s="32"/>
      <c r="AL8" s="32"/>
      <c r="AM8" s="32"/>
      <c r="AN8" s="32"/>
      <c r="AO8" s="32"/>
      <c r="AP8" s="31"/>
      <c r="AQ8" s="31"/>
      <c r="AR8" s="54"/>
      <c r="AS8" s="21" t="str">
        <f>IFERROR(VLOOKUP(May[[#This Row],[Drug Name4]],'Data Options'!$R$1:$S$100,2,FALSE), " ")</f>
        <v xml:space="preserve"> </v>
      </c>
      <c r="AT8" s="55"/>
      <c r="AU8" s="32"/>
      <c r="AV8" s="32"/>
      <c r="AW8" s="55"/>
      <c r="AX8" s="32"/>
      <c r="AY8" s="54"/>
      <c r="AZ8" s="21" t="str">
        <f>IFERROR(VLOOKUP(May[[#This Row],[Drug Name5]],'Data Options'!$R$1:$S$100,2,FALSE), " ")</f>
        <v xml:space="preserve"> </v>
      </c>
      <c r="BA8" s="55"/>
      <c r="BB8" s="32"/>
      <c r="BC8" s="32"/>
      <c r="BD8" s="55"/>
      <c r="BE8" s="32"/>
      <c r="BF8" s="54"/>
      <c r="BG8" s="21" t="str">
        <f>IFERROR(VLOOKUP(May[[#This Row],[Drug Name6]],'Data Options'!$R$1:$S$100,2,FALSE), " ")</f>
        <v xml:space="preserve"> </v>
      </c>
      <c r="BH8" s="55"/>
      <c r="BI8" s="32"/>
      <c r="BJ8" s="32"/>
      <c r="BK8" s="55"/>
      <c r="BL8" s="32"/>
      <c r="BM8" s="32"/>
      <c r="BN8" s="32"/>
      <c r="BO8" s="32"/>
      <c r="BP8" s="32"/>
      <c r="BQ8" s="31"/>
      <c r="BR8" s="31"/>
      <c r="BS8" s="54"/>
      <c r="BT8" s="21" t="str">
        <f>IFERROR(VLOOKUP(May[[#This Row],[Drug Name7]],'Data Options'!$R$1:$S$100,2,FALSE), " ")</f>
        <v xml:space="preserve"> </v>
      </c>
      <c r="BU8" s="55"/>
      <c r="BV8" s="32"/>
      <c r="BW8" s="32"/>
      <c r="BX8" s="55"/>
      <c r="BY8" s="32"/>
      <c r="BZ8" s="54"/>
      <c r="CA8" s="21" t="str">
        <f>IFERROR(VLOOKUP(May[[#This Row],[Drug Name8]],'Data Options'!$R$1:$S$100,2,FALSE), " ")</f>
        <v xml:space="preserve"> </v>
      </c>
      <c r="CB8" s="55"/>
      <c r="CC8" s="32"/>
      <c r="CD8" s="32"/>
      <c r="CE8" s="55"/>
      <c r="CF8" s="32"/>
      <c r="CG8" s="54"/>
      <c r="CH8" s="21" t="str">
        <f>IFERROR(VLOOKUP(May[[#This Row],[Drug Name9]],'Data Options'!$R$1:$S$100,2,FALSE), " ")</f>
        <v xml:space="preserve"> </v>
      </c>
      <c r="CI8" s="55"/>
      <c r="CJ8" s="32"/>
      <c r="CK8" s="32"/>
      <c r="CL8" s="55"/>
      <c r="CM8" s="32"/>
    </row>
    <row r="9" spans="1:91">
      <c r="A9" s="5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1"/>
      <c r="P9" s="31"/>
      <c r="Q9" s="54"/>
      <c r="R9" s="21" t="str">
        <f>IFERROR(VLOOKUP(May[[#This Row],[Drug Name]],'Data Options'!$R$1:$S$100,2,FALSE), " ")</f>
        <v xml:space="preserve"> </v>
      </c>
      <c r="S9" s="55"/>
      <c r="T9" s="32"/>
      <c r="U9" s="32"/>
      <c r="V9" s="55"/>
      <c r="W9" s="32"/>
      <c r="X9" s="54"/>
      <c r="Y9" s="21" t="str">
        <f>IFERROR(VLOOKUP(May[[#This Row],[Drug Name2]],'Data Options'!$R$1:$S$100,2,FALSE), " ")</f>
        <v xml:space="preserve"> </v>
      </c>
      <c r="Z9" s="55"/>
      <c r="AA9" s="32"/>
      <c r="AB9" s="32"/>
      <c r="AC9" s="55"/>
      <c r="AD9" s="32"/>
      <c r="AE9" s="54"/>
      <c r="AF9" s="21" t="str">
        <f>IFERROR(VLOOKUP(May[[#This Row],[Drug Name3]],'Data Options'!$R$1:$S$100,2,FALSE), " ")</f>
        <v xml:space="preserve"> </v>
      </c>
      <c r="AG9" s="55"/>
      <c r="AH9" s="32"/>
      <c r="AI9" s="32"/>
      <c r="AJ9" s="55"/>
      <c r="AK9" s="32"/>
      <c r="AL9" s="32"/>
      <c r="AM9" s="32"/>
      <c r="AN9" s="32"/>
      <c r="AO9" s="32"/>
      <c r="AP9" s="31"/>
      <c r="AQ9" s="31"/>
      <c r="AR9" s="54"/>
      <c r="AS9" s="21" t="str">
        <f>IFERROR(VLOOKUP(May[[#This Row],[Drug Name4]],'Data Options'!$R$1:$S$100,2,FALSE), " ")</f>
        <v xml:space="preserve"> </v>
      </c>
      <c r="AT9" s="55"/>
      <c r="AU9" s="32"/>
      <c r="AV9" s="32"/>
      <c r="AW9" s="55"/>
      <c r="AX9" s="32"/>
      <c r="AY9" s="54"/>
      <c r="AZ9" s="21" t="str">
        <f>IFERROR(VLOOKUP(May[[#This Row],[Drug Name5]],'Data Options'!$R$1:$S$100,2,FALSE), " ")</f>
        <v xml:space="preserve"> </v>
      </c>
      <c r="BA9" s="55"/>
      <c r="BB9" s="32"/>
      <c r="BC9" s="32"/>
      <c r="BD9" s="55"/>
      <c r="BE9" s="32"/>
      <c r="BF9" s="54"/>
      <c r="BG9" s="21" t="str">
        <f>IFERROR(VLOOKUP(May[[#This Row],[Drug Name6]],'Data Options'!$R$1:$S$100,2,FALSE), " ")</f>
        <v xml:space="preserve"> </v>
      </c>
      <c r="BH9" s="55"/>
      <c r="BI9" s="32"/>
      <c r="BJ9" s="32"/>
      <c r="BK9" s="55"/>
      <c r="BL9" s="32"/>
      <c r="BM9" s="32"/>
      <c r="BN9" s="32"/>
      <c r="BO9" s="32"/>
      <c r="BP9" s="32"/>
      <c r="BQ9" s="31"/>
      <c r="BR9" s="31"/>
      <c r="BS9" s="54"/>
      <c r="BT9" s="21" t="str">
        <f>IFERROR(VLOOKUP(May[[#This Row],[Drug Name7]],'Data Options'!$R$1:$S$100,2,FALSE), " ")</f>
        <v xml:space="preserve"> </v>
      </c>
      <c r="BU9" s="55"/>
      <c r="BV9" s="32"/>
      <c r="BW9" s="32"/>
      <c r="BX9" s="55"/>
      <c r="BY9" s="32"/>
      <c r="BZ9" s="54"/>
      <c r="CA9" s="21" t="str">
        <f>IFERROR(VLOOKUP(May[[#This Row],[Drug Name8]],'Data Options'!$R$1:$S$100,2,FALSE), " ")</f>
        <v xml:space="preserve"> </v>
      </c>
      <c r="CB9" s="55"/>
      <c r="CC9" s="32"/>
      <c r="CD9" s="32"/>
      <c r="CE9" s="55"/>
      <c r="CF9" s="32"/>
      <c r="CG9" s="54"/>
      <c r="CH9" s="21" t="str">
        <f>IFERROR(VLOOKUP(May[[#This Row],[Drug Name9]],'Data Options'!$R$1:$S$100,2,FALSE), " ")</f>
        <v xml:space="preserve"> </v>
      </c>
      <c r="CI9" s="55"/>
      <c r="CJ9" s="32"/>
      <c r="CK9" s="32"/>
      <c r="CL9" s="55"/>
      <c r="CM9" s="32"/>
    </row>
    <row r="10" spans="1:91">
      <c r="A10" s="5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1"/>
      <c r="P10" s="31"/>
      <c r="Q10" s="54"/>
      <c r="R10" s="21" t="str">
        <f>IFERROR(VLOOKUP(May[[#This Row],[Drug Name]],'Data Options'!$R$1:$S$100,2,FALSE), " ")</f>
        <v xml:space="preserve"> </v>
      </c>
      <c r="S10" s="55"/>
      <c r="T10" s="32"/>
      <c r="U10" s="32"/>
      <c r="V10" s="55"/>
      <c r="W10" s="32"/>
      <c r="X10" s="54"/>
      <c r="Y10" s="21" t="str">
        <f>IFERROR(VLOOKUP(May[[#This Row],[Drug Name2]],'Data Options'!$R$1:$S$100,2,FALSE), " ")</f>
        <v xml:space="preserve"> </v>
      </c>
      <c r="Z10" s="55"/>
      <c r="AA10" s="32"/>
      <c r="AB10" s="32"/>
      <c r="AC10" s="55"/>
      <c r="AD10" s="32"/>
      <c r="AE10" s="54"/>
      <c r="AF10" s="21" t="str">
        <f>IFERROR(VLOOKUP(May[[#This Row],[Drug Name3]],'Data Options'!$R$1:$S$100,2,FALSE), " ")</f>
        <v xml:space="preserve"> </v>
      </c>
      <c r="AG10" s="55"/>
      <c r="AH10" s="32"/>
      <c r="AI10" s="32"/>
      <c r="AJ10" s="55"/>
      <c r="AK10" s="32"/>
      <c r="AL10" s="32"/>
      <c r="AM10" s="32"/>
      <c r="AN10" s="32"/>
      <c r="AO10" s="32"/>
      <c r="AP10" s="31"/>
      <c r="AQ10" s="31"/>
      <c r="AR10" s="54"/>
      <c r="AS10" s="21" t="str">
        <f>IFERROR(VLOOKUP(May[[#This Row],[Drug Name4]],'Data Options'!$R$1:$S$100,2,FALSE), " ")</f>
        <v xml:space="preserve"> </v>
      </c>
      <c r="AT10" s="55"/>
      <c r="AU10" s="32"/>
      <c r="AV10" s="32"/>
      <c r="AW10" s="55"/>
      <c r="AX10" s="32"/>
      <c r="AY10" s="54"/>
      <c r="AZ10" s="21" t="str">
        <f>IFERROR(VLOOKUP(May[[#This Row],[Drug Name5]],'Data Options'!$R$1:$S$100,2,FALSE), " ")</f>
        <v xml:space="preserve"> </v>
      </c>
      <c r="BA10" s="55"/>
      <c r="BB10" s="32"/>
      <c r="BC10" s="32"/>
      <c r="BD10" s="55"/>
      <c r="BE10" s="32"/>
      <c r="BF10" s="54"/>
      <c r="BG10" s="21" t="str">
        <f>IFERROR(VLOOKUP(May[[#This Row],[Drug Name6]],'Data Options'!$R$1:$S$100,2,FALSE), " ")</f>
        <v xml:space="preserve"> </v>
      </c>
      <c r="BH10" s="55"/>
      <c r="BI10" s="32"/>
      <c r="BJ10" s="32"/>
      <c r="BK10" s="55"/>
      <c r="BL10" s="32"/>
      <c r="BM10" s="32"/>
      <c r="BN10" s="32"/>
      <c r="BO10" s="32"/>
      <c r="BP10" s="32"/>
      <c r="BQ10" s="31"/>
      <c r="BR10" s="31"/>
      <c r="BS10" s="54"/>
      <c r="BT10" s="21" t="str">
        <f>IFERROR(VLOOKUP(May[[#This Row],[Drug Name7]],'Data Options'!$R$1:$S$100,2,FALSE), " ")</f>
        <v xml:space="preserve"> </v>
      </c>
      <c r="BU10" s="55"/>
      <c r="BV10" s="32"/>
      <c r="BW10" s="32"/>
      <c r="BX10" s="55"/>
      <c r="BY10" s="32"/>
      <c r="BZ10" s="54"/>
      <c r="CA10" s="21" t="str">
        <f>IFERROR(VLOOKUP(May[[#This Row],[Drug Name8]],'Data Options'!$R$1:$S$100,2,FALSE), " ")</f>
        <v xml:space="preserve"> </v>
      </c>
      <c r="CB10" s="55"/>
      <c r="CC10" s="32"/>
      <c r="CD10" s="32"/>
      <c r="CE10" s="55"/>
      <c r="CF10" s="32"/>
      <c r="CG10" s="54"/>
      <c r="CH10" s="21" t="str">
        <f>IFERROR(VLOOKUP(May[[#This Row],[Drug Name9]],'Data Options'!$R$1:$S$100,2,FALSE), " ")</f>
        <v xml:space="preserve"> </v>
      </c>
      <c r="CI10" s="55"/>
      <c r="CJ10" s="32"/>
      <c r="CK10" s="32"/>
      <c r="CL10" s="55"/>
      <c r="CM10" s="32"/>
    </row>
    <row r="11" spans="1:91">
      <c r="A11" s="5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1"/>
      <c r="P11" s="31"/>
      <c r="Q11" s="54"/>
      <c r="R11" s="21" t="str">
        <f>IFERROR(VLOOKUP(May[[#This Row],[Drug Name]],'Data Options'!$R$1:$S$100,2,FALSE), " ")</f>
        <v xml:space="preserve"> </v>
      </c>
      <c r="S11" s="55"/>
      <c r="T11" s="32"/>
      <c r="U11" s="32"/>
      <c r="V11" s="55"/>
      <c r="W11" s="32"/>
      <c r="X11" s="54"/>
      <c r="Y11" s="21" t="str">
        <f>IFERROR(VLOOKUP(May[[#This Row],[Drug Name2]],'Data Options'!$R$1:$S$100,2,FALSE), " ")</f>
        <v xml:space="preserve"> </v>
      </c>
      <c r="Z11" s="55"/>
      <c r="AA11" s="32"/>
      <c r="AB11" s="32"/>
      <c r="AC11" s="55"/>
      <c r="AD11" s="32"/>
      <c r="AE11" s="54"/>
      <c r="AF11" s="21" t="str">
        <f>IFERROR(VLOOKUP(May[[#This Row],[Drug Name3]],'Data Options'!$R$1:$S$100,2,FALSE), " ")</f>
        <v xml:space="preserve"> </v>
      </c>
      <c r="AG11" s="55"/>
      <c r="AH11" s="32"/>
      <c r="AI11" s="32"/>
      <c r="AJ11" s="55"/>
      <c r="AK11" s="32"/>
      <c r="AL11" s="32"/>
      <c r="AM11" s="32"/>
      <c r="AN11" s="32"/>
      <c r="AO11" s="32"/>
      <c r="AP11" s="31"/>
      <c r="AQ11" s="31"/>
      <c r="AR11" s="54"/>
      <c r="AS11" s="21" t="str">
        <f>IFERROR(VLOOKUP(May[[#This Row],[Drug Name4]],'Data Options'!$R$1:$S$100,2,FALSE), " ")</f>
        <v xml:space="preserve"> </v>
      </c>
      <c r="AT11" s="55"/>
      <c r="AU11" s="32"/>
      <c r="AV11" s="32"/>
      <c r="AW11" s="55"/>
      <c r="AX11" s="32"/>
      <c r="AY11" s="54"/>
      <c r="AZ11" s="21" t="str">
        <f>IFERROR(VLOOKUP(May[[#This Row],[Drug Name5]],'Data Options'!$R$1:$S$100,2,FALSE), " ")</f>
        <v xml:space="preserve"> </v>
      </c>
      <c r="BA11" s="55"/>
      <c r="BB11" s="32"/>
      <c r="BC11" s="32"/>
      <c r="BD11" s="55"/>
      <c r="BE11" s="32"/>
      <c r="BF11" s="54"/>
      <c r="BG11" s="21" t="str">
        <f>IFERROR(VLOOKUP(May[[#This Row],[Drug Name6]],'Data Options'!$R$1:$S$100,2,FALSE), " ")</f>
        <v xml:space="preserve"> </v>
      </c>
      <c r="BH11" s="55"/>
      <c r="BI11" s="32"/>
      <c r="BJ11" s="32"/>
      <c r="BK11" s="55"/>
      <c r="BL11" s="32"/>
      <c r="BM11" s="32"/>
      <c r="BN11" s="32"/>
      <c r="BO11" s="32"/>
      <c r="BP11" s="32"/>
      <c r="BQ11" s="31"/>
      <c r="BR11" s="31"/>
      <c r="BS11" s="54"/>
      <c r="BT11" s="21" t="str">
        <f>IFERROR(VLOOKUP(May[[#This Row],[Drug Name7]],'Data Options'!$R$1:$S$100,2,FALSE), " ")</f>
        <v xml:space="preserve"> </v>
      </c>
      <c r="BU11" s="55"/>
      <c r="BV11" s="32"/>
      <c r="BW11" s="32"/>
      <c r="BX11" s="55"/>
      <c r="BY11" s="32"/>
      <c r="BZ11" s="54"/>
      <c r="CA11" s="21" t="str">
        <f>IFERROR(VLOOKUP(May[[#This Row],[Drug Name8]],'Data Options'!$R$1:$S$100,2,FALSE), " ")</f>
        <v xml:space="preserve"> </v>
      </c>
      <c r="CB11" s="55"/>
      <c r="CC11" s="32"/>
      <c r="CD11" s="32"/>
      <c r="CE11" s="55"/>
      <c r="CF11" s="32"/>
      <c r="CG11" s="54"/>
      <c r="CH11" s="21" t="str">
        <f>IFERROR(VLOOKUP(May[[#This Row],[Drug Name9]],'Data Options'!$R$1:$S$100,2,FALSE), " ")</f>
        <v xml:space="preserve"> </v>
      </c>
      <c r="CI11" s="55"/>
      <c r="CJ11" s="32"/>
      <c r="CK11" s="32"/>
      <c r="CL11" s="55"/>
      <c r="CM11" s="32"/>
    </row>
    <row r="12" spans="1:91">
      <c r="A12" s="5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1"/>
      <c r="P12" s="31"/>
      <c r="Q12" s="54"/>
      <c r="R12" s="21" t="str">
        <f>IFERROR(VLOOKUP(May[[#This Row],[Drug Name]],'Data Options'!$R$1:$S$100,2,FALSE), " ")</f>
        <v xml:space="preserve"> </v>
      </c>
      <c r="S12" s="55"/>
      <c r="T12" s="32"/>
      <c r="U12" s="32"/>
      <c r="V12" s="55"/>
      <c r="W12" s="32"/>
      <c r="X12" s="54"/>
      <c r="Y12" s="21" t="str">
        <f>IFERROR(VLOOKUP(May[[#This Row],[Drug Name2]],'Data Options'!$R$1:$S$100,2,FALSE), " ")</f>
        <v xml:space="preserve"> </v>
      </c>
      <c r="Z12" s="55"/>
      <c r="AA12" s="32"/>
      <c r="AB12" s="32"/>
      <c r="AC12" s="55"/>
      <c r="AD12" s="32"/>
      <c r="AE12" s="54"/>
      <c r="AF12" s="21" t="str">
        <f>IFERROR(VLOOKUP(May[[#This Row],[Drug Name3]],'Data Options'!$R$1:$S$100,2,FALSE), " ")</f>
        <v xml:space="preserve"> </v>
      </c>
      <c r="AG12" s="55"/>
      <c r="AH12" s="32"/>
      <c r="AI12" s="32"/>
      <c r="AJ12" s="55"/>
      <c r="AK12" s="32"/>
      <c r="AL12" s="32"/>
      <c r="AM12" s="32"/>
      <c r="AN12" s="32"/>
      <c r="AO12" s="32"/>
      <c r="AP12" s="31"/>
      <c r="AQ12" s="31"/>
      <c r="AR12" s="54"/>
      <c r="AS12" s="21" t="str">
        <f>IFERROR(VLOOKUP(May[[#This Row],[Drug Name4]],'Data Options'!$R$1:$S$100,2,FALSE), " ")</f>
        <v xml:space="preserve"> </v>
      </c>
      <c r="AT12" s="55"/>
      <c r="AU12" s="32"/>
      <c r="AV12" s="32"/>
      <c r="AW12" s="55"/>
      <c r="AX12" s="32"/>
      <c r="AY12" s="54"/>
      <c r="AZ12" s="21" t="str">
        <f>IFERROR(VLOOKUP(May[[#This Row],[Drug Name5]],'Data Options'!$R$1:$S$100,2,FALSE), " ")</f>
        <v xml:space="preserve"> </v>
      </c>
      <c r="BA12" s="55"/>
      <c r="BB12" s="32"/>
      <c r="BC12" s="32"/>
      <c r="BD12" s="55"/>
      <c r="BE12" s="32"/>
      <c r="BF12" s="54"/>
      <c r="BG12" s="21" t="str">
        <f>IFERROR(VLOOKUP(May[[#This Row],[Drug Name6]],'Data Options'!$R$1:$S$100,2,FALSE), " ")</f>
        <v xml:space="preserve"> </v>
      </c>
      <c r="BH12" s="55"/>
      <c r="BI12" s="32"/>
      <c r="BJ12" s="32"/>
      <c r="BK12" s="55"/>
      <c r="BL12" s="32"/>
      <c r="BM12" s="32"/>
      <c r="BN12" s="32"/>
      <c r="BO12" s="32"/>
      <c r="BP12" s="32"/>
      <c r="BQ12" s="31"/>
      <c r="BR12" s="31"/>
      <c r="BS12" s="54"/>
      <c r="BT12" s="21" t="str">
        <f>IFERROR(VLOOKUP(May[[#This Row],[Drug Name7]],'Data Options'!$R$1:$S$100,2,FALSE), " ")</f>
        <v xml:space="preserve"> </v>
      </c>
      <c r="BU12" s="55"/>
      <c r="BV12" s="32"/>
      <c r="BW12" s="32"/>
      <c r="BX12" s="55"/>
      <c r="BY12" s="32"/>
      <c r="BZ12" s="54"/>
      <c r="CA12" s="21" t="str">
        <f>IFERROR(VLOOKUP(May[[#This Row],[Drug Name8]],'Data Options'!$R$1:$S$100,2,FALSE), " ")</f>
        <v xml:space="preserve"> </v>
      </c>
      <c r="CB12" s="55"/>
      <c r="CC12" s="32"/>
      <c r="CD12" s="32"/>
      <c r="CE12" s="55"/>
      <c r="CF12" s="32"/>
      <c r="CG12" s="54"/>
      <c r="CH12" s="21" t="str">
        <f>IFERROR(VLOOKUP(May[[#This Row],[Drug Name9]],'Data Options'!$R$1:$S$100,2,FALSE), " ")</f>
        <v xml:space="preserve"> </v>
      </c>
      <c r="CI12" s="55"/>
      <c r="CJ12" s="32"/>
      <c r="CK12" s="32"/>
      <c r="CL12" s="55"/>
      <c r="CM12" s="32"/>
    </row>
    <row r="13" spans="1:91">
      <c r="A13" s="5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1"/>
      <c r="P13" s="31"/>
      <c r="Q13" s="54"/>
      <c r="R13" s="21" t="str">
        <f>IFERROR(VLOOKUP(May[[#This Row],[Drug Name]],'Data Options'!$R$1:$S$100,2,FALSE), " ")</f>
        <v xml:space="preserve"> </v>
      </c>
      <c r="S13" s="55"/>
      <c r="T13" s="32"/>
      <c r="U13" s="32"/>
      <c r="V13" s="55"/>
      <c r="W13" s="32"/>
      <c r="X13" s="54"/>
      <c r="Y13" s="21" t="str">
        <f>IFERROR(VLOOKUP(May[[#This Row],[Drug Name2]],'Data Options'!$R$1:$S$100,2,FALSE), " ")</f>
        <v xml:space="preserve"> </v>
      </c>
      <c r="Z13" s="55"/>
      <c r="AA13" s="32"/>
      <c r="AB13" s="32"/>
      <c r="AC13" s="55"/>
      <c r="AD13" s="32"/>
      <c r="AE13" s="54"/>
      <c r="AF13" s="21" t="str">
        <f>IFERROR(VLOOKUP(May[[#This Row],[Drug Name3]],'Data Options'!$R$1:$S$100,2,FALSE), " ")</f>
        <v xml:space="preserve"> </v>
      </c>
      <c r="AG13" s="55"/>
      <c r="AH13" s="32"/>
      <c r="AI13" s="32"/>
      <c r="AJ13" s="55"/>
      <c r="AK13" s="32"/>
      <c r="AL13" s="32"/>
      <c r="AM13" s="32"/>
      <c r="AN13" s="32"/>
      <c r="AO13" s="32"/>
      <c r="AP13" s="31"/>
      <c r="AQ13" s="31"/>
      <c r="AR13" s="54"/>
      <c r="AS13" s="21" t="str">
        <f>IFERROR(VLOOKUP(May[[#This Row],[Drug Name4]],'Data Options'!$R$1:$S$100,2,FALSE), " ")</f>
        <v xml:space="preserve"> </v>
      </c>
      <c r="AT13" s="55"/>
      <c r="AU13" s="32"/>
      <c r="AV13" s="32"/>
      <c r="AW13" s="55"/>
      <c r="AX13" s="32"/>
      <c r="AY13" s="54"/>
      <c r="AZ13" s="21" t="str">
        <f>IFERROR(VLOOKUP(May[[#This Row],[Drug Name5]],'Data Options'!$R$1:$S$100,2,FALSE), " ")</f>
        <v xml:space="preserve"> </v>
      </c>
      <c r="BA13" s="55"/>
      <c r="BB13" s="32"/>
      <c r="BC13" s="32"/>
      <c r="BD13" s="55"/>
      <c r="BE13" s="32"/>
      <c r="BF13" s="54"/>
      <c r="BG13" s="21" t="str">
        <f>IFERROR(VLOOKUP(May[[#This Row],[Drug Name6]],'Data Options'!$R$1:$S$100,2,FALSE), " ")</f>
        <v xml:space="preserve"> </v>
      </c>
      <c r="BH13" s="55"/>
      <c r="BI13" s="32"/>
      <c r="BJ13" s="32"/>
      <c r="BK13" s="55"/>
      <c r="BL13" s="32"/>
      <c r="BM13" s="32"/>
      <c r="BN13" s="32"/>
      <c r="BO13" s="32"/>
      <c r="BP13" s="32"/>
      <c r="BQ13" s="31"/>
      <c r="BR13" s="31"/>
      <c r="BS13" s="54"/>
      <c r="BT13" s="21" t="str">
        <f>IFERROR(VLOOKUP(May[[#This Row],[Drug Name7]],'Data Options'!$R$1:$S$100,2,FALSE), " ")</f>
        <v xml:space="preserve"> </v>
      </c>
      <c r="BU13" s="55"/>
      <c r="BV13" s="32"/>
      <c r="BW13" s="32"/>
      <c r="BX13" s="55"/>
      <c r="BY13" s="32"/>
      <c r="BZ13" s="54"/>
      <c r="CA13" s="21" t="str">
        <f>IFERROR(VLOOKUP(May[[#This Row],[Drug Name8]],'Data Options'!$R$1:$S$100,2,FALSE), " ")</f>
        <v xml:space="preserve"> </v>
      </c>
      <c r="CB13" s="55"/>
      <c r="CC13" s="32"/>
      <c r="CD13" s="32"/>
      <c r="CE13" s="55"/>
      <c r="CF13" s="32"/>
      <c r="CG13" s="54"/>
      <c r="CH13" s="21" t="str">
        <f>IFERROR(VLOOKUP(May[[#This Row],[Drug Name9]],'Data Options'!$R$1:$S$100,2,FALSE), " ")</f>
        <v xml:space="preserve"> </v>
      </c>
      <c r="CI13" s="55"/>
      <c r="CJ13" s="32"/>
      <c r="CK13" s="32"/>
      <c r="CL13" s="55"/>
      <c r="CM13" s="32"/>
    </row>
    <row r="14" spans="1:91">
      <c r="A14" s="5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54"/>
      <c r="R14" s="21" t="str">
        <f>IFERROR(VLOOKUP(May[[#This Row],[Drug Name]],'Data Options'!$R$1:$S$100,2,FALSE), " ")</f>
        <v xml:space="preserve"> </v>
      </c>
      <c r="S14" s="55"/>
      <c r="T14" s="32"/>
      <c r="U14" s="32"/>
      <c r="V14" s="55"/>
      <c r="W14" s="32"/>
      <c r="X14" s="54"/>
      <c r="Y14" s="21" t="str">
        <f>IFERROR(VLOOKUP(May[[#This Row],[Drug Name2]],'Data Options'!$R$1:$S$100,2,FALSE), " ")</f>
        <v xml:space="preserve"> </v>
      </c>
      <c r="Z14" s="55"/>
      <c r="AA14" s="32"/>
      <c r="AB14" s="32"/>
      <c r="AC14" s="55"/>
      <c r="AD14" s="32"/>
      <c r="AE14" s="54"/>
      <c r="AF14" s="21" t="str">
        <f>IFERROR(VLOOKUP(May[[#This Row],[Drug Name3]],'Data Options'!$R$1:$S$100,2,FALSE), " ")</f>
        <v xml:space="preserve"> </v>
      </c>
      <c r="AG14" s="55"/>
      <c r="AH14" s="32"/>
      <c r="AI14" s="32"/>
      <c r="AJ14" s="55"/>
      <c r="AK14" s="32"/>
      <c r="AL14" s="32"/>
      <c r="AM14" s="32"/>
      <c r="AN14" s="32"/>
      <c r="AO14" s="32"/>
      <c r="AP14" s="31"/>
      <c r="AQ14" s="31"/>
      <c r="AR14" s="54"/>
      <c r="AS14" s="21" t="str">
        <f>IFERROR(VLOOKUP(May[[#This Row],[Drug Name4]],'Data Options'!$R$1:$S$100,2,FALSE), " ")</f>
        <v xml:space="preserve"> </v>
      </c>
      <c r="AT14" s="55"/>
      <c r="AU14" s="32"/>
      <c r="AV14" s="32"/>
      <c r="AW14" s="55"/>
      <c r="AX14" s="32"/>
      <c r="AY14" s="54"/>
      <c r="AZ14" s="21" t="str">
        <f>IFERROR(VLOOKUP(May[[#This Row],[Drug Name5]],'Data Options'!$R$1:$S$100,2,FALSE), " ")</f>
        <v xml:space="preserve"> </v>
      </c>
      <c r="BA14" s="55"/>
      <c r="BB14" s="32"/>
      <c r="BC14" s="32"/>
      <c r="BD14" s="55"/>
      <c r="BE14" s="32"/>
      <c r="BF14" s="54"/>
      <c r="BG14" s="21" t="str">
        <f>IFERROR(VLOOKUP(May[[#This Row],[Drug Name6]],'Data Options'!$R$1:$S$100,2,FALSE), " ")</f>
        <v xml:space="preserve"> </v>
      </c>
      <c r="BH14" s="55"/>
      <c r="BI14" s="32"/>
      <c r="BJ14" s="32"/>
      <c r="BK14" s="55"/>
      <c r="BL14" s="32"/>
      <c r="BM14" s="32"/>
      <c r="BN14" s="32"/>
      <c r="BO14" s="32"/>
      <c r="BP14" s="32"/>
      <c r="BQ14" s="31"/>
      <c r="BR14" s="31"/>
      <c r="BS14" s="54"/>
      <c r="BT14" s="21" t="str">
        <f>IFERROR(VLOOKUP(May[[#This Row],[Drug Name7]],'Data Options'!$R$1:$S$100,2,FALSE), " ")</f>
        <v xml:space="preserve"> </v>
      </c>
      <c r="BU14" s="55"/>
      <c r="BV14" s="32"/>
      <c r="BW14" s="32"/>
      <c r="BX14" s="55"/>
      <c r="BY14" s="32"/>
      <c r="BZ14" s="54"/>
      <c r="CA14" s="21" t="str">
        <f>IFERROR(VLOOKUP(May[[#This Row],[Drug Name8]],'Data Options'!$R$1:$S$100,2,FALSE), " ")</f>
        <v xml:space="preserve"> </v>
      </c>
      <c r="CB14" s="55"/>
      <c r="CC14" s="32"/>
      <c r="CD14" s="32"/>
      <c r="CE14" s="55"/>
      <c r="CF14" s="32"/>
      <c r="CG14" s="54"/>
      <c r="CH14" s="21" t="str">
        <f>IFERROR(VLOOKUP(May[[#This Row],[Drug Name9]],'Data Options'!$R$1:$S$100,2,FALSE), " ")</f>
        <v xml:space="preserve"> </v>
      </c>
      <c r="CI14" s="55"/>
      <c r="CJ14" s="32"/>
      <c r="CK14" s="32"/>
      <c r="CL14" s="55"/>
      <c r="CM14" s="32"/>
    </row>
    <row r="15" spans="1:91">
      <c r="A15" s="5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54"/>
      <c r="R15" s="21" t="str">
        <f>IFERROR(VLOOKUP(May[[#This Row],[Drug Name]],'Data Options'!$R$1:$S$100,2,FALSE), " ")</f>
        <v xml:space="preserve"> </v>
      </c>
      <c r="S15" s="55"/>
      <c r="T15" s="32"/>
      <c r="U15" s="32"/>
      <c r="V15" s="55"/>
      <c r="W15" s="32"/>
      <c r="X15" s="54"/>
      <c r="Y15" s="21" t="str">
        <f>IFERROR(VLOOKUP(May[[#This Row],[Drug Name2]],'Data Options'!$R$1:$S$100,2,FALSE), " ")</f>
        <v xml:space="preserve"> </v>
      </c>
      <c r="Z15" s="55"/>
      <c r="AA15" s="32"/>
      <c r="AB15" s="32"/>
      <c r="AC15" s="55"/>
      <c r="AD15" s="32"/>
      <c r="AE15" s="54"/>
      <c r="AF15" s="21" t="str">
        <f>IFERROR(VLOOKUP(May[[#This Row],[Drug Name3]],'Data Options'!$R$1:$S$100,2,FALSE), " ")</f>
        <v xml:space="preserve"> </v>
      </c>
      <c r="AG15" s="55"/>
      <c r="AH15" s="32"/>
      <c r="AI15" s="32"/>
      <c r="AJ15" s="55"/>
      <c r="AK15" s="32"/>
      <c r="AL15" s="32"/>
      <c r="AM15" s="32"/>
      <c r="AN15" s="32"/>
      <c r="AO15" s="32"/>
      <c r="AP15" s="31"/>
      <c r="AQ15" s="31"/>
      <c r="AR15" s="54"/>
      <c r="AS15" s="21" t="str">
        <f>IFERROR(VLOOKUP(May[[#This Row],[Drug Name4]],'Data Options'!$R$1:$S$100,2,FALSE), " ")</f>
        <v xml:space="preserve"> </v>
      </c>
      <c r="AT15" s="55"/>
      <c r="AU15" s="32"/>
      <c r="AV15" s="32"/>
      <c r="AW15" s="55"/>
      <c r="AX15" s="32"/>
      <c r="AY15" s="54"/>
      <c r="AZ15" s="21" t="str">
        <f>IFERROR(VLOOKUP(May[[#This Row],[Drug Name5]],'Data Options'!$R$1:$S$100,2,FALSE), " ")</f>
        <v xml:space="preserve"> </v>
      </c>
      <c r="BA15" s="55"/>
      <c r="BB15" s="32"/>
      <c r="BC15" s="32"/>
      <c r="BD15" s="55"/>
      <c r="BE15" s="32"/>
      <c r="BF15" s="54"/>
      <c r="BG15" s="21" t="str">
        <f>IFERROR(VLOOKUP(May[[#This Row],[Drug Name6]],'Data Options'!$R$1:$S$100,2,FALSE), " ")</f>
        <v xml:space="preserve"> </v>
      </c>
      <c r="BH15" s="55"/>
      <c r="BI15" s="32"/>
      <c r="BJ15" s="32"/>
      <c r="BK15" s="55"/>
      <c r="BL15" s="32"/>
      <c r="BM15" s="32"/>
      <c r="BN15" s="32"/>
      <c r="BO15" s="32"/>
      <c r="BP15" s="32"/>
      <c r="BQ15" s="31"/>
      <c r="BR15" s="31"/>
      <c r="BS15" s="54"/>
      <c r="BT15" s="21" t="str">
        <f>IFERROR(VLOOKUP(May[[#This Row],[Drug Name7]],'Data Options'!$R$1:$S$100,2,FALSE), " ")</f>
        <v xml:space="preserve"> </v>
      </c>
      <c r="BU15" s="55"/>
      <c r="BV15" s="32"/>
      <c r="BW15" s="32"/>
      <c r="BX15" s="55"/>
      <c r="BY15" s="32"/>
      <c r="BZ15" s="54"/>
      <c r="CA15" s="21" t="str">
        <f>IFERROR(VLOOKUP(May[[#This Row],[Drug Name8]],'Data Options'!$R$1:$S$100,2,FALSE), " ")</f>
        <v xml:space="preserve"> </v>
      </c>
      <c r="CB15" s="55"/>
      <c r="CC15" s="32"/>
      <c r="CD15" s="32"/>
      <c r="CE15" s="55"/>
      <c r="CF15" s="32"/>
      <c r="CG15" s="54"/>
      <c r="CH15" s="21" t="str">
        <f>IFERROR(VLOOKUP(May[[#This Row],[Drug Name9]],'Data Options'!$R$1:$S$100,2,FALSE), " ")</f>
        <v xml:space="preserve"> </v>
      </c>
      <c r="CI15" s="55"/>
      <c r="CJ15" s="32"/>
      <c r="CK15" s="32"/>
      <c r="CL15" s="55"/>
      <c r="CM15" s="32"/>
    </row>
    <row r="16" spans="1:91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1"/>
      <c r="Q16" s="54"/>
      <c r="R16" s="21" t="str">
        <f>IFERROR(VLOOKUP(May[[#This Row],[Drug Name]],'Data Options'!$R$1:$S$100,2,FALSE), " ")</f>
        <v xml:space="preserve"> </v>
      </c>
      <c r="S16" s="55"/>
      <c r="T16" s="32"/>
      <c r="U16" s="32"/>
      <c r="V16" s="55"/>
      <c r="W16" s="32"/>
      <c r="X16" s="54"/>
      <c r="Y16" s="21" t="str">
        <f>IFERROR(VLOOKUP(May[[#This Row],[Drug Name2]],'Data Options'!$R$1:$S$100,2,FALSE), " ")</f>
        <v xml:space="preserve"> </v>
      </c>
      <c r="Z16" s="55"/>
      <c r="AA16" s="32"/>
      <c r="AB16" s="32"/>
      <c r="AC16" s="55"/>
      <c r="AD16" s="32"/>
      <c r="AE16" s="54"/>
      <c r="AF16" s="21" t="str">
        <f>IFERROR(VLOOKUP(May[[#This Row],[Drug Name3]],'Data Options'!$R$1:$S$100,2,FALSE), " ")</f>
        <v xml:space="preserve"> </v>
      </c>
      <c r="AG16" s="55"/>
      <c r="AH16" s="32"/>
      <c r="AI16" s="32"/>
      <c r="AJ16" s="55"/>
      <c r="AK16" s="32"/>
      <c r="AL16" s="32"/>
      <c r="AM16" s="32"/>
      <c r="AN16" s="32"/>
      <c r="AO16" s="32"/>
      <c r="AP16" s="31"/>
      <c r="AQ16" s="31"/>
      <c r="AR16" s="54"/>
      <c r="AS16" s="21" t="str">
        <f>IFERROR(VLOOKUP(May[[#This Row],[Drug Name4]],'Data Options'!$R$1:$S$100,2,FALSE), " ")</f>
        <v xml:space="preserve"> </v>
      </c>
      <c r="AT16" s="55"/>
      <c r="AU16" s="32"/>
      <c r="AV16" s="32"/>
      <c r="AW16" s="55"/>
      <c r="AX16" s="32"/>
      <c r="AY16" s="54"/>
      <c r="AZ16" s="21" t="str">
        <f>IFERROR(VLOOKUP(May[[#This Row],[Drug Name5]],'Data Options'!$R$1:$S$100,2,FALSE), " ")</f>
        <v xml:space="preserve"> </v>
      </c>
      <c r="BA16" s="55"/>
      <c r="BB16" s="32"/>
      <c r="BC16" s="32"/>
      <c r="BD16" s="55"/>
      <c r="BE16" s="32"/>
      <c r="BF16" s="54"/>
      <c r="BG16" s="21" t="str">
        <f>IFERROR(VLOOKUP(May[[#This Row],[Drug Name6]],'Data Options'!$R$1:$S$100,2,FALSE), " ")</f>
        <v xml:space="preserve"> </v>
      </c>
      <c r="BH16" s="55"/>
      <c r="BI16" s="32"/>
      <c r="BJ16" s="32"/>
      <c r="BK16" s="55"/>
      <c r="BL16" s="32"/>
      <c r="BM16" s="32"/>
      <c r="BN16" s="32"/>
      <c r="BO16" s="32"/>
      <c r="BP16" s="32"/>
      <c r="BQ16" s="31"/>
      <c r="BR16" s="31"/>
      <c r="BS16" s="54"/>
      <c r="BT16" s="21" t="str">
        <f>IFERROR(VLOOKUP(May[[#This Row],[Drug Name7]],'Data Options'!$R$1:$S$100,2,FALSE), " ")</f>
        <v xml:space="preserve"> </v>
      </c>
      <c r="BU16" s="55"/>
      <c r="BV16" s="32"/>
      <c r="BW16" s="32"/>
      <c r="BX16" s="55"/>
      <c r="BY16" s="32"/>
      <c r="BZ16" s="54"/>
      <c r="CA16" s="21" t="str">
        <f>IFERROR(VLOOKUP(May[[#This Row],[Drug Name8]],'Data Options'!$R$1:$S$100,2,FALSE), " ")</f>
        <v xml:space="preserve"> </v>
      </c>
      <c r="CB16" s="55"/>
      <c r="CC16" s="32"/>
      <c r="CD16" s="32"/>
      <c r="CE16" s="55"/>
      <c r="CF16" s="32"/>
      <c r="CG16" s="54"/>
      <c r="CH16" s="21" t="str">
        <f>IFERROR(VLOOKUP(May[[#This Row],[Drug Name9]],'Data Options'!$R$1:$S$100,2,FALSE), " ")</f>
        <v xml:space="preserve"> </v>
      </c>
      <c r="CI16" s="55"/>
      <c r="CJ16" s="32"/>
      <c r="CK16" s="32"/>
      <c r="CL16" s="55"/>
      <c r="CM16" s="32"/>
    </row>
    <row r="17" spans="1:91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1"/>
      <c r="Q17" s="54"/>
      <c r="R17" s="21" t="str">
        <f>IFERROR(VLOOKUP(May[[#This Row],[Drug Name]],'Data Options'!$R$1:$S$100,2,FALSE), " ")</f>
        <v xml:space="preserve"> </v>
      </c>
      <c r="S17" s="55"/>
      <c r="T17" s="32"/>
      <c r="U17" s="32"/>
      <c r="V17" s="55"/>
      <c r="W17" s="32"/>
      <c r="X17" s="54"/>
      <c r="Y17" s="21" t="str">
        <f>IFERROR(VLOOKUP(May[[#This Row],[Drug Name2]],'Data Options'!$R$1:$S$100,2,FALSE), " ")</f>
        <v xml:space="preserve"> </v>
      </c>
      <c r="Z17" s="55"/>
      <c r="AA17" s="32"/>
      <c r="AB17" s="32"/>
      <c r="AC17" s="55"/>
      <c r="AD17" s="32"/>
      <c r="AE17" s="54"/>
      <c r="AF17" s="21" t="str">
        <f>IFERROR(VLOOKUP(May[[#This Row],[Drug Name3]],'Data Options'!$R$1:$S$100,2,FALSE), " ")</f>
        <v xml:space="preserve"> </v>
      </c>
      <c r="AG17" s="55"/>
      <c r="AH17" s="32"/>
      <c r="AI17" s="32"/>
      <c r="AJ17" s="55"/>
      <c r="AK17" s="32"/>
      <c r="AL17" s="32"/>
      <c r="AM17" s="32"/>
      <c r="AN17" s="32"/>
      <c r="AO17" s="32"/>
      <c r="AP17" s="31"/>
      <c r="AQ17" s="31"/>
      <c r="AR17" s="54"/>
      <c r="AS17" s="21" t="str">
        <f>IFERROR(VLOOKUP(May[[#This Row],[Drug Name4]],'Data Options'!$R$1:$S$100,2,FALSE), " ")</f>
        <v xml:space="preserve"> </v>
      </c>
      <c r="AT17" s="55"/>
      <c r="AU17" s="32"/>
      <c r="AV17" s="32"/>
      <c r="AW17" s="55"/>
      <c r="AX17" s="32"/>
      <c r="AY17" s="54"/>
      <c r="AZ17" s="21" t="str">
        <f>IFERROR(VLOOKUP(May[[#This Row],[Drug Name5]],'Data Options'!$R$1:$S$100,2,FALSE), " ")</f>
        <v xml:space="preserve"> </v>
      </c>
      <c r="BA17" s="55"/>
      <c r="BB17" s="32"/>
      <c r="BC17" s="32"/>
      <c r="BD17" s="55"/>
      <c r="BE17" s="32"/>
      <c r="BF17" s="54"/>
      <c r="BG17" s="21" t="str">
        <f>IFERROR(VLOOKUP(May[[#This Row],[Drug Name6]],'Data Options'!$R$1:$S$100,2,FALSE), " ")</f>
        <v xml:space="preserve"> </v>
      </c>
      <c r="BH17" s="55"/>
      <c r="BI17" s="32"/>
      <c r="BJ17" s="32"/>
      <c r="BK17" s="55"/>
      <c r="BL17" s="32"/>
      <c r="BM17" s="32"/>
      <c r="BN17" s="32"/>
      <c r="BO17" s="32"/>
      <c r="BP17" s="32"/>
      <c r="BQ17" s="31"/>
      <c r="BR17" s="31"/>
      <c r="BS17" s="54"/>
      <c r="BT17" s="21" t="str">
        <f>IFERROR(VLOOKUP(May[[#This Row],[Drug Name7]],'Data Options'!$R$1:$S$100,2,FALSE), " ")</f>
        <v xml:space="preserve"> </v>
      </c>
      <c r="BU17" s="55"/>
      <c r="BV17" s="32"/>
      <c r="BW17" s="32"/>
      <c r="BX17" s="55"/>
      <c r="BY17" s="32"/>
      <c r="BZ17" s="54"/>
      <c r="CA17" s="21" t="str">
        <f>IFERROR(VLOOKUP(May[[#This Row],[Drug Name8]],'Data Options'!$R$1:$S$100,2,FALSE), " ")</f>
        <v xml:space="preserve"> </v>
      </c>
      <c r="CB17" s="55"/>
      <c r="CC17" s="32"/>
      <c r="CD17" s="32"/>
      <c r="CE17" s="55"/>
      <c r="CF17" s="32"/>
      <c r="CG17" s="54"/>
      <c r="CH17" s="21" t="str">
        <f>IFERROR(VLOOKUP(May[[#This Row],[Drug Name9]],'Data Options'!$R$1:$S$100,2,FALSE), " ")</f>
        <v xml:space="preserve"> </v>
      </c>
      <c r="CI17" s="55"/>
      <c r="CJ17" s="32"/>
      <c r="CK17" s="32"/>
      <c r="CL17" s="55"/>
      <c r="CM17" s="32"/>
    </row>
    <row r="18" spans="1:9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1"/>
      <c r="Q18" s="54"/>
      <c r="R18" s="21" t="str">
        <f>IFERROR(VLOOKUP(May[[#This Row],[Drug Name]],'Data Options'!$R$1:$S$100,2,FALSE), " ")</f>
        <v xml:space="preserve"> </v>
      </c>
      <c r="S18" s="55"/>
      <c r="T18" s="32"/>
      <c r="U18" s="32"/>
      <c r="V18" s="55"/>
      <c r="W18" s="32"/>
      <c r="X18" s="54"/>
      <c r="Y18" s="21" t="str">
        <f>IFERROR(VLOOKUP(May[[#This Row],[Drug Name2]],'Data Options'!$R$1:$S$100,2,FALSE), " ")</f>
        <v xml:space="preserve"> </v>
      </c>
      <c r="Z18" s="55"/>
      <c r="AA18" s="32"/>
      <c r="AB18" s="32"/>
      <c r="AC18" s="55"/>
      <c r="AD18" s="32"/>
      <c r="AE18" s="54"/>
      <c r="AF18" s="21" t="str">
        <f>IFERROR(VLOOKUP(May[[#This Row],[Drug Name3]],'Data Options'!$R$1:$S$100,2,FALSE), " ")</f>
        <v xml:space="preserve"> </v>
      </c>
      <c r="AG18" s="55"/>
      <c r="AH18" s="32"/>
      <c r="AI18" s="32"/>
      <c r="AJ18" s="55"/>
      <c r="AK18" s="32"/>
      <c r="AL18" s="32"/>
      <c r="AM18" s="32"/>
      <c r="AN18" s="32"/>
      <c r="AO18" s="32"/>
      <c r="AP18" s="31"/>
      <c r="AQ18" s="31"/>
      <c r="AR18" s="54"/>
      <c r="AS18" s="21" t="str">
        <f>IFERROR(VLOOKUP(May[[#This Row],[Drug Name4]],'Data Options'!$R$1:$S$100,2,FALSE), " ")</f>
        <v xml:space="preserve"> </v>
      </c>
      <c r="AT18" s="55"/>
      <c r="AU18" s="32"/>
      <c r="AV18" s="32"/>
      <c r="AW18" s="55"/>
      <c r="AX18" s="32"/>
      <c r="AY18" s="54"/>
      <c r="AZ18" s="21" t="str">
        <f>IFERROR(VLOOKUP(May[[#This Row],[Drug Name5]],'Data Options'!$R$1:$S$100,2,FALSE), " ")</f>
        <v xml:space="preserve"> </v>
      </c>
      <c r="BA18" s="55"/>
      <c r="BB18" s="32"/>
      <c r="BC18" s="32"/>
      <c r="BD18" s="55"/>
      <c r="BE18" s="32"/>
      <c r="BF18" s="54"/>
      <c r="BG18" s="21" t="str">
        <f>IFERROR(VLOOKUP(May[[#This Row],[Drug Name6]],'Data Options'!$R$1:$S$100,2,FALSE), " ")</f>
        <v xml:space="preserve"> </v>
      </c>
      <c r="BH18" s="55"/>
      <c r="BI18" s="32"/>
      <c r="BJ18" s="32"/>
      <c r="BK18" s="55"/>
      <c r="BL18" s="32"/>
      <c r="BM18" s="32"/>
      <c r="BN18" s="32"/>
      <c r="BO18" s="32"/>
      <c r="BP18" s="32"/>
      <c r="BQ18" s="31"/>
      <c r="BR18" s="31"/>
      <c r="BS18" s="54"/>
      <c r="BT18" s="21" t="str">
        <f>IFERROR(VLOOKUP(May[[#This Row],[Drug Name7]],'Data Options'!$R$1:$S$100,2,FALSE), " ")</f>
        <v xml:space="preserve"> </v>
      </c>
      <c r="BU18" s="55"/>
      <c r="BV18" s="32"/>
      <c r="BW18" s="32"/>
      <c r="BX18" s="55"/>
      <c r="BY18" s="32"/>
      <c r="BZ18" s="54"/>
      <c r="CA18" s="21" t="str">
        <f>IFERROR(VLOOKUP(May[[#This Row],[Drug Name8]],'Data Options'!$R$1:$S$100,2,FALSE), " ")</f>
        <v xml:space="preserve"> </v>
      </c>
      <c r="CB18" s="55"/>
      <c r="CC18" s="32"/>
      <c r="CD18" s="32"/>
      <c r="CE18" s="55"/>
      <c r="CF18" s="32"/>
      <c r="CG18" s="54"/>
      <c r="CH18" s="21" t="str">
        <f>IFERROR(VLOOKUP(May[[#This Row],[Drug Name9]],'Data Options'!$R$1:$S$100,2,FALSE), " ")</f>
        <v xml:space="preserve"> </v>
      </c>
      <c r="CI18" s="55"/>
      <c r="CJ18" s="32"/>
      <c r="CK18" s="32"/>
      <c r="CL18" s="55"/>
      <c r="CM18" s="32"/>
    </row>
    <row r="19" spans="1:9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54"/>
      <c r="R19" s="21" t="str">
        <f>IFERROR(VLOOKUP(May[[#This Row],[Drug Name]],'Data Options'!$R$1:$S$100,2,FALSE), " ")</f>
        <v xml:space="preserve"> </v>
      </c>
      <c r="S19" s="55"/>
      <c r="T19" s="32"/>
      <c r="U19" s="32"/>
      <c r="V19" s="55"/>
      <c r="W19" s="32"/>
      <c r="X19" s="54"/>
      <c r="Y19" s="21" t="str">
        <f>IFERROR(VLOOKUP(May[[#This Row],[Drug Name2]],'Data Options'!$R$1:$S$100,2,FALSE), " ")</f>
        <v xml:space="preserve"> </v>
      </c>
      <c r="Z19" s="55"/>
      <c r="AA19" s="32"/>
      <c r="AB19" s="32"/>
      <c r="AC19" s="55"/>
      <c r="AD19" s="32"/>
      <c r="AE19" s="54"/>
      <c r="AF19" s="21" t="str">
        <f>IFERROR(VLOOKUP(May[[#This Row],[Drug Name3]],'Data Options'!$R$1:$S$100,2,FALSE), " ")</f>
        <v xml:space="preserve"> </v>
      </c>
      <c r="AG19" s="55"/>
      <c r="AH19" s="32"/>
      <c r="AI19" s="32"/>
      <c r="AJ19" s="55"/>
      <c r="AK19" s="32"/>
      <c r="AL19" s="32"/>
      <c r="AM19" s="32"/>
      <c r="AN19" s="32"/>
      <c r="AO19" s="32"/>
      <c r="AP19" s="31"/>
      <c r="AQ19" s="31"/>
      <c r="AR19" s="54"/>
      <c r="AS19" s="21" t="str">
        <f>IFERROR(VLOOKUP(May[[#This Row],[Drug Name4]],'Data Options'!$R$1:$S$100,2,FALSE), " ")</f>
        <v xml:space="preserve"> </v>
      </c>
      <c r="AT19" s="55"/>
      <c r="AU19" s="32"/>
      <c r="AV19" s="32"/>
      <c r="AW19" s="55"/>
      <c r="AX19" s="32"/>
      <c r="AY19" s="54"/>
      <c r="AZ19" s="21" t="str">
        <f>IFERROR(VLOOKUP(May[[#This Row],[Drug Name5]],'Data Options'!$R$1:$S$100,2,FALSE), " ")</f>
        <v xml:space="preserve"> </v>
      </c>
      <c r="BA19" s="55"/>
      <c r="BB19" s="32"/>
      <c r="BC19" s="32"/>
      <c r="BD19" s="55"/>
      <c r="BE19" s="32"/>
      <c r="BF19" s="54"/>
      <c r="BG19" s="21" t="str">
        <f>IFERROR(VLOOKUP(May[[#This Row],[Drug Name6]],'Data Options'!$R$1:$S$100,2,FALSE), " ")</f>
        <v xml:space="preserve"> </v>
      </c>
      <c r="BH19" s="55"/>
      <c r="BI19" s="32"/>
      <c r="BJ19" s="32"/>
      <c r="BK19" s="55"/>
      <c r="BL19" s="32"/>
      <c r="BM19" s="32"/>
      <c r="BN19" s="32"/>
      <c r="BO19" s="32"/>
      <c r="BP19" s="32"/>
      <c r="BQ19" s="31"/>
      <c r="BR19" s="31"/>
      <c r="BS19" s="54"/>
      <c r="BT19" s="21" t="str">
        <f>IFERROR(VLOOKUP(May[[#This Row],[Drug Name7]],'Data Options'!$R$1:$S$100,2,FALSE), " ")</f>
        <v xml:space="preserve"> </v>
      </c>
      <c r="BU19" s="55"/>
      <c r="BV19" s="32"/>
      <c r="BW19" s="32"/>
      <c r="BX19" s="55"/>
      <c r="BY19" s="32"/>
      <c r="BZ19" s="54"/>
      <c r="CA19" s="21" t="str">
        <f>IFERROR(VLOOKUP(May[[#This Row],[Drug Name8]],'Data Options'!$R$1:$S$100,2,FALSE), " ")</f>
        <v xml:space="preserve"> </v>
      </c>
      <c r="CB19" s="55"/>
      <c r="CC19" s="32"/>
      <c r="CD19" s="32"/>
      <c r="CE19" s="55"/>
      <c r="CF19" s="32"/>
      <c r="CG19" s="54"/>
      <c r="CH19" s="21" t="str">
        <f>IFERROR(VLOOKUP(May[[#This Row],[Drug Name9]],'Data Options'!$R$1:$S$100,2,FALSE), " ")</f>
        <v xml:space="preserve"> </v>
      </c>
      <c r="CI19" s="55"/>
      <c r="CJ19" s="32"/>
      <c r="CK19" s="32"/>
      <c r="CL19" s="55"/>
      <c r="CM19" s="32"/>
    </row>
    <row r="20" spans="1:9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1"/>
      <c r="Q20" s="54"/>
      <c r="R20" s="21" t="str">
        <f>IFERROR(VLOOKUP(May[[#This Row],[Drug Name]],'Data Options'!$R$1:$S$100,2,FALSE), " ")</f>
        <v xml:space="preserve"> </v>
      </c>
      <c r="S20" s="55"/>
      <c r="T20" s="32"/>
      <c r="U20" s="32"/>
      <c r="V20" s="55"/>
      <c r="W20" s="32"/>
      <c r="X20" s="54"/>
      <c r="Y20" s="21" t="str">
        <f>IFERROR(VLOOKUP(May[[#This Row],[Drug Name2]],'Data Options'!$R$1:$S$100,2,FALSE), " ")</f>
        <v xml:space="preserve"> </v>
      </c>
      <c r="Z20" s="55"/>
      <c r="AA20" s="32"/>
      <c r="AB20" s="32"/>
      <c r="AC20" s="55"/>
      <c r="AD20" s="32"/>
      <c r="AE20" s="54"/>
      <c r="AF20" s="21" t="str">
        <f>IFERROR(VLOOKUP(May[[#This Row],[Drug Name3]],'Data Options'!$R$1:$S$100,2,FALSE), " ")</f>
        <v xml:space="preserve"> </v>
      </c>
      <c r="AG20" s="55"/>
      <c r="AH20" s="32"/>
      <c r="AI20" s="32"/>
      <c r="AJ20" s="55"/>
      <c r="AK20" s="32"/>
      <c r="AL20" s="32"/>
      <c r="AM20" s="32"/>
      <c r="AN20" s="32"/>
      <c r="AO20" s="32"/>
      <c r="AP20" s="31"/>
      <c r="AQ20" s="31"/>
      <c r="AR20" s="54"/>
      <c r="AS20" s="21" t="str">
        <f>IFERROR(VLOOKUP(May[[#This Row],[Drug Name4]],'Data Options'!$R$1:$S$100,2,FALSE), " ")</f>
        <v xml:space="preserve"> </v>
      </c>
      <c r="AT20" s="55"/>
      <c r="AU20" s="32"/>
      <c r="AV20" s="32"/>
      <c r="AW20" s="55"/>
      <c r="AX20" s="32"/>
      <c r="AY20" s="54"/>
      <c r="AZ20" s="21" t="str">
        <f>IFERROR(VLOOKUP(May[[#This Row],[Drug Name5]],'Data Options'!$R$1:$S$100,2,FALSE), " ")</f>
        <v xml:space="preserve"> </v>
      </c>
      <c r="BA20" s="55"/>
      <c r="BB20" s="32"/>
      <c r="BC20" s="32"/>
      <c r="BD20" s="55"/>
      <c r="BE20" s="32"/>
      <c r="BF20" s="54"/>
      <c r="BG20" s="21" t="str">
        <f>IFERROR(VLOOKUP(May[[#This Row],[Drug Name6]],'Data Options'!$R$1:$S$100,2,FALSE), " ")</f>
        <v xml:space="preserve"> </v>
      </c>
      <c r="BH20" s="55"/>
      <c r="BI20" s="32"/>
      <c r="BJ20" s="32"/>
      <c r="BK20" s="55"/>
      <c r="BL20" s="32"/>
      <c r="BM20" s="32"/>
      <c r="BN20" s="32"/>
      <c r="BO20" s="32"/>
      <c r="BP20" s="32"/>
      <c r="BQ20" s="31"/>
      <c r="BR20" s="31"/>
      <c r="BS20" s="54"/>
      <c r="BT20" s="21" t="str">
        <f>IFERROR(VLOOKUP(May[[#This Row],[Drug Name7]],'Data Options'!$R$1:$S$100,2,FALSE), " ")</f>
        <v xml:space="preserve"> </v>
      </c>
      <c r="BU20" s="55"/>
      <c r="BV20" s="32"/>
      <c r="BW20" s="32"/>
      <c r="BX20" s="55"/>
      <c r="BY20" s="32"/>
      <c r="BZ20" s="54"/>
      <c r="CA20" s="21" t="str">
        <f>IFERROR(VLOOKUP(May[[#This Row],[Drug Name8]],'Data Options'!$R$1:$S$100,2,FALSE), " ")</f>
        <v xml:space="preserve"> </v>
      </c>
      <c r="CB20" s="55"/>
      <c r="CC20" s="32"/>
      <c r="CD20" s="32"/>
      <c r="CE20" s="55"/>
      <c r="CF20" s="32"/>
      <c r="CG20" s="54"/>
      <c r="CH20" s="21" t="str">
        <f>IFERROR(VLOOKUP(May[[#This Row],[Drug Name9]],'Data Options'!$R$1:$S$100,2,FALSE), " ")</f>
        <v xml:space="preserve"> </v>
      </c>
      <c r="CI20" s="55"/>
      <c r="CJ20" s="32"/>
      <c r="CK20" s="32"/>
      <c r="CL20" s="55"/>
      <c r="CM20" s="32"/>
    </row>
    <row r="21" spans="1:91">
      <c r="A21" s="5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1"/>
      <c r="Q21" s="54"/>
      <c r="R21" s="21" t="str">
        <f>IFERROR(VLOOKUP(May[[#This Row],[Drug Name]],'Data Options'!$R$1:$S$100,2,FALSE), " ")</f>
        <v xml:space="preserve"> </v>
      </c>
      <c r="S21" s="55"/>
      <c r="T21" s="32"/>
      <c r="U21" s="32"/>
      <c r="V21" s="55"/>
      <c r="W21" s="32"/>
      <c r="X21" s="54"/>
      <c r="Y21" s="21" t="str">
        <f>IFERROR(VLOOKUP(May[[#This Row],[Drug Name2]],'Data Options'!$R$1:$S$100,2,FALSE), " ")</f>
        <v xml:space="preserve"> </v>
      </c>
      <c r="Z21" s="55"/>
      <c r="AA21" s="32"/>
      <c r="AB21" s="32"/>
      <c r="AC21" s="55"/>
      <c r="AD21" s="32"/>
      <c r="AE21" s="54"/>
      <c r="AF21" s="21" t="str">
        <f>IFERROR(VLOOKUP(May[[#This Row],[Drug Name3]],'Data Options'!$R$1:$S$100,2,FALSE), " ")</f>
        <v xml:space="preserve"> </v>
      </c>
      <c r="AG21" s="55"/>
      <c r="AH21" s="32"/>
      <c r="AI21" s="32"/>
      <c r="AJ21" s="55"/>
      <c r="AK21" s="32"/>
      <c r="AL21" s="32"/>
      <c r="AM21" s="32"/>
      <c r="AN21" s="32"/>
      <c r="AO21" s="32"/>
      <c r="AP21" s="31"/>
      <c r="AQ21" s="31"/>
      <c r="AR21" s="54"/>
      <c r="AS21" s="21" t="str">
        <f>IFERROR(VLOOKUP(May[[#This Row],[Drug Name4]],'Data Options'!$R$1:$S$100,2,FALSE), " ")</f>
        <v xml:space="preserve"> </v>
      </c>
      <c r="AT21" s="55"/>
      <c r="AU21" s="32"/>
      <c r="AV21" s="32"/>
      <c r="AW21" s="55"/>
      <c r="AX21" s="32"/>
      <c r="AY21" s="54"/>
      <c r="AZ21" s="21" t="str">
        <f>IFERROR(VLOOKUP(May[[#This Row],[Drug Name5]],'Data Options'!$R$1:$S$100,2,FALSE), " ")</f>
        <v xml:space="preserve"> </v>
      </c>
      <c r="BA21" s="55"/>
      <c r="BB21" s="32"/>
      <c r="BC21" s="32"/>
      <c r="BD21" s="55"/>
      <c r="BE21" s="32"/>
      <c r="BF21" s="54"/>
      <c r="BG21" s="21" t="str">
        <f>IFERROR(VLOOKUP(May[[#This Row],[Drug Name6]],'Data Options'!$R$1:$S$100,2,FALSE), " ")</f>
        <v xml:space="preserve"> </v>
      </c>
      <c r="BH21" s="55"/>
      <c r="BI21" s="32"/>
      <c r="BJ21" s="32"/>
      <c r="BK21" s="55"/>
      <c r="BL21" s="32"/>
      <c r="BM21" s="32"/>
      <c r="BN21" s="32"/>
      <c r="BO21" s="32"/>
      <c r="BP21" s="32"/>
      <c r="BQ21" s="31"/>
      <c r="BR21" s="31"/>
      <c r="BS21" s="54"/>
      <c r="BT21" s="21" t="str">
        <f>IFERROR(VLOOKUP(May[[#This Row],[Drug Name7]],'Data Options'!$R$1:$S$100,2,FALSE), " ")</f>
        <v xml:space="preserve"> </v>
      </c>
      <c r="BU21" s="55"/>
      <c r="BV21" s="32"/>
      <c r="BW21" s="32"/>
      <c r="BX21" s="55"/>
      <c r="BY21" s="32"/>
      <c r="BZ21" s="54"/>
      <c r="CA21" s="21" t="str">
        <f>IFERROR(VLOOKUP(May[[#This Row],[Drug Name8]],'Data Options'!$R$1:$S$100,2,FALSE), " ")</f>
        <v xml:space="preserve"> </v>
      </c>
      <c r="CB21" s="55"/>
      <c r="CC21" s="32"/>
      <c r="CD21" s="32"/>
      <c r="CE21" s="55"/>
      <c r="CF21" s="32"/>
      <c r="CG21" s="54"/>
      <c r="CH21" s="21" t="str">
        <f>IFERROR(VLOOKUP(May[[#This Row],[Drug Name9]],'Data Options'!$R$1:$S$100,2,FALSE), " ")</f>
        <v xml:space="preserve"> </v>
      </c>
      <c r="CI21" s="55"/>
      <c r="CJ21" s="32"/>
      <c r="CK21" s="32"/>
      <c r="CL21" s="55"/>
      <c r="CM21" s="32"/>
    </row>
    <row r="22" spans="1:91">
      <c r="A22" s="5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1"/>
      <c r="Q22" s="54"/>
      <c r="R22" s="21" t="str">
        <f>IFERROR(VLOOKUP(May[[#This Row],[Drug Name]],'Data Options'!$R$1:$S$100,2,FALSE), " ")</f>
        <v xml:space="preserve"> </v>
      </c>
      <c r="S22" s="55"/>
      <c r="T22" s="32"/>
      <c r="U22" s="32"/>
      <c r="V22" s="55"/>
      <c r="W22" s="32"/>
      <c r="X22" s="54"/>
      <c r="Y22" s="21" t="str">
        <f>IFERROR(VLOOKUP(May[[#This Row],[Drug Name2]],'Data Options'!$R$1:$S$100,2,FALSE), " ")</f>
        <v xml:space="preserve"> </v>
      </c>
      <c r="Z22" s="55"/>
      <c r="AA22" s="32"/>
      <c r="AB22" s="32"/>
      <c r="AC22" s="55"/>
      <c r="AD22" s="32"/>
      <c r="AE22" s="54"/>
      <c r="AF22" s="21" t="str">
        <f>IFERROR(VLOOKUP(May[[#This Row],[Drug Name3]],'Data Options'!$R$1:$S$100,2,FALSE), " ")</f>
        <v xml:space="preserve"> </v>
      </c>
      <c r="AG22" s="55"/>
      <c r="AH22" s="32"/>
      <c r="AI22" s="32"/>
      <c r="AJ22" s="55"/>
      <c r="AK22" s="32"/>
      <c r="AL22" s="32"/>
      <c r="AM22" s="32"/>
      <c r="AN22" s="32"/>
      <c r="AO22" s="32"/>
      <c r="AP22" s="31"/>
      <c r="AQ22" s="31"/>
      <c r="AR22" s="54"/>
      <c r="AS22" s="21" t="str">
        <f>IFERROR(VLOOKUP(May[[#This Row],[Drug Name4]],'Data Options'!$R$1:$S$100,2,FALSE), " ")</f>
        <v xml:space="preserve"> </v>
      </c>
      <c r="AT22" s="55"/>
      <c r="AU22" s="32"/>
      <c r="AV22" s="32"/>
      <c r="AW22" s="55"/>
      <c r="AX22" s="32"/>
      <c r="AY22" s="54"/>
      <c r="AZ22" s="21" t="str">
        <f>IFERROR(VLOOKUP(May[[#This Row],[Drug Name5]],'Data Options'!$R$1:$S$100,2,FALSE), " ")</f>
        <v xml:space="preserve"> </v>
      </c>
      <c r="BA22" s="55"/>
      <c r="BB22" s="32"/>
      <c r="BC22" s="32"/>
      <c r="BD22" s="55"/>
      <c r="BE22" s="32"/>
      <c r="BF22" s="54"/>
      <c r="BG22" s="21" t="str">
        <f>IFERROR(VLOOKUP(May[[#This Row],[Drug Name6]],'Data Options'!$R$1:$S$100,2,FALSE), " ")</f>
        <v xml:space="preserve"> </v>
      </c>
      <c r="BH22" s="55"/>
      <c r="BI22" s="32"/>
      <c r="BJ22" s="32"/>
      <c r="BK22" s="55"/>
      <c r="BL22" s="32"/>
      <c r="BM22" s="32"/>
      <c r="BN22" s="32"/>
      <c r="BO22" s="32"/>
      <c r="BP22" s="32"/>
      <c r="BQ22" s="31"/>
      <c r="BR22" s="31"/>
      <c r="BS22" s="54"/>
      <c r="BT22" s="21" t="str">
        <f>IFERROR(VLOOKUP(May[[#This Row],[Drug Name7]],'Data Options'!$R$1:$S$100,2,FALSE), " ")</f>
        <v xml:space="preserve"> </v>
      </c>
      <c r="BU22" s="55"/>
      <c r="BV22" s="32"/>
      <c r="BW22" s="32"/>
      <c r="BX22" s="55"/>
      <c r="BY22" s="32"/>
      <c r="BZ22" s="54"/>
      <c r="CA22" s="21" t="str">
        <f>IFERROR(VLOOKUP(May[[#This Row],[Drug Name8]],'Data Options'!$R$1:$S$100,2,FALSE), " ")</f>
        <v xml:space="preserve"> </v>
      </c>
      <c r="CB22" s="55"/>
      <c r="CC22" s="32"/>
      <c r="CD22" s="32"/>
      <c r="CE22" s="55"/>
      <c r="CF22" s="32"/>
      <c r="CG22" s="54"/>
      <c r="CH22" s="21" t="str">
        <f>IFERROR(VLOOKUP(May[[#This Row],[Drug Name9]],'Data Options'!$R$1:$S$100,2,FALSE), " ")</f>
        <v xml:space="preserve"> </v>
      </c>
      <c r="CI22" s="55"/>
      <c r="CJ22" s="32"/>
      <c r="CK22" s="32"/>
      <c r="CL22" s="55"/>
      <c r="CM22" s="32"/>
    </row>
    <row r="23" spans="1:9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54"/>
      <c r="R23" s="21" t="str">
        <f>IFERROR(VLOOKUP(May[[#This Row],[Drug Name]],'Data Options'!$R$1:$S$100,2,FALSE), " ")</f>
        <v xml:space="preserve"> </v>
      </c>
      <c r="S23" s="55"/>
      <c r="T23" s="32"/>
      <c r="U23" s="32"/>
      <c r="V23" s="55"/>
      <c r="W23" s="32"/>
      <c r="X23" s="54"/>
      <c r="Y23" s="21" t="str">
        <f>IFERROR(VLOOKUP(May[[#This Row],[Drug Name2]],'Data Options'!$R$1:$S$100,2,FALSE), " ")</f>
        <v xml:space="preserve"> </v>
      </c>
      <c r="Z23" s="55"/>
      <c r="AA23" s="32"/>
      <c r="AB23" s="32"/>
      <c r="AC23" s="55"/>
      <c r="AD23" s="32"/>
      <c r="AE23" s="54"/>
      <c r="AF23" s="21" t="str">
        <f>IFERROR(VLOOKUP(May[[#This Row],[Drug Name3]],'Data Options'!$R$1:$S$100,2,FALSE), " ")</f>
        <v xml:space="preserve"> </v>
      </c>
      <c r="AG23" s="55"/>
      <c r="AH23" s="32"/>
      <c r="AI23" s="32"/>
      <c r="AJ23" s="55"/>
      <c r="AK23" s="32"/>
      <c r="AL23" s="32"/>
      <c r="AM23" s="32"/>
      <c r="AN23" s="32"/>
      <c r="AO23" s="32"/>
      <c r="AP23" s="31"/>
      <c r="AQ23" s="31"/>
      <c r="AR23" s="54"/>
      <c r="AS23" s="21" t="str">
        <f>IFERROR(VLOOKUP(May[[#This Row],[Drug Name4]],'Data Options'!$R$1:$S$100,2,FALSE), " ")</f>
        <v xml:space="preserve"> </v>
      </c>
      <c r="AT23" s="55"/>
      <c r="AU23" s="32"/>
      <c r="AV23" s="32"/>
      <c r="AW23" s="55"/>
      <c r="AX23" s="32"/>
      <c r="AY23" s="54"/>
      <c r="AZ23" s="21" t="str">
        <f>IFERROR(VLOOKUP(May[[#This Row],[Drug Name5]],'Data Options'!$R$1:$S$100,2,FALSE), " ")</f>
        <v xml:space="preserve"> </v>
      </c>
      <c r="BA23" s="55"/>
      <c r="BB23" s="32"/>
      <c r="BC23" s="32"/>
      <c r="BD23" s="55"/>
      <c r="BE23" s="32"/>
      <c r="BF23" s="54"/>
      <c r="BG23" s="21" t="str">
        <f>IFERROR(VLOOKUP(May[[#This Row],[Drug Name6]],'Data Options'!$R$1:$S$100,2,FALSE), " ")</f>
        <v xml:space="preserve"> </v>
      </c>
      <c r="BH23" s="55"/>
      <c r="BI23" s="32"/>
      <c r="BJ23" s="32"/>
      <c r="BK23" s="55"/>
      <c r="BL23" s="32"/>
      <c r="BM23" s="32"/>
      <c r="BN23" s="32"/>
      <c r="BO23" s="32"/>
      <c r="BP23" s="32"/>
      <c r="BQ23" s="31"/>
      <c r="BR23" s="31"/>
      <c r="BS23" s="54"/>
      <c r="BT23" s="21" t="str">
        <f>IFERROR(VLOOKUP(May[[#This Row],[Drug Name7]],'Data Options'!$R$1:$S$100,2,FALSE), " ")</f>
        <v xml:space="preserve"> </v>
      </c>
      <c r="BU23" s="55"/>
      <c r="BV23" s="32"/>
      <c r="BW23" s="32"/>
      <c r="BX23" s="55"/>
      <c r="BY23" s="32"/>
      <c r="BZ23" s="54"/>
      <c r="CA23" s="21" t="str">
        <f>IFERROR(VLOOKUP(May[[#This Row],[Drug Name8]],'Data Options'!$R$1:$S$100,2,FALSE), " ")</f>
        <v xml:space="preserve"> </v>
      </c>
      <c r="CB23" s="55"/>
      <c r="CC23" s="32"/>
      <c r="CD23" s="32"/>
      <c r="CE23" s="55"/>
      <c r="CF23" s="32"/>
      <c r="CG23" s="54"/>
      <c r="CH23" s="21" t="str">
        <f>IFERROR(VLOOKUP(May[[#This Row],[Drug Name9]],'Data Options'!$R$1:$S$100,2,FALSE), " ")</f>
        <v xml:space="preserve"> </v>
      </c>
      <c r="CI23" s="55"/>
      <c r="CJ23" s="32"/>
      <c r="CK23" s="32"/>
      <c r="CL23" s="55"/>
      <c r="CM23" s="32"/>
    </row>
    <row r="24" spans="1:91">
      <c r="A24" s="5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54"/>
      <c r="R24" s="21" t="str">
        <f>IFERROR(VLOOKUP(May[[#This Row],[Drug Name]],'Data Options'!$R$1:$S$100,2,FALSE), " ")</f>
        <v xml:space="preserve"> </v>
      </c>
      <c r="S24" s="55"/>
      <c r="T24" s="32"/>
      <c r="U24" s="32"/>
      <c r="V24" s="55"/>
      <c r="W24" s="32"/>
      <c r="X24" s="54"/>
      <c r="Y24" s="21" t="str">
        <f>IFERROR(VLOOKUP(May[[#This Row],[Drug Name2]],'Data Options'!$R$1:$S$100,2,FALSE), " ")</f>
        <v xml:space="preserve"> </v>
      </c>
      <c r="Z24" s="55"/>
      <c r="AA24" s="32"/>
      <c r="AB24" s="32"/>
      <c r="AC24" s="55"/>
      <c r="AD24" s="32"/>
      <c r="AE24" s="54"/>
      <c r="AF24" s="21" t="str">
        <f>IFERROR(VLOOKUP(May[[#This Row],[Drug Name3]],'Data Options'!$R$1:$S$100,2,FALSE), " ")</f>
        <v xml:space="preserve"> </v>
      </c>
      <c r="AG24" s="55"/>
      <c r="AH24" s="32"/>
      <c r="AI24" s="32"/>
      <c r="AJ24" s="55"/>
      <c r="AK24" s="32"/>
      <c r="AL24" s="32"/>
      <c r="AM24" s="32"/>
      <c r="AN24" s="32"/>
      <c r="AO24" s="32"/>
      <c r="AP24" s="31"/>
      <c r="AQ24" s="31"/>
      <c r="AR24" s="54"/>
      <c r="AS24" s="21" t="str">
        <f>IFERROR(VLOOKUP(May[[#This Row],[Drug Name4]],'Data Options'!$R$1:$S$100,2,FALSE), " ")</f>
        <v xml:space="preserve"> </v>
      </c>
      <c r="AT24" s="55"/>
      <c r="AU24" s="32"/>
      <c r="AV24" s="32"/>
      <c r="AW24" s="55"/>
      <c r="AX24" s="32"/>
      <c r="AY24" s="54"/>
      <c r="AZ24" s="21" t="str">
        <f>IFERROR(VLOOKUP(May[[#This Row],[Drug Name5]],'Data Options'!$R$1:$S$100,2,FALSE), " ")</f>
        <v xml:space="preserve"> </v>
      </c>
      <c r="BA24" s="55"/>
      <c r="BB24" s="32"/>
      <c r="BC24" s="32"/>
      <c r="BD24" s="55"/>
      <c r="BE24" s="32"/>
      <c r="BF24" s="54"/>
      <c r="BG24" s="21" t="str">
        <f>IFERROR(VLOOKUP(May[[#This Row],[Drug Name6]],'Data Options'!$R$1:$S$100,2,FALSE), " ")</f>
        <v xml:space="preserve"> </v>
      </c>
      <c r="BH24" s="55"/>
      <c r="BI24" s="32"/>
      <c r="BJ24" s="32"/>
      <c r="BK24" s="55"/>
      <c r="BL24" s="32"/>
      <c r="BM24" s="32"/>
      <c r="BN24" s="32"/>
      <c r="BO24" s="32"/>
      <c r="BP24" s="32"/>
      <c r="BQ24" s="31"/>
      <c r="BR24" s="31"/>
      <c r="BS24" s="54"/>
      <c r="BT24" s="21" t="str">
        <f>IFERROR(VLOOKUP(May[[#This Row],[Drug Name7]],'Data Options'!$R$1:$S$100,2,FALSE), " ")</f>
        <v xml:space="preserve"> </v>
      </c>
      <c r="BU24" s="55"/>
      <c r="BV24" s="32"/>
      <c r="BW24" s="32"/>
      <c r="BX24" s="55"/>
      <c r="BY24" s="32"/>
      <c r="BZ24" s="54"/>
      <c r="CA24" s="21" t="str">
        <f>IFERROR(VLOOKUP(May[[#This Row],[Drug Name8]],'Data Options'!$R$1:$S$100,2,FALSE), " ")</f>
        <v xml:space="preserve"> </v>
      </c>
      <c r="CB24" s="55"/>
      <c r="CC24" s="32"/>
      <c r="CD24" s="32"/>
      <c r="CE24" s="55"/>
      <c r="CF24" s="32"/>
      <c r="CG24" s="54"/>
      <c r="CH24" s="21" t="str">
        <f>IFERROR(VLOOKUP(May[[#This Row],[Drug Name9]],'Data Options'!$R$1:$S$100,2,FALSE), " ")</f>
        <v xml:space="preserve"> </v>
      </c>
      <c r="CI24" s="55"/>
      <c r="CJ24" s="32"/>
      <c r="CK24" s="32"/>
      <c r="CL24" s="55"/>
      <c r="CM24" s="32"/>
    </row>
    <row r="25" spans="1:9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54"/>
      <c r="R25" s="21" t="str">
        <f>IFERROR(VLOOKUP(May[[#This Row],[Drug Name]],'Data Options'!$R$1:$S$100,2,FALSE), " ")</f>
        <v xml:space="preserve"> </v>
      </c>
      <c r="S25" s="55"/>
      <c r="T25" s="32"/>
      <c r="U25" s="32"/>
      <c r="V25" s="55"/>
      <c r="W25" s="32"/>
      <c r="X25" s="54"/>
      <c r="Y25" s="21" t="str">
        <f>IFERROR(VLOOKUP(May[[#This Row],[Drug Name2]],'Data Options'!$R$1:$S$100,2,FALSE), " ")</f>
        <v xml:space="preserve"> </v>
      </c>
      <c r="Z25" s="55"/>
      <c r="AA25" s="32"/>
      <c r="AB25" s="32"/>
      <c r="AC25" s="55"/>
      <c r="AD25" s="32"/>
      <c r="AE25" s="54"/>
      <c r="AF25" s="21" t="str">
        <f>IFERROR(VLOOKUP(May[[#This Row],[Drug Name3]],'Data Options'!$R$1:$S$100,2,FALSE), " ")</f>
        <v xml:space="preserve"> </v>
      </c>
      <c r="AG25" s="55"/>
      <c r="AH25" s="32"/>
      <c r="AI25" s="32"/>
      <c r="AJ25" s="55"/>
      <c r="AK25" s="32"/>
      <c r="AL25" s="32"/>
      <c r="AM25" s="32"/>
      <c r="AN25" s="32"/>
      <c r="AO25" s="32"/>
      <c r="AP25" s="31"/>
      <c r="AQ25" s="31"/>
      <c r="AR25" s="54"/>
      <c r="AS25" s="21" t="str">
        <f>IFERROR(VLOOKUP(May[[#This Row],[Drug Name4]],'Data Options'!$R$1:$S$100,2,FALSE), " ")</f>
        <v xml:space="preserve"> </v>
      </c>
      <c r="AT25" s="55"/>
      <c r="AU25" s="32"/>
      <c r="AV25" s="32"/>
      <c r="AW25" s="55"/>
      <c r="AX25" s="32"/>
      <c r="AY25" s="54"/>
      <c r="AZ25" s="21" t="str">
        <f>IFERROR(VLOOKUP(May[[#This Row],[Drug Name5]],'Data Options'!$R$1:$S$100,2,FALSE), " ")</f>
        <v xml:space="preserve"> </v>
      </c>
      <c r="BA25" s="55"/>
      <c r="BB25" s="32"/>
      <c r="BC25" s="32"/>
      <c r="BD25" s="55"/>
      <c r="BE25" s="32"/>
      <c r="BF25" s="54"/>
      <c r="BG25" s="21" t="str">
        <f>IFERROR(VLOOKUP(May[[#This Row],[Drug Name6]],'Data Options'!$R$1:$S$100,2,FALSE), " ")</f>
        <v xml:space="preserve"> </v>
      </c>
      <c r="BH25" s="55"/>
      <c r="BI25" s="32"/>
      <c r="BJ25" s="32"/>
      <c r="BK25" s="55"/>
      <c r="BL25" s="32"/>
      <c r="BM25" s="32"/>
      <c r="BN25" s="32"/>
      <c r="BO25" s="32"/>
      <c r="BP25" s="32"/>
      <c r="BQ25" s="31"/>
      <c r="BR25" s="31"/>
      <c r="BS25" s="54"/>
      <c r="BT25" s="21" t="str">
        <f>IFERROR(VLOOKUP(May[[#This Row],[Drug Name7]],'Data Options'!$R$1:$S$100,2,FALSE), " ")</f>
        <v xml:space="preserve"> </v>
      </c>
      <c r="BU25" s="55"/>
      <c r="BV25" s="32"/>
      <c r="BW25" s="32"/>
      <c r="BX25" s="55"/>
      <c r="BY25" s="32"/>
      <c r="BZ25" s="54"/>
      <c r="CA25" s="21" t="str">
        <f>IFERROR(VLOOKUP(May[[#This Row],[Drug Name8]],'Data Options'!$R$1:$S$100,2,FALSE), " ")</f>
        <v xml:space="preserve"> </v>
      </c>
      <c r="CB25" s="55"/>
      <c r="CC25" s="32"/>
      <c r="CD25" s="32"/>
      <c r="CE25" s="55"/>
      <c r="CF25" s="32"/>
      <c r="CG25" s="54"/>
      <c r="CH25" s="21" t="str">
        <f>IFERROR(VLOOKUP(May[[#This Row],[Drug Name9]],'Data Options'!$R$1:$S$100,2,FALSE), " ")</f>
        <v xml:space="preserve"> </v>
      </c>
      <c r="CI25" s="55"/>
      <c r="CJ25" s="32"/>
      <c r="CK25" s="32"/>
      <c r="CL25" s="55"/>
      <c r="CM25" s="32"/>
    </row>
    <row r="26" spans="1:91">
      <c r="A26" s="5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54"/>
      <c r="R26" s="21" t="str">
        <f>IFERROR(VLOOKUP(May[[#This Row],[Drug Name]],'Data Options'!$R$1:$S$100,2,FALSE), " ")</f>
        <v xml:space="preserve"> </v>
      </c>
      <c r="S26" s="55"/>
      <c r="T26" s="32"/>
      <c r="U26" s="32"/>
      <c r="V26" s="55"/>
      <c r="W26" s="32"/>
      <c r="X26" s="54"/>
      <c r="Y26" s="21" t="str">
        <f>IFERROR(VLOOKUP(May[[#This Row],[Drug Name2]],'Data Options'!$R$1:$S$100,2,FALSE), " ")</f>
        <v xml:space="preserve"> </v>
      </c>
      <c r="Z26" s="55"/>
      <c r="AA26" s="32"/>
      <c r="AB26" s="32"/>
      <c r="AC26" s="55"/>
      <c r="AD26" s="32"/>
      <c r="AE26" s="54"/>
      <c r="AF26" s="21" t="str">
        <f>IFERROR(VLOOKUP(May[[#This Row],[Drug Name3]],'Data Options'!$R$1:$S$100,2,FALSE), " ")</f>
        <v xml:space="preserve"> </v>
      </c>
      <c r="AG26" s="55"/>
      <c r="AH26" s="32"/>
      <c r="AI26" s="32"/>
      <c r="AJ26" s="55"/>
      <c r="AK26" s="32"/>
      <c r="AL26" s="32"/>
      <c r="AM26" s="32"/>
      <c r="AN26" s="32"/>
      <c r="AO26" s="32"/>
      <c r="AP26" s="31"/>
      <c r="AQ26" s="31"/>
      <c r="AR26" s="54"/>
      <c r="AS26" s="21" t="str">
        <f>IFERROR(VLOOKUP(May[[#This Row],[Drug Name4]],'Data Options'!$R$1:$S$100,2,FALSE), " ")</f>
        <v xml:space="preserve"> </v>
      </c>
      <c r="AT26" s="55"/>
      <c r="AU26" s="32"/>
      <c r="AV26" s="32"/>
      <c r="AW26" s="55"/>
      <c r="AX26" s="32"/>
      <c r="AY26" s="54"/>
      <c r="AZ26" s="21" t="str">
        <f>IFERROR(VLOOKUP(May[[#This Row],[Drug Name5]],'Data Options'!$R$1:$S$100,2,FALSE), " ")</f>
        <v xml:space="preserve"> </v>
      </c>
      <c r="BA26" s="55"/>
      <c r="BB26" s="32"/>
      <c r="BC26" s="32"/>
      <c r="BD26" s="55"/>
      <c r="BE26" s="32"/>
      <c r="BF26" s="54"/>
      <c r="BG26" s="21" t="str">
        <f>IFERROR(VLOOKUP(May[[#This Row],[Drug Name6]],'Data Options'!$R$1:$S$100,2,FALSE), " ")</f>
        <v xml:space="preserve"> </v>
      </c>
      <c r="BH26" s="55"/>
      <c r="BI26" s="32"/>
      <c r="BJ26" s="32"/>
      <c r="BK26" s="55"/>
      <c r="BL26" s="32"/>
      <c r="BM26" s="32"/>
      <c r="BN26" s="32"/>
      <c r="BO26" s="32"/>
      <c r="BP26" s="32"/>
      <c r="BQ26" s="31"/>
      <c r="BR26" s="31"/>
      <c r="BS26" s="54"/>
      <c r="BT26" s="21" t="str">
        <f>IFERROR(VLOOKUP(May[[#This Row],[Drug Name7]],'Data Options'!$R$1:$S$100,2,FALSE), " ")</f>
        <v xml:space="preserve"> </v>
      </c>
      <c r="BU26" s="55"/>
      <c r="BV26" s="32"/>
      <c r="BW26" s="32"/>
      <c r="BX26" s="55"/>
      <c r="BY26" s="32"/>
      <c r="BZ26" s="54"/>
      <c r="CA26" s="21" t="str">
        <f>IFERROR(VLOOKUP(May[[#This Row],[Drug Name8]],'Data Options'!$R$1:$S$100,2,FALSE), " ")</f>
        <v xml:space="preserve"> </v>
      </c>
      <c r="CB26" s="55"/>
      <c r="CC26" s="32"/>
      <c r="CD26" s="32"/>
      <c r="CE26" s="55"/>
      <c r="CF26" s="32"/>
      <c r="CG26" s="54"/>
      <c r="CH26" s="21" t="str">
        <f>IFERROR(VLOOKUP(May[[#This Row],[Drug Name9]],'Data Options'!$R$1:$S$100,2,FALSE), " ")</f>
        <v xml:space="preserve"> </v>
      </c>
      <c r="CI26" s="55"/>
      <c r="CJ26" s="32"/>
      <c r="CK26" s="32"/>
      <c r="CL26" s="55"/>
      <c r="CM26" s="32"/>
    </row>
    <row r="27" spans="1:91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54"/>
      <c r="R27" s="21" t="str">
        <f>IFERROR(VLOOKUP(May[[#This Row],[Drug Name]],'Data Options'!$R$1:$S$100,2,FALSE), " ")</f>
        <v xml:space="preserve"> </v>
      </c>
      <c r="S27" s="55"/>
      <c r="T27" s="32"/>
      <c r="U27" s="32"/>
      <c r="V27" s="55"/>
      <c r="W27" s="32"/>
      <c r="X27" s="54"/>
      <c r="Y27" s="21" t="str">
        <f>IFERROR(VLOOKUP(May[[#This Row],[Drug Name2]],'Data Options'!$R$1:$S$100,2,FALSE), " ")</f>
        <v xml:space="preserve"> </v>
      </c>
      <c r="Z27" s="55"/>
      <c r="AA27" s="32"/>
      <c r="AB27" s="32"/>
      <c r="AC27" s="55"/>
      <c r="AD27" s="32"/>
      <c r="AE27" s="54"/>
      <c r="AF27" s="21" t="str">
        <f>IFERROR(VLOOKUP(May[[#This Row],[Drug Name3]],'Data Options'!$R$1:$S$100,2,FALSE), " ")</f>
        <v xml:space="preserve"> </v>
      </c>
      <c r="AG27" s="55"/>
      <c r="AH27" s="32"/>
      <c r="AI27" s="32"/>
      <c r="AJ27" s="55"/>
      <c r="AK27" s="32"/>
      <c r="AL27" s="32"/>
      <c r="AM27" s="32"/>
      <c r="AN27" s="32"/>
      <c r="AO27" s="32"/>
      <c r="AP27" s="31"/>
      <c r="AQ27" s="31"/>
      <c r="AR27" s="54"/>
      <c r="AS27" s="21" t="str">
        <f>IFERROR(VLOOKUP(May[[#This Row],[Drug Name4]],'Data Options'!$R$1:$S$100,2,FALSE), " ")</f>
        <v xml:space="preserve"> </v>
      </c>
      <c r="AT27" s="55"/>
      <c r="AU27" s="32"/>
      <c r="AV27" s="32"/>
      <c r="AW27" s="55"/>
      <c r="AX27" s="32"/>
      <c r="AY27" s="54"/>
      <c r="AZ27" s="21" t="str">
        <f>IFERROR(VLOOKUP(May[[#This Row],[Drug Name5]],'Data Options'!$R$1:$S$100,2,FALSE), " ")</f>
        <v xml:space="preserve"> </v>
      </c>
      <c r="BA27" s="55"/>
      <c r="BB27" s="32"/>
      <c r="BC27" s="32"/>
      <c r="BD27" s="55"/>
      <c r="BE27" s="32"/>
      <c r="BF27" s="54"/>
      <c r="BG27" s="21" t="str">
        <f>IFERROR(VLOOKUP(May[[#This Row],[Drug Name6]],'Data Options'!$R$1:$S$100,2,FALSE), " ")</f>
        <v xml:space="preserve"> </v>
      </c>
      <c r="BH27" s="55"/>
      <c r="BI27" s="32"/>
      <c r="BJ27" s="32"/>
      <c r="BK27" s="55"/>
      <c r="BL27" s="32"/>
      <c r="BM27" s="32"/>
      <c r="BN27" s="32"/>
      <c r="BO27" s="32"/>
      <c r="BP27" s="32"/>
      <c r="BQ27" s="31"/>
      <c r="BR27" s="31"/>
      <c r="BS27" s="54"/>
      <c r="BT27" s="21" t="str">
        <f>IFERROR(VLOOKUP(May[[#This Row],[Drug Name7]],'Data Options'!$R$1:$S$100,2,FALSE), " ")</f>
        <v xml:space="preserve"> </v>
      </c>
      <c r="BU27" s="55"/>
      <c r="BV27" s="32"/>
      <c r="BW27" s="32"/>
      <c r="BX27" s="55"/>
      <c r="BY27" s="32"/>
      <c r="BZ27" s="54"/>
      <c r="CA27" s="21" t="str">
        <f>IFERROR(VLOOKUP(May[[#This Row],[Drug Name8]],'Data Options'!$R$1:$S$100,2,FALSE), " ")</f>
        <v xml:space="preserve"> </v>
      </c>
      <c r="CB27" s="55"/>
      <c r="CC27" s="32"/>
      <c r="CD27" s="32"/>
      <c r="CE27" s="55"/>
      <c r="CF27" s="32"/>
      <c r="CG27" s="54"/>
      <c r="CH27" s="21" t="str">
        <f>IFERROR(VLOOKUP(May[[#This Row],[Drug Name9]],'Data Options'!$R$1:$S$100,2,FALSE), " ")</f>
        <v xml:space="preserve"> </v>
      </c>
      <c r="CI27" s="55"/>
      <c r="CJ27" s="32"/>
      <c r="CK27" s="32"/>
      <c r="CL27" s="55"/>
      <c r="CM27" s="32"/>
    </row>
    <row r="28" spans="1:91">
      <c r="A28" s="5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54"/>
      <c r="R28" s="21" t="str">
        <f>IFERROR(VLOOKUP(May[[#This Row],[Drug Name]],'Data Options'!$R$1:$S$100,2,FALSE), " ")</f>
        <v xml:space="preserve"> </v>
      </c>
      <c r="S28" s="55"/>
      <c r="T28" s="32"/>
      <c r="U28" s="32"/>
      <c r="V28" s="55"/>
      <c r="W28" s="32"/>
      <c r="X28" s="54"/>
      <c r="Y28" s="21" t="str">
        <f>IFERROR(VLOOKUP(May[[#This Row],[Drug Name2]],'Data Options'!$R$1:$S$100,2,FALSE), " ")</f>
        <v xml:space="preserve"> </v>
      </c>
      <c r="Z28" s="55"/>
      <c r="AA28" s="32"/>
      <c r="AB28" s="32"/>
      <c r="AC28" s="55"/>
      <c r="AD28" s="32"/>
      <c r="AE28" s="54"/>
      <c r="AF28" s="21" t="str">
        <f>IFERROR(VLOOKUP(May[[#This Row],[Drug Name3]],'Data Options'!$R$1:$S$100,2,FALSE), " ")</f>
        <v xml:space="preserve"> </v>
      </c>
      <c r="AG28" s="55"/>
      <c r="AH28" s="32"/>
      <c r="AI28" s="32"/>
      <c r="AJ28" s="55"/>
      <c r="AK28" s="32"/>
      <c r="AL28" s="32"/>
      <c r="AM28" s="32"/>
      <c r="AN28" s="32"/>
      <c r="AO28" s="32"/>
      <c r="AP28" s="31"/>
      <c r="AQ28" s="31"/>
      <c r="AR28" s="54"/>
      <c r="AS28" s="21" t="str">
        <f>IFERROR(VLOOKUP(May[[#This Row],[Drug Name4]],'Data Options'!$R$1:$S$100,2,FALSE), " ")</f>
        <v xml:space="preserve"> </v>
      </c>
      <c r="AT28" s="55"/>
      <c r="AU28" s="32"/>
      <c r="AV28" s="32"/>
      <c r="AW28" s="55"/>
      <c r="AX28" s="32"/>
      <c r="AY28" s="54"/>
      <c r="AZ28" s="21" t="str">
        <f>IFERROR(VLOOKUP(May[[#This Row],[Drug Name5]],'Data Options'!$R$1:$S$100,2,FALSE), " ")</f>
        <v xml:space="preserve"> </v>
      </c>
      <c r="BA28" s="55"/>
      <c r="BB28" s="32"/>
      <c r="BC28" s="32"/>
      <c r="BD28" s="55"/>
      <c r="BE28" s="32"/>
      <c r="BF28" s="54"/>
      <c r="BG28" s="21" t="str">
        <f>IFERROR(VLOOKUP(May[[#This Row],[Drug Name6]],'Data Options'!$R$1:$S$100,2,FALSE), " ")</f>
        <v xml:space="preserve"> </v>
      </c>
      <c r="BH28" s="55"/>
      <c r="BI28" s="32"/>
      <c r="BJ28" s="32"/>
      <c r="BK28" s="55"/>
      <c r="BL28" s="32"/>
      <c r="BM28" s="32"/>
      <c r="BN28" s="32"/>
      <c r="BO28" s="32"/>
      <c r="BP28" s="32"/>
      <c r="BQ28" s="31"/>
      <c r="BR28" s="31"/>
      <c r="BS28" s="54"/>
      <c r="BT28" s="21" t="str">
        <f>IFERROR(VLOOKUP(May[[#This Row],[Drug Name7]],'Data Options'!$R$1:$S$100,2,FALSE), " ")</f>
        <v xml:space="preserve"> </v>
      </c>
      <c r="BU28" s="55"/>
      <c r="BV28" s="32"/>
      <c r="BW28" s="32"/>
      <c r="BX28" s="55"/>
      <c r="BY28" s="32"/>
      <c r="BZ28" s="54"/>
      <c r="CA28" s="21" t="str">
        <f>IFERROR(VLOOKUP(May[[#This Row],[Drug Name8]],'Data Options'!$R$1:$S$100,2,FALSE), " ")</f>
        <v xml:space="preserve"> </v>
      </c>
      <c r="CB28" s="55"/>
      <c r="CC28" s="32"/>
      <c r="CD28" s="32"/>
      <c r="CE28" s="55"/>
      <c r="CF28" s="32"/>
      <c r="CG28" s="54"/>
      <c r="CH28" s="21" t="str">
        <f>IFERROR(VLOOKUP(May[[#This Row],[Drug Name9]],'Data Options'!$R$1:$S$100,2,FALSE), " ")</f>
        <v xml:space="preserve"> </v>
      </c>
      <c r="CI28" s="55"/>
      <c r="CJ28" s="32"/>
      <c r="CK28" s="32"/>
      <c r="CL28" s="55"/>
      <c r="CM28" s="32"/>
    </row>
    <row r="29" spans="1:91">
      <c r="A29" s="5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54"/>
      <c r="R29" s="21" t="str">
        <f>IFERROR(VLOOKUP(May[[#This Row],[Drug Name]],'Data Options'!$R$1:$S$100,2,FALSE), " ")</f>
        <v xml:space="preserve"> </v>
      </c>
      <c r="S29" s="55"/>
      <c r="T29" s="32"/>
      <c r="U29" s="32"/>
      <c r="V29" s="55"/>
      <c r="W29" s="32"/>
      <c r="X29" s="54"/>
      <c r="Y29" s="21" t="str">
        <f>IFERROR(VLOOKUP(May[[#This Row],[Drug Name2]],'Data Options'!$R$1:$S$100,2,FALSE), " ")</f>
        <v xml:space="preserve"> </v>
      </c>
      <c r="Z29" s="55"/>
      <c r="AA29" s="32"/>
      <c r="AB29" s="32"/>
      <c r="AC29" s="55"/>
      <c r="AD29" s="32"/>
      <c r="AE29" s="54"/>
      <c r="AF29" s="21" t="str">
        <f>IFERROR(VLOOKUP(May[[#This Row],[Drug Name3]],'Data Options'!$R$1:$S$100,2,FALSE), " ")</f>
        <v xml:space="preserve"> </v>
      </c>
      <c r="AG29" s="55"/>
      <c r="AH29" s="32"/>
      <c r="AI29" s="32"/>
      <c r="AJ29" s="55"/>
      <c r="AK29" s="32"/>
      <c r="AL29" s="32"/>
      <c r="AM29" s="32"/>
      <c r="AN29" s="32"/>
      <c r="AO29" s="32"/>
      <c r="AP29" s="31"/>
      <c r="AQ29" s="31"/>
      <c r="AR29" s="54"/>
      <c r="AS29" s="21" t="str">
        <f>IFERROR(VLOOKUP(May[[#This Row],[Drug Name4]],'Data Options'!$R$1:$S$100,2,FALSE), " ")</f>
        <v xml:space="preserve"> </v>
      </c>
      <c r="AT29" s="55"/>
      <c r="AU29" s="32"/>
      <c r="AV29" s="32"/>
      <c r="AW29" s="55"/>
      <c r="AX29" s="32"/>
      <c r="AY29" s="54"/>
      <c r="AZ29" s="21" t="str">
        <f>IFERROR(VLOOKUP(May[[#This Row],[Drug Name5]],'Data Options'!$R$1:$S$100,2,FALSE), " ")</f>
        <v xml:space="preserve"> </v>
      </c>
      <c r="BA29" s="55"/>
      <c r="BB29" s="32"/>
      <c r="BC29" s="32"/>
      <c r="BD29" s="55"/>
      <c r="BE29" s="32"/>
      <c r="BF29" s="54"/>
      <c r="BG29" s="21" t="str">
        <f>IFERROR(VLOOKUP(May[[#This Row],[Drug Name6]],'Data Options'!$R$1:$S$100,2,FALSE), " ")</f>
        <v xml:space="preserve"> </v>
      </c>
      <c r="BH29" s="55"/>
      <c r="BI29" s="32"/>
      <c r="BJ29" s="32"/>
      <c r="BK29" s="55"/>
      <c r="BL29" s="32"/>
      <c r="BM29" s="32"/>
      <c r="BN29" s="32"/>
      <c r="BO29" s="32"/>
      <c r="BP29" s="32"/>
      <c r="BQ29" s="31"/>
      <c r="BR29" s="31"/>
      <c r="BS29" s="54"/>
      <c r="BT29" s="21" t="str">
        <f>IFERROR(VLOOKUP(May[[#This Row],[Drug Name7]],'Data Options'!$R$1:$S$100,2,FALSE), " ")</f>
        <v xml:space="preserve"> </v>
      </c>
      <c r="BU29" s="55"/>
      <c r="BV29" s="32"/>
      <c r="BW29" s="32"/>
      <c r="BX29" s="55"/>
      <c r="BY29" s="32"/>
      <c r="BZ29" s="54"/>
      <c r="CA29" s="21" t="str">
        <f>IFERROR(VLOOKUP(May[[#This Row],[Drug Name8]],'Data Options'!$R$1:$S$100,2,FALSE), " ")</f>
        <v xml:space="preserve"> </v>
      </c>
      <c r="CB29" s="55"/>
      <c r="CC29" s="32"/>
      <c r="CD29" s="32"/>
      <c r="CE29" s="55"/>
      <c r="CF29" s="32"/>
      <c r="CG29" s="54"/>
      <c r="CH29" s="21" t="str">
        <f>IFERROR(VLOOKUP(May[[#This Row],[Drug Name9]],'Data Options'!$R$1:$S$100,2,FALSE), " ")</f>
        <v xml:space="preserve"> </v>
      </c>
      <c r="CI29" s="55"/>
      <c r="CJ29" s="32"/>
      <c r="CK29" s="32"/>
      <c r="CL29" s="55"/>
      <c r="CM29" s="32"/>
    </row>
    <row r="30" spans="1:91">
      <c r="A30" s="5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54"/>
      <c r="R30" s="21" t="str">
        <f>IFERROR(VLOOKUP(May[[#This Row],[Drug Name]],'Data Options'!$R$1:$S$100,2,FALSE), " ")</f>
        <v xml:space="preserve"> </v>
      </c>
      <c r="S30" s="55"/>
      <c r="T30" s="32"/>
      <c r="U30" s="32"/>
      <c r="V30" s="55"/>
      <c r="W30" s="32"/>
      <c r="X30" s="54"/>
      <c r="Y30" s="21" t="str">
        <f>IFERROR(VLOOKUP(May[[#This Row],[Drug Name2]],'Data Options'!$R$1:$S$100,2,FALSE), " ")</f>
        <v xml:space="preserve"> </v>
      </c>
      <c r="Z30" s="55"/>
      <c r="AA30" s="32"/>
      <c r="AB30" s="32"/>
      <c r="AC30" s="55"/>
      <c r="AD30" s="32"/>
      <c r="AE30" s="54"/>
      <c r="AF30" s="21" t="str">
        <f>IFERROR(VLOOKUP(May[[#This Row],[Drug Name3]],'Data Options'!$R$1:$S$100,2,FALSE), " ")</f>
        <v xml:space="preserve"> </v>
      </c>
      <c r="AG30" s="55"/>
      <c r="AH30" s="32"/>
      <c r="AI30" s="32"/>
      <c r="AJ30" s="55"/>
      <c r="AK30" s="32"/>
      <c r="AL30" s="32"/>
      <c r="AM30" s="32"/>
      <c r="AN30" s="32"/>
      <c r="AO30" s="32"/>
      <c r="AP30" s="31"/>
      <c r="AQ30" s="31"/>
      <c r="AR30" s="54"/>
      <c r="AS30" s="21" t="str">
        <f>IFERROR(VLOOKUP(May[[#This Row],[Drug Name4]],'Data Options'!$R$1:$S$100,2,FALSE), " ")</f>
        <v xml:space="preserve"> </v>
      </c>
      <c r="AT30" s="55"/>
      <c r="AU30" s="32"/>
      <c r="AV30" s="32"/>
      <c r="AW30" s="55"/>
      <c r="AX30" s="32"/>
      <c r="AY30" s="54"/>
      <c r="AZ30" s="21" t="str">
        <f>IFERROR(VLOOKUP(May[[#This Row],[Drug Name5]],'Data Options'!$R$1:$S$100,2,FALSE), " ")</f>
        <v xml:space="preserve"> </v>
      </c>
      <c r="BA30" s="55"/>
      <c r="BB30" s="32"/>
      <c r="BC30" s="32"/>
      <c r="BD30" s="55"/>
      <c r="BE30" s="32"/>
      <c r="BF30" s="54"/>
      <c r="BG30" s="21" t="str">
        <f>IFERROR(VLOOKUP(May[[#This Row],[Drug Name6]],'Data Options'!$R$1:$S$100,2,FALSE), " ")</f>
        <v xml:space="preserve"> </v>
      </c>
      <c r="BH30" s="55"/>
      <c r="BI30" s="32"/>
      <c r="BJ30" s="32"/>
      <c r="BK30" s="55"/>
      <c r="BL30" s="32"/>
      <c r="BM30" s="32"/>
      <c r="BN30" s="32"/>
      <c r="BO30" s="32"/>
      <c r="BP30" s="32"/>
      <c r="BQ30" s="31"/>
      <c r="BR30" s="31"/>
      <c r="BS30" s="54"/>
      <c r="BT30" s="21" t="str">
        <f>IFERROR(VLOOKUP(May[[#This Row],[Drug Name7]],'Data Options'!$R$1:$S$100,2,FALSE), " ")</f>
        <v xml:space="preserve"> </v>
      </c>
      <c r="BU30" s="55"/>
      <c r="BV30" s="32"/>
      <c r="BW30" s="32"/>
      <c r="BX30" s="55"/>
      <c r="BY30" s="32"/>
      <c r="BZ30" s="54"/>
      <c r="CA30" s="21" t="str">
        <f>IFERROR(VLOOKUP(May[[#This Row],[Drug Name8]],'Data Options'!$R$1:$S$100,2,FALSE), " ")</f>
        <v xml:space="preserve"> </v>
      </c>
      <c r="CB30" s="55"/>
      <c r="CC30" s="32"/>
      <c r="CD30" s="32"/>
      <c r="CE30" s="55"/>
      <c r="CF30" s="32"/>
      <c r="CG30" s="54"/>
      <c r="CH30" s="21" t="str">
        <f>IFERROR(VLOOKUP(May[[#This Row],[Drug Name9]],'Data Options'!$R$1:$S$100,2,FALSE), " ")</f>
        <v xml:space="preserve"> </v>
      </c>
      <c r="CI30" s="55"/>
      <c r="CJ30" s="32"/>
      <c r="CK30" s="32"/>
      <c r="CL30" s="55"/>
      <c r="CM30" s="32"/>
    </row>
    <row r="31" spans="1:9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54"/>
      <c r="R31" s="21" t="str">
        <f>IFERROR(VLOOKUP(May[[#This Row],[Drug Name]],'Data Options'!$R$1:$S$100,2,FALSE), " ")</f>
        <v xml:space="preserve"> </v>
      </c>
      <c r="S31" s="55"/>
      <c r="T31" s="32"/>
      <c r="U31" s="32"/>
      <c r="V31" s="55"/>
      <c r="W31" s="32"/>
      <c r="X31" s="54"/>
      <c r="Y31" s="21" t="str">
        <f>IFERROR(VLOOKUP(May[[#This Row],[Drug Name2]],'Data Options'!$R$1:$S$100,2,FALSE), " ")</f>
        <v xml:space="preserve"> </v>
      </c>
      <c r="Z31" s="55"/>
      <c r="AA31" s="32"/>
      <c r="AB31" s="32"/>
      <c r="AC31" s="55"/>
      <c r="AD31" s="32"/>
      <c r="AE31" s="54"/>
      <c r="AF31" s="21" t="str">
        <f>IFERROR(VLOOKUP(May[[#This Row],[Drug Name3]],'Data Options'!$R$1:$S$100,2,FALSE), " ")</f>
        <v xml:space="preserve"> </v>
      </c>
      <c r="AG31" s="55"/>
      <c r="AH31" s="32"/>
      <c r="AI31" s="32"/>
      <c r="AJ31" s="55"/>
      <c r="AK31" s="32"/>
      <c r="AL31" s="32"/>
      <c r="AM31" s="32"/>
      <c r="AN31" s="32"/>
      <c r="AO31" s="32"/>
      <c r="AP31" s="31"/>
      <c r="AQ31" s="31"/>
      <c r="AR31" s="54"/>
      <c r="AS31" s="21" t="str">
        <f>IFERROR(VLOOKUP(May[[#This Row],[Drug Name4]],'Data Options'!$R$1:$S$100,2,FALSE), " ")</f>
        <v xml:space="preserve"> </v>
      </c>
      <c r="AT31" s="55"/>
      <c r="AU31" s="32"/>
      <c r="AV31" s="32"/>
      <c r="AW31" s="55"/>
      <c r="AX31" s="32"/>
      <c r="AY31" s="54"/>
      <c r="AZ31" s="21" t="str">
        <f>IFERROR(VLOOKUP(May[[#This Row],[Drug Name5]],'Data Options'!$R$1:$S$100,2,FALSE), " ")</f>
        <v xml:space="preserve"> </v>
      </c>
      <c r="BA31" s="55"/>
      <c r="BB31" s="32"/>
      <c r="BC31" s="32"/>
      <c r="BD31" s="55"/>
      <c r="BE31" s="32"/>
      <c r="BF31" s="54"/>
      <c r="BG31" s="21" t="str">
        <f>IFERROR(VLOOKUP(May[[#This Row],[Drug Name6]],'Data Options'!$R$1:$S$100,2,FALSE), " ")</f>
        <v xml:space="preserve"> </v>
      </c>
      <c r="BH31" s="55"/>
      <c r="BI31" s="32"/>
      <c r="BJ31" s="32"/>
      <c r="BK31" s="55"/>
      <c r="BL31" s="32"/>
      <c r="BM31" s="32"/>
      <c r="BN31" s="32"/>
      <c r="BO31" s="32"/>
      <c r="BP31" s="32"/>
      <c r="BQ31" s="31"/>
      <c r="BR31" s="31"/>
      <c r="BS31" s="54"/>
      <c r="BT31" s="21" t="str">
        <f>IFERROR(VLOOKUP(May[[#This Row],[Drug Name7]],'Data Options'!$R$1:$S$100,2,FALSE), " ")</f>
        <v xml:space="preserve"> </v>
      </c>
      <c r="BU31" s="55"/>
      <c r="BV31" s="32"/>
      <c r="BW31" s="32"/>
      <c r="BX31" s="55"/>
      <c r="BY31" s="32"/>
      <c r="BZ31" s="54"/>
      <c r="CA31" s="21" t="str">
        <f>IFERROR(VLOOKUP(May[[#This Row],[Drug Name8]],'Data Options'!$R$1:$S$100,2,FALSE), " ")</f>
        <v xml:space="preserve"> </v>
      </c>
      <c r="CB31" s="55"/>
      <c r="CC31" s="32"/>
      <c r="CD31" s="32"/>
      <c r="CE31" s="55"/>
      <c r="CF31" s="32"/>
      <c r="CG31" s="54"/>
      <c r="CH31" s="21" t="str">
        <f>IFERROR(VLOOKUP(May[[#This Row],[Drug Name9]],'Data Options'!$R$1:$S$100,2,FALSE), " ")</f>
        <v xml:space="preserve"> </v>
      </c>
      <c r="CI31" s="55"/>
      <c r="CJ31" s="32"/>
      <c r="CK31" s="32"/>
      <c r="CL31" s="55"/>
      <c r="CM31" s="32"/>
    </row>
    <row r="32" spans="1:91">
      <c r="A32" s="5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54"/>
      <c r="R32" s="21" t="str">
        <f>IFERROR(VLOOKUP(May[[#This Row],[Drug Name]],'Data Options'!$R$1:$S$100,2,FALSE), " ")</f>
        <v xml:space="preserve"> </v>
      </c>
      <c r="S32" s="55"/>
      <c r="T32" s="32"/>
      <c r="U32" s="32"/>
      <c r="V32" s="55"/>
      <c r="W32" s="32"/>
      <c r="X32" s="54"/>
      <c r="Y32" s="21" t="str">
        <f>IFERROR(VLOOKUP(May[[#This Row],[Drug Name2]],'Data Options'!$R$1:$S$100,2,FALSE), " ")</f>
        <v xml:space="preserve"> </v>
      </c>
      <c r="Z32" s="55"/>
      <c r="AA32" s="32"/>
      <c r="AB32" s="32"/>
      <c r="AC32" s="55"/>
      <c r="AD32" s="32"/>
      <c r="AE32" s="54"/>
      <c r="AF32" s="21" t="str">
        <f>IFERROR(VLOOKUP(May[[#This Row],[Drug Name3]],'Data Options'!$R$1:$S$100,2,FALSE), " ")</f>
        <v xml:space="preserve"> </v>
      </c>
      <c r="AG32" s="55"/>
      <c r="AH32" s="32"/>
      <c r="AI32" s="32"/>
      <c r="AJ32" s="55"/>
      <c r="AK32" s="32"/>
      <c r="AL32" s="32"/>
      <c r="AM32" s="32"/>
      <c r="AN32" s="32"/>
      <c r="AO32" s="32"/>
      <c r="AP32" s="31"/>
      <c r="AQ32" s="31"/>
      <c r="AR32" s="54"/>
      <c r="AS32" s="21" t="str">
        <f>IFERROR(VLOOKUP(May[[#This Row],[Drug Name4]],'Data Options'!$R$1:$S$100,2,FALSE), " ")</f>
        <v xml:space="preserve"> </v>
      </c>
      <c r="AT32" s="55"/>
      <c r="AU32" s="32"/>
      <c r="AV32" s="32"/>
      <c r="AW32" s="55"/>
      <c r="AX32" s="32"/>
      <c r="AY32" s="54"/>
      <c r="AZ32" s="21" t="str">
        <f>IFERROR(VLOOKUP(May[[#This Row],[Drug Name5]],'Data Options'!$R$1:$S$100,2,FALSE), " ")</f>
        <v xml:space="preserve"> </v>
      </c>
      <c r="BA32" s="55"/>
      <c r="BB32" s="32"/>
      <c r="BC32" s="32"/>
      <c r="BD32" s="55"/>
      <c r="BE32" s="32"/>
      <c r="BF32" s="54"/>
      <c r="BG32" s="21" t="str">
        <f>IFERROR(VLOOKUP(May[[#This Row],[Drug Name6]],'Data Options'!$R$1:$S$100,2,FALSE), " ")</f>
        <v xml:space="preserve"> </v>
      </c>
      <c r="BH32" s="55"/>
      <c r="BI32" s="32"/>
      <c r="BJ32" s="32"/>
      <c r="BK32" s="55"/>
      <c r="BL32" s="32"/>
      <c r="BM32" s="32"/>
      <c r="BN32" s="32"/>
      <c r="BO32" s="32"/>
      <c r="BP32" s="32"/>
      <c r="BQ32" s="31"/>
      <c r="BR32" s="31"/>
      <c r="BS32" s="54"/>
      <c r="BT32" s="21" t="str">
        <f>IFERROR(VLOOKUP(May[[#This Row],[Drug Name7]],'Data Options'!$R$1:$S$100,2,FALSE), " ")</f>
        <v xml:space="preserve"> </v>
      </c>
      <c r="BU32" s="55"/>
      <c r="BV32" s="32"/>
      <c r="BW32" s="32"/>
      <c r="BX32" s="55"/>
      <c r="BY32" s="32"/>
      <c r="BZ32" s="54"/>
      <c r="CA32" s="21" t="str">
        <f>IFERROR(VLOOKUP(May[[#This Row],[Drug Name8]],'Data Options'!$R$1:$S$100,2,FALSE), " ")</f>
        <v xml:space="preserve"> </v>
      </c>
      <c r="CB32" s="55"/>
      <c r="CC32" s="32"/>
      <c r="CD32" s="32"/>
      <c r="CE32" s="55"/>
      <c r="CF32" s="32"/>
      <c r="CG32" s="54"/>
      <c r="CH32" s="21" t="str">
        <f>IFERROR(VLOOKUP(May[[#This Row],[Drug Name9]],'Data Options'!$R$1:$S$100,2,FALSE), " ")</f>
        <v xml:space="preserve"> </v>
      </c>
      <c r="CI32" s="55"/>
      <c r="CJ32" s="32"/>
      <c r="CK32" s="32"/>
      <c r="CL32" s="55"/>
      <c r="CM32" s="32"/>
    </row>
    <row r="33" spans="1:9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54"/>
      <c r="R33" s="21" t="str">
        <f>IFERROR(VLOOKUP(May[[#This Row],[Drug Name]],'Data Options'!$R$1:$S$100,2,FALSE), " ")</f>
        <v xml:space="preserve"> </v>
      </c>
      <c r="S33" s="55"/>
      <c r="T33" s="32"/>
      <c r="U33" s="32"/>
      <c r="V33" s="55"/>
      <c r="W33" s="32"/>
      <c r="X33" s="54"/>
      <c r="Y33" s="21" t="str">
        <f>IFERROR(VLOOKUP(May[[#This Row],[Drug Name2]],'Data Options'!$R$1:$S$100,2,FALSE), " ")</f>
        <v xml:space="preserve"> </v>
      </c>
      <c r="Z33" s="55"/>
      <c r="AA33" s="32"/>
      <c r="AB33" s="32"/>
      <c r="AC33" s="55"/>
      <c r="AD33" s="32"/>
      <c r="AE33" s="54"/>
      <c r="AF33" s="21" t="str">
        <f>IFERROR(VLOOKUP(May[[#This Row],[Drug Name3]],'Data Options'!$R$1:$S$100,2,FALSE), " ")</f>
        <v xml:space="preserve"> </v>
      </c>
      <c r="AG33" s="55"/>
      <c r="AH33" s="32"/>
      <c r="AI33" s="32"/>
      <c r="AJ33" s="55"/>
      <c r="AK33" s="32"/>
      <c r="AL33" s="32"/>
      <c r="AM33" s="32"/>
      <c r="AN33" s="32"/>
      <c r="AO33" s="32"/>
      <c r="AP33" s="31"/>
      <c r="AQ33" s="31"/>
      <c r="AR33" s="54"/>
      <c r="AS33" s="21" t="str">
        <f>IFERROR(VLOOKUP(May[[#This Row],[Drug Name4]],'Data Options'!$R$1:$S$100,2,FALSE), " ")</f>
        <v xml:space="preserve"> </v>
      </c>
      <c r="AT33" s="55"/>
      <c r="AU33" s="32"/>
      <c r="AV33" s="32"/>
      <c r="AW33" s="55"/>
      <c r="AX33" s="32"/>
      <c r="AY33" s="54"/>
      <c r="AZ33" s="21" t="str">
        <f>IFERROR(VLOOKUP(May[[#This Row],[Drug Name5]],'Data Options'!$R$1:$S$100,2,FALSE), " ")</f>
        <v xml:space="preserve"> </v>
      </c>
      <c r="BA33" s="55"/>
      <c r="BB33" s="32"/>
      <c r="BC33" s="32"/>
      <c r="BD33" s="55"/>
      <c r="BE33" s="32"/>
      <c r="BF33" s="54"/>
      <c r="BG33" s="21" t="str">
        <f>IFERROR(VLOOKUP(May[[#This Row],[Drug Name6]],'Data Options'!$R$1:$S$100,2,FALSE), " ")</f>
        <v xml:space="preserve"> </v>
      </c>
      <c r="BH33" s="55"/>
      <c r="BI33" s="32"/>
      <c r="BJ33" s="32"/>
      <c r="BK33" s="55"/>
      <c r="BL33" s="32"/>
      <c r="BM33" s="32"/>
      <c r="BN33" s="32"/>
      <c r="BO33" s="32"/>
      <c r="BP33" s="32"/>
      <c r="BQ33" s="31"/>
      <c r="BR33" s="31"/>
      <c r="BS33" s="54"/>
      <c r="BT33" s="21" t="str">
        <f>IFERROR(VLOOKUP(May[[#This Row],[Drug Name7]],'Data Options'!$R$1:$S$100,2,FALSE), " ")</f>
        <v xml:space="preserve"> </v>
      </c>
      <c r="BU33" s="55"/>
      <c r="BV33" s="32"/>
      <c r="BW33" s="32"/>
      <c r="BX33" s="55"/>
      <c r="BY33" s="32"/>
      <c r="BZ33" s="54"/>
      <c r="CA33" s="21" t="str">
        <f>IFERROR(VLOOKUP(May[[#This Row],[Drug Name8]],'Data Options'!$R$1:$S$100,2,FALSE), " ")</f>
        <v xml:space="preserve"> </v>
      </c>
      <c r="CB33" s="55"/>
      <c r="CC33" s="32"/>
      <c r="CD33" s="32"/>
      <c r="CE33" s="55"/>
      <c r="CF33" s="32"/>
      <c r="CG33" s="54"/>
      <c r="CH33" s="21" t="str">
        <f>IFERROR(VLOOKUP(May[[#This Row],[Drug Name9]],'Data Options'!$R$1:$S$100,2,FALSE), " ")</f>
        <v xml:space="preserve"> </v>
      </c>
      <c r="CI33" s="55"/>
      <c r="CJ33" s="32"/>
      <c r="CK33" s="32"/>
      <c r="CL33" s="55"/>
      <c r="CM33" s="32"/>
    </row>
    <row r="34" spans="1:9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54"/>
      <c r="R34" s="21" t="str">
        <f>IFERROR(VLOOKUP(May[[#This Row],[Drug Name]],'Data Options'!$R$1:$S$100,2,FALSE), " ")</f>
        <v xml:space="preserve"> </v>
      </c>
      <c r="S34" s="55"/>
      <c r="T34" s="32"/>
      <c r="U34" s="32"/>
      <c r="V34" s="55"/>
      <c r="W34" s="32"/>
      <c r="X34" s="54"/>
      <c r="Y34" s="21" t="str">
        <f>IFERROR(VLOOKUP(May[[#This Row],[Drug Name2]],'Data Options'!$R$1:$S$100,2,FALSE), " ")</f>
        <v xml:space="preserve"> </v>
      </c>
      <c r="Z34" s="55"/>
      <c r="AA34" s="32"/>
      <c r="AB34" s="32"/>
      <c r="AC34" s="55"/>
      <c r="AD34" s="32"/>
      <c r="AE34" s="54"/>
      <c r="AF34" s="21" t="str">
        <f>IFERROR(VLOOKUP(May[[#This Row],[Drug Name3]],'Data Options'!$R$1:$S$100,2,FALSE), " ")</f>
        <v xml:space="preserve"> </v>
      </c>
      <c r="AG34" s="55"/>
      <c r="AH34" s="32"/>
      <c r="AI34" s="32"/>
      <c r="AJ34" s="55"/>
      <c r="AK34" s="32"/>
      <c r="AL34" s="32"/>
      <c r="AM34" s="32"/>
      <c r="AN34" s="32"/>
      <c r="AO34" s="32"/>
      <c r="AP34" s="31"/>
      <c r="AQ34" s="31"/>
      <c r="AR34" s="54"/>
      <c r="AS34" s="21" t="str">
        <f>IFERROR(VLOOKUP(May[[#This Row],[Drug Name4]],'Data Options'!$R$1:$S$100,2,FALSE), " ")</f>
        <v xml:space="preserve"> </v>
      </c>
      <c r="AT34" s="55"/>
      <c r="AU34" s="32"/>
      <c r="AV34" s="32"/>
      <c r="AW34" s="55"/>
      <c r="AX34" s="32"/>
      <c r="AY34" s="54"/>
      <c r="AZ34" s="21" t="str">
        <f>IFERROR(VLOOKUP(May[[#This Row],[Drug Name5]],'Data Options'!$R$1:$S$100,2,FALSE), " ")</f>
        <v xml:space="preserve"> </v>
      </c>
      <c r="BA34" s="55"/>
      <c r="BB34" s="32"/>
      <c r="BC34" s="32"/>
      <c r="BD34" s="55"/>
      <c r="BE34" s="32"/>
      <c r="BF34" s="54"/>
      <c r="BG34" s="21" t="str">
        <f>IFERROR(VLOOKUP(May[[#This Row],[Drug Name6]],'Data Options'!$R$1:$S$100,2,FALSE), " ")</f>
        <v xml:space="preserve"> </v>
      </c>
      <c r="BH34" s="55"/>
      <c r="BI34" s="32"/>
      <c r="BJ34" s="32"/>
      <c r="BK34" s="55"/>
      <c r="BL34" s="32"/>
      <c r="BM34" s="32"/>
      <c r="BN34" s="32"/>
      <c r="BO34" s="32"/>
      <c r="BP34" s="32"/>
      <c r="BQ34" s="31"/>
      <c r="BR34" s="31"/>
      <c r="BS34" s="54"/>
      <c r="BT34" s="21" t="str">
        <f>IFERROR(VLOOKUP(May[[#This Row],[Drug Name7]],'Data Options'!$R$1:$S$100,2,FALSE), " ")</f>
        <v xml:space="preserve"> </v>
      </c>
      <c r="BU34" s="55"/>
      <c r="BV34" s="32"/>
      <c r="BW34" s="32"/>
      <c r="BX34" s="55"/>
      <c r="BY34" s="32"/>
      <c r="BZ34" s="54"/>
      <c r="CA34" s="21" t="str">
        <f>IFERROR(VLOOKUP(May[[#This Row],[Drug Name8]],'Data Options'!$R$1:$S$100,2,FALSE), " ")</f>
        <v xml:space="preserve"> </v>
      </c>
      <c r="CB34" s="55"/>
      <c r="CC34" s="32"/>
      <c r="CD34" s="32"/>
      <c r="CE34" s="55"/>
      <c r="CF34" s="32"/>
      <c r="CG34" s="54"/>
      <c r="CH34" s="21" t="str">
        <f>IFERROR(VLOOKUP(May[[#This Row],[Drug Name9]],'Data Options'!$R$1:$S$100,2,FALSE), " ")</f>
        <v xml:space="preserve"> </v>
      </c>
      <c r="CI34" s="55"/>
      <c r="CJ34" s="32"/>
      <c r="CK34" s="32"/>
      <c r="CL34" s="55"/>
      <c r="CM34" s="32"/>
    </row>
    <row r="35" spans="1:9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54"/>
      <c r="R35" s="21" t="str">
        <f>IFERROR(VLOOKUP(May[[#This Row],[Drug Name]],'Data Options'!$R$1:$S$100,2,FALSE), " ")</f>
        <v xml:space="preserve"> </v>
      </c>
      <c r="S35" s="55"/>
      <c r="T35" s="32"/>
      <c r="U35" s="32"/>
      <c r="V35" s="55"/>
      <c r="W35" s="32"/>
      <c r="X35" s="54"/>
      <c r="Y35" s="21" t="str">
        <f>IFERROR(VLOOKUP(May[[#This Row],[Drug Name2]],'Data Options'!$R$1:$S$100,2,FALSE), " ")</f>
        <v xml:space="preserve"> </v>
      </c>
      <c r="Z35" s="55"/>
      <c r="AA35" s="32"/>
      <c r="AB35" s="32"/>
      <c r="AC35" s="55"/>
      <c r="AD35" s="32"/>
      <c r="AE35" s="54"/>
      <c r="AF35" s="21" t="str">
        <f>IFERROR(VLOOKUP(May[[#This Row],[Drug Name3]],'Data Options'!$R$1:$S$100,2,FALSE), " ")</f>
        <v xml:space="preserve"> </v>
      </c>
      <c r="AG35" s="55"/>
      <c r="AH35" s="32"/>
      <c r="AI35" s="32"/>
      <c r="AJ35" s="55"/>
      <c r="AK35" s="32"/>
      <c r="AL35" s="32"/>
      <c r="AM35" s="32"/>
      <c r="AN35" s="32"/>
      <c r="AO35" s="32"/>
      <c r="AP35" s="31"/>
      <c r="AQ35" s="31"/>
      <c r="AR35" s="54"/>
      <c r="AS35" s="21" t="str">
        <f>IFERROR(VLOOKUP(May[[#This Row],[Drug Name4]],'Data Options'!$R$1:$S$100,2,FALSE), " ")</f>
        <v xml:space="preserve"> </v>
      </c>
      <c r="AT35" s="55"/>
      <c r="AU35" s="32"/>
      <c r="AV35" s="32"/>
      <c r="AW35" s="55"/>
      <c r="AX35" s="32"/>
      <c r="AY35" s="54"/>
      <c r="AZ35" s="21" t="str">
        <f>IFERROR(VLOOKUP(May[[#This Row],[Drug Name5]],'Data Options'!$R$1:$S$100,2,FALSE), " ")</f>
        <v xml:space="preserve"> </v>
      </c>
      <c r="BA35" s="55"/>
      <c r="BB35" s="32"/>
      <c r="BC35" s="32"/>
      <c r="BD35" s="55"/>
      <c r="BE35" s="32"/>
      <c r="BF35" s="54"/>
      <c r="BG35" s="21" t="str">
        <f>IFERROR(VLOOKUP(May[[#This Row],[Drug Name6]],'Data Options'!$R$1:$S$100,2,FALSE), " ")</f>
        <v xml:space="preserve"> </v>
      </c>
      <c r="BH35" s="55"/>
      <c r="BI35" s="32"/>
      <c r="BJ35" s="32"/>
      <c r="BK35" s="55"/>
      <c r="BL35" s="32"/>
      <c r="BM35" s="32"/>
      <c r="BN35" s="32"/>
      <c r="BO35" s="32"/>
      <c r="BP35" s="32"/>
      <c r="BQ35" s="31"/>
      <c r="BR35" s="31"/>
      <c r="BS35" s="54"/>
      <c r="BT35" s="21" t="str">
        <f>IFERROR(VLOOKUP(May[[#This Row],[Drug Name7]],'Data Options'!$R$1:$S$100,2,FALSE), " ")</f>
        <v xml:space="preserve"> </v>
      </c>
      <c r="BU35" s="55"/>
      <c r="BV35" s="32"/>
      <c r="BW35" s="32"/>
      <c r="BX35" s="55"/>
      <c r="BY35" s="32"/>
      <c r="BZ35" s="54"/>
      <c r="CA35" s="21" t="str">
        <f>IFERROR(VLOOKUP(May[[#This Row],[Drug Name8]],'Data Options'!$R$1:$S$100,2,FALSE), " ")</f>
        <v xml:space="preserve"> </v>
      </c>
      <c r="CB35" s="55"/>
      <c r="CC35" s="32"/>
      <c r="CD35" s="32"/>
      <c r="CE35" s="55"/>
      <c r="CF35" s="32"/>
      <c r="CG35" s="54"/>
      <c r="CH35" s="21" t="str">
        <f>IFERROR(VLOOKUP(May[[#This Row],[Drug Name9]],'Data Options'!$R$1:$S$100,2,FALSE), " ")</f>
        <v xml:space="preserve"> </v>
      </c>
      <c r="CI35" s="55"/>
      <c r="CJ35" s="32"/>
      <c r="CK35" s="32"/>
      <c r="CL35" s="55"/>
      <c r="CM35" s="32"/>
    </row>
    <row r="36" spans="1:91">
      <c r="A36" s="5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54"/>
      <c r="R36" s="21" t="str">
        <f>IFERROR(VLOOKUP(May[[#This Row],[Drug Name]],'Data Options'!$R$1:$S$100,2,FALSE), " ")</f>
        <v xml:space="preserve"> </v>
      </c>
      <c r="S36" s="55"/>
      <c r="T36" s="32"/>
      <c r="U36" s="32"/>
      <c r="V36" s="55"/>
      <c r="W36" s="32"/>
      <c r="X36" s="54"/>
      <c r="Y36" s="21" t="str">
        <f>IFERROR(VLOOKUP(May[[#This Row],[Drug Name2]],'Data Options'!$R$1:$S$100,2,FALSE), " ")</f>
        <v xml:space="preserve"> </v>
      </c>
      <c r="Z36" s="55"/>
      <c r="AA36" s="32"/>
      <c r="AB36" s="32"/>
      <c r="AC36" s="55"/>
      <c r="AD36" s="32"/>
      <c r="AE36" s="54"/>
      <c r="AF36" s="21" t="str">
        <f>IFERROR(VLOOKUP(May[[#This Row],[Drug Name3]],'Data Options'!$R$1:$S$100,2,FALSE), " ")</f>
        <v xml:space="preserve"> </v>
      </c>
      <c r="AG36" s="55"/>
      <c r="AH36" s="32"/>
      <c r="AI36" s="32"/>
      <c r="AJ36" s="55"/>
      <c r="AK36" s="32"/>
      <c r="AL36" s="32"/>
      <c r="AM36" s="32"/>
      <c r="AN36" s="32"/>
      <c r="AO36" s="32"/>
      <c r="AP36" s="31"/>
      <c r="AQ36" s="31"/>
      <c r="AR36" s="54"/>
      <c r="AS36" s="21" t="str">
        <f>IFERROR(VLOOKUP(May[[#This Row],[Drug Name4]],'Data Options'!$R$1:$S$100,2,FALSE), " ")</f>
        <v xml:space="preserve"> </v>
      </c>
      <c r="AT36" s="55"/>
      <c r="AU36" s="32"/>
      <c r="AV36" s="32"/>
      <c r="AW36" s="55"/>
      <c r="AX36" s="32"/>
      <c r="AY36" s="54"/>
      <c r="AZ36" s="21" t="str">
        <f>IFERROR(VLOOKUP(May[[#This Row],[Drug Name5]],'Data Options'!$R$1:$S$100,2,FALSE), " ")</f>
        <v xml:space="preserve"> </v>
      </c>
      <c r="BA36" s="55"/>
      <c r="BB36" s="32"/>
      <c r="BC36" s="32"/>
      <c r="BD36" s="55"/>
      <c r="BE36" s="32"/>
      <c r="BF36" s="54"/>
      <c r="BG36" s="21" t="str">
        <f>IFERROR(VLOOKUP(May[[#This Row],[Drug Name6]],'Data Options'!$R$1:$S$100,2,FALSE), " ")</f>
        <v xml:space="preserve"> </v>
      </c>
      <c r="BH36" s="55"/>
      <c r="BI36" s="32"/>
      <c r="BJ36" s="32"/>
      <c r="BK36" s="55"/>
      <c r="BL36" s="32"/>
      <c r="BM36" s="32"/>
      <c r="BN36" s="32"/>
      <c r="BO36" s="32"/>
      <c r="BP36" s="32"/>
      <c r="BQ36" s="31"/>
      <c r="BR36" s="31"/>
      <c r="BS36" s="54"/>
      <c r="BT36" s="21" t="str">
        <f>IFERROR(VLOOKUP(May[[#This Row],[Drug Name7]],'Data Options'!$R$1:$S$100,2,FALSE), " ")</f>
        <v xml:space="preserve"> </v>
      </c>
      <c r="BU36" s="55"/>
      <c r="BV36" s="32"/>
      <c r="BW36" s="32"/>
      <c r="BX36" s="55"/>
      <c r="BY36" s="32"/>
      <c r="BZ36" s="54"/>
      <c r="CA36" s="21" t="str">
        <f>IFERROR(VLOOKUP(May[[#This Row],[Drug Name8]],'Data Options'!$R$1:$S$100,2,FALSE), " ")</f>
        <v xml:space="preserve"> </v>
      </c>
      <c r="CB36" s="55"/>
      <c r="CC36" s="32"/>
      <c r="CD36" s="32"/>
      <c r="CE36" s="55"/>
      <c r="CF36" s="32"/>
      <c r="CG36" s="54"/>
      <c r="CH36" s="21" t="str">
        <f>IFERROR(VLOOKUP(May[[#This Row],[Drug Name9]],'Data Options'!$R$1:$S$100,2,FALSE), " ")</f>
        <v xml:space="preserve"> </v>
      </c>
      <c r="CI36" s="55"/>
      <c r="CJ36" s="32"/>
      <c r="CK36" s="32"/>
      <c r="CL36" s="55"/>
      <c r="CM36" s="32"/>
    </row>
    <row r="37" spans="1:9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54"/>
      <c r="R37" s="21" t="str">
        <f>IFERROR(VLOOKUP(May[[#This Row],[Drug Name]],'Data Options'!$R$1:$S$100,2,FALSE), " ")</f>
        <v xml:space="preserve"> </v>
      </c>
      <c r="S37" s="55"/>
      <c r="T37" s="32"/>
      <c r="U37" s="32"/>
      <c r="V37" s="55"/>
      <c r="W37" s="32"/>
      <c r="X37" s="54"/>
      <c r="Y37" s="21" t="str">
        <f>IFERROR(VLOOKUP(May[[#This Row],[Drug Name2]],'Data Options'!$R$1:$S$100,2,FALSE), " ")</f>
        <v xml:space="preserve"> </v>
      </c>
      <c r="Z37" s="55"/>
      <c r="AA37" s="32"/>
      <c r="AB37" s="32"/>
      <c r="AC37" s="55"/>
      <c r="AD37" s="32"/>
      <c r="AE37" s="54"/>
      <c r="AF37" s="21" t="str">
        <f>IFERROR(VLOOKUP(May[[#This Row],[Drug Name3]],'Data Options'!$R$1:$S$100,2,FALSE), " ")</f>
        <v xml:space="preserve"> </v>
      </c>
      <c r="AG37" s="55"/>
      <c r="AH37" s="32"/>
      <c r="AI37" s="32"/>
      <c r="AJ37" s="55"/>
      <c r="AK37" s="32"/>
      <c r="AL37" s="32"/>
      <c r="AM37" s="32"/>
      <c r="AN37" s="32"/>
      <c r="AO37" s="32"/>
      <c r="AP37" s="31"/>
      <c r="AQ37" s="31"/>
      <c r="AR37" s="54"/>
      <c r="AS37" s="21" t="str">
        <f>IFERROR(VLOOKUP(May[[#This Row],[Drug Name4]],'Data Options'!$R$1:$S$100,2,FALSE), " ")</f>
        <v xml:space="preserve"> </v>
      </c>
      <c r="AT37" s="55"/>
      <c r="AU37" s="32"/>
      <c r="AV37" s="32"/>
      <c r="AW37" s="55"/>
      <c r="AX37" s="32"/>
      <c r="AY37" s="54"/>
      <c r="AZ37" s="21" t="str">
        <f>IFERROR(VLOOKUP(May[[#This Row],[Drug Name5]],'Data Options'!$R$1:$S$100,2,FALSE), " ")</f>
        <v xml:space="preserve"> </v>
      </c>
      <c r="BA37" s="55"/>
      <c r="BB37" s="32"/>
      <c r="BC37" s="32"/>
      <c r="BD37" s="55"/>
      <c r="BE37" s="32"/>
      <c r="BF37" s="54"/>
      <c r="BG37" s="21" t="str">
        <f>IFERROR(VLOOKUP(May[[#This Row],[Drug Name6]],'Data Options'!$R$1:$S$100,2,FALSE), " ")</f>
        <v xml:space="preserve"> </v>
      </c>
      <c r="BH37" s="55"/>
      <c r="BI37" s="32"/>
      <c r="BJ37" s="32"/>
      <c r="BK37" s="55"/>
      <c r="BL37" s="32"/>
      <c r="BM37" s="32"/>
      <c r="BN37" s="32"/>
      <c r="BO37" s="32"/>
      <c r="BP37" s="32"/>
      <c r="BQ37" s="31"/>
      <c r="BR37" s="31"/>
      <c r="BS37" s="54"/>
      <c r="BT37" s="21" t="str">
        <f>IFERROR(VLOOKUP(May[[#This Row],[Drug Name7]],'Data Options'!$R$1:$S$100,2,FALSE), " ")</f>
        <v xml:space="preserve"> </v>
      </c>
      <c r="BU37" s="55"/>
      <c r="BV37" s="32"/>
      <c r="BW37" s="32"/>
      <c r="BX37" s="55"/>
      <c r="BY37" s="32"/>
      <c r="BZ37" s="54"/>
      <c r="CA37" s="21" t="str">
        <f>IFERROR(VLOOKUP(May[[#This Row],[Drug Name8]],'Data Options'!$R$1:$S$100,2,FALSE), " ")</f>
        <v xml:space="preserve"> </v>
      </c>
      <c r="CB37" s="55"/>
      <c r="CC37" s="32"/>
      <c r="CD37" s="32"/>
      <c r="CE37" s="55"/>
      <c r="CF37" s="32"/>
      <c r="CG37" s="54"/>
      <c r="CH37" s="21" t="str">
        <f>IFERROR(VLOOKUP(May[[#This Row],[Drug Name9]],'Data Options'!$R$1:$S$100,2,FALSE), " ")</f>
        <v xml:space="preserve"> </v>
      </c>
      <c r="CI37" s="55"/>
      <c r="CJ37" s="32"/>
      <c r="CK37" s="32"/>
      <c r="CL37" s="55"/>
      <c r="CM37" s="32"/>
    </row>
    <row r="38" spans="1:9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54"/>
      <c r="R38" s="21" t="str">
        <f>IFERROR(VLOOKUP(May[[#This Row],[Drug Name]],'Data Options'!$R$1:$S$100,2,FALSE), " ")</f>
        <v xml:space="preserve"> </v>
      </c>
      <c r="S38" s="55"/>
      <c r="T38" s="32"/>
      <c r="U38" s="32"/>
      <c r="V38" s="55"/>
      <c r="W38" s="32"/>
      <c r="X38" s="54"/>
      <c r="Y38" s="21" t="str">
        <f>IFERROR(VLOOKUP(May[[#This Row],[Drug Name2]],'Data Options'!$R$1:$S$100,2,FALSE), " ")</f>
        <v xml:space="preserve"> </v>
      </c>
      <c r="Z38" s="55"/>
      <c r="AA38" s="32"/>
      <c r="AB38" s="32"/>
      <c r="AC38" s="55"/>
      <c r="AD38" s="32"/>
      <c r="AE38" s="54"/>
      <c r="AF38" s="21" t="str">
        <f>IFERROR(VLOOKUP(May[[#This Row],[Drug Name3]],'Data Options'!$R$1:$S$100,2,FALSE), " ")</f>
        <v xml:space="preserve"> </v>
      </c>
      <c r="AG38" s="55"/>
      <c r="AH38" s="32"/>
      <c r="AI38" s="32"/>
      <c r="AJ38" s="55"/>
      <c r="AK38" s="32"/>
      <c r="AL38" s="32"/>
      <c r="AM38" s="32"/>
      <c r="AN38" s="32"/>
      <c r="AO38" s="32"/>
      <c r="AP38" s="31"/>
      <c r="AQ38" s="31"/>
      <c r="AR38" s="54"/>
      <c r="AS38" s="21" t="str">
        <f>IFERROR(VLOOKUP(May[[#This Row],[Drug Name4]],'Data Options'!$R$1:$S$100,2,FALSE), " ")</f>
        <v xml:space="preserve"> </v>
      </c>
      <c r="AT38" s="55"/>
      <c r="AU38" s="32"/>
      <c r="AV38" s="32"/>
      <c r="AW38" s="55"/>
      <c r="AX38" s="32"/>
      <c r="AY38" s="54"/>
      <c r="AZ38" s="21" t="str">
        <f>IFERROR(VLOOKUP(May[[#This Row],[Drug Name5]],'Data Options'!$R$1:$S$100,2,FALSE), " ")</f>
        <v xml:space="preserve"> </v>
      </c>
      <c r="BA38" s="55"/>
      <c r="BB38" s="32"/>
      <c r="BC38" s="32"/>
      <c r="BD38" s="55"/>
      <c r="BE38" s="32"/>
      <c r="BF38" s="54"/>
      <c r="BG38" s="21" t="str">
        <f>IFERROR(VLOOKUP(May[[#This Row],[Drug Name6]],'Data Options'!$R$1:$S$100,2,FALSE), " ")</f>
        <v xml:space="preserve"> </v>
      </c>
      <c r="BH38" s="55"/>
      <c r="BI38" s="32"/>
      <c r="BJ38" s="32"/>
      <c r="BK38" s="55"/>
      <c r="BL38" s="32"/>
      <c r="BM38" s="32"/>
      <c r="BN38" s="32"/>
      <c r="BO38" s="32"/>
      <c r="BP38" s="32"/>
      <c r="BQ38" s="31"/>
      <c r="BR38" s="31"/>
      <c r="BS38" s="54"/>
      <c r="BT38" s="21" t="str">
        <f>IFERROR(VLOOKUP(May[[#This Row],[Drug Name7]],'Data Options'!$R$1:$S$100,2,FALSE), " ")</f>
        <v xml:space="preserve"> </v>
      </c>
      <c r="BU38" s="55"/>
      <c r="BV38" s="32"/>
      <c r="BW38" s="32"/>
      <c r="BX38" s="55"/>
      <c r="BY38" s="32"/>
      <c r="BZ38" s="54"/>
      <c r="CA38" s="21" t="str">
        <f>IFERROR(VLOOKUP(May[[#This Row],[Drug Name8]],'Data Options'!$R$1:$S$100,2,FALSE), " ")</f>
        <v xml:space="preserve"> </v>
      </c>
      <c r="CB38" s="55"/>
      <c r="CC38" s="32"/>
      <c r="CD38" s="32"/>
      <c r="CE38" s="55"/>
      <c r="CF38" s="32"/>
      <c r="CG38" s="54"/>
      <c r="CH38" s="21" t="str">
        <f>IFERROR(VLOOKUP(May[[#This Row],[Drug Name9]],'Data Options'!$R$1:$S$100,2,FALSE), " ")</f>
        <v xml:space="preserve"> </v>
      </c>
      <c r="CI38" s="55"/>
      <c r="CJ38" s="32"/>
      <c r="CK38" s="32"/>
      <c r="CL38" s="55"/>
      <c r="CM38" s="32"/>
    </row>
    <row r="39" spans="1:9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54"/>
      <c r="R39" s="21" t="str">
        <f>IFERROR(VLOOKUP(May[[#This Row],[Drug Name]],'Data Options'!$R$1:$S$100,2,FALSE), " ")</f>
        <v xml:space="preserve"> </v>
      </c>
      <c r="S39" s="55"/>
      <c r="T39" s="32"/>
      <c r="U39" s="32"/>
      <c r="V39" s="55"/>
      <c r="W39" s="32"/>
      <c r="X39" s="54"/>
      <c r="Y39" s="21" t="str">
        <f>IFERROR(VLOOKUP(May[[#This Row],[Drug Name2]],'Data Options'!$R$1:$S$100,2,FALSE), " ")</f>
        <v xml:space="preserve"> </v>
      </c>
      <c r="Z39" s="55"/>
      <c r="AA39" s="32"/>
      <c r="AB39" s="32"/>
      <c r="AC39" s="55"/>
      <c r="AD39" s="32"/>
      <c r="AE39" s="54"/>
      <c r="AF39" s="21" t="str">
        <f>IFERROR(VLOOKUP(May[[#This Row],[Drug Name3]],'Data Options'!$R$1:$S$100,2,FALSE), " ")</f>
        <v xml:space="preserve"> </v>
      </c>
      <c r="AG39" s="55"/>
      <c r="AH39" s="32"/>
      <c r="AI39" s="32"/>
      <c r="AJ39" s="55"/>
      <c r="AK39" s="32"/>
      <c r="AL39" s="32"/>
      <c r="AM39" s="32"/>
      <c r="AN39" s="32"/>
      <c r="AO39" s="32"/>
      <c r="AP39" s="31"/>
      <c r="AQ39" s="31"/>
      <c r="AR39" s="54"/>
      <c r="AS39" s="21" t="str">
        <f>IFERROR(VLOOKUP(May[[#This Row],[Drug Name4]],'Data Options'!$R$1:$S$100,2,FALSE), " ")</f>
        <v xml:space="preserve"> </v>
      </c>
      <c r="AT39" s="55"/>
      <c r="AU39" s="32"/>
      <c r="AV39" s="32"/>
      <c r="AW39" s="55"/>
      <c r="AX39" s="32"/>
      <c r="AY39" s="54"/>
      <c r="AZ39" s="21" t="str">
        <f>IFERROR(VLOOKUP(May[[#This Row],[Drug Name5]],'Data Options'!$R$1:$S$100,2,FALSE), " ")</f>
        <v xml:space="preserve"> </v>
      </c>
      <c r="BA39" s="55"/>
      <c r="BB39" s="32"/>
      <c r="BC39" s="32"/>
      <c r="BD39" s="55"/>
      <c r="BE39" s="32"/>
      <c r="BF39" s="54"/>
      <c r="BG39" s="21" t="str">
        <f>IFERROR(VLOOKUP(May[[#This Row],[Drug Name6]],'Data Options'!$R$1:$S$100,2,FALSE), " ")</f>
        <v xml:space="preserve"> </v>
      </c>
      <c r="BH39" s="55"/>
      <c r="BI39" s="32"/>
      <c r="BJ39" s="32"/>
      <c r="BK39" s="55"/>
      <c r="BL39" s="32"/>
      <c r="BM39" s="32"/>
      <c r="BN39" s="32"/>
      <c r="BO39" s="32"/>
      <c r="BP39" s="32"/>
      <c r="BQ39" s="31"/>
      <c r="BR39" s="31"/>
      <c r="BS39" s="54"/>
      <c r="BT39" s="21" t="str">
        <f>IFERROR(VLOOKUP(May[[#This Row],[Drug Name7]],'Data Options'!$R$1:$S$100,2,FALSE), " ")</f>
        <v xml:space="preserve"> </v>
      </c>
      <c r="BU39" s="55"/>
      <c r="BV39" s="32"/>
      <c r="BW39" s="32"/>
      <c r="BX39" s="55"/>
      <c r="BY39" s="32"/>
      <c r="BZ39" s="54"/>
      <c r="CA39" s="21" t="str">
        <f>IFERROR(VLOOKUP(May[[#This Row],[Drug Name8]],'Data Options'!$R$1:$S$100,2,FALSE), " ")</f>
        <v xml:space="preserve"> </v>
      </c>
      <c r="CB39" s="55"/>
      <c r="CC39" s="32"/>
      <c r="CD39" s="32"/>
      <c r="CE39" s="55"/>
      <c r="CF39" s="32"/>
      <c r="CG39" s="54"/>
      <c r="CH39" s="21" t="str">
        <f>IFERROR(VLOOKUP(May[[#This Row],[Drug Name9]],'Data Options'!$R$1:$S$100,2,FALSE), " ")</f>
        <v xml:space="preserve"> </v>
      </c>
      <c r="CI39" s="55"/>
      <c r="CJ39" s="32"/>
      <c r="CK39" s="32"/>
      <c r="CL39" s="55"/>
      <c r="CM39" s="32"/>
    </row>
    <row r="40" spans="1:91">
      <c r="A40" s="5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54"/>
      <c r="R40" s="21" t="str">
        <f>IFERROR(VLOOKUP(May[[#This Row],[Drug Name]],'Data Options'!$R$1:$S$100,2,FALSE), " ")</f>
        <v xml:space="preserve"> </v>
      </c>
      <c r="S40" s="55"/>
      <c r="T40" s="32"/>
      <c r="U40" s="32"/>
      <c r="V40" s="55"/>
      <c r="W40" s="32"/>
      <c r="X40" s="54"/>
      <c r="Y40" s="21" t="str">
        <f>IFERROR(VLOOKUP(May[[#This Row],[Drug Name2]],'Data Options'!$R$1:$S$100,2,FALSE), " ")</f>
        <v xml:space="preserve"> </v>
      </c>
      <c r="Z40" s="55"/>
      <c r="AA40" s="32"/>
      <c r="AB40" s="32"/>
      <c r="AC40" s="55"/>
      <c r="AD40" s="32"/>
      <c r="AE40" s="54"/>
      <c r="AF40" s="21" t="str">
        <f>IFERROR(VLOOKUP(May[[#This Row],[Drug Name3]],'Data Options'!$R$1:$S$100,2,FALSE), " ")</f>
        <v xml:space="preserve"> </v>
      </c>
      <c r="AG40" s="55"/>
      <c r="AH40" s="32"/>
      <c r="AI40" s="32"/>
      <c r="AJ40" s="55"/>
      <c r="AK40" s="32"/>
      <c r="AL40" s="32"/>
      <c r="AM40" s="32"/>
      <c r="AN40" s="32"/>
      <c r="AO40" s="32"/>
      <c r="AP40" s="31"/>
      <c r="AQ40" s="31"/>
      <c r="AR40" s="54"/>
      <c r="AS40" s="21" t="str">
        <f>IFERROR(VLOOKUP(May[[#This Row],[Drug Name4]],'Data Options'!$R$1:$S$100,2,FALSE), " ")</f>
        <v xml:space="preserve"> </v>
      </c>
      <c r="AT40" s="55"/>
      <c r="AU40" s="32"/>
      <c r="AV40" s="32"/>
      <c r="AW40" s="55"/>
      <c r="AX40" s="32"/>
      <c r="AY40" s="54"/>
      <c r="AZ40" s="21" t="str">
        <f>IFERROR(VLOOKUP(May[[#This Row],[Drug Name5]],'Data Options'!$R$1:$S$100,2,FALSE), " ")</f>
        <v xml:space="preserve"> </v>
      </c>
      <c r="BA40" s="55"/>
      <c r="BB40" s="32"/>
      <c r="BC40" s="32"/>
      <c r="BD40" s="55"/>
      <c r="BE40" s="32"/>
      <c r="BF40" s="54"/>
      <c r="BG40" s="21" t="str">
        <f>IFERROR(VLOOKUP(May[[#This Row],[Drug Name6]],'Data Options'!$R$1:$S$100,2,FALSE), " ")</f>
        <v xml:space="preserve"> </v>
      </c>
      <c r="BH40" s="55"/>
      <c r="BI40" s="32"/>
      <c r="BJ40" s="32"/>
      <c r="BK40" s="55"/>
      <c r="BL40" s="32"/>
      <c r="BM40" s="32"/>
      <c r="BN40" s="32"/>
      <c r="BO40" s="32"/>
      <c r="BP40" s="32"/>
      <c r="BQ40" s="31"/>
      <c r="BR40" s="31"/>
      <c r="BS40" s="54"/>
      <c r="BT40" s="21" t="str">
        <f>IFERROR(VLOOKUP(May[[#This Row],[Drug Name7]],'Data Options'!$R$1:$S$100,2,FALSE), " ")</f>
        <v xml:space="preserve"> </v>
      </c>
      <c r="BU40" s="55"/>
      <c r="BV40" s="32"/>
      <c r="BW40" s="32"/>
      <c r="BX40" s="55"/>
      <c r="BY40" s="32"/>
      <c r="BZ40" s="54"/>
      <c r="CA40" s="21" t="str">
        <f>IFERROR(VLOOKUP(May[[#This Row],[Drug Name8]],'Data Options'!$R$1:$S$100,2,FALSE), " ")</f>
        <v xml:space="preserve"> </v>
      </c>
      <c r="CB40" s="55"/>
      <c r="CC40" s="32"/>
      <c r="CD40" s="32"/>
      <c r="CE40" s="55"/>
      <c r="CF40" s="32"/>
      <c r="CG40" s="54"/>
      <c r="CH40" s="21" t="str">
        <f>IFERROR(VLOOKUP(May[[#This Row],[Drug Name9]],'Data Options'!$R$1:$S$100,2,FALSE), " ")</f>
        <v xml:space="preserve"> </v>
      </c>
      <c r="CI40" s="55"/>
      <c r="CJ40" s="32"/>
      <c r="CK40" s="32"/>
      <c r="CL40" s="55"/>
      <c r="CM40" s="32"/>
    </row>
    <row r="41" spans="1:91">
      <c r="A41" s="5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54"/>
      <c r="R41" s="21" t="str">
        <f>IFERROR(VLOOKUP(May[[#This Row],[Drug Name]],'Data Options'!$R$1:$S$100,2,FALSE), " ")</f>
        <v xml:space="preserve"> </v>
      </c>
      <c r="S41" s="55"/>
      <c r="T41" s="32"/>
      <c r="U41" s="32"/>
      <c r="V41" s="55"/>
      <c r="W41" s="32"/>
      <c r="X41" s="54"/>
      <c r="Y41" s="21" t="str">
        <f>IFERROR(VLOOKUP(May[[#This Row],[Drug Name2]],'Data Options'!$R$1:$S$100,2,FALSE), " ")</f>
        <v xml:space="preserve"> </v>
      </c>
      <c r="Z41" s="55"/>
      <c r="AA41" s="32"/>
      <c r="AB41" s="32"/>
      <c r="AC41" s="55"/>
      <c r="AD41" s="32"/>
      <c r="AE41" s="54"/>
      <c r="AF41" s="21" t="str">
        <f>IFERROR(VLOOKUP(May[[#This Row],[Drug Name3]],'Data Options'!$R$1:$S$100,2,FALSE), " ")</f>
        <v xml:space="preserve"> </v>
      </c>
      <c r="AG41" s="55"/>
      <c r="AH41" s="32"/>
      <c r="AI41" s="32"/>
      <c r="AJ41" s="55"/>
      <c r="AK41" s="32"/>
      <c r="AL41" s="32"/>
      <c r="AM41" s="32"/>
      <c r="AN41" s="32"/>
      <c r="AO41" s="32"/>
      <c r="AP41" s="31"/>
      <c r="AQ41" s="31"/>
      <c r="AR41" s="54"/>
      <c r="AS41" s="21" t="str">
        <f>IFERROR(VLOOKUP(May[[#This Row],[Drug Name4]],'Data Options'!$R$1:$S$100,2,FALSE), " ")</f>
        <v xml:space="preserve"> </v>
      </c>
      <c r="AT41" s="55"/>
      <c r="AU41" s="32"/>
      <c r="AV41" s="32"/>
      <c r="AW41" s="55"/>
      <c r="AX41" s="32"/>
      <c r="AY41" s="54"/>
      <c r="AZ41" s="21" t="str">
        <f>IFERROR(VLOOKUP(May[[#This Row],[Drug Name5]],'Data Options'!$R$1:$S$100,2,FALSE), " ")</f>
        <v xml:space="preserve"> </v>
      </c>
      <c r="BA41" s="55"/>
      <c r="BB41" s="32"/>
      <c r="BC41" s="32"/>
      <c r="BD41" s="55"/>
      <c r="BE41" s="32"/>
      <c r="BF41" s="54"/>
      <c r="BG41" s="21" t="str">
        <f>IFERROR(VLOOKUP(May[[#This Row],[Drug Name6]],'Data Options'!$R$1:$S$100,2,FALSE), " ")</f>
        <v xml:space="preserve"> </v>
      </c>
      <c r="BH41" s="55"/>
      <c r="BI41" s="32"/>
      <c r="BJ41" s="32"/>
      <c r="BK41" s="55"/>
      <c r="BL41" s="32"/>
      <c r="BM41" s="32"/>
      <c r="BN41" s="32"/>
      <c r="BO41" s="32"/>
      <c r="BP41" s="32"/>
      <c r="BQ41" s="31"/>
      <c r="BR41" s="31"/>
      <c r="BS41" s="54"/>
      <c r="BT41" s="21" t="str">
        <f>IFERROR(VLOOKUP(May[[#This Row],[Drug Name7]],'Data Options'!$R$1:$S$100,2,FALSE), " ")</f>
        <v xml:space="preserve"> </v>
      </c>
      <c r="BU41" s="55"/>
      <c r="BV41" s="32"/>
      <c r="BW41" s="32"/>
      <c r="BX41" s="55"/>
      <c r="BY41" s="32"/>
      <c r="BZ41" s="54"/>
      <c r="CA41" s="21" t="str">
        <f>IFERROR(VLOOKUP(May[[#This Row],[Drug Name8]],'Data Options'!$R$1:$S$100,2,FALSE), " ")</f>
        <v xml:space="preserve"> </v>
      </c>
      <c r="CB41" s="55"/>
      <c r="CC41" s="32"/>
      <c r="CD41" s="32"/>
      <c r="CE41" s="55"/>
      <c r="CF41" s="32"/>
      <c r="CG41" s="54"/>
      <c r="CH41" s="21" t="str">
        <f>IFERROR(VLOOKUP(May[[#This Row],[Drug Name9]],'Data Options'!$R$1:$S$100,2,FALSE), " ")</f>
        <v xml:space="preserve"> </v>
      </c>
      <c r="CI41" s="55"/>
      <c r="CJ41" s="32"/>
      <c r="CK41" s="32"/>
      <c r="CL41" s="55"/>
      <c r="CM41" s="32"/>
    </row>
    <row r="42" spans="1:91">
      <c r="A42" s="5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54"/>
      <c r="R42" s="21" t="str">
        <f>IFERROR(VLOOKUP(May[[#This Row],[Drug Name]],'Data Options'!$R$1:$S$100,2,FALSE), " ")</f>
        <v xml:space="preserve"> </v>
      </c>
      <c r="S42" s="55"/>
      <c r="T42" s="32"/>
      <c r="U42" s="32"/>
      <c r="V42" s="55"/>
      <c r="W42" s="32"/>
      <c r="X42" s="54"/>
      <c r="Y42" s="21" t="str">
        <f>IFERROR(VLOOKUP(May[[#This Row],[Drug Name2]],'Data Options'!$R$1:$S$100,2,FALSE), " ")</f>
        <v xml:space="preserve"> </v>
      </c>
      <c r="Z42" s="55"/>
      <c r="AA42" s="32"/>
      <c r="AB42" s="32"/>
      <c r="AC42" s="55"/>
      <c r="AD42" s="32"/>
      <c r="AE42" s="54"/>
      <c r="AF42" s="21" t="str">
        <f>IFERROR(VLOOKUP(May[[#This Row],[Drug Name3]],'Data Options'!$R$1:$S$100,2,FALSE), " ")</f>
        <v xml:space="preserve"> </v>
      </c>
      <c r="AG42" s="55"/>
      <c r="AH42" s="32"/>
      <c r="AI42" s="32"/>
      <c r="AJ42" s="55"/>
      <c r="AK42" s="32"/>
      <c r="AL42" s="32"/>
      <c r="AM42" s="32"/>
      <c r="AN42" s="32"/>
      <c r="AO42" s="32"/>
      <c r="AP42" s="31"/>
      <c r="AQ42" s="31"/>
      <c r="AR42" s="54"/>
      <c r="AS42" s="21" t="str">
        <f>IFERROR(VLOOKUP(May[[#This Row],[Drug Name4]],'Data Options'!$R$1:$S$100,2,FALSE), " ")</f>
        <v xml:space="preserve"> </v>
      </c>
      <c r="AT42" s="55"/>
      <c r="AU42" s="32"/>
      <c r="AV42" s="32"/>
      <c r="AW42" s="55"/>
      <c r="AX42" s="32"/>
      <c r="AY42" s="54"/>
      <c r="AZ42" s="21" t="str">
        <f>IFERROR(VLOOKUP(May[[#This Row],[Drug Name5]],'Data Options'!$R$1:$S$100,2,FALSE), " ")</f>
        <v xml:space="preserve"> </v>
      </c>
      <c r="BA42" s="55"/>
      <c r="BB42" s="32"/>
      <c r="BC42" s="32"/>
      <c r="BD42" s="55"/>
      <c r="BE42" s="32"/>
      <c r="BF42" s="54"/>
      <c r="BG42" s="21" t="str">
        <f>IFERROR(VLOOKUP(May[[#This Row],[Drug Name6]],'Data Options'!$R$1:$S$100,2,FALSE), " ")</f>
        <v xml:space="preserve"> </v>
      </c>
      <c r="BH42" s="55"/>
      <c r="BI42" s="32"/>
      <c r="BJ42" s="32"/>
      <c r="BK42" s="55"/>
      <c r="BL42" s="32"/>
      <c r="BM42" s="32"/>
      <c r="BN42" s="32"/>
      <c r="BO42" s="32"/>
      <c r="BP42" s="32"/>
      <c r="BQ42" s="31"/>
      <c r="BR42" s="31"/>
      <c r="BS42" s="54"/>
      <c r="BT42" s="21" t="str">
        <f>IFERROR(VLOOKUP(May[[#This Row],[Drug Name7]],'Data Options'!$R$1:$S$100,2,FALSE), " ")</f>
        <v xml:space="preserve"> </v>
      </c>
      <c r="BU42" s="55"/>
      <c r="BV42" s="32"/>
      <c r="BW42" s="32"/>
      <c r="BX42" s="55"/>
      <c r="BY42" s="32"/>
      <c r="BZ42" s="54"/>
      <c r="CA42" s="21" t="str">
        <f>IFERROR(VLOOKUP(May[[#This Row],[Drug Name8]],'Data Options'!$R$1:$S$100,2,FALSE), " ")</f>
        <v xml:space="preserve"> </v>
      </c>
      <c r="CB42" s="55"/>
      <c r="CC42" s="32"/>
      <c r="CD42" s="32"/>
      <c r="CE42" s="55"/>
      <c r="CF42" s="32"/>
      <c r="CG42" s="54"/>
      <c r="CH42" s="21" t="str">
        <f>IFERROR(VLOOKUP(May[[#This Row],[Drug Name9]],'Data Options'!$R$1:$S$100,2,FALSE), " ")</f>
        <v xml:space="preserve"> </v>
      </c>
      <c r="CI42" s="55"/>
      <c r="CJ42" s="32"/>
      <c r="CK42" s="32"/>
      <c r="CL42" s="55"/>
      <c r="CM42" s="32"/>
    </row>
    <row r="43" spans="1:91">
      <c r="A43" s="5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54"/>
      <c r="R43" s="21" t="str">
        <f>IFERROR(VLOOKUP(May[[#This Row],[Drug Name]],'Data Options'!$R$1:$S$100,2,FALSE), " ")</f>
        <v xml:space="preserve"> </v>
      </c>
      <c r="S43" s="55"/>
      <c r="T43" s="32"/>
      <c r="U43" s="32"/>
      <c r="V43" s="55"/>
      <c r="W43" s="32"/>
      <c r="X43" s="54"/>
      <c r="Y43" s="21" t="str">
        <f>IFERROR(VLOOKUP(May[[#This Row],[Drug Name2]],'Data Options'!$R$1:$S$100,2,FALSE), " ")</f>
        <v xml:space="preserve"> </v>
      </c>
      <c r="Z43" s="55"/>
      <c r="AA43" s="32"/>
      <c r="AB43" s="32"/>
      <c r="AC43" s="55"/>
      <c r="AD43" s="32"/>
      <c r="AE43" s="54"/>
      <c r="AF43" s="21" t="str">
        <f>IFERROR(VLOOKUP(May[[#This Row],[Drug Name3]],'Data Options'!$R$1:$S$100,2,FALSE), " ")</f>
        <v xml:space="preserve"> </v>
      </c>
      <c r="AG43" s="55"/>
      <c r="AH43" s="32"/>
      <c r="AI43" s="32"/>
      <c r="AJ43" s="55"/>
      <c r="AK43" s="32"/>
      <c r="AL43" s="32"/>
      <c r="AM43" s="32"/>
      <c r="AN43" s="32"/>
      <c r="AO43" s="32"/>
      <c r="AP43" s="31"/>
      <c r="AQ43" s="31"/>
      <c r="AR43" s="54"/>
      <c r="AS43" s="21" t="str">
        <f>IFERROR(VLOOKUP(May[[#This Row],[Drug Name4]],'Data Options'!$R$1:$S$100,2,FALSE), " ")</f>
        <v xml:space="preserve"> </v>
      </c>
      <c r="AT43" s="55"/>
      <c r="AU43" s="32"/>
      <c r="AV43" s="32"/>
      <c r="AW43" s="55"/>
      <c r="AX43" s="32"/>
      <c r="AY43" s="54"/>
      <c r="AZ43" s="21" t="str">
        <f>IFERROR(VLOOKUP(May[[#This Row],[Drug Name5]],'Data Options'!$R$1:$S$100,2,FALSE), " ")</f>
        <v xml:space="preserve"> </v>
      </c>
      <c r="BA43" s="55"/>
      <c r="BB43" s="32"/>
      <c r="BC43" s="32"/>
      <c r="BD43" s="55"/>
      <c r="BE43" s="32"/>
      <c r="BF43" s="54"/>
      <c r="BG43" s="21" t="str">
        <f>IFERROR(VLOOKUP(May[[#This Row],[Drug Name6]],'Data Options'!$R$1:$S$100,2,FALSE), " ")</f>
        <v xml:space="preserve"> </v>
      </c>
      <c r="BH43" s="55"/>
      <c r="BI43" s="32"/>
      <c r="BJ43" s="32"/>
      <c r="BK43" s="55"/>
      <c r="BL43" s="32"/>
      <c r="BM43" s="32"/>
      <c r="BN43" s="32"/>
      <c r="BO43" s="32"/>
      <c r="BP43" s="32"/>
      <c r="BQ43" s="31"/>
      <c r="BR43" s="31"/>
      <c r="BS43" s="54"/>
      <c r="BT43" s="21" t="str">
        <f>IFERROR(VLOOKUP(May[[#This Row],[Drug Name7]],'Data Options'!$R$1:$S$100,2,FALSE), " ")</f>
        <v xml:space="preserve"> </v>
      </c>
      <c r="BU43" s="55"/>
      <c r="BV43" s="32"/>
      <c r="BW43" s="32"/>
      <c r="BX43" s="55"/>
      <c r="BY43" s="32"/>
      <c r="BZ43" s="54"/>
      <c r="CA43" s="21" t="str">
        <f>IFERROR(VLOOKUP(May[[#This Row],[Drug Name8]],'Data Options'!$R$1:$S$100,2,FALSE), " ")</f>
        <v xml:space="preserve"> </v>
      </c>
      <c r="CB43" s="55"/>
      <c r="CC43" s="32"/>
      <c r="CD43" s="32"/>
      <c r="CE43" s="55"/>
      <c r="CF43" s="32"/>
      <c r="CG43" s="54"/>
      <c r="CH43" s="21" t="str">
        <f>IFERROR(VLOOKUP(May[[#This Row],[Drug Name9]],'Data Options'!$R$1:$S$100,2,FALSE), " ")</f>
        <v xml:space="preserve"> </v>
      </c>
      <c r="CI43" s="55"/>
      <c r="CJ43" s="32"/>
      <c r="CK43" s="32"/>
      <c r="CL43" s="55"/>
      <c r="CM43" s="32"/>
    </row>
    <row r="44" spans="1:9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54"/>
      <c r="R44" s="21" t="str">
        <f>IFERROR(VLOOKUP(May[[#This Row],[Drug Name]],'Data Options'!$R$1:$S$100,2,FALSE), " ")</f>
        <v xml:space="preserve"> </v>
      </c>
      <c r="S44" s="55"/>
      <c r="T44" s="32"/>
      <c r="U44" s="32"/>
      <c r="V44" s="55"/>
      <c r="W44" s="32"/>
      <c r="X44" s="54"/>
      <c r="Y44" s="21" t="str">
        <f>IFERROR(VLOOKUP(May[[#This Row],[Drug Name2]],'Data Options'!$R$1:$S$100,2,FALSE), " ")</f>
        <v xml:space="preserve"> </v>
      </c>
      <c r="Z44" s="55"/>
      <c r="AA44" s="32"/>
      <c r="AB44" s="32"/>
      <c r="AC44" s="55"/>
      <c r="AD44" s="32"/>
      <c r="AE44" s="54"/>
      <c r="AF44" s="21" t="str">
        <f>IFERROR(VLOOKUP(May[[#This Row],[Drug Name3]],'Data Options'!$R$1:$S$100,2,FALSE), " ")</f>
        <v xml:space="preserve"> </v>
      </c>
      <c r="AG44" s="55"/>
      <c r="AH44" s="32"/>
      <c r="AI44" s="32"/>
      <c r="AJ44" s="55"/>
      <c r="AK44" s="32"/>
      <c r="AL44" s="32"/>
      <c r="AM44" s="32"/>
      <c r="AN44" s="32"/>
      <c r="AO44" s="32"/>
      <c r="AP44" s="31"/>
      <c r="AQ44" s="31"/>
      <c r="AR44" s="54"/>
      <c r="AS44" s="21" t="str">
        <f>IFERROR(VLOOKUP(May[[#This Row],[Drug Name4]],'Data Options'!$R$1:$S$100,2,FALSE), " ")</f>
        <v xml:space="preserve"> </v>
      </c>
      <c r="AT44" s="55"/>
      <c r="AU44" s="32"/>
      <c r="AV44" s="32"/>
      <c r="AW44" s="55"/>
      <c r="AX44" s="32"/>
      <c r="AY44" s="54"/>
      <c r="AZ44" s="21" t="str">
        <f>IFERROR(VLOOKUP(May[[#This Row],[Drug Name5]],'Data Options'!$R$1:$S$100,2,FALSE), " ")</f>
        <v xml:space="preserve"> </v>
      </c>
      <c r="BA44" s="55"/>
      <c r="BB44" s="32"/>
      <c r="BC44" s="32"/>
      <c r="BD44" s="55"/>
      <c r="BE44" s="32"/>
      <c r="BF44" s="54"/>
      <c r="BG44" s="21" t="str">
        <f>IFERROR(VLOOKUP(May[[#This Row],[Drug Name6]],'Data Options'!$R$1:$S$100,2,FALSE), " ")</f>
        <v xml:space="preserve"> </v>
      </c>
      <c r="BH44" s="55"/>
      <c r="BI44" s="32"/>
      <c r="BJ44" s="32"/>
      <c r="BK44" s="55"/>
      <c r="BL44" s="32"/>
      <c r="BM44" s="32"/>
      <c r="BN44" s="32"/>
      <c r="BO44" s="32"/>
      <c r="BP44" s="32"/>
      <c r="BQ44" s="31"/>
      <c r="BR44" s="31"/>
      <c r="BS44" s="54"/>
      <c r="BT44" s="21" t="str">
        <f>IFERROR(VLOOKUP(May[[#This Row],[Drug Name7]],'Data Options'!$R$1:$S$100,2,FALSE), " ")</f>
        <v xml:space="preserve"> </v>
      </c>
      <c r="BU44" s="55"/>
      <c r="BV44" s="32"/>
      <c r="BW44" s="32"/>
      <c r="BX44" s="55"/>
      <c r="BY44" s="32"/>
      <c r="BZ44" s="54"/>
      <c r="CA44" s="21" t="str">
        <f>IFERROR(VLOOKUP(May[[#This Row],[Drug Name8]],'Data Options'!$R$1:$S$100,2,FALSE), " ")</f>
        <v xml:space="preserve"> </v>
      </c>
      <c r="CB44" s="55"/>
      <c r="CC44" s="32"/>
      <c r="CD44" s="32"/>
      <c r="CE44" s="55"/>
      <c r="CF44" s="32"/>
      <c r="CG44" s="54"/>
      <c r="CH44" s="21" t="str">
        <f>IFERROR(VLOOKUP(May[[#This Row],[Drug Name9]],'Data Options'!$R$1:$S$100,2,FALSE), " ")</f>
        <v xml:space="preserve"> </v>
      </c>
      <c r="CI44" s="55"/>
      <c r="CJ44" s="32"/>
      <c r="CK44" s="32"/>
      <c r="CL44" s="55"/>
      <c r="CM44" s="32"/>
    </row>
    <row r="45" spans="1:91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54"/>
      <c r="R45" s="21" t="str">
        <f>IFERROR(VLOOKUP(May[[#This Row],[Drug Name]],'Data Options'!$R$1:$S$100,2,FALSE), " ")</f>
        <v xml:space="preserve"> </v>
      </c>
      <c r="S45" s="55"/>
      <c r="T45" s="32"/>
      <c r="U45" s="32"/>
      <c r="V45" s="55"/>
      <c r="W45" s="32"/>
      <c r="X45" s="54"/>
      <c r="Y45" s="21" t="str">
        <f>IFERROR(VLOOKUP(May[[#This Row],[Drug Name2]],'Data Options'!$R$1:$S$100,2,FALSE), " ")</f>
        <v xml:space="preserve"> </v>
      </c>
      <c r="Z45" s="55"/>
      <c r="AA45" s="32"/>
      <c r="AB45" s="32"/>
      <c r="AC45" s="55"/>
      <c r="AD45" s="32"/>
      <c r="AE45" s="54"/>
      <c r="AF45" s="21" t="str">
        <f>IFERROR(VLOOKUP(May[[#This Row],[Drug Name3]],'Data Options'!$R$1:$S$100,2,FALSE), " ")</f>
        <v xml:space="preserve"> </v>
      </c>
      <c r="AG45" s="55"/>
      <c r="AH45" s="32"/>
      <c r="AI45" s="32"/>
      <c r="AJ45" s="55"/>
      <c r="AK45" s="32"/>
      <c r="AL45" s="32"/>
      <c r="AM45" s="32"/>
      <c r="AN45" s="32"/>
      <c r="AO45" s="32"/>
      <c r="AP45" s="31"/>
      <c r="AQ45" s="31"/>
      <c r="AR45" s="54"/>
      <c r="AS45" s="21" t="str">
        <f>IFERROR(VLOOKUP(May[[#This Row],[Drug Name4]],'Data Options'!$R$1:$S$100,2,FALSE), " ")</f>
        <v xml:space="preserve"> </v>
      </c>
      <c r="AT45" s="55"/>
      <c r="AU45" s="32"/>
      <c r="AV45" s="32"/>
      <c r="AW45" s="55"/>
      <c r="AX45" s="32"/>
      <c r="AY45" s="54"/>
      <c r="AZ45" s="21" t="str">
        <f>IFERROR(VLOOKUP(May[[#This Row],[Drug Name5]],'Data Options'!$R$1:$S$100,2,FALSE), " ")</f>
        <v xml:space="preserve"> </v>
      </c>
      <c r="BA45" s="55"/>
      <c r="BB45" s="32"/>
      <c r="BC45" s="32"/>
      <c r="BD45" s="55"/>
      <c r="BE45" s="32"/>
      <c r="BF45" s="54"/>
      <c r="BG45" s="21" t="str">
        <f>IFERROR(VLOOKUP(May[[#This Row],[Drug Name6]],'Data Options'!$R$1:$S$100,2,FALSE), " ")</f>
        <v xml:space="preserve"> </v>
      </c>
      <c r="BH45" s="55"/>
      <c r="BI45" s="32"/>
      <c r="BJ45" s="32"/>
      <c r="BK45" s="55"/>
      <c r="BL45" s="32"/>
      <c r="BM45" s="32"/>
      <c r="BN45" s="32"/>
      <c r="BO45" s="32"/>
      <c r="BP45" s="32"/>
      <c r="BQ45" s="31"/>
      <c r="BR45" s="31"/>
      <c r="BS45" s="54"/>
      <c r="BT45" s="21" t="str">
        <f>IFERROR(VLOOKUP(May[[#This Row],[Drug Name7]],'Data Options'!$R$1:$S$100,2,FALSE), " ")</f>
        <v xml:space="preserve"> </v>
      </c>
      <c r="BU45" s="55"/>
      <c r="BV45" s="32"/>
      <c r="BW45" s="32"/>
      <c r="BX45" s="55"/>
      <c r="BY45" s="32"/>
      <c r="BZ45" s="54"/>
      <c r="CA45" s="21" t="str">
        <f>IFERROR(VLOOKUP(May[[#This Row],[Drug Name8]],'Data Options'!$R$1:$S$100,2,FALSE), " ")</f>
        <v xml:space="preserve"> </v>
      </c>
      <c r="CB45" s="55"/>
      <c r="CC45" s="32"/>
      <c r="CD45" s="32"/>
      <c r="CE45" s="55"/>
      <c r="CF45" s="32"/>
      <c r="CG45" s="54"/>
      <c r="CH45" s="21" t="str">
        <f>IFERROR(VLOOKUP(May[[#This Row],[Drug Name9]],'Data Options'!$R$1:$S$100,2,FALSE), " ")</f>
        <v xml:space="preserve"> </v>
      </c>
      <c r="CI45" s="55"/>
      <c r="CJ45" s="32"/>
      <c r="CK45" s="32"/>
      <c r="CL45" s="55"/>
      <c r="CM45" s="32"/>
    </row>
    <row r="46" spans="1:91">
      <c r="A46" s="5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54"/>
      <c r="R46" s="21" t="str">
        <f>IFERROR(VLOOKUP(May[[#This Row],[Drug Name]],'Data Options'!$R$1:$S$100,2,FALSE), " ")</f>
        <v xml:space="preserve"> </v>
      </c>
      <c r="S46" s="55"/>
      <c r="T46" s="32"/>
      <c r="U46" s="32"/>
      <c r="V46" s="55"/>
      <c r="W46" s="32"/>
      <c r="X46" s="54"/>
      <c r="Y46" s="21" t="str">
        <f>IFERROR(VLOOKUP(May[[#This Row],[Drug Name2]],'Data Options'!$R$1:$S$100,2,FALSE), " ")</f>
        <v xml:space="preserve"> </v>
      </c>
      <c r="Z46" s="55"/>
      <c r="AA46" s="32"/>
      <c r="AB46" s="32"/>
      <c r="AC46" s="55"/>
      <c r="AD46" s="32"/>
      <c r="AE46" s="54"/>
      <c r="AF46" s="21" t="str">
        <f>IFERROR(VLOOKUP(May[[#This Row],[Drug Name3]],'Data Options'!$R$1:$S$100,2,FALSE), " ")</f>
        <v xml:space="preserve"> </v>
      </c>
      <c r="AG46" s="55"/>
      <c r="AH46" s="32"/>
      <c r="AI46" s="32"/>
      <c r="AJ46" s="55"/>
      <c r="AK46" s="32"/>
      <c r="AL46" s="32"/>
      <c r="AM46" s="32"/>
      <c r="AN46" s="32"/>
      <c r="AO46" s="32"/>
      <c r="AP46" s="31"/>
      <c r="AQ46" s="31"/>
      <c r="AR46" s="54"/>
      <c r="AS46" s="21" t="str">
        <f>IFERROR(VLOOKUP(May[[#This Row],[Drug Name4]],'Data Options'!$R$1:$S$100,2,FALSE), " ")</f>
        <v xml:space="preserve"> </v>
      </c>
      <c r="AT46" s="55"/>
      <c r="AU46" s="32"/>
      <c r="AV46" s="32"/>
      <c r="AW46" s="55"/>
      <c r="AX46" s="32"/>
      <c r="AY46" s="54"/>
      <c r="AZ46" s="21" t="str">
        <f>IFERROR(VLOOKUP(May[[#This Row],[Drug Name5]],'Data Options'!$R$1:$S$100,2,FALSE), " ")</f>
        <v xml:space="preserve"> </v>
      </c>
      <c r="BA46" s="55"/>
      <c r="BB46" s="32"/>
      <c r="BC46" s="32"/>
      <c r="BD46" s="55"/>
      <c r="BE46" s="32"/>
      <c r="BF46" s="54"/>
      <c r="BG46" s="21" t="str">
        <f>IFERROR(VLOOKUP(May[[#This Row],[Drug Name6]],'Data Options'!$R$1:$S$100,2,FALSE), " ")</f>
        <v xml:space="preserve"> </v>
      </c>
      <c r="BH46" s="55"/>
      <c r="BI46" s="32"/>
      <c r="BJ46" s="32"/>
      <c r="BK46" s="55"/>
      <c r="BL46" s="32"/>
      <c r="BM46" s="32"/>
      <c r="BN46" s="32"/>
      <c r="BO46" s="32"/>
      <c r="BP46" s="32"/>
      <c r="BQ46" s="31"/>
      <c r="BR46" s="31"/>
      <c r="BS46" s="54"/>
      <c r="BT46" s="21" t="str">
        <f>IFERROR(VLOOKUP(May[[#This Row],[Drug Name7]],'Data Options'!$R$1:$S$100,2,FALSE), " ")</f>
        <v xml:space="preserve"> </v>
      </c>
      <c r="BU46" s="55"/>
      <c r="BV46" s="32"/>
      <c r="BW46" s="32"/>
      <c r="BX46" s="55"/>
      <c r="BY46" s="32"/>
      <c r="BZ46" s="54"/>
      <c r="CA46" s="21" t="str">
        <f>IFERROR(VLOOKUP(May[[#This Row],[Drug Name8]],'Data Options'!$R$1:$S$100,2,FALSE), " ")</f>
        <v xml:space="preserve"> </v>
      </c>
      <c r="CB46" s="55"/>
      <c r="CC46" s="32"/>
      <c r="CD46" s="32"/>
      <c r="CE46" s="55"/>
      <c r="CF46" s="32"/>
      <c r="CG46" s="54"/>
      <c r="CH46" s="21" t="str">
        <f>IFERROR(VLOOKUP(May[[#This Row],[Drug Name9]],'Data Options'!$R$1:$S$100,2,FALSE), " ")</f>
        <v xml:space="preserve"> </v>
      </c>
      <c r="CI46" s="55"/>
      <c r="CJ46" s="32"/>
      <c r="CK46" s="32"/>
      <c r="CL46" s="55"/>
      <c r="CM46" s="32"/>
    </row>
    <row r="47" spans="1:9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54"/>
      <c r="R47" s="21" t="str">
        <f>IFERROR(VLOOKUP(May[[#This Row],[Drug Name]],'Data Options'!$R$1:$S$100,2,FALSE), " ")</f>
        <v xml:space="preserve"> </v>
      </c>
      <c r="S47" s="55"/>
      <c r="T47" s="32"/>
      <c r="U47" s="32"/>
      <c r="V47" s="55"/>
      <c r="W47" s="32"/>
      <c r="X47" s="54"/>
      <c r="Y47" s="21" t="str">
        <f>IFERROR(VLOOKUP(May[[#This Row],[Drug Name2]],'Data Options'!$R$1:$S$100,2,FALSE), " ")</f>
        <v xml:space="preserve"> </v>
      </c>
      <c r="Z47" s="55"/>
      <c r="AA47" s="32"/>
      <c r="AB47" s="32"/>
      <c r="AC47" s="55"/>
      <c r="AD47" s="32"/>
      <c r="AE47" s="54"/>
      <c r="AF47" s="21" t="str">
        <f>IFERROR(VLOOKUP(May[[#This Row],[Drug Name3]],'Data Options'!$R$1:$S$100,2,FALSE), " ")</f>
        <v xml:space="preserve"> </v>
      </c>
      <c r="AG47" s="55"/>
      <c r="AH47" s="32"/>
      <c r="AI47" s="32"/>
      <c r="AJ47" s="55"/>
      <c r="AK47" s="32"/>
      <c r="AL47" s="32"/>
      <c r="AM47" s="32"/>
      <c r="AN47" s="32"/>
      <c r="AO47" s="32"/>
      <c r="AP47" s="31"/>
      <c r="AQ47" s="31"/>
      <c r="AR47" s="54"/>
      <c r="AS47" s="21" t="str">
        <f>IFERROR(VLOOKUP(May[[#This Row],[Drug Name4]],'Data Options'!$R$1:$S$100,2,FALSE), " ")</f>
        <v xml:space="preserve"> </v>
      </c>
      <c r="AT47" s="55"/>
      <c r="AU47" s="32"/>
      <c r="AV47" s="32"/>
      <c r="AW47" s="55"/>
      <c r="AX47" s="32"/>
      <c r="AY47" s="54"/>
      <c r="AZ47" s="21" t="str">
        <f>IFERROR(VLOOKUP(May[[#This Row],[Drug Name5]],'Data Options'!$R$1:$S$100,2,FALSE), " ")</f>
        <v xml:space="preserve"> </v>
      </c>
      <c r="BA47" s="55"/>
      <c r="BB47" s="32"/>
      <c r="BC47" s="32"/>
      <c r="BD47" s="55"/>
      <c r="BE47" s="32"/>
      <c r="BF47" s="54"/>
      <c r="BG47" s="21" t="str">
        <f>IFERROR(VLOOKUP(May[[#This Row],[Drug Name6]],'Data Options'!$R$1:$S$100,2,FALSE), " ")</f>
        <v xml:space="preserve"> </v>
      </c>
      <c r="BH47" s="55"/>
      <c r="BI47" s="32"/>
      <c r="BJ47" s="32"/>
      <c r="BK47" s="55"/>
      <c r="BL47" s="32"/>
      <c r="BM47" s="32"/>
      <c r="BN47" s="32"/>
      <c r="BO47" s="32"/>
      <c r="BP47" s="32"/>
      <c r="BQ47" s="31"/>
      <c r="BR47" s="31"/>
      <c r="BS47" s="54"/>
      <c r="BT47" s="21" t="str">
        <f>IFERROR(VLOOKUP(May[[#This Row],[Drug Name7]],'Data Options'!$R$1:$S$100,2,FALSE), " ")</f>
        <v xml:space="preserve"> </v>
      </c>
      <c r="BU47" s="55"/>
      <c r="BV47" s="32"/>
      <c r="BW47" s="32"/>
      <c r="BX47" s="55"/>
      <c r="BY47" s="32"/>
      <c r="BZ47" s="54"/>
      <c r="CA47" s="21" t="str">
        <f>IFERROR(VLOOKUP(May[[#This Row],[Drug Name8]],'Data Options'!$R$1:$S$100,2,FALSE), " ")</f>
        <v xml:space="preserve"> </v>
      </c>
      <c r="CB47" s="55"/>
      <c r="CC47" s="32"/>
      <c r="CD47" s="32"/>
      <c r="CE47" s="55"/>
      <c r="CF47" s="32"/>
      <c r="CG47" s="54"/>
      <c r="CH47" s="21" t="str">
        <f>IFERROR(VLOOKUP(May[[#This Row],[Drug Name9]],'Data Options'!$R$1:$S$100,2,FALSE), " ")</f>
        <v xml:space="preserve"> </v>
      </c>
      <c r="CI47" s="55"/>
      <c r="CJ47" s="32"/>
      <c r="CK47" s="32"/>
      <c r="CL47" s="55"/>
      <c r="CM47" s="32"/>
    </row>
    <row r="48" spans="1:9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54"/>
      <c r="R48" s="21" t="str">
        <f>IFERROR(VLOOKUP(May[[#This Row],[Drug Name]],'Data Options'!$R$1:$S$100,2,FALSE), " ")</f>
        <v xml:space="preserve"> </v>
      </c>
      <c r="S48" s="55"/>
      <c r="T48" s="32"/>
      <c r="U48" s="32"/>
      <c r="V48" s="55"/>
      <c r="W48" s="32"/>
      <c r="X48" s="54"/>
      <c r="Y48" s="21" t="str">
        <f>IFERROR(VLOOKUP(May[[#This Row],[Drug Name2]],'Data Options'!$R$1:$S$100,2,FALSE), " ")</f>
        <v xml:space="preserve"> </v>
      </c>
      <c r="Z48" s="55"/>
      <c r="AA48" s="32"/>
      <c r="AB48" s="32"/>
      <c r="AC48" s="55"/>
      <c r="AD48" s="32"/>
      <c r="AE48" s="54"/>
      <c r="AF48" s="21" t="str">
        <f>IFERROR(VLOOKUP(May[[#This Row],[Drug Name3]],'Data Options'!$R$1:$S$100,2,FALSE), " ")</f>
        <v xml:space="preserve"> </v>
      </c>
      <c r="AG48" s="55"/>
      <c r="AH48" s="32"/>
      <c r="AI48" s="32"/>
      <c r="AJ48" s="55"/>
      <c r="AK48" s="32"/>
      <c r="AL48" s="32"/>
      <c r="AM48" s="32"/>
      <c r="AN48" s="32"/>
      <c r="AO48" s="32"/>
      <c r="AP48" s="31"/>
      <c r="AQ48" s="31"/>
      <c r="AR48" s="54"/>
      <c r="AS48" s="21" t="str">
        <f>IFERROR(VLOOKUP(May[[#This Row],[Drug Name4]],'Data Options'!$R$1:$S$100,2,FALSE), " ")</f>
        <v xml:space="preserve"> </v>
      </c>
      <c r="AT48" s="55"/>
      <c r="AU48" s="32"/>
      <c r="AV48" s="32"/>
      <c r="AW48" s="55"/>
      <c r="AX48" s="32"/>
      <c r="AY48" s="54"/>
      <c r="AZ48" s="21" t="str">
        <f>IFERROR(VLOOKUP(May[[#This Row],[Drug Name5]],'Data Options'!$R$1:$S$100,2,FALSE), " ")</f>
        <v xml:space="preserve"> </v>
      </c>
      <c r="BA48" s="55"/>
      <c r="BB48" s="32"/>
      <c r="BC48" s="32"/>
      <c r="BD48" s="55"/>
      <c r="BE48" s="32"/>
      <c r="BF48" s="54"/>
      <c r="BG48" s="21" t="str">
        <f>IFERROR(VLOOKUP(May[[#This Row],[Drug Name6]],'Data Options'!$R$1:$S$100,2,FALSE), " ")</f>
        <v xml:space="preserve"> </v>
      </c>
      <c r="BH48" s="55"/>
      <c r="BI48" s="32"/>
      <c r="BJ48" s="32"/>
      <c r="BK48" s="55"/>
      <c r="BL48" s="32"/>
      <c r="BM48" s="32"/>
      <c r="BN48" s="32"/>
      <c r="BO48" s="32"/>
      <c r="BP48" s="32"/>
      <c r="BQ48" s="31"/>
      <c r="BR48" s="31"/>
      <c r="BS48" s="54"/>
      <c r="BT48" s="21" t="str">
        <f>IFERROR(VLOOKUP(May[[#This Row],[Drug Name7]],'Data Options'!$R$1:$S$100,2,FALSE), " ")</f>
        <v xml:space="preserve"> </v>
      </c>
      <c r="BU48" s="55"/>
      <c r="BV48" s="32"/>
      <c r="BW48" s="32"/>
      <c r="BX48" s="55"/>
      <c r="BY48" s="32"/>
      <c r="BZ48" s="54"/>
      <c r="CA48" s="21" t="str">
        <f>IFERROR(VLOOKUP(May[[#This Row],[Drug Name8]],'Data Options'!$R$1:$S$100,2,FALSE), " ")</f>
        <v xml:space="preserve"> </v>
      </c>
      <c r="CB48" s="55"/>
      <c r="CC48" s="32"/>
      <c r="CD48" s="32"/>
      <c r="CE48" s="55"/>
      <c r="CF48" s="32"/>
      <c r="CG48" s="54"/>
      <c r="CH48" s="21" t="str">
        <f>IFERROR(VLOOKUP(May[[#This Row],[Drug Name9]],'Data Options'!$R$1:$S$100,2,FALSE), " ")</f>
        <v xml:space="preserve"> </v>
      </c>
      <c r="CI48" s="55"/>
      <c r="CJ48" s="32"/>
      <c r="CK48" s="32"/>
      <c r="CL48" s="55"/>
      <c r="CM48" s="32"/>
    </row>
    <row r="49" spans="1:9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54"/>
      <c r="R49" s="21" t="str">
        <f>IFERROR(VLOOKUP(May[[#This Row],[Drug Name]],'Data Options'!$R$1:$S$100,2,FALSE), " ")</f>
        <v xml:space="preserve"> </v>
      </c>
      <c r="S49" s="55"/>
      <c r="T49" s="32"/>
      <c r="U49" s="32"/>
      <c r="V49" s="55"/>
      <c r="W49" s="32"/>
      <c r="X49" s="54"/>
      <c r="Y49" s="21" t="str">
        <f>IFERROR(VLOOKUP(May[[#This Row],[Drug Name2]],'Data Options'!$R$1:$S$100,2,FALSE), " ")</f>
        <v xml:space="preserve"> </v>
      </c>
      <c r="Z49" s="55"/>
      <c r="AA49" s="32"/>
      <c r="AB49" s="32"/>
      <c r="AC49" s="55"/>
      <c r="AD49" s="32"/>
      <c r="AE49" s="54"/>
      <c r="AF49" s="21" t="str">
        <f>IFERROR(VLOOKUP(May[[#This Row],[Drug Name3]],'Data Options'!$R$1:$S$100,2,FALSE), " ")</f>
        <v xml:space="preserve"> </v>
      </c>
      <c r="AG49" s="55"/>
      <c r="AH49" s="32"/>
      <c r="AI49" s="32"/>
      <c r="AJ49" s="55"/>
      <c r="AK49" s="32"/>
      <c r="AL49" s="32"/>
      <c r="AM49" s="32"/>
      <c r="AN49" s="32"/>
      <c r="AO49" s="32"/>
      <c r="AP49" s="31"/>
      <c r="AQ49" s="31"/>
      <c r="AR49" s="54"/>
      <c r="AS49" s="21" t="str">
        <f>IFERROR(VLOOKUP(May[[#This Row],[Drug Name4]],'Data Options'!$R$1:$S$100,2,FALSE), " ")</f>
        <v xml:space="preserve"> </v>
      </c>
      <c r="AT49" s="55"/>
      <c r="AU49" s="32"/>
      <c r="AV49" s="32"/>
      <c r="AW49" s="55"/>
      <c r="AX49" s="32"/>
      <c r="AY49" s="54"/>
      <c r="AZ49" s="21" t="str">
        <f>IFERROR(VLOOKUP(May[[#This Row],[Drug Name5]],'Data Options'!$R$1:$S$100,2,FALSE), " ")</f>
        <v xml:space="preserve"> </v>
      </c>
      <c r="BA49" s="55"/>
      <c r="BB49" s="32"/>
      <c r="BC49" s="32"/>
      <c r="BD49" s="55"/>
      <c r="BE49" s="32"/>
      <c r="BF49" s="54"/>
      <c r="BG49" s="21" t="str">
        <f>IFERROR(VLOOKUP(May[[#This Row],[Drug Name6]],'Data Options'!$R$1:$S$100,2,FALSE), " ")</f>
        <v xml:space="preserve"> </v>
      </c>
      <c r="BH49" s="55"/>
      <c r="BI49" s="32"/>
      <c r="BJ49" s="32"/>
      <c r="BK49" s="55"/>
      <c r="BL49" s="32"/>
      <c r="BM49" s="32"/>
      <c r="BN49" s="32"/>
      <c r="BO49" s="32"/>
      <c r="BP49" s="32"/>
      <c r="BQ49" s="31"/>
      <c r="BR49" s="31"/>
      <c r="BS49" s="54"/>
      <c r="BT49" s="21" t="str">
        <f>IFERROR(VLOOKUP(May[[#This Row],[Drug Name7]],'Data Options'!$R$1:$S$100,2,FALSE), " ")</f>
        <v xml:space="preserve"> </v>
      </c>
      <c r="BU49" s="55"/>
      <c r="BV49" s="32"/>
      <c r="BW49" s="32"/>
      <c r="BX49" s="55"/>
      <c r="BY49" s="32"/>
      <c r="BZ49" s="54"/>
      <c r="CA49" s="21" t="str">
        <f>IFERROR(VLOOKUP(May[[#This Row],[Drug Name8]],'Data Options'!$R$1:$S$100,2,FALSE), " ")</f>
        <v xml:space="preserve"> </v>
      </c>
      <c r="CB49" s="55"/>
      <c r="CC49" s="32"/>
      <c r="CD49" s="32"/>
      <c r="CE49" s="55"/>
      <c r="CF49" s="32"/>
      <c r="CG49" s="54"/>
      <c r="CH49" s="21" t="str">
        <f>IFERROR(VLOOKUP(May[[#This Row],[Drug Name9]],'Data Options'!$R$1:$S$100,2,FALSE), " ")</f>
        <v xml:space="preserve"> </v>
      </c>
      <c r="CI49" s="55"/>
      <c r="CJ49" s="32"/>
      <c r="CK49" s="32"/>
      <c r="CL49" s="55"/>
      <c r="CM49" s="32"/>
    </row>
    <row r="50" spans="1:91">
      <c r="A50" s="5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54"/>
      <c r="R50" s="21" t="str">
        <f>IFERROR(VLOOKUP(May[[#This Row],[Drug Name]],'Data Options'!$R$1:$S$100,2,FALSE), " ")</f>
        <v xml:space="preserve"> </v>
      </c>
      <c r="S50" s="55"/>
      <c r="T50" s="32"/>
      <c r="U50" s="32"/>
      <c r="V50" s="55"/>
      <c r="W50" s="32"/>
      <c r="X50" s="54"/>
      <c r="Y50" s="21" t="str">
        <f>IFERROR(VLOOKUP(May[[#This Row],[Drug Name2]],'Data Options'!$R$1:$S$100,2,FALSE), " ")</f>
        <v xml:space="preserve"> </v>
      </c>
      <c r="Z50" s="55"/>
      <c r="AA50" s="32"/>
      <c r="AB50" s="32"/>
      <c r="AC50" s="55"/>
      <c r="AD50" s="32"/>
      <c r="AE50" s="54"/>
      <c r="AF50" s="21" t="str">
        <f>IFERROR(VLOOKUP(May[[#This Row],[Drug Name3]],'Data Options'!$R$1:$S$100,2,FALSE), " ")</f>
        <v xml:space="preserve"> </v>
      </c>
      <c r="AG50" s="55"/>
      <c r="AH50" s="32"/>
      <c r="AI50" s="32"/>
      <c r="AJ50" s="55"/>
      <c r="AK50" s="32"/>
      <c r="AL50" s="32"/>
      <c r="AM50" s="32"/>
      <c r="AN50" s="32"/>
      <c r="AO50" s="32"/>
      <c r="AP50" s="31"/>
      <c r="AQ50" s="31"/>
      <c r="AR50" s="54"/>
      <c r="AS50" s="21" t="str">
        <f>IFERROR(VLOOKUP(May[[#This Row],[Drug Name4]],'Data Options'!$R$1:$S$100,2,FALSE), " ")</f>
        <v xml:space="preserve"> </v>
      </c>
      <c r="AT50" s="55"/>
      <c r="AU50" s="32"/>
      <c r="AV50" s="32"/>
      <c r="AW50" s="55"/>
      <c r="AX50" s="32"/>
      <c r="AY50" s="54"/>
      <c r="AZ50" s="21" t="str">
        <f>IFERROR(VLOOKUP(May[[#This Row],[Drug Name5]],'Data Options'!$R$1:$S$100,2,FALSE), " ")</f>
        <v xml:space="preserve"> </v>
      </c>
      <c r="BA50" s="55"/>
      <c r="BB50" s="32"/>
      <c r="BC50" s="32"/>
      <c r="BD50" s="55"/>
      <c r="BE50" s="32"/>
      <c r="BF50" s="54"/>
      <c r="BG50" s="21" t="str">
        <f>IFERROR(VLOOKUP(May[[#This Row],[Drug Name6]],'Data Options'!$R$1:$S$100,2,FALSE), " ")</f>
        <v xml:space="preserve"> </v>
      </c>
      <c r="BH50" s="55"/>
      <c r="BI50" s="32"/>
      <c r="BJ50" s="32"/>
      <c r="BK50" s="55"/>
      <c r="BL50" s="32"/>
      <c r="BM50" s="32"/>
      <c r="BN50" s="32"/>
      <c r="BO50" s="32"/>
      <c r="BP50" s="32"/>
      <c r="BQ50" s="31"/>
      <c r="BR50" s="31"/>
      <c r="BS50" s="54"/>
      <c r="BT50" s="21" t="str">
        <f>IFERROR(VLOOKUP(May[[#This Row],[Drug Name7]],'Data Options'!$R$1:$S$100,2,FALSE), " ")</f>
        <v xml:space="preserve"> </v>
      </c>
      <c r="BU50" s="55"/>
      <c r="BV50" s="32"/>
      <c r="BW50" s="32"/>
      <c r="BX50" s="55"/>
      <c r="BY50" s="32"/>
      <c r="BZ50" s="54"/>
      <c r="CA50" s="21" t="str">
        <f>IFERROR(VLOOKUP(May[[#This Row],[Drug Name8]],'Data Options'!$R$1:$S$100,2,FALSE), " ")</f>
        <v xml:space="preserve"> </v>
      </c>
      <c r="CB50" s="55"/>
      <c r="CC50" s="32"/>
      <c r="CD50" s="32"/>
      <c r="CE50" s="55"/>
      <c r="CF50" s="32"/>
      <c r="CG50" s="54"/>
      <c r="CH50" s="21" t="str">
        <f>IFERROR(VLOOKUP(May[[#This Row],[Drug Name9]],'Data Options'!$R$1:$S$100,2,FALSE), " ")</f>
        <v xml:space="preserve"> </v>
      </c>
      <c r="CI50" s="55"/>
      <c r="CJ50" s="32"/>
      <c r="CK50" s="32"/>
      <c r="CL50" s="55"/>
      <c r="CM50" s="32"/>
    </row>
    <row r="51" spans="1:9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54"/>
      <c r="R51" s="21" t="str">
        <f>IFERROR(VLOOKUP(May[[#This Row],[Drug Name]],'Data Options'!$R$1:$S$100,2,FALSE), " ")</f>
        <v xml:space="preserve"> </v>
      </c>
      <c r="S51" s="55"/>
      <c r="T51" s="32"/>
      <c r="U51" s="32"/>
      <c r="V51" s="55"/>
      <c r="W51" s="32"/>
      <c r="X51" s="54"/>
      <c r="Y51" s="21" t="str">
        <f>IFERROR(VLOOKUP(May[[#This Row],[Drug Name2]],'Data Options'!$R$1:$S$100,2,FALSE), " ")</f>
        <v xml:space="preserve"> </v>
      </c>
      <c r="Z51" s="55"/>
      <c r="AA51" s="32"/>
      <c r="AB51" s="32"/>
      <c r="AC51" s="55"/>
      <c r="AD51" s="32"/>
      <c r="AE51" s="54"/>
      <c r="AF51" s="21" t="str">
        <f>IFERROR(VLOOKUP(May[[#This Row],[Drug Name3]],'Data Options'!$R$1:$S$100,2,FALSE), " ")</f>
        <v xml:space="preserve"> </v>
      </c>
      <c r="AG51" s="55"/>
      <c r="AH51" s="32"/>
      <c r="AI51" s="32"/>
      <c r="AJ51" s="55"/>
      <c r="AK51" s="32"/>
      <c r="AL51" s="32"/>
      <c r="AM51" s="32"/>
      <c r="AN51" s="32"/>
      <c r="AO51" s="32"/>
      <c r="AP51" s="31"/>
      <c r="AQ51" s="31"/>
      <c r="AR51" s="54"/>
      <c r="AS51" s="21" t="str">
        <f>IFERROR(VLOOKUP(May[[#This Row],[Drug Name4]],'Data Options'!$R$1:$S$100,2,FALSE), " ")</f>
        <v xml:space="preserve"> </v>
      </c>
      <c r="AT51" s="55"/>
      <c r="AU51" s="32"/>
      <c r="AV51" s="32"/>
      <c r="AW51" s="55"/>
      <c r="AX51" s="32"/>
      <c r="AY51" s="54"/>
      <c r="AZ51" s="21" t="str">
        <f>IFERROR(VLOOKUP(May[[#This Row],[Drug Name5]],'Data Options'!$R$1:$S$100,2,FALSE), " ")</f>
        <v xml:space="preserve"> </v>
      </c>
      <c r="BA51" s="55"/>
      <c r="BB51" s="32"/>
      <c r="BC51" s="32"/>
      <c r="BD51" s="55"/>
      <c r="BE51" s="32"/>
      <c r="BF51" s="54"/>
      <c r="BG51" s="21" t="str">
        <f>IFERROR(VLOOKUP(May[[#This Row],[Drug Name6]],'Data Options'!$R$1:$S$100,2,FALSE), " ")</f>
        <v xml:space="preserve"> </v>
      </c>
      <c r="BH51" s="55"/>
      <c r="BI51" s="32"/>
      <c r="BJ51" s="32"/>
      <c r="BK51" s="55"/>
      <c r="BL51" s="32"/>
      <c r="BM51" s="32"/>
      <c r="BN51" s="32"/>
      <c r="BO51" s="32"/>
      <c r="BP51" s="32"/>
      <c r="BQ51" s="31"/>
      <c r="BR51" s="31"/>
      <c r="BS51" s="54"/>
      <c r="BT51" s="21" t="str">
        <f>IFERROR(VLOOKUP(May[[#This Row],[Drug Name7]],'Data Options'!$R$1:$S$100,2,FALSE), " ")</f>
        <v xml:space="preserve"> </v>
      </c>
      <c r="BU51" s="55"/>
      <c r="BV51" s="32"/>
      <c r="BW51" s="32"/>
      <c r="BX51" s="55"/>
      <c r="BY51" s="32"/>
      <c r="BZ51" s="54"/>
      <c r="CA51" s="21" t="str">
        <f>IFERROR(VLOOKUP(May[[#This Row],[Drug Name8]],'Data Options'!$R$1:$S$100,2,FALSE), " ")</f>
        <v xml:space="preserve"> </v>
      </c>
      <c r="CB51" s="55"/>
      <c r="CC51" s="32"/>
      <c r="CD51" s="32"/>
      <c r="CE51" s="55"/>
      <c r="CF51" s="32"/>
      <c r="CG51" s="54"/>
      <c r="CH51" s="21" t="str">
        <f>IFERROR(VLOOKUP(May[[#This Row],[Drug Name9]],'Data Options'!$R$1:$S$100,2,FALSE), " ")</f>
        <v xml:space="preserve"> </v>
      </c>
      <c r="CI51" s="55"/>
      <c r="CJ51" s="32"/>
      <c r="CK51" s="32"/>
      <c r="CL51" s="55"/>
      <c r="CM51" s="32"/>
    </row>
    <row r="52" spans="1:9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54"/>
      <c r="R52" s="21" t="str">
        <f>IFERROR(VLOOKUP(May[[#This Row],[Drug Name]],'Data Options'!$R$1:$S$100,2,FALSE), " ")</f>
        <v xml:space="preserve"> </v>
      </c>
      <c r="S52" s="55"/>
      <c r="T52" s="32"/>
      <c r="U52" s="32"/>
      <c r="V52" s="55"/>
      <c r="W52" s="32"/>
      <c r="X52" s="54"/>
      <c r="Y52" s="21" t="str">
        <f>IFERROR(VLOOKUP(May[[#This Row],[Drug Name2]],'Data Options'!$R$1:$S$100,2,FALSE), " ")</f>
        <v xml:space="preserve"> </v>
      </c>
      <c r="Z52" s="55"/>
      <c r="AA52" s="32"/>
      <c r="AB52" s="32"/>
      <c r="AC52" s="55"/>
      <c r="AD52" s="32"/>
      <c r="AE52" s="54"/>
      <c r="AF52" s="21" t="str">
        <f>IFERROR(VLOOKUP(May[[#This Row],[Drug Name3]],'Data Options'!$R$1:$S$100,2,FALSE), " ")</f>
        <v xml:space="preserve"> </v>
      </c>
      <c r="AG52" s="55"/>
      <c r="AH52" s="32"/>
      <c r="AI52" s="32"/>
      <c r="AJ52" s="55"/>
      <c r="AK52" s="32"/>
      <c r="AL52" s="32"/>
      <c r="AM52" s="32"/>
      <c r="AN52" s="32"/>
      <c r="AO52" s="32"/>
      <c r="AP52" s="31"/>
      <c r="AQ52" s="31"/>
      <c r="AR52" s="54"/>
      <c r="AS52" s="21" t="str">
        <f>IFERROR(VLOOKUP(May[[#This Row],[Drug Name4]],'Data Options'!$R$1:$S$100,2,FALSE), " ")</f>
        <v xml:space="preserve"> </v>
      </c>
      <c r="AT52" s="55"/>
      <c r="AU52" s="32"/>
      <c r="AV52" s="32"/>
      <c r="AW52" s="55"/>
      <c r="AX52" s="32"/>
      <c r="AY52" s="54"/>
      <c r="AZ52" s="21" t="str">
        <f>IFERROR(VLOOKUP(May[[#This Row],[Drug Name5]],'Data Options'!$R$1:$S$100,2,FALSE), " ")</f>
        <v xml:space="preserve"> </v>
      </c>
      <c r="BA52" s="55"/>
      <c r="BB52" s="32"/>
      <c r="BC52" s="32"/>
      <c r="BD52" s="55"/>
      <c r="BE52" s="32"/>
      <c r="BF52" s="54"/>
      <c r="BG52" s="21" t="str">
        <f>IFERROR(VLOOKUP(May[[#This Row],[Drug Name6]],'Data Options'!$R$1:$S$100,2,FALSE), " ")</f>
        <v xml:space="preserve"> </v>
      </c>
      <c r="BH52" s="55"/>
      <c r="BI52" s="32"/>
      <c r="BJ52" s="32"/>
      <c r="BK52" s="55"/>
      <c r="BL52" s="32"/>
      <c r="BM52" s="32"/>
      <c r="BN52" s="32"/>
      <c r="BO52" s="32"/>
      <c r="BP52" s="32"/>
      <c r="BQ52" s="31"/>
      <c r="BR52" s="31"/>
      <c r="BS52" s="54"/>
      <c r="BT52" s="21" t="str">
        <f>IFERROR(VLOOKUP(May[[#This Row],[Drug Name7]],'Data Options'!$R$1:$S$100,2,FALSE), " ")</f>
        <v xml:space="preserve"> </v>
      </c>
      <c r="BU52" s="55"/>
      <c r="BV52" s="32"/>
      <c r="BW52" s="32"/>
      <c r="BX52" s="55"/>
      <c r="BY52" s="32"/>
      <c r="BZ52" s="54"/>
      <c r="CA52" s="21" t="str">
        <f>IFERROR(VLOOKUP(May[[#This Row],[Drug Name8]],'Data Options'!$R$1:$S$100,2,FALSE), " ")</f>
        <v xml:space="preserve"> </v>
      </c>
      <c r="CB52" s="55"/>
      <c r="CC52" s="32"/>
      <c r="CD52" s="32"/>
      <c r="CE52" s="55"/>
      <c r="CF52" s="32"/>
      <c r="CG52" s="54"/>
      <c r="CH52" s="21" t="str">
        <f>IFERROR(VLOOKUP(May[[#This Row],[Drug Name9]],'Data Options'!$R$1:$S$100,2,FALSE), " ")</f>
        <v xml:space="preserve"> </v>
      </c>
      <c r="CI52" s="55"/>
      <c r="CJ52" s="32"/>
      <c r="CK52" s="32"/>
      <c r="CL52" s="55"/>
      <c r="CM52" s="32"/>
    </row>
    <row r="53" spans="1:91">
      <c r="A53" s="5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54"/>
      <c r="R53" s="21" t="str">
        <f>IFERROR(VLOOKUP(May[[#This Row],[Drug Name]],'Data Options'!$R$1:$S$100,2,FALSE), " ")</f>
        <v xml:space="preserve"> </v>
      </c>
      <c r="S53" s="55"/>
      <c r="T53" s="32"/>
      <c r="U53" s="32"/>
      <c r="V53" s="55"/>
      <c r="W53" s="32"/>
      <c r="X53" s="54"/>
      <c r="Y53" s="21" t="str">
        <f>IFERROR(VLOOKUP(May[[#This Row],[Drug Name2]],'Data Options'!$R$1:$S$100,2,FALSE), " ")</f>
        <v xml:space="preserve"> </v>
      </c>
      <c r="Z53" s="55"/>
      <c r="AA53" s="32"/>
      <c r="AB53" s="32"/>
      <c r="AC53" s="55"/>
      <c r="AD53" s="32"/>
      <c r="AE53" s="54"/>
      <c r="AF53" s="21" t="str">
        <f>IFERROR(VLOOKUP(May[[#This Row],[Drug Name3]],'Data Options'!$R$1:$S$100,2,FALSE), " ")</f>
        <v xml:space="preserve"> </v>
      </c>
      <c r="AG53" s="55"/>
      <c r="AH53" s="32"/>
      <c r="AI53" s="32"/>
      <c r="AJ53" s="55"/>
      <c r="AK53" s="32"/>
      <c r="AL53" s="32"/>
      <c r="AM53" s="32"/>
      <c r="AN53" s="32"/>
      <c r="AO53" s="32"/>
      <c r="AP53" s="31"/>
      <c r="AQ53" s="31"/>
      <c r="AR53" s="54"/>
      <c r="AS53" s="21" t="str">
        <f>IFERROR(VLOOKUP(May[[#This Row],[Drug Name4]],'Data Options'!$R$1:$S$100,2,FALSE), " ")</f>
        <v xml:space="preserve"> </v>
      </c>
      <c r="AT53" s="55"/>
      <c r="AU53" s="32"/>
      <c r="AV53" s="32"/>
      <c r="AW53" s="55"/>
      <c r="AX53" s="32"/>
      <c r="AY53" s="54"/>
      <c r="AZ53" s="21" t="str">
        <f>IFERROR(VLOOKUP(May[[#This Row],[Drug Name5]],'Data Options'!$R$1:$S$100,2,FALSE), " ")</f>
        <v xml:space="preserve"> </v>
      </c>
      <c r="BA53" s="55"/>
      <c r="BB53" s="32"/>
      <c r="BC53" s="32"/>
      <c r="BD53" s="55"/>
      <c r="BE53" s="32"/>
      <c r="BF53" s="54"/>
      <c r="BG53" s="21" t="str">
        <f>IFERROR(VLOOKUP(May[[#This Row],[Drug Name6]],'Data Options'!$R$1:$S$100,2,FALSE), " ")</f>
        <v xml:space="preserve"> </v>
      </c>
      <c r="BH53" s="55"/>
      <c r="BI53" s="32"/>
      <c r="BJ53" s="32"/>
      <c r="BK53" s="55"/>
      <c r="BL53" s="32"/>
      <c r="BM53" s="32"/>
      <c r="BN53" s="32"/>
      <c r="BO53" s="32"/>
      <c r="BP53" s="32"/>
      <c r="BQ53" s="31"/>
      <c r="BR53" s="31"/>
      <c r="BS53" s="54"/>
      <c r="BT53" s="21" t="str">
        <f>IFERROR(VLOOKUP(May[[#This Row],[Drug Name7]],'Data Options'!$R$1:$S$100,2,FALSE), " ")</f>
        <v xml:space="preserve"> </v>
      </c>
      <c r="BU53" s="55"/>
      <c r="BV53" s="32"/>
      <c r="BW53" s="32"/>
      <c r="BX53" s="55"/>
      <c r="BY53" s="32"/>
      <c r="BZ53" s="54"/>
      <c r="CA53" s="21" t="str">
        <f>IFERROR(VLOOKUP(May[[#This Row],[Drug Name8]],'Data Options'!$R$1:$S$100,2,FALSE), " ")</f>
        <v xml:space="preserve"> </v>
      </c>
      <c r="CB53" s="55"/>
      <c r="CC53" s="32"/>
      <c r="CD53" s="32"/>
      <c r="CE53" s="55"/>
      <c r="CF53" s="32"/>
      <c r="CG53" s="54"/>
      <c r="CH53" s="21" t="str">
        <f>IFERROR(VLOOKUP(May[[#This Row],[Drug Name9]],'Data Options'!$R$1:$S$100,2,FALSE), " ")</f>
        <v xml:space="preserve"> </v>
      </c>
      <c r="CI53" s="55"/>
      <c r="CJ53" s="32"/>
      <c r="CK53" s="32"/>
      <c r="CL53" s="55"/>
      <c r="CM53" s="32"/>
    </row>
    <row r="54" spans="1:91">
      <c r="A54" s="5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54"/>
      <c r="R54" s="21" t="str">
        <f>IFERROR(VLOOKUP(May[[#This Row],[Drug Name]],'Data Options'!$R$1:$S$100,2,FALSE), " ")</f>
        <v xml:space="preserve"> </v>
      </c>
      <c r="S54" s="55"/>
      <c r="T54" s="32"/>
      <c r="U54" s="32"/>
      <c r="V54" s="55"/>
      <c r="W54" s="32"/>
      <c r="X54" s="54"/>
      <c r="Y54" s="21" t="str">
        <f>IFERROR(VLOOKUP(May[[#This Row],[Drug Name2]],'Data Options'!$R$1:$S$100,2,FALSE), " ")</f>
        <v xml:space="preserve"> </v>
      </c>
      <c r="Z54" s="55"/>
      <c r="AA54" s="32"/>
      <c r="AB54" s="32"/>
      <c r="AC54" s="55"/>
      <c r="AD54" s="32"/>
      <c r="AE54" s="54"/>
      <c r="AF54" s="21" t="str">
        <f>IFERROR(VLOOKUP(May[[#This Row],[Drug Name3]],'Data Options'!$R$1:$S$100,2,FALSE), " ")</f>
        <v xml:space="preserve"> </v>
      </c>
      <c r="AG54" s="55"/>
      <c r="AH54" s="32"/>
      <c r="AI54" s="32"/>
      <c r="AJ54" s="55"/>
      <c r="AK54" s="32"/>
      <c r="AL54" s="32"/>
      <c r="AM54" s="32"/>
      <c r="AN54" s="32"/>
      <c r="AO54" s="32"/>
      <c r="AP54" s="31"/>
      <c r="AQ54" s="31"/>
      <c r="AR54" s="54"/>
      <c r="AS54" s="21" t="str">
        <f>IFERROR(VLOOKUP(May[[#This Row],[Drug Name4]],'Data Options'!$R$1:$S$100,2,FALSE), " ")</f>
        <v xml:space="preserve"> </v>
      </c>
      <c r="AT54" s="55"/>
      <c r="AU54" s="32"/>
      <c r="AV54" s="32"/>
      <c r="AW54" s="55"/>
      <c r="AX54" s="32"/>
      <c r="AY54" s="54"/>
      <c r="AZ54" s="21" t="str">
        <f>IFERROR(VLOOKUP(May[[#This Row],[Drug Name5]],'Data Options'!$R$1:$S$100,2,FALSE), " ")</f>
        <v xml:space="preserve"> </v>
      </c>
      <c r="BA54" s="55"/>
      <c r="BB54" s="32"/>
      <c r="BC54" s="32"/>
      <c r="BD54" s="55"/>
      <c r="BE54" s="32"/>
      <c r="BF54" s="54"/>
      <c r="BG54" s="21" t="str">
        <f>IFERROR(VLOOKUP(May[[#This Row],[Drug Name6]],'Data Options'!$R$1:$S$100,2,FALSE), " ")</f>
        <v xml:space="preserve"> </v>
      </c>
      <c r="BH54" s="55"/>
      <c r="BI54" s="32"/>
      <c r="BJ54" s="32"/>
      <c r="BK54" s="55"/>
      <c r="BL54" s="32"/>
      <c r="BM54" s="32"/>
      <c r="BN54" s="32"/>
      <c r="BO54" s="32"/>
      <c r="BP54" s="32"/>
      <c r="BQ54" s="31"/>
      <c r="BR54" s="31"/>
      <c r="BS54" s="54"/>
      <c r="BT54" s="21" t="str">
        <f>IFERROR(VLOOKUP(May[[#This Row],[Drug Name7]],'Data Options'!$R$1:$S$100,2,FALSE), " ")</f>
        <v xml:space="preserve"> </v>
      </c>
      <c r="BU54" s="55"/>
      <c r="BV54" s="32"/>
      <c r="BW54" s="32"/>
      <c r="BX54" s="55"/>
      <c r="BY54" s="32"/>
      <c r="BZ54" s="54"/>
      <c r="CA54" s="21" t="str">
        <f>IFERROR(VLOOKUP(May[[#This Row],[Drug Name8]],'Data Options'!$R$1:$S$100,2,FALSE), " ")</f>
        <v xml:space="preserve"> </v>
      </c>
      <c r="CB54" s="55"/>
      <c r="CC54" s="32"/>
      <c r="CD54" s="32"/>
      <c r="CE54" s="55"/>
      <c r="CF54" s="32"/>
      <c r="CG54" s="54"/>
      <c r="CH54" s="21" t="str">
        <f>IFERROR(VLOOKUP(May[[#This Row],[Drug Name9]],'Data Options'!$R$1:$S$100,2,FALSE), " ")</f>
        <v xml:space="preserve"> </v>
      </c>
      <c r="CI54" s="55"/>
      <c r="CJ54" s="32"/>
      <c r="CK54" s="32"/>
      <c r="CL54" s="55"/>
      <c r="CM54" s="32"/>
    </row>
    <row r="55" spans="1:91">
      <c r="A55" s="5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54"/>
      <c r="R55" s="21" t="str">
        <f>IFERROR(VLOOKUP(May[[#This Row],[Drug Name]],'Data Options'!$R$1:$S$100,2,FALSE), " ")</f>
        <v xml:space="preserve"> </v>
      </c>
      <c r="S55" s="55"/>
      <c r="T55" s="32"/>
      <c r="U55" s="32"/>
      <c r="V55" s="55"/>
      <c r="W55" s="32"/>
      <c r="X55" s="54"/>
      <c r="Y55" s="21" t="str">
        <f>IFERROR(VLOOKUP(May[[#This Row],[Drug Name2]],'Data Options'!$R$1:$S$100,2,FALSE), " ")</f>
        <v xml:space="preserve"> </v>
      </c>
      <c r="Z55" s="55"/>
      <c r="AA55" s="32"/>
      <c r="AB55" s="32"/>
      <c r="AC55" s="55"/>
      <c r="AD55" s="32"/>
      <c r="AE55" s="54"/>
      <c r="AF55" s="21" t="str">
        <f>IFERROR(VLOOKUP(May[[#This Row],[Drug Name3]],'Data Options'!$R$1:$S$100,2,FALSE), " ")</f>
        <v xml:space="preserve"> </v>
      </c>
      <c r="AG55" s="55"/>
      <c r="AH55" s="32"/>
      <c r="AI55" s="32"/>
      <c r="AJ55" s="55"/>
      <c r="AK55" s="32"/>
      <c r="AL55" s="32"/>
      <c r="AM55" s="32"/>
      <c r="AN55" s="32"/>
      <c r="AO55" s="32"/>
      <c r="AP55" s="31"/>
      <c r="AQ55" s="31"/>
      <c r="AR55" s="54"/>
      <c r="AS55" s="21" t="str">
        <f>IFERROR(VLOOKUP(May[[#This Row],[Drug Name4]],'Data Options'!$R$1:$S$100,2,FALSE), " ")</f>
        <v xml:space="preserve"> </v>
      </c>
      <c r="AT55" s="55"/>
      <c r="AU55" s="32"/>
      <c r="AV55" s="32"/>
      <c r="AW55" s="55"/>
      <c r="AX55" s="32"/>
      <c r="AY55" s="54"/>
      <c r="AZ55" s="21" t="str">
        <f>IFERROR(VLOOKUP(May[[#This Row],[Drug Name5]],'Data Options'!$R$1:$S$100,2,FALSE), " ")</f>
        <v xml:space="preserve"> </v>
      </c>
      <c r="BA55" s="55"/>
      <c r="BB55" s="32"/>
      <c r="BC55" s="32"/>
      <c r="BD55" s="55"/>
      <c r="BE55" s="32"/>
      <c r="BF55" s="54"/>
      <c r="BG55" s="21" t="str">
        <f>IFERROR(VLOOKUP(May[[#This Row],[Drug Name6]],'Data Options'!$R$1:$S$100,2,FALSE), " ")</f>
        <v xml:space="preserve"> </v>
      </c>
      <c r="BH55" s="55"/>
      <c r="BI55" s="32"/>
      <c r="BJ55" s="32"/>
      <c r="BK55" s="55"/>
      <c r="BL55" s="32"/>
      <c r="BM55" s="32"/>
      <c r="BN55" s="32"/>
      <c r="BO55" s="32"/>
      <c r="BP55" s="32"/>
      <c r="BQ55" s="31"/>
      <c r="BR55" s="31"/>
      <c r="BS55" s="54"/>
      <c r="BT55" s="21" t="str">
        <f>IFERROR(VLOOKUP(May[[#This Row],[Drug Name7]],'Data Options'!$R$1:$S$100,2,FALSE), " ")</f>
        <v xml:space="preserve"> </v>
      </c>
      <c r="BU55" s="55"/>
      <c r="BV55" s="32"/>
      <c r="BW55" s="32"/>
      <c r="BX55" s="55"/>
      <c r="BY55" s="32"/>
      <c r="BZ55" s="54"/>
      <c r="CA55" s="21" t="str">
        <f>IFERROR(VLOOKUP(May[[#This Row],[Drug Name8]],'Data Options'!$R$1:$S$100,2,FALSE), " ")</f>
        <v xml:space="preserve"> </v>
      </c>
      <c r="CB55" s="55"/>
      <c r="CC55" s="32"/>
      <c r="CD55" s="32"/>
      <c r="CE55" s="55"/>
      <c r="CF55" s="32"/>
      <c r="CG55" s="54"/>
      <c r="CH55" s="21" t="str">
        <f>IFERROR(VLOOKUP(May[[#This Row],[Drug Name9]],'Data Options'!$R$1:$S$100,2,FALSE), " ")</f>
        <v xml:space="preserve"> </v>
      </c>
      <c r="CI55" s="55"/>
      <c r="CJ55" s="32"/>
      <c r="CK55" s="32"/>
      <c r="CL55" s="55"/>
      <c r="CM55" s="32"/>
    </row>
    <row r="56" spans="1:91">
      <c r="A56" s="5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54"/>
      <c r="R56" s="21" t="str">
        <f>IFERROR(VLOOKUP(May[[#This Row],[Drug Name]],'Data Options'!$R$1:$S$100,2,FALSE), " ")</f>
        <v xml:space="preserve"> </v>
      </c>
      <c r="S56" s="55"/>
      <c r="T56" s="32"/>
      <c r="U56" s="32"/>
      <c r="V56" s="55"/>
      <c r="W56" s="32"/>
      <c r="X56" s="54"/>
      <c r="Y56" s="21" t="str">
        <f>IFERROR(VLOOKUP(May[[#This Row],[Drug Name2]],'Data Options'!$R$1:$S$100,2,FALSE), " ")</f>
        <v xml:space="preserve"> </v>
      </c>
      <c r="Z56" s="55"/>
      <c r="AA56" s="32"/>
      <c r="AB56" s="32"/>
      <c r="AC56" s="55"/>
      <c r="AD56" s="32"/>
      <c r="AE56" s="54"/>
      <c r="AF56" s="21" t="str">
        <f>IFERROR(VLOOKUP(May[[#This Row],[Drug Name3]],'Data Options'!$R$1:$S$100,2,FALSE), " ")</f>
        <v xml:space="preserve"> </v>
      </c>
      <c r="AG56" s="55"/>
      <c r="AH56" s="32"/>
      <c r="AI56" s="32"/>
      <c r="AJ56" s="55"/>
      <c r="AK56" s="32"/>
      <c r="AL56" s="32"/>
      <c r="AM56" s="32"/>
      <c r="AN56" s="32"/>
      <c r="AO56" s="32"/>
      <c r="AP56" s="31"/>
      <c r="AQ56" s="31"/>
      <c r="AR56" s="54"/>
      <c r="AS56" s="21" t="str">
        <f>IFERROR(VLOOKUP(May[[#This Row],[Drug Name4]],'Data Options'!$R$1:$S$100,2,FALSE), " ")</f>
        <v xml:space="preserve"> </v>
      </c>
      <c r="AT56" s="55"/>
      <c r="AU56" s="32"/>
      <c r="AV56" s="32"/>
      <c r="AW56" s="55"/>
      <c r="AX56" s="32"/>
      <c r="AY56" s="54"/>
      <c r="AZ56" s="21" t="str">
        <f>IFERROR(VLOOKUP(May[[#This Row],[Drug Name5]],'Data Options'!$R$1:$S$100,2,FALSE), " ")</f>
        <v xml:space="preserve"> </v>
      </c>
      <c r="BA56" s="55"/>
      <c r="BB56" s="32"/>
      <c r="BC56" s="32"/>
      <c r="BD56" s="55"/>
      <c r="BE56" s="32"/>
      <c r="BF56" s="54"/>
      <c r="BG56" s="21" t="str">
        <f>IFERROR(VLOOKUP(May[[#This Row],[Drug Name6]],'Data Options'!$R$1:$S$100,2,FALSE), " ")</f>
        <v xml:space="preserve"> </v>
      </c>
      <c r="BH56" s="55"/>
      <c r="BI56" s="32"/>
      <c r="BJ56" s="32"/>
      <c r="BK56" s="55"/>
      <c r="BL56" s="32"/>
      <c r="BM56" s="32"/>
      <c r="BN56" s="32"/>
      <c r="BO56" s="32"/>
      <c r="BP56" s="32"/>
      <c r="BQ56" s="31"/>
      <c r="BR56" s="31"/>
      <c r="BS56" s="54"/>
      <c r="BT56" s="21" t="str">
        <f>IFERROR(VLOOKUP(May[[#This Row],[Drug Name7]],'Data Options'!$R$1:$S$100,2,FALSE), " ")</f>
        <v xml:space="preserve"> </v>
      </c>
      <c r="BU56" s="55"/>
      <c r="BV56" s="32"/>
      <c r="BW56" s="32"/>
      <c r="BX56" s="55"/>
      <c r="BY56" s="32"/>
      <c r="BZ56" s="54"/>
      <c r="CA56" s="21" t="str">
        <f>IFERROR(VLOOKUP(May[[#This Row],[Drug Name8]],'Data Options'!$R$1:$S$100,2,FALSE), " ")</f>
        <v xml:space="preserve"> </v>
      </c>
      <c r="CB56" s="55"/>
      <c r="CC56" s="32"/>
      <c r="CD56" s="32"/>
      <c r="CE56" s="55"/>
      <c r="CF56" s="32"/>
      <c r="CG56" s="54"/>
      <c r="CH56" s="21" t="str">
        <f>IFERROR(VLOOKUP(May[[#This Row],[Drug Name9]],'Data Options'!$R$1:$S$100,2,FALSE), " ")</f>
        <v xml:space="preserve"> </v>
      </c>
      <c r="CI56" s="55"/>
      <c r="CJ56" s="32"/>
      <c r="CK56" s="32"/>
      <c r="CL56" s="55"/>
      <c r="CM56" s="32"/>
    </row>
    <row r="57" spans="1:91">
      <c r="A57" s="5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31"/>
      <c r="Q57" s="54"/>
      <c r="R57" s="21" t="str">
        <f>IFERROR(VLOOKUP(May[[#This Row],[Drug Name]],'Data Options'!$R$1:$S$100,2,FALSE), " ")</f>
        <v xml:space="preserve"> </v>
      </c>
      <c r="S57" s="55"/>
      <c r="T57" s="32"/>
      <c r="U57" s="32"/>
      <c r="V57" s="55"/>
      <c r="W57" s="32"/>
      <c r="X57" s="54"/>
      <c r="Y57" s="21" t="str">
        <f>IFERROR(VLOOKUP(May[[#This Row],[Drug Name2]],'Data Options'!$R$1:$S$100,2,FALSE), " ")</f>
        <v xml:space="preserve"> </v>
      </c>
      <c r="Z57" s="55"/>
      <c r="AA57" s="32"/>
      <c r="AB57" s="32"/>
      <c r="AC57" s="55"/>
      <c r="AD57" s="32"/>
      <c r="AE57" s="54"/>
      <c r="AF57" s="21" t="str">
        <f>IFERROR(VLOOKUP(May[[#This Row],[Drug Name3]],'Data Options'!$R$1:$S$100,2,FALSE), " ")</f>
        <v xml:space="preserve"> </v>
      </c>
      <c r="AG57" s="55"/>
      <c r="AH57" s="32"/>
      <c r="AI57" s="32"/>
      <c r="AJ57" s="55"/>
      <c r="AK57" s="32"/>
      <c r="AL57" s="32"/>
      <c r="AM57" s="32"/>
      <c r="AN57" s="32"/>
      <c r="AO57" s="32"/>
      <c r="AP57" s="31"/>
      <c r="AQ57" s="31"/>
      <c r="AR57" s="54"/>
      <c r="AS57" s="21" t="str">
        <f>IFERROR(VLOOKUP(May[[#This Row],[Drug Name4]],'Data Options'!$R$1:$S$100,2,FALSE), " ")</f>
        <v xml:space="preserve"> </v>
      </c>
      <c r="AT57" s="55"/>
      <c r="AU57" s="32"/>
      <c r="AV57" s="32"/>
      <c r="AW57" s="55"/>
      <c r="AX57" s="32"/>
      <c r="AY57" s="54"/>
      <c r="AZ57" s="21" t="str">
        <f>IFERROR(VLOOKUP(May[[#This Row],[Drug Name5]],'Data Options'!$R$1:$S$100,2,FALSE), " ")</f>
        <v xml:space="preserve"> </v>
      </c>
      <c r="BA57" s="55"/>
      <c r="BB57" s="32"/>
      <c r="BC57" s="32"/>
      <c r="BD57" s="55"/>
      <c r="BE57" s="32"/>
      <c r="BF57" s="54"/>
      <c r="BG57" s="21" t="str">
        <f>IFERROR(VLOOKUP(May[[#This Row],[Drug Name6]],'Data Options'!$R$1:$S$100,2,FALSE), " ")</f>
        <v xml:space="preserve"> </v>
      </c>
      <c r="BH57" s="55"/>
      <c r="BI57" s="32"/>
      <c r="BJ57" s="32"/>
      <c r="BK57" s="55"/>
      <c r="BL57" s="32"/>
      <c r="BM57" s="32"/>
      <c r="BN57" s="32"/>
      <c r="BO57" s="32"/>
      <c r="BP57" s="32"/>
      <c r="BQ57" s="31"/>
      <c r="BR57" s="31"/>
      <c r="BS57" s="54"/>
      <c r="BT57" s="21" t="str">
        <f>IFERROR(VLOOKUP(May[[#This Row],[Drug Name7]],'Data Options'!$R$1:$S$100,2,FALSE), " ")</f>
        <v xml:space="preserve"> </v>
      </c>
      <c r="BU57" s="55"/>
      <c r="BV57" s="32"/>
      <c r="BW57" s="32"/>
      <c r="BX57" s="55"/>
      <c r="BY57" s="32"/>
      <c r="BZ57" s="54"/>
      <c r="CA57" s="21" t="str">
        <f>IFERROR(VLOOKUP(May[[#This Row],[Drug Name8]],'Data Options'!$R$1:$S$100,2,FALSE), " ")</f>
        <v xml:space="preserve"> </v>
      </c>
      <c r="CB57" s="55"/>
      <c r="CC57" s="32"/>
      <c r="CD57" s="32"/>
      <c r="CE57" s="55"/>
      <c r="CF57" s="32"/>
      <c r="CG57" s="54"/>
      <c r="CH57" s="21" t="str">
        <f>IFERROR(VLOOKUP(May[[#This Row],[Drug Name9]],'Data Options'!$R$1:$S$100,2,FALSE), " ")</f>
        <v xml:space="preserve"> </v>
      </c>
      <c r="CI57" s="55"/>
      <c r="CJ57" s="32"/>
      <c r="CK57" s="32"/>
      <c r="CL57" s="55"/>
      <c r="CM57" s="32"/>
    </row>
    <row r="58" spans="1:9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54"/>
      <c r="R58" s="21" t="str">
        <f>IFERROR(VLOOKUP(May[[#This Row],[Drug Name]],'Data Options'!$R$1:$S$100,2,FALSE), " ")</f>
        <v xml:space="preserve"> </v>
      </c>
      <c r="S58" s="55"/>
      <c r="T58" s="32"/>
      <c r="U58" s="32"/>
      <c r="V58" s="55"/>
      <c r="W58" s="32"/>
      <c r="X58" s="54"/>
      <c r="Y58" s="21" t="str">
        <f>IFERROR(VLOOKUP(May[[#This Row],[Drug Name2]],'Data Options'!$R$1:$S$100,2,FALSE), " ")</f>
        <v xml:space="preserve"> </v>
      </c>
      <c r="Z58" s="55"/>
      <c r="AA58" s="32"/>
      <c r="AB58" s="32"/>
      <c r="AC58" s="55"/>
      <c r="AD58" s="32"/>
      <c r="AE58" s="54"/>
      <c r="AF58" s="21" t="str">
        <f>IFERROR(VLOOKUP(May[[#This Row],[Drug Name3]],'Data Options'!$R$1:$S$100,2,FALSE), " ")</f>
        <v xml:space="preserve"> </v>
      </c>
      <c r="AG58" s="55"/>
      <c r="AH58" s="32"/>
      <c r="AI58" s="32"/>
      <c r="AJ58" s="55"/>
      <c r="AK58" s="32"/>
      <c r="AL58" s="32"/>
      <c r="AM58" s="32"/>
      <c r="AN58" s="32"/>
      <c r="AO58" s="32"/>
      <c r="AP58" s="31"/>
      <c r="AQ58" s="31"/>
      <c r="AR58" s="54"/>
      <c r="AS58" s="21" t="str">
        <f>IFERROR(VLOOKUP(May[[#This Row],[Drug Name4]],'Data Options'!$R$1:$S$100,2,FALSE), " ")</f>
        <v xml:space="preserve"> </v>
      </c>
      <c r="AT58" s="55"/>
      <c r="AU58" s="32"/>
      <c r="AV58" s="32"/>
      <c r="AW58" s="55"/>
      <c r="AX58" s="32"/>
      <c r="AY58" s="54"/>
      <c r="AZ58" s="21" t="str">
        <f>IFERROR(VLOOKUP(May[[#This Row],[Drug Name5]],'Data Options'!$R$1:$S$100,2,FALSE), " ")</f>
        <v xml:space="preserve"> </v>
      </c>
      <c r="BA58" s="55"/>
      <c r="BB58" s="32"/>
      <c r="BC58" s="32"/>
      <c r="BD58" s="55"/>
      <c r="BE58" s="32"/>
      <c r="BF58" s="54"/>
      <c r="BG58" s="21" t="str">
        <f>IFERROR(VLOOKUP(May[[#This Row],[Drug Name6]],'Data Options'!$R$1:$S$100,2,FALSE), " ")</f>
        <v xml:space="preserve"> </v>
      </c>
      <c r="BH58" s="55"/>
      <c r="BI58" s="32"/>
      <c r="BJ58" s="32"/>
      <c r="BK58" s="55"/>
      <c r="BL58" s="32"/>
      <c r="BM58" s="32"/>
      <c r="BN58" s="32"/>
      <c r="BO58" s="32"/>
      <c r="BP58" s="32"/>
      <c r="BQ58" s="31"/>
      <c r="BR58" s="31"/>
      <c r="BS58" s="54"/>
      <c r="BT58" s="21" t="str">
        <f>IFERROR(VLOOKUP(May[[#This Row],[Drug Name7]],'Data Options'!$R$1:$S$100,2,FALSE), " ")</f>
        <v xml:space="preserve"> </v>
      </c>
      <c r="BU58" s="55"/>
      <c r="BV58" s="32"/>
      <c r="BW58" s="32"/>
      <c r="BX58" s="55"/>
      <c r="BY58" s="32"/>
      <c r="BZ58" s="54"/>
      <c r="CA58" s="21" t="str">
        <f>IFERROR(VLOOKUP(May[[#This Row],[Drug Name8]],'Data Options'!$R$1:$S$100,2,FALSE), " ")</f>
        <v xml:space="preserve"> </v>
      </c>
      <c r="CB58" s="55"/>
      <c r="CC58" s="32"/>
      <c r="CD58" s="32"/>
      <c r="CE58" s="55"/>
      <c r="CF58" s="32"/>
      <c r="CG58" s="54"/>
      <c r="CH58" s="21" t="str">
        <f>IFERROR(VLOOKUP(May[[#This Row],[Drug Name9]],'Data Options'!$R$1:$S$100,2,FALSE), " ")</f>
        <v xml:space="preserve"> </v>
      </c>
      <c r="CI58" s="55"/>
      <c r="CJ58" s="32"/>
      <c r="CK58" s="32"/>
      <c r="CL58" s="55"/>
      <c r="CM58" s="32"/>
    </row>
    <row r="59" spans="1:91">
      <c r="A59" s="5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31"/>
      <c r="Q59" s="54"/>
      <c r="R59" s="21" t="str">
        <f>IFERROR(VLOOKUP(May[[#This Row],[Drug Name]],'Data Options'!$R$1:$S$100,2,FALSE), " ")</f>
        <v xml:space="preserve"> </v>
      </c>
      <c r="S59" s="55"/>
      <c r="T59" s="32"/>
      <c r="U59" s="32"/>
      <c r="V59" s="55"/>
      <c r="W59" s="32"/>
      <c r="X59" s="54"/>
      <c r="Y59" s="21" t="str">
        <f>IFERROR(VLOOKUP(May[[#This Row],[Drug Name2]],'Data Options'!$R$1:$S$100,2,FALSE), " ")</f>
        <v xml:space="preserve"> </v>
      </c>
      <c r="Z59" s="55"/>
      <c r="AA59" s="32"/>
      <c r="AB59" s="32"/>
      <c r="AC59" s="55"/>
      <c r="AD59" s="32"/>
      <c r="AE59" s="54"/>
      <c r="AF59" s="21" t="str">
        <f>IFERROR(VLOOKUP(May[[#This Row],[Drug Name3]],'Data Options'!$R$1:$S$100,2,FALSE), " ")</f>
        <v xml:space="preserve"> </v>
      </c>
      <c r="AG59" s="55"/>
      <c r="AH59" s="32"/>
      <c r="AI59" s="32"/>
      <c r="AJ59" s="55"/>
      <c r="AK59" s="32"/>
      <c r="AL59" s="32"/>
      <c r="AM59" s="32"/>
      <c r="AN59" s="32"/>
      <c r="AO59" s="32"/>
      <c r="AP59" s="31"/>
      <c r="AQ59" s="31"/>
      <c r="AR59" s="54"/>
      <c r="AS59" s="21" t="str">
        <f>IFERROR(VLOOKUP(May[[#This Row],[Drug Name4]],'Data Options'!$R$1:$S$100,2,FALSE), " ")</f>
        <v xml:space="preserve"> </v>
      </c>
      <c r="AT59" s="55"/>
      <c r="AU59" s="32"/>
      <c r="AV59" s="32"/>
      <c r="AW59" s="55"/>
      <c r="AX59" s="32"/>
      <c r="AY59" s="54"/>
      <c r="AZ59" s="21" t="str">
        <f>IFERROR(VLOOKUP(May[[#This Row],[Drug Name5]],'Data Options'!$R$1:$S$100,2,FALSE), " ")</f>
        <v xml:space="preserve"> </v>
      </c>
      <c r="BA59" s="55"/>
      <c r="BB59" s="32"/>
      <c r="BC59" s="32"/>
      <c r="BD59" s="55"/>
      <c r="BE59" s="32"/>
      <c r="BF59" s="54"/>
      <c r="BG59" s="21" t="str">
        <f>IFERROR(VLOOKUP(May[[#This Row],[Drug Name6]],'Data Options'!$R$1:$S$100,2,FALSE), " ")</f>
        <v xml:space="preserve"> </v>
      </c>
      <c r="BH59" s="55"/>
      <c r="BI59" s="32"/>
      <c r="BJ59" s="32"/>
      <c r="BK59" s="55"/>
      <c r="BL59" s="32"/>
      <c r="BM59" s="32"/>
      <c r="BN59" s="32"/>
      <c r="BO59" s="32"/>
      <c r="BP59" s="32"/>
      <c r="BQ59" s="31"/>
      <c r="BR59" s="31"/>
      <c r="BS59" s="54"/>
      <c r="BT59" s="21" t="str">
        <f>IFERROR(VLOOKUP(May[[#This Row],[Drug Name7]],'Data Options'!$R$1:$S$100,2,FALSE), " ")</f>
        <v xml:space="preserve"> </v>
      </c>
      <c r="BU59" s="55"/>
      <c r="BV59" s="32"/>
      <c r="BW59" s="32"/>
      <c r="BX59" s="55"/>
      <c r="BY59" s="32"/>
      <c r="BZ59" s="54"/>
      <c r="CA59" s="21" t="str">
        <f>IFERROR(VLOOKUP(May[[#This Row],[Drug Name8]],'Data Options'!$R$1:$S$100,2,FALSE), " ")</f>
        <v xml:space="preserve"> </v>
      </c>
      <c r="CB59" s="55"/>
      <c r="CC59" s="32"/>
      <c r="CD59" s="32"/>
      <c r="CE59" s="55"/>
      <c r="CF59" s="32"/>
      <c r="CG59" s="54"/>
      <c r="CH59" s="21" t="str">
        <f>IFERROR(VLOOKUP(May[[#This Row],[Drug Name9]],'Data Options'!$R$1:$S$100,2,FALSE), " ")</f>
        <v xml:space="preserve"> </v>
      </c>
      <c r="CI59" s="55"/>
      <c r="CJ59" s="32"/>
      <c r="CK59" s="32"/>
      <c r="CL59" s="55"/>
      <c r="CM59" s="32"/>
    </row>
    <row r="60" spans="1:91">
      <c r="A60" s="5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31"/>
      <c r="Q60" s="54"/>
      <c r="R60" s="21" t="str">
        <f>IFERROR(VLOOKUP(May[[#This Row],[Drug Name]],'Data Options'!$R$1:$S$100,2,FALSE), " ")</f>
        <v xml:space="preserve"> </v>
      </c>
      <c r="S60" s="55"/>
      <c r="T60" s="32"/>
      <c r="U60" s="32"/>
      <c r="V60" s="55"/>
      <c r="W60" s="32"/>
      <c r="X60" s="54"/>
      <c r="Y60" s="21" t="str">
        <f>IFERROR(VLOOKUP(May[[#This Row],[Drug Name2]],'Data Options'!$R$1:$S$100,2,FALSE), " ")</f>
        <v xml:space="preserve"> </v>
      </c>
      <c r="Z60" s="55"/>
      <c r="AA60" s="32"/>
      <c r="AB60" s="32"/>
      <c r="AC60" s="55"/>
      <c r="AD60" s="32"/>
      <c r="AE60" s="54"/>
      <c r="AF60" s="21" t="str">
        <f>IFERROR(VLOOKUP(May[[#This Row],[Drug Name3]],'Data Options'!$R$1:$S$100,2,FALSE), " ")</f>
        <v xml:space="preserve"> </v>
      </c>
      <c r="AG60" s="55"/>
      <c r="AH60" s="32"/>
      <c r="AI60" s="32"/>
      <c r="AJ60" s="55"/>
      <c r="AK60" s="32"/>
      <c r="AL60" s="32"/>
      <c r="AM60" s="32"/>
      <c r="AN60" s="32"/>
      <c r="AO60" s="32"/>
      <c r="AP60" s="31"/>
      <c r="AQ60" s="31"/>
      <c r="AR60" s="54"/>
      <c r="AS60" s="21" t="str">
        <f>IFERROR(VLOOKUP(May[[#This Row],[Drug Name4]],'Data Options'!$R$1:$S$100,2,FALSE), " ")</f>
        <v xml:space="preserve"> </v>
      </c>
      <c r="AT60" s="55"/>
      <c r="AU60" s="32"/>
      <c r="AV60" s="32"/>
      <c r="AW60" s="55"/>
      <c r="AX60" s="32"/>
      <c r="AY60" s="54"/>
      <c r="AZ60" s="21" t="str">
        <f>IFERROR(VLOOKUP(May[[#This Row],[Drug Name5]],'Data Options'!$R$1:$S$100,2,FALSE), " ")</f>
        <v xml:space="preserve"> </v>
      </c>
      <c r="BA60" s="55"/>
      <c r="BB60" s="32"/>
      <c r="BC60" s="32"/>
      <c r="BD60" s="55"/>
      <c r="BE60" s="32"/>
      <c r="BF60" s="54"/>
      <c r="BG60" s="21" t="str">
        <f>IFERROR(VLOOKUP(May[[#This Row],[Drug Name6]],'Data Options'!$R$1:$S$100,2,FALSE), " ")</f>
        <v xml:space="preserve"> </v>
      </c>
      <c r="BH60" s="55"/>
      <c r="BI60" s="32"/>
      <c r="BJ60" s="32"/>
      <c r="BK60" s="55"/>
      <c r="BL60" s="32"/>
      <c r="BM60" s="32"/>
      <c r="BN60" s="32"/>
      <c r="BO60" s="32"/>
      <c r="BP60" s="32"/>
      <c r="BQ60" s="31"/>
      <c r="BR60" s="31"/>
      <c r="BS60" s="54"/>
      <c r="BT60" s="21" t="str">
        <f>IFERROR(VLOOKUP(May[[#This Row],[Drug Name7]],'Data Options'!$R$1:$S$100,2,FALSE), " ")</f>
        <v xml:space="preserve"> </v>
      </c>
      <c r="BU60" s="55"/>
      <c r="BV60" s="32"/>
      <c r="BW60" s="32"/>
      <c r="BX60" s="55"/>
      <c r="BY60" s="32"/>
      <c r="BZ60" s="54"/>
      <c r="CA60" s="21" t="str">
        <f>IFERROR(VLOOKUP(May[[#This Row],[Drug Name8]],'Data Options'!$R$1:$S$100,2,FALSE), " ")</f>
        <v xml:space="preserve"> </v>
      </c>
      <c r="CB60" s="55"/>
      <c r="CC60" s="32"/>
      <c r="CD60" s="32"/>
      <c r="CE60" s="55"/>
      <c r="CF60" s="32"/>
      <c r="CG60" s="54"/>
      <c r="CH60" s="21" t="str">
        <f>IFERROR(VLOOKUP(May[[#This Row],[Drug Name9]],'Data Options'!$R$1:$S$100,2,FALSE), " ")</f>
        <v xml:space="preserve"> </v>
      </c>
      <c r="CI60" s="55"/>
      <c r="CJ60" s="32"/>
      <c r="CK60" s="32"/>
      <c r="CL60" s="55"/>
      <c r="CM60" s="32"/>
    </row>
    <row r="61" spans="1:91">
      <c r="A61" s="5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31"/>
      <c r="Q61" s="54"/>
      <c r="R61" s="21" t="str">
        <f>IFERROR(VLOOKUP(May[[#This Row],[Drug Name]],'Data Options'!$R$1:$S$100,2,FALSE), " ")</f>
        <v xml:space="preserve"> </v>
      </c>
      <c r="S61" s="55"/>
      <c r="T61" s="32"/>
      <c r="U61" s="32"/>
      <c r="V61" s="55"/>
      <c r="W61" s="32"/>
      <c r="X61" s="54"/>
      <c r="Y61" s="21" t="str">
        <f>IFERROR(VLOOKUP(May[[#This Row],[Drug Name2]],'Data Options'!$R$1:$S$100,2,FALSE), " ")</f>
        <v xml:space="preserve"> </v>
      </c>
      <c r="Z61" s="55"/>
      <c r="AA61" s="32"/>
      <c r="AB61" s="32"/>
      <c r="AC61" s="55"/>
      <c r="AD61" s="32"/>
      <c r="AE61" s="54"/>
      <c r="AF61" s="21" t="str">
        <f>IFERROR(VLOOKUP(May[[#This Row],[Drug Name3]],'Data Options'!$R$1:$S$100,2,FALSE), " ")</f>
        <v xml:space="preserve"> </v>
      </c>
      <c r="AG61" s="55"/>
      <c r="AH61" s="32"/>
      <c r="AI61" s="32"/>
      <c r="AJ61" s="55"/>
      <c r="AK61" s="32"/>
      <c r="AL61" s="32"/>
      <c r="AM61" s="32"/>
      <c r="AN61" s="32"/>
      <c r="AO61" s="32"/>
      <c r="AP61" s="31"/>
      <c r="AQ61" s="31"/>
      <c r="AR61" s="54"/>
      <c r="AS61" s="21" t="str">
        <f>IFERROR(VLOOKUP(May[[#This Row],[Drug Name4]],'Data Options'!$R$1:$S$100,2,FALSE), " ")</f>
        <v xml:space="preserve"> </v>
      </c>
      <c r="AT61" s="55"/>
      <c r="AU61" s="32"/>
      <c r="AV61" s="32"/>
      <c r="AW61" s="55"/>
      <c r="AX61" s="32"/>
      <c r="AY61" s="54"/>
      <c r="AZ61" s="21" t="str">
        <f>IFERROR(VLOOKUP(May[[#This Row],[Drug Name5]],'Data Options'!$R$1:$S$100,2,FALSE), " ")</f>
        <v xml:space="preserve"> </v>
      </c>
      <c r="BA61" s="55"/>
      <c r="BB61" s="32"/>
      <c r="BC61" s="32"/>
      <c r="BD61" s="55"/>
      <c r="BE61" s="32"/>
      <c r="BF61" s="54"/>
      <c r="BG61" s="21" t="str">
        <f>IFERROR(VLOOKUP(May[[#This Row],[Drug Name6]],'Data Options'!$R$1:$S$100,2,FALSE), " ")</f>
        <v xml:space="preserve"> </v>
      </c>
      <c r="BH61" s="55"/>
      <c r="BI61" s="32"/>
      <c r="BJ61" s="32"/>
      <c r="BK61" s="55"/>
      <c r="BL61" s="32"/>
      <c r="BM61" s="32"/>
      <c r="BN61" s="32"/>
      <c r="BO61" s="32"/>
      <c r="BP61" s="32"/>
      <c r="BQ61" s="31"/>
      <c r="BR61" s="31"/>
      <c r="BS61" s="54"/>
      <c r="BT61" s="21" t="str">
        <f>IFERROR(VLOOKUP(May[[#This Row],[Drug Name7]],'Data Options'!$R$1:$S$100,2,FALSE), " ")</f>
        <v xml:space="preserve"> </v>
      </c>
      <c r="BU61" s="55"/>
      <c r="BV61" s="32"/>
      <c r="BW61" s="32"/>
      <c r="BX61" s="55"/>
      <c r="BY61" s="32"/>
      <c r="BZ61" s="54"/>
      <c r="CA61" s="21" t="str">
        <f>IFERROR(VLOOKUP(May[[#This Row],[Drug Name8]],'Data Options'!$R$1:$S$100,2,FALSE), " ")</f>
        <v xml:space="preserve"> </v>
      </c>
      <c r="CB61" s="55"/>
      <c r="CC61" s="32"/>
      <c r="CD61" s="32"/>
      <c r="CE61" s="55"/>
      <c r="CF61" s="32"/>
      <c r="CG61" s="54"/>
      <c r="CH61" s="21" t="str">
        <f>IFERROR(VLOOKUP(May[[#This Row],[Drug Name9]],'Data Options'!$R$1:$S$100,2,FALSE), " ")</f>
        <v xml:space="preserve"> </v>
      </c>
      <c r="CI61" s="55"/>
      <c r="CJ61" s="32"/>
      <c r="CK61" s="32"/>
      <c r="CL61" s="55"/>
      <c r="CM61" s="32"/>
    </row>
    <row r="62" spans="1:9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31"/>
      <c r="Q62" s="54"/>
      <c r="R62" s="21" t="str">
        <f>IFERROR(VLOOKUP(May[[#This Row],[Drug Name]],'Data Options'!$R$1:$S$100,2,FALSE), " ")</f>
        <v xml:space="preserve"> </v>
      </c>
      <c r="S62" s="55"/>
      <c r="T62" s="32"/>
      <c r="U62" s="32"/>
      <c r="V62" s="55"/>
      <c r="W62" s="32"/>
      <c r="X62" s="54"/>
      <c r="Y62" s="21" t="str">
        <f>IFERROR(VLOOKUP(May[[#This Row],[Drug Name2]],'Data Options'!$R$1:$S$100,2,FALSE), " ")</f>
        <v xml:space="preserve"> </v>
      </c>
      <c r="Z62" s="55"/>
      <c r="AA62" s="32"/>
      <c r="AB62" s="32"/>
      <c r="AC62" s="55"/>
      <c r="AD62" s="32"/>
      <c r="AE62" s="54"/>
      <c r="AF62" s="21" t="str">
        <f>IFERROR(VLOOKUP(May[[#This Row],[Drug Name3]],'Data Options'!$R$1:$S$100,2,FALSE), " ")</f>
        <v xml:space="preserve"> </v>
      </c>
      <c r="AG62" s="55"/>
      <c r="AH62" s="32"/>
      <c r="AI62" s="32"/>
      <c r="AJ62" s="55"/>
      <c r="AK62" s="32"/>
      <c r="AL62" s="32"/>
      <c r="AM62" s="32"/>
      <c r="AN62" s="32"/>
      <c r="AO62" s="32"/>
      <c r="AP62" s="31"/>
      <c r="AQ62" s="31"/>
      <c r="AR62" s="54"/>
      <c r="AS62" s="21" t="str">
        <f>IFERROR(VLOOKUP(May[[#This Row],[Drug Name4]],'Data Options'!$R$1:$S$100,2,FALSE), " ")</f>
        <v xml:space="preserve"> </v>
      </c>
      <c r="AT62" s="55"/>
      <c r="AU62" s="32"/>
      <c r="AV62" s="32"/>
      <c r="AW62" s="55"/>
      <c r="AX62" s="32"/>
      <c r="AY62" s="54"/>
      <c r="AZ62" s="21" t="str">
        <f>IFERROR(VLOOKUP(May[[#This Row],[Drug Name5]],'Data Options'!$R$1:$S$100,2,FALSE), " ")</f>
        <v xml:space="preserve"> </v>
      </c>
      <c r="BA62" s="55"/>
      <c r="BB62" s="32"/>
      <c r="BC62" s="32"/>
      <c r="BD62" s="55"/>
      <c r="BE62" s="32"/>
      <c r="BF62" s="54"/>
      <c r="BG62" s="21" t="str">
        <f>IFERROR(VLOOKUP(May[[#This Row],[Drug Name6]],'Data Options'!$R$1:$S$100,2,FALSE), " ")</f>
        <v xml:space="preserve"> </v>
      </c>
      <c r="BH62" s="55"/>
      <c r="BI62" s="32"/>
      <c r="BJ62" s="32"/>
      <c r="BK62" s="55"/>
      <c r="BL62" s="32"/>
      <c r="BM62" s="32"/>
      <c r="BN62" s="32"/>
      <c r="BO62" s="32"/>
      <c r="BP62" s="32"/>
      <c r="BQ62" s="31"/>
      <c r="BR62" s="31"/>
      <c r="BS62" s="54"/>
      <c r="BT62" s="21" t="str">
        <f>IFERROR(VLOOKUP(May[[#This Row],[Drug Name7]],'Data Options'!$R$1:$S$100,2,FALSE), " ")</f>
        <v xml:space="preserve"> </v>
      </c>
      <c r="BU62" s="55"/>
      <c r="BV62" s="32"/>
      <c r="BW62" s="32"/>
      <c r="BX62" s="55"/>
      <c r="BY62" s="32"/>
      <c r="BZ62" s="54"/>
      <c r="CA62" s="21" t="str">
        <f>IFERROR(VLOOKUP(May[[#This Row],[Drug Name8]],'Data Options'!$R$1:$S$100,2,FALSE), " ")</f>
        <v xml:space="preserve"> </v>
      </c>
      <c r="CB62" s="55"/>
      <c r="CC62" s="32"/>
      <c r="CD62" s="32"/>
      <c r="CE62" s="55"/>
      <c r="CF62" s="32"/>
      <c r="CG62" s="54"/>
      <c r="CH62" s="21" t="str">
        <f>IFERROR(VLOOKUP(May[[#This Row],[Drug Name9]],'Data Options'!$R$1:$S$100,2,FALSE), " ")</f>
        <v xml:space="preserve"> </v>
      </c>
      <c r="CI62" s="55"/>
      <c r="CJ62" s="32"/>
      <c r="CK62" s="32"/>
      <c r="CL62" s="55"/>
      <c r="CM62" s="32"/>
    </row>
    <row r="63" spans="1:91">
      <c r="A63" s="5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31"/>
      <c r="Q63" s="54"/>
      <c r="R63" s="21" t="str">
        <f>IFERROR(VLOOKUP(May[[#This Row],[Drug Name]],'Data Options'!$R$1:$S$100,2,FALSE), " ")</f>
        <v xml:space="preserve"> </v>
      </c>
      <c r="S63" s="55"/>
      <c r="T63" s="32"/>
      <c r="U63" s="32"/>
      <c r="V63" s="55"/>
      <c r="W63" s="32"/>
      <c r="X63" s="54"/>
      <c r="Y63" s="21" t="str">
        <f>IFERROR(VLOOKUP(May[[#This Row],[Drug Name2]],'Data Options'!$R$1:$S$100,2,FALSE), " ")</f>
        <v xml:space="preserve"> </v>
      </c>
      <c r="Z63" s="55"/>
      <c r="AA63" s="32"/>
      <c r="AB63" s="32"/>
      <c r="AC63" s="55"/>
      <c r="AD63" s="32"/>
      <c r="AE63" s="54"/>
      <c r="AF63" s="21" t="str">
        <f>IFERROR(VLOOKUP(May[[#This Row],[Drug Name3]],'Data Options'!$R$1:$S$100,2,FALSE), " ")</f>
        <v xml:space="preserve"> </v>
      </c>
      <c r="AG63" s="55"/>
      <c r="AH63" s="32"/>
      <c r="AI63" s="32"/>
      <c r="AJ63" s="55"/>
      <c r="AK63" s="32"/>
      <c r="AL63" s="32"/>
      <c r="AM63" s="32"/>
      <c r="AN63" s="32"/>
      <c r="AO63" s="32"/>
      <c r="AP63" s="31"/>
      <c r="AQ63" s="31"/>
      <c r="AR63" s="54"/>
      <c r="AS63" s="21" t="str">
        <f>IFERROR(VLOOKUP(May[[#This Row],[Drug Name4]],'Data Options'!$R$1:$S$100,2,FALSE), " ")</f>
        <v xml:space="preserve"> </v>
      </c>
      <c r="AT63" s="55"/>
      <c r="AU63" s="32"/>
      <c r="AV63" s="32"/>
      <c r="AW63" s="55"/>
      <c r="AX63" s="32"/>
      <c r="AY63" s="54"/>
      <c r="AZ63" s="21" t="str">
        <f>IFERROR(VLOOKUP(May[[#This Row],[Drug Name5]],'Data Options'!$R$1:$S$100,2,FALSE), " ")</f>
        <v xml:space="preserve"> </v>
      </c>
      <c r="BA63" s="55"/>
      <c r="BB63" s="32"/>
      <c r="BC63" s="32"/>
      <c r="BD63" s="55"/>
      <c r="BE63" s="32"/>
      <c r="BF63" s="54"/>
      <c r="BG63" s="21" t="str">
        <f>IFERROR(VLOOKUP(May[[#This Row],[Drug Name6]],'Data Options'!$R$1:$S$100,2,FALSE), " ")</f>
        <v xml:space="preserve"> </v>
      </c>
      <c r="BH63" s="55"/>
      <c r="BI63" s="32"/>
      <c r="BJ63" s="32"/>
      <c r="BK63" s="55"/>
      <c r="BL63" s="32"/>
      <c r="BM63" s="32"/>
      <c r="BN63" s="32"/>
      <c r="BO63" s="32"/>
      <c r="BP63" s="32"/>
      <c r="BQ63" s="31"/>
      <c r="BR63" s="31"/>
      <c r="BS63" s="54"/>
      <c r="BT63" s="21" t="str">
        <f>IFERROR(VLOOKUP(May[[#This Row],[Drug Name7]],'Data Options'!$R$1:$S$100,2,FALSE), " ")</f>
        <v xml:space="preserve"> </v>
      </c>
      <c r="BU63" s="55"/>
      <c r="BV63" s="32"/>
      <c r="BW63" s="32"/>
      <c r="BX63" s="55"/>
      <c r="BY63" s="32"/>
      <c r="BZ63" s="54"/>
      <c r="CA63" s="21" t="str">
        <f>IFERROR(VLOOKUP(May[[#This Row],[Drug Name8]],'Data Options'!$R$1:$S$100,2,FALSE), " ")</f>
        <v xml:space="preserve"> </v>
      </c>
      <c r="CB63" s="55"/>
      <c r="CC63" s="32"/>
      <c r="CD63" s="32"/>
      <c r="CE63" s="55"/>
      <c r="CF63" s="32"/>
      <c r="CG63" s="54"/>
      <c r="CH63" s="21" t="str">
        <f>IFERROR(VLOOKUP(May[[#This Row],[Drug Name9]],'Data Options'!$R$1:$S$100,2,FALSE), " ")</f>
        <v xml:space="preserve"> </v>
      </c>
      <c r="CI63" s="55"/>
      <c r="CJ63" s="32"/>
      <c r="CK63" s="32"/>
      <c r="CL63" s="55"/>
      <c r="CM63" s="32"/>
    </row>
    <row r="64" spans="1:91">
      <c r="A64" s="5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31"/>
      <c r="Q64" s="54"/>
      <c r="R64" s="21" t="str">
        <f>IFERROR(VLOOKUP(May[[#This Row],[Drug Name]],'Data Options'!$R$1:$S$100,2,FALSE), " ")</f>
        <v xml:space="preserve"> </v>
      </c>
      <c r="S64" s="55"/>
      <c r="T64" s="32"/>
      <c r="U64" s="32"/>
      <c r="V64" s="55"/>
      <c r="W64" s="32"/>
      <c r="X64" s="54"/>
      <c r="Y64" s="21" t="str">
        <f>IFERROR(VLOOKUP(May[[#This Row],[Drug Name2]],'Data Options'!$R$1:$S$100,2,FALSE), " ")</f>
        <v xml:space="preserve"> </v>
      </c>
      <c r="Z64" s="55"/>
      <c r="AA64" s="32"/>
      <c r="AB64" s="32"/>
      <c r="AC64" s="55"/>
      <c r="AD64" s="32"/>
      <c r="AE64" s="54"/>
      <c r="AF64" s="21" t="str">
        <f>IFERROR(VLOOKUP(May[[#This Row],[Drug Name3]],'Data Options'!$R$1:$S$100,2,FALSE), " ")</f>
        <v xml:space="preserve"> </v>
      </c>
      <c r="AG64" s="55"/>
      <c r="AH64" s="32"/>
      <c r="AI64" s="32"/>
      <c r="AJ64" s="55"/>
      <c r="AK64" s="32"/>
      <c r="AL64" s="32"/>
      <c r="AM64" s="32"/>
      <c r="AN64" s="32"/>
      <c r="AO64" s="32"/>
      <c r="AP64" s="31"/>
      <c r="AQ64" s="31"/>
      <c r="AR64" s="54"/>
      <c r="AS64" s="21" t="str">
        <f>IFERROR(VLOOKUP(May[[#This Row],[Drug Name4]],'Data Options'!$R$1:$S$100,2,FALSE), " ")</f>
        <v xml:space="preserve"> </v>
      </c>
      <c r="AT64" s="55"/>
      <c r="AU64" s="32"/>
      <c r="AV64" s="32"/>
      <c r="AW64" s="55"/>
      <c r="AX64" s="32"/>
      <c r="AY64" s="54"/>
      <c r="AZ64" s="21" t="str">
        <f>IFERROR(VLOOKUP(May[[#This Row],[Drug Name5]],'Data Options'!$R$1:$S$100,2,FALSE), " ")</f>
        <v xml:space="preserve"> </v>
      </c>
      <c r="BA64" s="55"/>
      <c r="BB64" s="32"/>
      <c r="BC64" s="32"/>
      <c r="BD64" s="55"/>
      <c r="BE64" s="32"/>
      <c r="BF64" s="54"/>
      <c r="BG64" s="21" t="str">
        <f>IFERROR(VLOOKUP(May[[#This Row],[Drug Name6]],'Data Options'!$R$1:$S$100,2,FALSE), " ")</f>
        <v xml:space="preserve"> </v>
      </c>
      <c r="BH64" s="55"/>
      <c r="BI64" s="32"/>
      <c r="BJ64" s="32"/>
      <c r="BK64" s="55"/>
      <c r="BL64" s="32"/>
      <c r="BM64" s="32"/>
      <c r="BN64" s="32"/>
      <c r="BO64" s="32"/>
      <c r="BP64" s="32"/>
      <c r="BQ64" s="31"/>
      <c r="BR64" s="31"/>
      <c r="BS64" s="54"/>
      <c r="BT64" s="21" t="str">
        <f>IFERROR(VLOOKUP(May[[#This Row],[Drug Name7]],'Data Options'!$R$1:$S$100,2,FALSE), " ")</f>
        <v xml:space="preserve"> </v>
      </c>
      <c r="BU64" s="55"/>
      <c r="BV64" s="32"/>
      <c r="BW64" s="32"/>
      <c r="BX64" s="55"/>
      <c r="BY64" s="32"/>
      <c r="BZ64" s="54"/>
      <c r="CA64" s="21" t="str">
        <f>IFERROR(VLOOKUP(May[[#This Row],[Drug Name8]],'Data Options'!$R$1:$S$100,2,FALSE), " ")</f>
        <v xml:space="preserve"> </v>
      </c>
      <c r="CB64" s="55"/>
      <c r="CC64" s="32"/>
      <c r="CD64" s="32"/>
      <c r="CE64" s="55"/>
      <c r="CF64" s="32"/>
      <c r="CG64" s="54"/>
      <c r="CH64" s="21" t="str">
        <f>IFERROR(VLOOKUP(May[[#This Row],[Drug Name9]],'Data Options'!$R$1:$S$100,2,FALSE), " ")</f>
        <v xml:space="preserve"> </v>
      </c>
      <c r="CI64" s="55"/>
      <c r="CJ64" s="32"/>
      <c r="CK64" s="32"/>
      <c r="CL64" s="55"/>
      <c r="CM64" s="32"/>
    </row>
    <row r="65" spans="1:91">
      <c r="A65" s="5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54"/>
      <c r="R65" s="21" t="str">
        <f>IFERROR(VLOOKUP(May[[#This Row],[Drug Name]],'Data Options'!$R$1:$S$100,2,FALSE), " ")</f>
        <v xml:space="preserve"> </v>
      </c>
      <c r="S65" s="55"/>
      <c r="T65" s="32"/>
      <c r="U65" s="32"/>
      <c r="V65" s="55"/>
      <c r="W65" s="32"/>
      <c r="X65" s="54"/>
      <c r="Y65" s="21" t="str">
        <f>IFERROR(VLOOKUP(May[[#This Row],[Drug Name2]],'Data Options'!$R$1:$S$100,2,FALSE), " ")</f>
        <v xml:space="preserve"> </v>
      </c>
      <c r="Z65" s="55"/>
      <c r="AA65" s="32"/>
      <c r="AB65" s="32"/>
      <c r="AC65" s="55"/>
      <c r="AD65" s="32"/>
      <c r="AE65" s="54"/>
      <c r="AF65" s="21" t="str">
        <f>IFERROR(VLOOKUP(May[[#This Row],[Drug Name3]],'Data Options'!$R$1:$S$100,2,FALSE), " ")</f>
        <v xml:space="preserve"> </v>
      </c>
      <c r="AG65" s="55"/>
      <c r="AH65" s="32"/>
      <c r="AI65" s="32"/>
      <c r="AJ65" s="55"/>
      <c r="AK65" s="32"/>
      <c r="AL65" s="32"/>
      <c r="AM65" s="32"/>
      <c r="AN65" s="32"/>
      <c r="AO65" s="32"/>
      <c r="AP65" s="31"/>
      <c r="AQ65" s="31"/>
      <c r="AR65" s="54"/>
      <c r="AS65" s="21" t="str">
        <f>IFERROR(VLOOKUP(May[[#This Row],[Drug Name4]],'Data Options'!$R$1:$S$100,2,FALSE), " ")</f>
        <v xml:space="preserve"> </v>
      </c>
      <c r="AT65" s="55"/>
      <c r="AU65" s="32"/>
      <c r="AV65" s="32"/>
      <c r="AW65" s="55"/>
      <c r="AX65" s="32"/>
      <c r="AY65" s="54"/>
      <c r="AZ65" s="21" t="str">
        <f>IFERROR(VLOOKUP(May[[#This Row],[Drug Name5]],'Data Options'!$R$1:$S$100,2,FALSE), " ")</f>
        <v xml:space="preserve"> </v>
      </c>
      <c r="BA65" s="55"/>
      <c r="BB65" s="32"/>
      <c r="BC65" s="32"/>
      <c r="BD65" s="55"/>
      <c r="BE65" s="32"/>
      <c r="BF65" s="54"/>
      <c r="BG65" s="21" t="str">
        <f>IFERROR(VLOOKUP(May[[#This Row],[Drug Name6]],'Data Options'!$R$1:$S$100,2,FALSE), " ")</f>
        <v xml:space="preserve"> </v>
      </c>
      <c r="BH65" s="55"/>
      <c r="BI65" s="32"/>
      <c r="BJ65" s="32"/>
      <c r="BK65" s="55"/>
      <c r="BL65" s="32"/>
      <c r="BM65" s="32"/>
      <c r="BN65" s="32"/>
      <c r="BO65" s="32"/>
      <c r="BP65" s="32"/>
      <c r="BQ65" s="31"/>
      <c r="BR65" s="31"/>
      <c r="BS65" s="54"/>
      <c r="BT65" s="21" t="str">
        <f>IFERROR(VLOOKUP(May[[#This Row],[Drug Name7]],'Data Options'!$R$1:$S$100,2,FALSE), " ")</f>
        <v xml:space="preserve"> </v>
      </c>
      <c r="BU65" s="55"/>
      <c r="BV65" s="32"/>
      <c r="BW65" s="32"/>
      <c r="BX65" s="55"/>
      <c r="BY65" s="32"/>
      <c r="BZ65" s="54"/>
      <c r="CA65" s="21" t="str">
        <f>IFERROR(VLOOKUP(May[[#This Row],[Drug Name8]],'Data Options'!$R$1:$S$100,2,FALSE), " ")</f>
        <v xml:space="preserve"> </v>
      </c>
      <c r="CB65" s="55"/>
      <c r="CC65" s="32"/>
      <c r="CD65" s="32"/>
      <c r="CE65" s="55"/>
      <c r="CF65" s="32"/>
      <c r="CG65" s="54"/>
      <c r="CH65" s="21" t="str">
        <f>IFERROR(VLOOKUP(May[[#This Row],[Drug Name9]],'Data Options'!$R$1:$S$100,2,FALSE), " ")</f>
        <v xml:space="preserve"> </v>
      </c>
      <c r="CI65" s="55"/>
      <c r="CJ65" s="32"/>
      <c r="CK65" s="32"/>
      <c r="CL65" s="55"/>
      <c r="CM65" s="32"/>
    </row>
    <row r="66" spans="1:91">
      <c r="A66" s="5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31"/>
      <c r="Q66" s="54"/>
      <c r="R66" s="21" t="str">
        <f>IFERROR(VLOOKUP(May[[#This Row],[Drug Name]],'Data Options'!$R$1:$S$100,2,FALSE), " ")</f>
        <v xml:space="preserve"> </v>
      </c>
      <c r="S66" s="55"/>
      <c r="T66" s="32"/>
      <c r="U66" s="32"/>
      <c r="V66" s="55"/>
      <c r="W66" s="32"/>
      <c r="X66" s="54"/>
      <c r="Y66" s="21" t="str">
        <f>IFERROR(VLOOKUP(May[[#This Row],[Drug Name2]],'Data Options'!$R$1:$S$100,2,FALSE), " ")</f>
        <v xml:space="preserve"> </v>
      </c>
      <c r="Z66" s="55"/>
      <c r="AA66" s="32"/>
      <c r="AB66" s="32"/>
      <c r="AC66" s="55"/>
      <c r="AD66" s="32"/>
      <c r="AE66" s="54"/>
      <c r="AF66" s="21" t="str">
        <f>IFERROR(VLOOKUP(May[[#This Row],[Drug Name3]],'Data Options'!$R$1:$S$100,2,FALSE), " ")</f>
        <v xml:space="preserve"> </v>
      </c>
      <c r="AG66" s="55"/>
      <c r="AH66" s="32"/>
      <c r="AI66" s="32"/>
      <c r="AJ66" s="55"/>
      <c r="AK66" s="32"/>
      <c r="AL66" s="32"/>
      <c r="AM66" s="32"/>
      <c r="AN66" s="32"/>
      <c r="AO66" s="32"/>
      <c r="AP66" s="31"/>
      <c r="AQ66" s="31"/>
      <c r="AR66" s="54"/>
      <c r="AS66" s="21" t="str">
        <f>IFERROR(VLOOKUP(May[[#This Row],[Drug Name4]],'Data Options'!$R$1:$S$100,2,FALSE), " ")</f>
        <v xml:space="preserve"> </v>
      </c>
      <c r="AT66" s="55"/>
      <c r="AU66" s="32"/>
      <c r="AV66" s="32"/>
      <c r="AW66" s="55"/>
      <c r="AX66" s="32"/>
      <c r="AY66" s="54"/>
      <c r="AZ66" s="21" t="str">
        <f>IFERROR(VLOOKUP(May[[#This Row],[Drug Name5]],'Data Options'!$R$1:$S$100,2,FALSE), " ")</f>
        <v xml:space="preserve"> </v>
      </c>
      <c r="BA66" s="55"/>
      <c r="BB66" s="32"/>
      <c r="BC66" s="32"/>
      <c r="BD66" s="55"/>
      <c r="BE66" s="32"/>
      <c r="BF66" s="54"/>
      <c r="BG66" s="21" t="str">
        <f>IFERROR(VLOOKUP(May[[#This Row],[Drug Name6]],'Data Options'!$R$1:$S$100,2,FALSE), " ")</f>
        <v xml:space="preserve"> </v>
      </c>
      <c r="BH66" s="55"/>
      <c r="BI66" s="32"/>
      <c r="BJ66" s="32"/>
      <c r="BK66" s="55"/>
      <c r="BL66" s="32"/>
      <c r="BM66" s="32"/>
      <c r="BN66" s="32"/>
      <c r="BO66" s="32"/>
      <c r="BP66" s="32"/>
      <c r="BQ66" s="31"/>
      <c r="BR66" s="31"/>
      <c r="BS66" s="54"/>
      <c r="BT66" s="21" t="str">
        <f>IFERROR(VLOOKUP(May[[#This Row],[Drug Name7]],'Data Options'!$R$1:$S$100,2,FALSE), " ")</f>
        <v xml:space="preserve"> </v>
      </c>
      <c r="BU66" s="55"/>
      <c r="BV66" s="32"/>
      <c r="BW66" s="32"/>
      <c r="BX66" s="55"/>
      <c r="BY66" s="32"/>
      <c r="BZ66" s="54"/>
      <c r="CA66" s="21" t="str">
        <f>IFERROR(VLOOKUP(May[[#This Row],[Drug Name8]],'Data Options'!$R$1:$S$100,2,FALSE), " ")</f>
        <v xml:space="preserve"> </v>
      </c>
      <c r="CB66" s="55"/>
      <c r="CC66" s="32"/>
      <c r="CD66" s="32"/>
      <c r="CE66" s="55"/>
      <c r="CF66" s="32"/>
      <c r="CG66" s="54"/>
      <c r="CH66" s="21" t="str">
        <f>IFERROR(VLOOKUP(May[[#This Row],[Drug Name9]],'Data Options'!$R$1:$S$100,2,FALSE), " ")</f>
        <v xml:space="preserve"> </v>
      </c>
      <c r="CI66" s="55"/>
      <c r="CJ66" s="32"/>
      <c r="CK66" s="32"/>
      <c r="CL66" s="55"/>
      <c r="CM66" s="32"/>
    </row>
    <row r="67" spans="1:91">
      <c r="A67" s="5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31"/>
      <c r="Q67" s="54"/>
      <c r="R67" s="21" t="str">
        <f>IFERROR(VLOOKUP(May[[#This Row],[Drug Name]],'Data Options'!$R$1:$S$100,2,FALSE), " ")</f>
        <v xml:space="preserve"> </v>
      </c>
      <c r="S67" s="55"/>
      <c r="T67" s="32"/>
      <c r="U67" s="32"/>
      <c r="V67" s="55"/>
      <c r="W67" s="32"/>
      <c r="X67" s="54"/>
      <c r="Y67" s="21" t="str">
        <f>IFERROR(VLOOKUP(May[[#This Row],[Drug Name2]],'Data Options'!$R$1:$S$100,2,FALSE), " ")</f>
        <v xml:space="preserve"> </v>
      </c>
      <c r="Z67" s="55"/>
      <c r="AA67" s="32"/>
      <c r="AB67" s="32"/>
      <c r="AC67" s="55"/>
      <c r="AD67" s="32"/>
      <c r="AE67" s="54"/>
      <c r="AF67" s="21" t="str">
        <f>IFERROR(VLOOKUP(May[[#This Row],[Drug Name3]],'Data Options'!$R$1:$S$100,2,FALSE), " ")</f>
        <v xml:space="preserve"> </v>
      </c>
      <c r="AG67" s="55"/>
      <c r="AH67" s="32"/>
      <c r="AI67" s="32"/>
      <c r="AJ67" s="55"/>
      <c r="AK67" s="32"/>
      <c r="AL67" s="32"/>
      <c r="AM67" s="32"/>
      <c r="AN67" s="32"/>
      <c r="AO67" s="32"/>
      <c r="AP67" s="31"/>
      <c r="AQ67" s="31"/>
      <c r="AR67" s="54"/>
      <c r="AS67" s="21" t="str">
        <f>IFERROR(VLOOKUP(May[[#This Row],[Drug Name4]],'Data Options'!$R$1:$S$100,2,FALSE), " ")</f>
        <v xml:space="preserve"> </v>
      </c>
      <c r="AT67" s="55"/>
      <c r="AU67" s="32"/>
      <c r="AV67" s="32"/>
      <c r="AW67" s="55"/>
      <c r="AX67" s="32"/>
      <c r="AY67" s="54"/>
      <c r="AZ67" s="21" t="str">
        <f>IFERROR(VLOOKUP(May[[#This Row],[Drug Name5]],'Data Options'!$R$1:$S$100,2,FALSE), " ")</f>
        <v xml:space="preserve"> </v>
      </c>
      <c r="BA67" s="55"/>
      <c r="BB67" s="32"/>
      <c r="BC67" s="32"/>
      <c r="BD67" s="55"/>
      <c r="BE67" s="32"/>
      <c r="BF67" s="54"/>
      <c r="BG67" s="21" t="str">
        <f>IFERROR(VLOOKUP(May[[#This Row],[Drug Name6]],'Data Options'!$R$1:$S$100,2,FALSE), " ")</f>
        <v xml:space="preserve"> </v>
      </c>
      <c r="BH67" s="55"/>
      <c r="BI67" s="32"/>
      <c r="BJ67" s="32"/>
      <c r="BK67" s="55"/>
      <c r="BL67" s="32"/>
      <c r="BM67" s="32"/>
      <c r="BN67" s="32"/>
      <c r="BO67" s="32"/>
      <c r="BP67" s="32"/>
      <c r="BQ67" s="31"/>
      <c r="BR67" s="31"/>
      <c r="BS67" s="54"/>
      <c r="BT67" s="21" t="str">
        <f>IFERROR(VLOOKUP(May[[#This Row],[Drug Name7]],'Data Options'!$R$1:$S$100,2,FALSE), " ")</f>
        <v xml:space="preserve"> </v>
      </c>
      <c r="BU67" s="55"/>
      <c r="BV67" s="32"/>
      <c r="BW67" s="32"/>
      <c r="BX67" s="55"/>
      <c r="BY67" s="32"/>
      <c r="BZ67" s="54"/>
      <c r="CA67" s="21" t="str">
        <f>IFERROR(VLOOKUP(May[[#This Row],[Drug Name8]],'Data Options'!$R$1:$S$100,2,FALSE), " ")</f>
        <v xml:space="preserve"> </v>
      </c>
      <c r="CB67" s="55"/>
      <c r="CC67" s="32"/>
      <c r="CD67" s="32"/>
      <c r="CE67" s="55"/>
      <c r="CF67" s="32"/>
      <c r="CG67" s="54"/>
      <c r="CH67" s="21" t="str">
        <f>IFERROR(VLOOKUP(May[[#This Row],[Drug Name9]],'Data Options'!$R$1:$S$100,2,FALSE), " ")</f>
        <v xml:space="preserve"> </v>
      </c>
      <c r="CI67" s="55"/>
      <c r="CJ67" s="32"/>
      <c r="CK67" s="32"/>
      <c r="CL67" s="55"/>
      <c r="CM67" s="32"/>
    </row>
    <row r="68" spans="1:91">
      <c r="A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31"/>
      <c r="Q68" s="54"/>
      <c r="R68" s="21" t="str">
        <f>IFERROR(VLOOKUP(May[[#This Row],[Drug Name]],'Data Options'!$R$1:$S$100,2,FALSE), " ")</f>
        <v xml:space="preserve"> </v>
      </c>
      <c r="S68" s="55"/>
      <c r="T68" s="32"/>
      <c r="U68" s="32"/>
      <c r="V68" s="55"/>
      <c r="W68" s="32"/>
      <c r="X68" s="54"/>
      <c r="Y68" s="21" t="str">
        <f>IFERROR(VLOOKUP(May[[#This Row],[Drug Name2]],'Data Options'!$R$1:$S$100,2,FALSE), " ")</f>
        <v xml:space="preserve"> </v>
      </c>
      <c r="Z68" s="55"/>
      <c r="AA68" s="32"/>
      <c r="AB68" s="32"/>
      <c r="AC68" s="55"/>
      <c r="AD68" s="32"/>
      <c r="AE68" s="54"/>
      <c r="AF68" s="21" t="str">
        <f>IFERROR(VLOOKUP(May[[#This Row],[Drug Name3]],'Data Options'!$R$1:$S$100,2,FALSE), " ")</f>
        <v xml:space="preserve"> </v>
      </c>
      <c r="AG68" s="55"/>
      <c r="AH68" s="32"/>
      <c r="AI68" s="32"/>
      <c r="AJ68" s="55"/>
      <c r="AK68" s="32"/>
      <c r="AL68" s="32"/>
      <c r="AM68" s="32"/>
      <c r="AN68" s="32"/>
      <c r="AO68" s="32"/>
      <c r="AP68" s="31"/>
      <c r="AQ68" s="31"/>
      <c r="AR68" s="54"/>
      <c r="AS68" s="21" t="str">
        <f>IFERROR(VLOOKUP(May[[#This Row],[Drug Name4]],'Data Options'!$R$1:$S$100,2,FALSE), " ")</f>
        <v xml:space="preserve"> </v>
      </c>
      <c r="AT68" s="55"/>
      <c r="AU68" s="32"/>
      <c r="AV68" s="32"/>
      <c r="AW68" s="55"/>
      <c r="AX68" s="32"/>
      <c r="AY68" s="54"/>
      <c r="AZ68" s="21" t="str">
        <f>IFERROR(VLOOKUP(May[[#This Row],[Drug Name5]],'Data Options'!$R$1:$S$100,2,FALSE), " ")</f>
        <v xml:space="preserve"> </v>
      </c>
      <c r="BA68" s="55"/>
      <c r="BB68" s="32"/>
      <c r="BC68" s="32"/>
      <c r="BD68" s="55"/>
      <c r="BE68" s="32"/>
      <c r="BF68" s="54"/>
      <c r="BG68" s="21" t="str">
        <f>IFERROR(VLOOKUP(May[[#This Row],[Drug Name6]],'Data Options'!$R$1:$S$100,2,FALSE), " ")</f>
        <v xml:space="preserve"> </v>
      </c>
      <c r="BH68" s="55"/>
      <c r="BI68" s="32"/>
      <c r="BJ68" s="32"/>
      <c r="BK68" s="55"/>
      <c r="BL68" s="32"/>
      <c r="BM68" s="32"/>
      <c r="BN68" s="32"/>
      <c r="BO68" s="32"/>
      <c r="BP68" s="32"/>
      <c r="BQ68" s="31"/>
      <c r="BR68" s="31"/>
      <c r="BS68" s="54"/>
      <c r="BT68" s="21" t="str">
        <f>IFERROR(VLOOKUP(May[[#This Row],[Drug Name7]],'Data Options'!$R$1:$S$100,2,FALSE), " ")</f>
        <v xml:space="preserve"> </v>
      </c>
      <c r="BU68" s="55"/>
      <c r="BV68" s="32"/>
      <c r="BW68" s="32"/>
      <c r="BX68" s="55"/>
      <c r="BY68" s="32"/>
      <c r="BZ68" s="54"/>
      <c r="CA68" s="21" t="str">
        <f>IFERROR(VLOOKUP(May[[#This Row],[Drug Name8]],'Data Options'!$R$1:$S$100,2,FALSE), " ")</f>
        <v xml:space="preserve"> </v>
      </c>
      <c r="CB68" s="55"/>
      <c r="CC68" s="32"/>
      <c r="CD68" s="32"/>
      <c r="CE68" s="55"/>
      <c r="CF68" s="32"/>
      <c r="CG68" s="54"/>
      <c r="CH68" s="21" t="str">
        <f>IFERROR(VLOOKUP(May[[#This Row],[Drug Name9]],'Data Options'!$R$1:$S$100,2,FALSE), " ")</f>
        <v xml:space="preserve"> </v>
      </c>
      <c r="CI68" s="55"/>
      <c r="CJ68" s="32"/>
      <c r="CK68" s="32"/>
      <c r="CL68" s="55"/>
      <c r="CM68" s="32"/>
    </row>
    <row r="69" spans="1:91">
      <c r="A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31"/>
      <c r="Q69" s="54"/>
      <c r="R69" s="21" t="str">
        <f>IFERROR(VLOOKUP(May[[#This Row],[Drug Name]],'Data Options'!$R$1:$S$100,2,FALSE), " ")</f>
        <v xml:space="preserve"> </v>
      </c>
      <c r="S69" s="55"/>
      <c r="T69" s="32"/>
      <c r="U69" s="32"/>
      <c r="V69" s="55"/>
      <c r="W69" s="32"/>
      <c r="X69" s="54"/>
      <c r="Y69" s="21" t="str">
        <f>IFERROR(VLOOKUP(May[[#This Row],[Drug Name2]],'Data Options'!$R$1:$S$100,2,FALSE), " ")</f>
        <v xml:space="preserve"> </v>
      </c>
      <c r="Z69" s="55"/>
      <c r="AA69" s="32"/>
      <c r="AB69" s="32"/>
      <c r="AC69" s="55"/>
      <c r="AD69" s="32"/>
      <c r="AE69" s="54"/>
      <c r="AF69" s="21" t="str">
        <f>IFERROR(VLOOKUP(May[[#This Row],[Drug Name3]],'Data Options'!$R$1:$S$100,2,FALSE), " ")</f>
        <v xml:space="preserve"> </v>
      </c>
      <c r="AG69" s="55"/>
      <c r="AH69" s="32"/>
      <c r="AI69" s="32"/>
      <c r="AJ69" s="55"/>
      <c r="AK69" s="32"/>
      <c r="AL69" s="32"/>
      <c r="AM69" s="32"/>
      <c r="AN69" s="32"/>
      <c r="AO69" s="32"/>
      <c r="AP69" s="31"/>
      <c r="AQ69" s="31"/>
      <c r="AR69" s="54"/>
      <c r="AS69" s="21" t="str">
        <f>IFERROR(VLOOKUP(May[[#This Row],[Drug Name4]],'Data Options'!$R$1:$S$100,2,FALSE), " ")</f>
        <v xml:space="preserve"> </v>
      </c>
      <c r="AT69" s="55"/>
      <c r="AU69" s="32"/>
      <c r="AV69" s="32"/>
      <c r="AW69" s="55"/>
      <c r="AX69" s="32"/>
      <c r="AY69" s="54"/>
      <c r="AZ69" s="21" t="str">
        <f>IFERROR(VLOOKUP(May[[#This Row],[Drug Name5]],'Data Options'!$R$1:$S$100,2,FALSE), " ")</f>
        <v xml:space="preserve"> </v>
      </c>
      <c r="BA69" s="55"/>
      <c r="BB69" s="32"/>
      <c r="BC69" s="32"/>
      <c r="BD69" s="55"/>
      <c r="BE69" s="32"/>
      <c r="BF69" s="54"/>
      <c r="BG69" s="21" t="str">
        <f>IFERROR(VLOOKUP(May[[#This Row],[Drug Name6]],'Data Options'!$R$1:$S$100,2,FALSE), " ")</f>
        <v xml:space="preserve"> </v>
      </c>
      <c r="BH69" s="55"/>
      <c r="BI69" s="32"/>
      <c r="BJ69" s="32"/>
      <c r="BK69" s="55"/>
      <c r="BL69" s="32"/>
      <c r="BM69" s="32"/>
      <c r="BN69" s="32"/>
      <c r="BO69" s="32"/>
      <c r="BP69" s="32"/>
      <c r="BQ69" s="31"/>
      <c r="BR69" s="31"/>
      <c r="BS69" s="54"/>
      <c r="BT69" s="21" t="str">
        <f>IFERROR(VLOOKUP(May[[#This Row],[Drug Name7]],'Data Options'!$R$1:$S$100,2,FALSE), " ")</f>
        <v xml:space="preserve"> </v>
      </c>
      <c r="BU69" s="55"/>
      <c r="BV69" s="32"/>
      <c r="BW69" s="32"/>
      <c r="BX69" s="55"/>
      <c r="BY69" s="32"/>
      <c r="BZ69" s="54"/>
      <c r="CA69" s="21" t="str">
        <f>IFERROR(VLOOKUP(May[[#This Row],[Drug Name8]],'Data Options'!$R$1:$S$100,2,FALSE), " ")</f>
        <v xml:space="preserve"> </v>
      </c>
      <c r="CB69" s="55"/>
      <c r="CC69" s="32"/>
      <c r="CD69" s="32"/>
      <c r="CE69" s="55"/>
      <c r="CF69" s="32"/>
      <c r="CG69" s="54"/>
      <c r="CH69" s="21" t="str">
        <f>IFERROR(VLOOKUP(May[[#This Row],[Drug Name9]],'Data Options'!$R$1:$S$100,2,FALSE), " ")</f>
        <v xml:space="preserve"> </v>
      </c>
      <c r="CI69" s="55"/>
      <c r="CJ69" s="32"/>
      <c r="CK69" s="32"/>
      <c r="CL69" s="55"/>
      <c r="CM69" s="32"/>
    </row>
    <row r="70" spans="1:91">
      <c r="A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31"/>
      <c r="Q70" s="54"/>
      <c r="R70" s="21" t="str">
        <f>IFERROR(VLOOKUP(May[[#This Row],[Drug Name]],'Data Options'!$R$1:$S$100,2,FALSE), " ")</f>
        <v xml:space="preserve"> </v>
      </c>
      <c r="S70" s="55"/>
      <c r="T70" s="32"/>
      <c r="U70" s="32"/>
      <c r="V70" s="55"/>
      <c r="W70" s="32"/>
      <c r="X70" s="54"/>
      <c r="Y70" s="21" t="str">
        <f>IFERROR(VLOOKUP(May[[#This Row],[Drug Name2]],'Data Options'!$R$1:$S$100,2,FALSE), " ")</f>
        <v xml:space="preserve"> </v>
      </c>
      <c r="Z70" s="55"/>
      <c r="AA70" s="32"/>
      <c r="AB70" s="32"/>
      <c r="AC70" s="55"/>
      <c r="AD70" s="32"/>
      <c r="AE70" s="54"/>
      <c r="AF70" s="21" t="str">
        <f>IFERROR(VLOOKUP(May[[#This Row],[Drug Name3]],'Data Options'!$R$1:$S$100,2,FALSE), " ")</f>
        <v xml:space="preserve"> </v>
      </c>
      <c r="AG70" s="55"/>
      <c r="AH70" s="32"/>
      <c r="AI70" s="32"/>
      <c r="AJ70" s="55"/>
      <c r="AK70" s="32"/>
      <c r="AL70" s="32"/>
      <c r="AM70" s="32"/>
      <c r="AN70" s="32"/>
      <c r="AO70" s="32"/>
      <c r="AP70" s="31"/>
      <c r="AQ70" s="31"/>
      <c r="AR70" s="54"/>
      <c r="AS70" s="21" t="str">
        <f>IFERROR(VLOOKUP(May[[#This Row],[Drug Name4]],'Data Options'!$R$1:$S$100,2,FALSE), " ")</f>
        <v xml:space="preserve"> </v>
      </c>
      <c r="AT70" s="55"/>
      <c r="AU70" s="32"/>
      <c r="AV70" s="32"/>
      <c r="AW70" s="55"/>
      <c r="AX70" s="32"/>
      <c r="AY70" s="54"/>
      <c r="AZ70" s="21" t="str">
        <f>IFERROR(VLOOKUP(May[[#This Row],[Drug Name5]],'Data Options'!$R$1:$S$100,2,FALSE), " ")</f>
        <v xml:space="preserve"> </v>
      </c>
      <c r="BA70" s="55"/>
      <c r="BB70" s="32"/>
      <c r="BC70" s="32"/>
      <c r="BD70" s="55"/>
      <c r="BE70" s="32"/>
      <c r="BF70" s="54"/>
      <c r="BG70" s="21" t="str">
        <f>IFERROR(VLOOKUP(May[[#This Row],[Drug Name6]],'Data Options'!$R$1:$S$100,2,FALSE), " ")</f>
        <v xml:space="preserve"> </v>
      </c>
      <c r="BH70" s="55"/>
      <c r="BI70" s="32"/>
      <c r="BJ70" s="32"/>
      <c r="BK70" s="55"/>
      <c r="BL70" s="32"/>
      <c r="BM70" s="32"/>
      <c r="BN70" s="32"/>
      <c r="BO70" s="32"/>
      <c r="BP70" s="32"/>
      <c r="BQ70" s="31"/>
      <c r="BR70" s="31"/>
      <c r="BS70" s="54"/>
      <c r="BT70" s="21" t="str">
        <f>IFERROR(VLOOKUP(May[[#This Row],[Drug Name7]],'Data Options'!$R$1:$S$100,2,FALSE), " ")</f>
        <v xml:space="preserve"> </v>
      </c>
      <c r="BU70" s="55"/>
      <c r="BV70" s="32"/>
      <c r="BW70" s="32"/>
      <c r="BX70" s="55"/>
      <c r="BY70" s="32"/>
      <c r="BZ70" s="54"/>
      <c r="CA70" s="21" t="str">
        <f>IFERROR(VLOOKUP(May[[#This Row],[Drug Name8]],'Data Options'!$R$1:$S$100,2,FALSE), " ")</f>
        <v xml:space="preserve"> </v>
      </c>
      <c r="CB70" s="55"/>
      <c r="CC70" s="32"/>
      <c r="CD70" s="32"/>
      <c r="CE70" s="55"/>
      <c r="CF70" s="32"/>
      <c r="CG70" s="54"/>
      <c r="CH70" s="21" t="str">
        <f>IFERROR(VLOOKUP(May[[#This Row],[Drug Name9]],'Data Options'!$R$1:$S$100,2,FALSE), " ")</f>
        <v xml:space="preserve"> </v>
      </c>
      <c r="CI70" s="55"/>
      <c r="CJ70" s="32"/>
      <c r="CK70" s="32"/>
      <c r="CL70" s="55"/>
      <c r="CM70" s="32"/>
    </row>
    <row r="71" spans="1:91">
      <c r="A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31"/>
      <c r="Q71" s="54"/>
      <c r="R71" s="21" t="str">
        <f>IFERROR(VLOOKUP(May[[#This Row],[Drug Name]],'Data Options'!$R$1:$S$100,2,FALSE), " ")</f>
        <v xml:space="preserve"> </v>
      </c>
      <c r="S71" s="55"/>
      <c r="T71" s="32"/>
      <c r="U71" s="32"/>
      <c r="V71" s="55"/>
      <c r="W71" s="32"/>
      <c r="X71" s="54"/>
      <c r="Y71" s="21" t="str">
        <f>IFERROR(VLOOKUP(May[[#This Row],[Drug Name2]],'Data Options'!$R$1:$S$100,2,FALSE), " ")</f>
        <v xml:space="preserve"> </v>
      </c>
      <c r="Z71" s="55"/>
      <c r="AA71" s="32"/>
      <c r="AB71" s="32"/>
      <c r="AC71" s="55"/>
      <c r="AD71" s="32"/>
      <c r="AE71" s="54"/>
      <c r="AF71" s="21" t="str">
        <f>IFERROR(VLOOKUP(May[[#This Row],[Drug Name3]],'Data Options'!$R$1:$S$100,2,FALSE), " ")</f>
        <v xml:space="preserve"> </v>
      </c>
      <c r="AG71" s="55"/>
      <c r="AH71" s="32"/>
      <c r="AI71" s="32"/>
      <c r="AJ71" s="55"/>
      <c r="AK71" s="32"/>
      <c r="AL71" s="32"/>
      <c r="AM71" s="32"/>
      <c r="AN71" s="32"/>
      <c r="AO71" s="32"/>
      <c r="AP71" s="31"/>
      <c r="AQ71" s="31"/>
      <c r="AR71" s="54"/>
      <c r="AS71" s="21" t="str">
        <f>IFERROR(VLOOKUP(May[[#This Row],[Drug Name4]],'Data Options'!$R$1:$S$100,2,FALSE), " ")</f>
        <v xml:space="preserve"> </v>
      </c>
      <c r="AT71" s="55"/>
      <c r="AU71" s="32"/>
      <c r="AV71" s="32"/>
      <c r="AW71" s="55"/>
      <c r="AX71" s="32"/>
      <c r="AY71" s="54"/>
      <c r="AZ71" s="21" t="str">
        <f>IFERROR(VLOOKUP(May[[#This Row],[Drug Name5]],'Data Options'!$R$1:$S$100,2,FALSE), " ")</f>
        <v xml:space="preserve"> </v>
      </c>
      <c r="BA71" s="55"/>
      <c r="BB71" s="32"/>
      <c r="BC71" s="32"/>
      <c r="BD71" s="55"/>
      <c r="BE71" s="32"/>
      <c r="BF71" s="54"/>
      <c r="BG71" s="21" t="str">
        <f>IFERROR(VLOOKUP(May[[#This Row],[Drug Name6]],'Data Options'!$R$1:$S$100,2,FALSE), " ")</f>
        <v xml:space="preserve"> </v>
      </c>
      <c r="BH71" s="55"/>
      <c r="BI71" s="32"/>
      <c r="BJ71" s="32"/>
      <c r="BK71" s="55"/>
      <c r="BL71" s="32"/>
      <c r="BM71" s="32"/>
      <c r="BN71" s="32"/>
      <c r="BO71" s="32"/>
      <c r="BP71" s="32"/>
      <c r="BQ71" s="31"/>
      <c r="BR71" s="31"/>
      <c r="BS71" s="54"/>
      <c r="BT71" s="21" t="str">
        <f>IFERROR(VLOOKUP(May[[#This Row],[Drug Name7]],'Data Options'!$R$1:$S$100,2,FALSE), " ")</f>
        <v xml:space="preserve"> </v>
      </c>
      <c r="BU71" s="55"/>
      <c r="BV71" s="32"/>
      <c r="BW71" s="32"/>
      <c r="BX71" s="55"/>
      <c r="BY71" s="32"/>
      <c r="BZ71" s="54"/>
      <c r="CA71" s="21" t="str">
        <f>IFERROR(VLOOKUP(May[[#This Row],[Drug Name8]],'Data Options'!$R$1:$S$100,2,FALSE), " ")</f>
        <v xml:space="preserve"> </v>
      </c>
      <c r="CB71" s="55"/>
      <c r="CC71" s="32"/>
      <c r="CD71" s="32"/>
      <c r="CE71" s="55"/>
      <c r="CF71" s="32"/>
      <c r="CG71" s="54"/>
      <c r="CH71" s="21" t="str">
        <f>IFERROR(VLOOKUP(May[[#This Row],[Drug Name9]],'Data Options'!$R$1:$S$100,2,FALSE), " ")</f>
        <v xml:space="preserve"> </v>
      </c>
      <c r="CI71" s="55"/>
      <c r="CJ71" s="32"/>
      <c r="CK71" s="32"/>
      <c r="CL71" s="55"/>
      <c r="CM71" s="32"/>
    </row>
    <row r="72" spans="1:91">
      <c r="A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54"/>
      <c r="R72" s="21" t="str">
        <f>IFERROR(VLOOKUP(May[[#This Row],[Drug Name]],'Data Options'!$R$1:$S$100,2,FALSE), " ")</f>
        <v xml:space="preserve"> </v>
      </c>
      <c r="S72" s="55"/>
      <c r="T72" s="32"/>
      <c r="U72" s="32"/>
      <c r="V72" s="55"/>
      <c r="W72" s="32"/>
      <c r="X72" s="54"/>
      <c r="Y72" s="21" t="str">
        <f>IFERROR(VLOOKUP(May[[#This Row],[Drug Name2]],'Data Options'!$R$1:$S$100,2,FALSE), " ")</f>
        <v xml:space="preserve"> </v>
      </c>
      <c r="Z72" s="55"/>
      <c r="AA72" s="32"/>
      <c r="AB72" s="32"/>
      <c r="AC72" s="55"/>
      <c r="AD72" s="32"/>
      <c r="AE72" s="54"/>
      <c r="AF72" s="21" t="str">
        <f>IFERROR(VLOOKUP(May[[#This Row],[Drug Name3]],'Data Options'!$R$1:$S$100,2,FALSE), " ")</f>
        <v xml:space="preserve"> </v>
      </c>
      <c r="AG72" s="55"/>
      <c r="AH72" s="32"/>
      <c r="AI72" s="32"/>
      <c r="AJ72" s="55"/>
      <c r="AK72" s="32"/>
      <c r="AL72" s="32"/>
      <c r="AM72" s="32"/>
      <c r="AN72" s="32"/>
      <c r="AO72" s="32"/>
      <c r="AP72" s="31"/>
      <c r="AQ72" s="31"/>
      <c r="AR72" s="54"/>
      <c r="AS72" s="21" t="str">
        <f>IFERROR(VLOOKUP(May[[#This Row],[Drug Name4]],'Data Options'!$R$1:$S$100,2,FALSE), " ")</f>
        <v xml:space="preserve"> </v>
      </c>
      <c r="AT72" s="55"/>
      <c r="AU72" s="32"/>
      <c r="AV72" s="32"/>
      <c r="AW72" s="55"/>
      <c r="AX72" s="32"/>
      <c r="AY72" s="54"/>
      <c r="AZ72" s="21" t="str">
        <f>IFERROR(VLOOKUP(May[[#This Row],[Drug Name5]],'Data Options'!$R$1:$S$100,2,FALSE), " ")</f>
        <v xml:space="preserve"> </v>
      </c>
      <c r="BA72" s="55"/>
      <c r="BB72" s="32"/>
      <c r="BC72" s="32"/>
      <c r="BD72" s="55"/>
      <c r="BE72" s="32"/>
      <c r="BF72" s="54"/>
      <c r="BG72" s="21" t="str">
        <f>IFERROR(VLOOKUP(May[[#This Row],[Drug Name6]],'Data Options'!$R$1:$S$100,2,FALSE), " ")</f>
        <v xml:space="preserve"> </v>
      </c>
      <c r="BH72" s="55"/>
      <c r="BI72" s="32"/>
      <c r="BJ72" s="32"/>
      <c r="BK72" s="55"/>
      <c r="BL72" s="32"/>
      <c r="BM72" s="32"/>
      <c r="BN72" s="32"/>
      <c r="BO72" s="32"/>
      <c r="BP72" s="32"/>
      <c r="BQ72" s="31"/>
      <c r="BR72" s="31"/>
      <c r="BS72" s="54"/>
      <c r="BT72" s="21" t="str">
        <f>IFERROR(VLOOKUP(May[[#This Row],[Drug Name7]],'Data Options'!$R$1:$S$100,2,FALSE), " ")</f>
        <v xml:space="preserve"> </v>
      </c>
      <c r="BU72" s="55"/>
      <c r="BV72" s="32"/>
      <c r="BW72" s="32"/>
      <c r="BX72" s="55"/>
      <c r="BY72" s="32"/>
      <c r="BZ72" s="54"/>
      <c r="CA72" s="21" t="str">
        <f>IFERROR(VLOOKUP(May[[#This Row],[Drug Name8]],'Data Options'!$R$1:$S$100,2,FALSE), " ")</f>
        <v xml:space="preserve"> </v>
      </c>
      <c r="CB72" s="55"/>
      <c r="CC72" s="32"/>
      <c r="CD72" s="32"/>
      <c r="CE72" s="55"/>
      <c r="CF72" s="32"/>
      <c r="CG72" s="54"/>
      <c r="CH72" s="21" t="str">
        <f>IFERROR(VLOOKUP(May[[#This Row],[Drug Name9]],'Data Options'!$R$1:$S$100,2,FALSE), " ")</f>
        <v xml:space="preserve"> </v>
      </c>
      <c r="CI72" s="55"/>
      <c r="CJ72" s="32"/>
      <c r="CK72" s="32"/>
      <c r="CL72" s="55"/>
      <c r="CM72" s="32"/>
    </row>
    <row r="73" spans="1:91">
      <c r="A73" s="5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31"/>
      <c r="Q73" s="54"/>
      <c r="R73" s="21" t="str">
        <f>IFERROR(VLOOKUP(May[[#This Row],[Drug Name]],'Data Options'!$R$1:$S$100,2,FALSE), " ")</f>
        <v xml:space="preserve"> </v>
      </c>
      <c r="S73" s="55"/>
      <c r="T73" s="32"/>
      <c r="U73" s="32"/>
      <c r="V73" s="55"/>
      <c r="W73" s="32"/>
      <c r="X73" s="54"/>
      <c r="Y73" s="21" t="str">
        <f>IFERROR(VLOOKUP(May[[#This Row],[Drug Name2]],'Data Options'!$R$1:$S$100,2,FALSE), " ")</f>
        <v xml:space="preserve"> </v>
      </c>
      <c r="Z73" s="55"/>
      <c r="AA73" s="32"/>
      <c r="AB73" s="32"/>
      <c r="AC73" s="55"/>
      <c r="AD73" s="32"/>
      <c r="AE73" s="54"/>
      <c r="AF73" s="21" t="str">
        <f>IFERROR(VLOOKUP(May[[#This Row],[Drug Name3]],'Data Options'!$R$1:$S$100,2,FALSE), " ")</f>
        <v xml:space="preserve"> </v>
      </c>
      <c r="AG73" s="55"/>
      <c r="AH73" s="32"/>
      <c r="AI73" s="32"/>
      <c r="AJ73" s="55"/>
      <c r="AK73" s="32"/>
      <c r="AL73" s="32"/>
      <c r="AM73" s="32"/>
      <c r="AN73" s="32"/>
      <c r="AO73" s="32"/>
      <c r="AP73" s="31"/>
      <c r="AQ73" s="31"/>
      <c r="AR73" s="54"/>
      <c r="AS73" s="21" t="str">
        <f>IFERROR(VLOOKUP(May[[#This Row],[Drug Name4]],'Data Options'!$R$1:$S$100,2,FALSE), " ")</f>
        <v xml:space="preserve"> </v>
      </c>
      <c r="AT73" s="55"/>
      <c r="AU73" s="32"/>
      <c r="AV73" s="32"/>
      <c r="AW73" s="55"/>
      <c r="AX73" s="32"/>
      <c r="AY73" s="54"/>
      <c r="AZ73" s="21" t="str">
        <f>IFERROR(VLOOKUP(May[[#This Row],[Drug Name5]],'Data Options'!$R$1:$S$100,2,FALSE), " ")</f>
        <v xml:space="preserve"> </v>
      </c>
      <c r="BA73" s="55"/>
      <c r="BB73" s="32"/>
      <c r="BC73" s="32"/>
      <c r="BD73" s="55"/>
      <c r="BE73" s="32"/>
      <c r="BF73" s="54"/>
      <c r="BG73" s="21" t="str">
        <f>IFERROR(VLOOKUP(May[[#This Row],[Drug Name6]],'Data Options'!$R$1:$S$100,2,FALSE), " ")</f>
        <v xml:space="preserve"> </v>
      </c>
      <c r="BH73" s="55"/>
      <c r="BI73" s="32"/>
      <c r="BJ73" s="32"/>
      <c r="BK73" s="55"/>
      <c r="BL73" s="32"/>
      <c r="BM73" s="32"/>
      <c r="BN73" s="32"/>
      <c r="BO73" s="32"/>
      <c r="BP73" s="32"/>
      <c r="BQ73" s="31"/>
      <c r="BR73" s="31"/>
      <c r="BS73" s="54"/>
      <c r="BT73" s="21" t="str">
        <f>IFERROR(VLOOKUP(May[[#This Row],[Drug Name7]],'Data Options'!$R$1:$S$100,2,FALSE), " ")</f>
        <v xml:space="preserve"> </v>
      </c>
      <c r="BU73" s="55"/>
      <c r="BV73" s="32"/>
      <c r="BW73" s="32"/>
      <c r="BX73" s="55"/>
      <c r="BY73" s="32"/>
      <c r="BZ73" s="54"/>
      <c r="CA73" s="21" t="str">
        <f>IFERROR(VLOOKUP(May[[#This Row],[Drug Name8]],'Data Options'!$R$1:$S$100,2,FALSE), " ")</f>
        <v xml:space="preserve"> </v>
      </c>
      <c r="CB73" s="55"/>
      <c r="CC73" s="32"/>
      <c r="CD73" s="32"/>
      <c r="CE73" s="55"/>
      <c r="CF73" s="32"/>
      <c r="CG73" s="54"/>
      <c r="CH73" s="21" t="str">
        <f>IFERROR(VLOOKUP(May[[#This Row],[Drug Name9]],'Data Options'!$R$1:$S$100,2,FALSE), " ")</f>
        <v xml:space="preserve"> </v>
      </c>
      <c r="CI73" s="55"/>
      <c r="CJ73" s="32"/>
      <c r="CK73" s="32"/>
      <c r="CL73" s="55"/>
      <c r="CM73" s="32"/>
    </row>
    <row r="74" spans="1:91">
      <c r="A74" s="5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31"/>
      <c r="Q74" s="54"/>
      <c r="R74" s="21" t="str">
        <f>IFERROR(VLOOKUP(May[[#This Row],[Drug Name]],'Data Options'!$R$1:$S$100,2,FALSE), " ")</f>
        <v xml:space="preserve"> </v>
      </c>
      <c r="S74" s="55"/>
      <c r="T74" s="32"/>
      <c r="U74" s="32"/>
      <c r="V74" s="55"/>
      <c r="W74" s="32"/>
      <c r="X74" s="54"/>
      <c r="Y74" s="21" t="str">
        <f>IFERROR(VLOOKUP(May[[#This Row],[Drug Name2]],'Data Options'!$R$1:$S$100,2,FALSE), " ")</f>
        <v xml:space="preserve"> </v>
      </c>
      <c r="Z74" s="55"/>
      <c r="AA74" s="32"/>
      <c r="AB74" s="32"/>
      <c r="AC74" s="55"/>
      <c r="AD74" s="32"/>
      <c r="AE74" s="54"/>
      <c r="AF74" s="21" t="str">
        <f>IFERROR(VLOOKUP(May[[#This Row],[Drug Name3]],'Data Options'!$R$1:$S$100,2,FALSE), " ")</f>
        <v xml:space="preserve"> </v>
      </c>
      <c r="AG74" s="55"/>
      <c r="AH74" s="32"/>
      <c r="AI74" s="32"/>
      <c r="AJ74" s="55"/>
      <c r="AK74" s="32"/>
      <c r="AL74" s="32"/>
      <c r="AM74" s="32"/>
      <c r="AN74" s="32"/>
      <c r="AO74" s="32"/>
      <c r="AP74" s="31"/>
      <c r="AQ74" s="31"/>
      <c r="AR74" s="54"/>
      <c r="AS74" s="21" t="str">
        <f>IFERROR(VLOOKUP(May[[#This Row],[Drug Name4]],'Data Options'!$R$1:$S$100,2,FALSE), " ")</f>
        <v xml:space="preserve"> </v>
      </c>
      <c r="AT74" s="55"/>
      <c r="AU74" s="32"/>
      <c r="AV74" s="32"/>
      <c r="AW74" s="55"/>
      <c r="AX74" s="32"/>
      <c r="AY74" s="54"/>
      <c r="AZ74" s="21" t="str">
        <f>IFERROR(VLOOKUP(May[[#This Row],[Drug Name5]],'Data Options'!$R$1:$S$100,2,FALSE), " ")</f>
        <v xml:space="preserve"> </v>
      </c>
      <c r="BA74" s="55"/>
      <c r="BB74" s="32"/>
      <c r="BC74" s="32"/>
      <c r="BD74" s="55"/>
      <c r="BE74" s="32"/>
      <c r="BF74" s="54"/>
      <c r="BG74" s="21" t="str">
        <f>IFERROR(VLOOKUP(May[[#This Row],[Drug Name6]],'Data Options'!$R$1:$S$100,2,FALSE), " ")</f>
        <v xml:space="preserve"> </v>
      </c>
      <c r="BH74" s="55"/>
      <c r="BI74" s="32"/>
      <c r="BJ74" s="32"/>
      <c r="BK74" s="55"/>
      <c r="BL74" s="32"/>
      <c r="BM74" s="32"/>
      <c r="BN74" s="32"/>
      <c r="BO74" s="32"/>
      <c r="BP74" s="32"/>
      <c r="BQ74" s="31"/>
      <c r="BR74" s="31"/>
      <c r="BS74" s="54"/>
      <c r="BT74" s="21" t="str">
        <f>IFERROR(VLOOKUP(May[[#This Row],[Drug Name7]],'Data Options'!$R$1:$S$100,2,FALSE), " ")</f>
        <v xml:space="preserve"> </v>
      </c>
      <c r="BU74" s="55"/>
      <c r="BV74" s="32"/>
      <c r="BW74" s="32"/>
      <c r="BX74" s="55"/>
      <c r="BY74" s="32"/>
      <c r="BZ74" s="54"/>
      <c r="CA74" s="21" t="str">
        <f>IFERROR(VLOOKUP(May[[#This Row],[Drug Name8]],'Data Options'!$R$1:$S$100,2,FALSE), " ")</f>
        <v xml:space="preserve"> </v>
      </c>
      <c r="CB74" s="55"/>
      <c r="CC74" s="32"/>
      <c r="CD74" s="32"/>
      <c r="CE74" s="55"/>
      <c r="CF74" s="32"/>
      <c r="CG74" s="54"/>
      <c r="CH74" s="21" t="str">
        <f>IFERROR(VLOOKUP(May[[#This Row],[Drug Name9]],'Data Options'!$R$1:$S$100,2,FALSE), " ")</f>
        <v xml:space="preserve"> </v>
      </c>
      <c r="CI74" s="55"/>
      <c r="CJ74" s="32"/>
      <c r="CK74" s="32"/>
      <c r="CL74" s="55"/>
      <c r="CM74" s="32"/>
    </row>
    <row r="75" spans="1:91">
      <c r="A75" s="5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31"/>
      <c r="Q75" s="54"/>
      <c r="R75" s="21" t="str">
        <f>IFERROR(VLOOKUP(May[[#This Row],[Drug Name]],'Data Options'!$R$1:$S$100,2,FALSE), " ")</f>
        <v xml:space="preserve"> </v>
      </c>
      <c r="S75" s="55"/>
      <c r="T75" s="32"/>
      <c r="U75" s="32"/>
      <c r="V75" s="55"/>
      <c r="W75" s="32"/>
      <c r="X75" s="54"/>
      <c r="Y75" s="21" t="str">
        <f>IFERROR(VLOOKUP(May[[#This Row],[Drug Name2]],'Data Options'!$R$1:$S$100,2,FALSE), " ")</f>
        <v xml:space="preserve"> </v>
      </c>
      <c r="Z75" s="55"/>
      <c r="AA75" s="32"/>
      <c r="AB75" s="32"/>
      <c r="AC75" s="55"/>
      <c r="AD75" s="32"/>
      <c r="AE75" s="54"/>
      <c r="AF75" s="21" t="str">
        <f>IFERROR(VLOOKUP(May[[#This Row],[Drug Name3]],'Data Options'!$R$1:$S$100,2,FALSE), " ")</f>
        <v xml:space="preserve"> </v>
      </c>
      <c r="AG75" s="55"/>
      <c r="AH75" s="32"/>
      <c r="AI75" s="32"/>
      <c r="AJ75" s="55"/>
      <c r="AK75" s="32"/>
      <c r="AL75" s="32"/>
      <c r="AM75" s="32"/>
      <c r="AN75" s="32"/>
      <c r="AO75" s="32"/>
      <c r="AP75" s="31"/>
      <c r="AQ75" s="31"/>
      <c r="AR75" s="54"/>
      <c r="AS75" s="21" t="str">
        <f>IFERROR(VLOOKUP(May[[#This Row],[Drug Name4]],'Data Options'!$R$1:$S$100,2,FALSE), " ")</f>
        <v xml:space="preserve"> </v>
      </c>
      <c r="AT75" s="55"/>
      <c r="AU75" s="32"/>
      <c r="AV75" s="32"/>
      <c r="AW75" s="55"/>
      <c r="AX75" s="32"/>
      <c r="AY75" s="54"/>
      <c r="AZ75" s="21" t="str">
        <f>IFERROR(VLOOKUP(May[[#This Row],[Drug Name5]],'Data Options'!$R$1:$S$100,2,FALSE), " ")</f>
        <v xml:space="preserve"> </v>
      </c>
      <c r="BA75" s="55"/>
      <c r="BB75" s="32"/>
      <c r="BC75" s="32"/>
      <c r="BD75" s="55"/>
      <c r="BE75" s="32"/>
      <c r="BF75" s="54"/>
      <c r="BG75" s="21" t="str">
        <f>IFERROR(VLOOKUP(May[[#This Row],[Drug Name6]],'Data Options'!$R$1:$S$100,2,FALSE), " ")</f>
        <v xml:space="preserve"> </v>
      </c>
      <c r="BH75" s="55"/>
      <c r="BI75" s="32"/>
      <c r="BJ75" s="32"/>
      <c r="BK75" s="55"/>
      <c r="BL75" s="32"/>
      <c r="BM75" s="32"/>
      <c r="BN75" s="32"/>
      <c r="BO75" s="32"/>
      <c r="BP75" s="32"/>
      <c r="BQ75" s="31"/>
      <c r="BR75" s="31"/>
      <c r="BS75" s="54"/>
      <c r="BT75" s="21" t="str">
        <f>IFERROR(VLOOKUP(May[[#This Row],[Drug Name7]],'Data Options'!$R$1:$S$100,2,FALSE), " ")</f>
        <v xml:space="preserve"> </v>
      </c>
      <c r="BU75" s="55"/>
      <c r="BV75" s="32"/>
      <c r="BW75" s="32"/>
      <c r="BX75" s="55"/>
      <c r="BY75" s="32"/>
      <c r="BZ75" s="54"/>
      <c r="CA75" s="21" t="str">
        <f>IFERROR(VLOOKUP(May[[#This Row],[Drug Name8]],'Data Options'!$R$1:$S$100,2,FALSE), " ")</f>
        <v xml:space="preserve"> </v>
      </c>
      <c r="CB75" s="55"/>
      <c r="CC75" s="32"/>
      <c r="CD75" s="32"/>
      <c r="CE75" s="55"/>
      <c r="CF75" s="32"/>
      <c r="CG75" s="54"/>
      <c r="CH75" s="21" t="str">
        <f>IFERROR(VLOOKUP(May[[#This Row],[Drug Name9]],'Data Options'!$R$1:$S$100,2,FALSE), " ")</f>
        <v xml:space="preserve"> </v>
      </c>
      <c r="CI75" s="55"/>
      <c r="CJ75" s="32"/>
      <c r="CK75" s="32"/>
      <c r="CL75" s="55"/>
      <c r="CM75" s="32"/>
    </row>
    <row r="76" spans="1:91">
      <c r="A76" s="5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54"/>
      <c r="R76" s="21" t="str">
        <f>IFERROR(VLOOKUP(May[[#This Row],[Drug Name]],'Data Options'!$R$1:$S$100,2,FALSE), " ")</f>
        <v xml:space="preserve"> </v>
      </c>
      <c r="S76" s="55"/>
      <c r="T76" s="32"/>
      <c r="U76" s="32"/>
      <c r="V76" s="55"/>
      <c r="W76" s="32"/>
      <c r="X76" s="54"/>
      <c r="Y76" s="21" t="str">
        <f>IFERROR(VLOOKUP(May[[#This Row],[Drug Name2]],'Data Options'!$R$1:$S$100,2,FALSE), " ")</f>
        <v xml:space="preserve"> </v>
      </c>
      <c r="Z76" s="55"/>
      <c r="AA76" s="32"/>
      <c r="AB76" s="32"/>
      <c r="AC76" s="55"/>
      <c r="AD76" s="32"/>
      <c r="AE76" s="54"/>
      <c r="AF76" s="21" t="str">
        <f>IFERROR(VLOOKUP(May[[#This Row],[Drug Name3]],'Data Options'!$R$1:$S$100,2,FALSE), " ")</f>
        <v xml:space="preserve"> </v>
      </c>
      <c r="AG76" s="55"/>
      <c r="AH76" s="32"/>
      <c r="AI76" s="32"/>
      <c r="AJ76" s="55"/>
      <c r="AK76" s="32"/>
      <c r="AL76" s="32"/>
      <c r="AM76" s="32"/>
      <c r="AN76" s="32"/>
      <c r="AO76" s="32"/>
      <c r="AP76" s="31"/>
      <c r="AQ76" s="31"/>
      <c r="AR76" s="54"/>
      <c r="AS76" s="21" t="str">
        <f>IFERROR(VLOOKUP(May[[#This Row],[Drug Name4]],'Data Options'!$R$1:$S$100,2,FALSE), " ")</f>
        <v xml:space="preserve"> </v>
      </c>
      <c r="AT76" s="55"/>
      <c r="AU76" s="32"/>
      <c r="AV76" s="32"/>
      <c r="AW76" s="55"/>
      <c r="AX76" s="32"/>
      <c r="AY76" s="54"/>
      <c r="AZ76" s="21" t="str">
        <f>IFERROR(VLOOKUP(May[[#This Row],[Drug Name5]],'Data Options'!$R$1:$S$100,2,FALSE), " ")</f>
        <v xml:space="preserve"> </v>
      </c>
      <c r="BA76" s="55"/>
      <c r="BB76" s="32"/>
      <c r="BC76" s="32"/>
      <c r="BD76" s="55"/>
      <c r="BE76" s="32"/>
      <c r="BF76" s="54"/>
      <c r="BG76" s="21" t="str">
        <f>IFERROR(VLOOKUP(May[[#This Row],[Drug Name6]],'Data Options'!$R$1:$S$100,2,FALSE), " ")</f>
        <v xml:space="preserve"> </v>
      </c>
      <c r="BH76" s="55"/>
      <c r="BI76" s="32"/>
      <c r="BJ76" s="32"/>
      <c r="BK76" s="55"/>
      <c r="BL76" s="32"/>
      <c r="BM76" s="32"/>
      <c r="BN76" s="32"/>
      <c r="BO76" s="32"/>
      <c r="BP76" s="32"/>
      <c r="BQ76" s="31"/>
      <c r="BR76" s="31"/>
      <c r="BS76" s="54"/>
      <c r="BT76" s="21" t="str">
        <f>IFERROR(VLOOKUP(May[[#This Row],[Drug Name7]],'Data Options'!$R$1:$S$100,2,FALSE), " ")</f>
        <v xml:space="preserve"> </v>
      </c>
      <c r="BU76" s="55"/>
      <c r="BV76" s="32"/>
      <c r="BW76" s="32"/>
      <c r="BX76" s="55"/>
      <c r="BY76" s="32"/>
      <c r="BZ76" s="54"/>
      <c r="CA76" s="21" t="str">
        <f>IFERROR(VLOOKUP(May[[#This Row],[Drug Name8]],'Data Options'!$R$1:$S$100,2,FALSE), " ")</f>
        <v xml:space="preserve"> </v>
      </c>
      <c r="CB76" s="55"/>
      <c r="CC76" s="32"/>
      <c r="CD76" s="32"/>
      <c r="CE76" s="55"/>
      <c r="CF76" s="32"/>
      <c r="CG76" s="54"/>
      <c r="CH76" s="21" t="str">
        <f>IFERROR(VLOOKUP(May[[#This Row],[Drug Name9]],'Data Options'!$R$1:$S$100,2,FALSE), " ")</f>
        <v xml:space="preserve"> </v>
      </c>
      <c r="CI76" s="55"/>
      <c r="CJ76" s="32"/>
      <c r="CK76" s="32"/>
      <c r="CL76" s="55"/>
      <c r="CM76" s="32"/>
    </row>
    <row r="77" spans="1:91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31"/>
      <c r="Q77" s="54"/>
      <c r="R77" s="21" t="str">
        <f>IFERROR(VLOOKUP(May[[#This Row],[Drug Name]],'Data Options'!$R$1:$S$100,2,FALSE), " ")</f>
        <v xml:space="preserve"> </v>
      </c>
      <c r="S77" s="55"/>
      <c r="T77" s="32"/>
      <c r="U77" s="32"/>
      <c r="V77" s="55"/>
      <c r="W77" s="32"/>
      <c r="X77" s="54"/>
      <c r="Y77" s="21" t="str">
        <f>IFERROR(VLOOKUP(May[[#This Row],[Drug Name2]],'Data Options'!$R$1:$S$100,2,FALSE), " ")</f>
        <v xml:space="preserve"> </v>
      </c>
      <c r="Z77" s="55"/>
      <c r="AA77" s="32"/>
      <c r="AB77" s="32"/>
      <c r="AC77" s="55"/>
      <c r="AD77" s="32"/>
      <c r="AE77" s="54"/>
      <c r="AF77" s="21" t="str">
        <f>IFERROR(VLOOKUP(May[[#This Row],[Drug Name3]],'Data Options'!$R$1:$S$100,2,FALSE), " ")</f>
        <v xml:space="preserve"> </v>
      </c>
      <c r="AG77" s="55"/>
      <c r="AH77" s="32"/>
      <c r="AI77" s="32"/>
      <c r="AJ77" s="55"/>
      <c r="AK77" s="32"/>
      <c r="AL77" s="32"/>
      <c r="AM77" s="32"/>
      <c r="AN77" s="32"/>
      <c r="AO77" s="32"/>
      <c r="AP77" s="31"/>
      <c r="AQ77" s="31"/>
      <c r="AR77" s="54"/>
      <c r="AS77" s="21" t="str">
        <f>IFERROR(VLOOKUP(May[[#This Row],[Drug Name4]],'Data Options'!$R$1:$S$100,2,FALSE), " ")</f>
        <v xml:space="preserve"> </v>
      </c>
      <c r="AT77" s="55"/>
      <c r="AU77" s="32"/>
      <c r="AV77" s="32"/>
      <c r="AW77" s="55"/>
      <c r="AX77" s="32"/>
      <c r="AY77" s="54"/>
      <c r="AZ77" s="21" t="str">
        <f>IFERROR(VLOOKUP(May[[#This Row],[Drug Name5]],'Data Options'!$R$1:$S$100,2,FALSE), " ")</f>
        <v xml:space="preserve"> </v>
      </c>
      <c r="BA77" s="55"/>
      <c r="BB77" s="32"/>
      <c r="BC77" s="32"/>
      <c r="BD77" s="55"/>
      <c r="BE77" s="32"/>
      <c r="BF77" s="54"/>
      <c r="BG77" s="21" t="str">
        <f>IFERROR(VLOOKUP(May[[#This Row],[Drug Name6]],'Data Options'!$R$1:$S$100,2,FALSE), " ")</f>
        <v xml:space="preserve"> </v>
      </c>
      <c r="BH77" s="55"/>
      <c r="BI77" s="32"/>
      <c r="BJ77" s="32"/>
      <c r="BK77" s="55"/>
      <c r="BL77" s="32"/>
      <c r="BM77" s="32"/>
      <c r="BN77" s="32"/>
      <c r="BO77" s="32"/>
      <c r="BP77" s="32"/>
      <c r="BQ77" s="31"/>
      <c r="BR77" s="31"/>
      <c r="BS77" s="54"/>
      <c r="BT77" s="21" t="str">
        <f>IFERROR(VLOOKUP(May[[#This Row],[Drug Name7]],'Data Options'!$R$1:$S$100,2,FALSE), " ")</f>
        <v xml:space="preserve"> </v>
      </c>
      <c r="BU77" s="55"/>
      <c r="BV77" s="32"/>
      <c r="BW77" s="32"/>
      <c r="BX77" s="55"/>
      <c r="BY77" s="32"/>
      <c r="BZ77" s="54"/>
      <c r="CA77" s="21" t="str">
        <f>IFERROR(VLOOKUP(May[[#This Row],[Drug Name8]],'Data Options'!$R$1:$S$100,2,FALSE), " ")</f>
        <v xml:space="preserve"> </v>
      </c>
      <c r="CB77" s="55"/>
      <c r="CC77" s="32"/>
      <c r="CD77" s="32"/>
      <c r="CE77" s="55"/>
      <c r="CF77" s="32"/>
      <c r="CG77" s="54"/>
      <c r="CH77" s="21" t="str">
        <f>IFERROR(VLOOKUP(May[[#This Row],[Drug Name9]],'Data Options'!$R$1:$S$100,2,FALSE), " ")</f>
        <v xml:space="preserve"> </v>
      </c>
      <c r="CI77" s="55"/>
      <c r="CJ77" s="32"/>
      <c r="CK77" s="32"/>
      <c r="CL77" s="55"/>
      <c r="CM77" s="32"/>
    </row>
    <row r="78" spans="1:91">
      <c r="A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31"/>
      <c r="Q78" s="54"/>
      <c r="R78" s="21" t="str">
        <f>IFERROR(VLOOKUP(May[[#This Row],[Drug Name]],'Data Options'!$R$1:$S$100,2,FALSE), " ")</f>
        <v xml:space="preserve"> </v>
      </c>
      <c r="S78" s="55"/>
      <c r="T78" s="32"/>
      <c r="U78" s="32"/>
      <c r="V78" s="55"/>
      <c r="W78" s="32"/>
      <c r="X78" s="54"/>
      <c r="Y78" s="21" t="str">
        <f>IFERROR(VLOOKUP(May[[#This Row],[Drug Name2]],'Data Options'!$R$1:$S$100,2,FALSE), " ")</f>
        <v xml:space="preserve"> </v>
      </c>
      <c r="Z78" s="55"/>
      <c r="AA78" s="32"/>
      <c r="AB78" s="32"/>
      <c r="AC78" s="55"/>
      <c r="AD78" s="32"/>
      <c r="AE78" s="54"/>
      <c r="AF78" s="21" t="str">
        <f>IFERROR(VLOOKUP(May[[#This Row],[Drug Name3]],'Data Options'!$R$1:$S$100,2,FALSE), " ")</f>
        <v xml:space="preserve"> </v>
      </c>
      <c r="AG78" s="55"/>
      <c r="AH78" s="32"/>
      <c r="AI78" s="32"/>
      <c r="AJ78" s="55"/>
      <c r="AK78" s="32"/>
      <c r="AL78" s="32"/>
      <c r="AM78" s="32"/>
      <c r="AN78" s="32"/>
      <c r="AO78" s="32"/>
      <c r="AP78" s="31"/>
      <c r="AQ78" s="31"/>
      <c r="AR78" s="54"/>
      <c r="AS78" s="21" t="str">
        <f>IFERROR(VLOOKUP(May[[#This Row],[Drug Name4]],'Data Options'!$R$1:$S$100,2,FALSE), " ")</f>
        <v xml:space="preserve"> </v>
      </c>
      <c r="AT78" s="55"/>
      <c r="AU78" s="32"/>
      <c r="AV78" s="32"/>
      <c r="AW78" s="55"/>
      <c r="AX78" s="32"/>
      <c r="AY78" s="54"/>
      <c r="AZ78" s="21" t="str">
        <f>IFERROR(VLOOKUP(May[[#This Row],[Drug Name5]],'Data Options'!$R$1:$S$100,2,FALSE), " ")</f>
        <v xml:space="preserve"> </v>
      </c>
      <c r="BA78" s="55"/>
      <c r="BB78" s="32"/>
      <c r="BC78" s="32"/>
      <c r="BD78" s="55"/>
      <c r="BE78" s="32"/>
      <c r="BF78" s="54"/>
      <c r="BG78" s="21" t="str">
        <f>IFERROR(VLOOKUP(May[[#This Row],[Drug Name6]],'Data Options'!$R$1:$S$100,2,FALSE), " ")</f>
        <v xml:space="preserve"> </v>
      </c>
      <c r="BH78" s="55"/>
      <c r="BI78" s="32"/>
      <c r="BJ78" s="32"/>
      <c r="BK78" s="55"/>
      <c r="BL78" s="32"/>
      <c r="BM78" s="32"/>
      <c r="BN78" s="32"/>
      <c r="BO78" s="32"/>
      <c r="BP78" s="32"/>
      <c r="BQ78" s="31"/>
      <c r="BR78" s="31"/>
      <c r="BS78" s="54"/>
      <c r="BT78" s="21" t="str">
        <f>IFERROR(VLOOKUP(May[[#This Row],[Drug Name7]],'Data Options'!$R$1:$S$100,2,FALSE), " ")</f>
        <v xml:space="preserve"> </v>
      </c>
      <c r="BU78" s="55"/>
      <c r="BV78" s="32"/>
      <c r="BW78" s="32"/>
      <c r="BX78" s="55"/>
      <c r="BY78" s="32"/>
      <c r="BZ78" s="54"/>
      <c r="CA78" s="21" t="str">
        <f>IFERROR(VLOOKUP(May[[#This Row],[Drug Name8]],'Data Options'!$R$1:$S$100,2,FALSE), " ")</f>
        <v xml:space="preserve"> </v>
      </c>
      <c r="CB78" s="55"/>
      <c r="CC78" s="32"/>
      <c r="CD78" s="32"/>
      <c r="CE78" s="55"/>
      <c r="CF78" s="32"/>
      <c r="CG78" s="54"/>
      <c r="CH78" s="21" t="str">
        <f>IFERROR(VLOOKUP(May[[#This Row],[Drug Name9]],'Data Options'!$R$1:$S$100,2,FALSE), " ")</f>
        <v xml:space="preserve"> </v>
      </c>
      <c r="CI78" s="55"/>
      <c r="CJ78" s="32"/>
      <c r="CK78" s="32"/>
      <c r="CL78" s="55"/>
      <c r="CM78" s="32"/>
    </row>
    <row r="79" spans="1:91">
      <c r="A79" s="5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31"/>
      <c r="Q79" s="54"/>
      <c r="R79" s="21" t="str">
        <f>IFERROR(VLOOKUP(May[[#This Row],[Drug Name]],'Data Options'!$R$1:$S$100,2,FALSE), " ")</f>
        <v xml:space="preserve"> </v>
      </c>
      <c r="S79" s="55"/>
      <c r="T79" s="32"/>
      <c r="U79" s="32"/>
      <c r="V79" s="55"/>
      <c r="W79" s="32"/>
      <c r="X79" s="54"/>
      <c r="Y79" s="21" t="str">
        <f>IFERROR(VLOOKUP(May[[#This Row],[Drug Name2]],'Data Options'!$R$1:$S$100,2,FALSE), " ")</f>
        <v xml:space="preserve"> </v>
      </c>
      <c r="Z79" s="55"/>
      <c r="AA79" s="32"/>
      <c r="AB79" s="32"/>
      <c r="AC79" s="55"/>
      <c r="AD79" s="32"/>
      <c r="AE79" s="54"/>
      <c r="AF79" s="21" t="str">
        <f>IFERROR(VLOOKUP(May[[#This Row],[Drug Name3]],'Data Options'!$R$1:$S$100,2,FALSE), " ")</f>
        <v xml:space="preserve"> </v>
      </c>
      <c r="AG79" s="55"/>
      <c r="AH79" s="32"/>
      <c r="AI79" s="32"/>
      <c r="AJ79" s="55"/>
      <c r="AK79" s="32"/>
      <c r="AL79" s="32"/>
      <c r="AM79" s="32"/>
      <c r="AN79" s="32"/>
      <c r="AO79" s="32"/>
      <c r="AP79" s="31"/>
      <c r="AQ79" s="31"/>
      <c r="AR79" s="54"/>
      <c r="AS79" s="21" t="str">
        <f>IFERROR(VLOOKUP(May[[#This Row],[Drug Name4]],'Data Options'!$R$1:$S$100,2,FALSE), " ")</f>
        <v xml:space="preserve"> </v>
      </c>
      <c r="AT79" s="55"/>
      <c r="AU79" s="32"/>
      <c r="AV79" s="32"/>
      <c r="AW79" s="55"/>
      <c r="AX79" s="32"/>
      <c r="AY79" s="54"/>
      <c r="AZ79" s="21" t="str">
        <f>IFERROR(VLOOKUP(May[[#This Row],[Drug Name5]],'Data Options'!$R$1:$S$100,2,FALSE), " ")</f>
        <v xml:space="preserve"> </v>
      </c>
      <c r="BA79" s="55"/>
      <c r="BB79" s="32"/>
      <c r="BC79" s="32"/>
      <c r="BD79" s="55"/>
      <c r="BE79" s="32"/>
      <c r="BF79" s="54"/>
      <c r="BG79" s="21" t="str">
        <f>IFERROR(VLOOKUP(May[[#This Row],[Drug Name6]],'Data Options'!$R$1:$S$100,2,FALSE), " ")</f>
        <v xml:space="preserve"> </v>
      </c>
      <c r="BH79" s="55"/>
      <c r="BI79" s="32"/>
      <c r="BJ79" s="32"/>
      <c r="BK79" s="55"/>
      <c r="BL79" s="32"/>
      <c r="BM79" s="32"/>
      <c r="BN79" s="32"/>
      <c r="BO79" s="32"/>
      <c r="BP79" s="32"/>
      <c r="BQ79" s="31"/>
      <c r="BR79" s="31"/>
      <c r="BS79" s="54"/>
      <c r="BT79" s="21" t="str">
        <f>IFERROR(VLOOKUP(May[[#This Row],[Drug Name7]],'Data Options'!$R$1:$S$100,2,FALSE), " ")</f>
        <v xml:space="preserve"> </v>
      </c>
      <c r="BU79" s="55"/>
      <c r="BV79" s="32"/>
      <c r="BW79" s="32"/>
      <c r="BX79" s="55"/>
      <c r="BY79" s="32"/>
      <c r="BZ79" s="54"/>
      <c r="CA79" s="21" t="str">
        <f>IFERROR(VLOOKUP(May[[#This Row],[Drug Name8]],'Data Options'!$R$1:$S$100,2,FALSE), " ")</f>
        <v xml:space="preserve"> </v>
      </c>
      <c r="CB79" s="55"/>
      <c r="CC79" s="32"/>
      <c r="CD79" s="32"/>
      <c r="CE79" s="55"/>
      <c r="CF79" s="32"/>
      <c r="CG79" s="54"/>
      <c r="CH79" s="21" t="str">
        <f>IFERROR(VLOOKUP(May[[#This Row],[Drug Name9]],'Data Options'!$R$1:$S$100,2,FALSE), " ")</f>
        <v xml:space="preserve"> </v>
      </c>
      <c r="CI79" s="55"/>
      <c r="CJ79" s="32"/>
      <c r="CK79" s="32"/>
      <c r="CL79" s="55"/>
      <c r="CM79" s="32"/>
    </row>
    <row r="80" spans="1:91">
      <c r="A80" s="5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31"/>
      <c r="Q80" s="54"/>
      <c r="R80" s="21" t="str">
        <f>IFERROR(VLOOKUP(May[[#This Row],[Drug Name]],'Data Options'!$R$1:$S$100,2,FALSE), " ")</f>
        <v xml:space="preserve"> </v>
      </c>
      <c r="S80" s="55"/>
      <c r="T80" s="32"/>
      <c r="U80" s="32"/>
      <c r="V80" s="55"/>
      <c r="W80" s="32"/>
      <c r="X80" s="54"/>
      <c r="Y80" s="21" t="str">
        <f>IFERROR(VLOOKUP(May[[#This Row],[Drug Name2]],'Data Options'!$R$1:$S$100,2,FALSE), " ")</f>
        <v xml:space="preserve"> </v>
      </c>
      <c r="Z80" s="55"/>
      <c r="AA80" s="32"/>
      <c r="AB80" s="32"/>
      <c r="AC80" s="55"/>
      <c r="AD80" s="32"/>
      <c r="AE80" s="54"/>
      <c r="AF80" s="21" t="str">
        <f>IFERROR(VLOOKUP(May[[#This Row],[Drug Name3]],'Data Options'!$R$1:$S$100,2,FALSE), " ")</f>
        <v xml:space="preserve"> </v>
      </c>
      <c r="AG80" s="55"/>
      <c r="AH80" s="32"/>
      <c r="AI80" s="32"/>
      <c r="AJ80" s="55"/>
      <c r="AK80" s="32"/>
      <c r="AL80" s="32"/>
      <c r="AM80" s="32"/>
      <c r="AN80" s="32"/>
      <c r="AO80" s="32"/>
      <c r="AP80" s="31"/>
      <c r="AQ80" s="31"/>
      <c r="AR80" s="54"/>
      <c r="AS80" s="21" t="str">
        <f>IFERROR(VLOOKUP(May[[#This Row],[Drug Name4]],'Data Options'!$R$1:$S$100,2,FALSE), " ")</f>
        <v xml:space="preserve"> </v>
      </c>
      <c r="AT80" s="55"/>
      <c r="AU80" s="32"/>
      <c r="AV80" s="32"/>
      <c r="AW80" s="55"/>
      <c r="AX80" s="32"/>
      <c r="AY80" s="54"/>
      <c r="AZ80" s="21" t="str">
        <f>IFERROR(VLOOKUP(May[[#This Row],[Drug Name5]],'Data Options'!$R$1:$S$100,2,FALSE), " ")</f>
        <v xml:space="preserve"> </v>
      </c>
      <c r="BA80" s="55"/>
      <c r="BB80" s="32"/>
      <c r="BC80" s="32"/>
      <c r="BD80" s="55"/>
      <c r="BE80" s="32"/>
      <c r="BF80" s="54"/>
      <c r="BG80" s="21" t="str">
        <f>IFERROR(VLOOKUP(May[[#This Row],[Drug Name6]],'Data Options'!$R$1:$S$100,2,FALSE), " ")</f>
        <v xml:space="preserve"> </v>
      </c>
      <c r="BH80" s="55"/>
      <c r="BI80" s="32"/>
      <c r="BJ80" s="32"/>
      <c r="BK80" s="55"/>
      <c r="BL80" s="32"/>
      <c r="BM80" s="32"/>
      <c r="BN80" s="32"/>
      <c r="BO80" s="32"/>
      <c r="BP80" s="32"/>
      <c r="BQ80" s="31"/>
      <c r="BR80" s="31"/>
      <c r="BS80" s="54"/>
      <c r="BT80" s="21" t="str">
        <f>IFERROR(VLOOKUP(May[[#This Row],[Drug Name7]],'Data Options'!$R$1:$S$100,2,FALSE), " ")</f>
        <v xml:space="preserve"> </v>
      </c>
      <c r="BU80" s="55"/>
      <c r="BV80" s="32"/>
      <c r="BW80" s="32"/>
      <c r="BX80" s="55"/>
      <c r="BY80" s="32"/>
      <c r="BZ80" s="54"/>
      <c r="CA80" s="21" t="str">
        <f>IFERROR(VLOOKUP(May[[#This Row],[Drug Name8]],'Data Options'!$R$1:$S$100,2,FALSE), " ")</f>
        <v xml:space="preserve"> </v>
      </c>
      <c r="CB80" s="55"/>
      <c r="CC80" s="32"/>
      <c r="CD80" s="32"/>
      <c r="CE80" s="55"/>
      <c r="CF80" s="32"/>
      <c r="CG80" s="54"/>
      <c r="CH80" s="21" t="str">
        <f>IFERROR(VLOOKUP(May[[#This Row],[Drug Name9]],'Data Options'!$R$1:$S$100,2,FALSE), " ")</f>
        <v xml:space="preserve"> </v>
      </c>
      <c r="CI80" s="55"/>
      <c r="CJ80" s="32"/>
      <c r="CK80" s="32"/>
      <c r="CL80" s="55"/>
      <c r="CM80" s="32"/>
    </row>
    <row r="81" spans="1:91">
      <c r="A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54"/>
      <c r="R81" s="21" t="str">
        <f>IFERROR(VLOOKUP(May[[#This Row],[Drug Name]],'Data Options'!$R$1:$S$100,2,FALSE), " ")</f>
        <v xml:space="preserve"> </v>
      </c>
      <c r="S81" s="55"/>
      <c r="T81" s="32"/>
      <c r="U81" s="32"/>
      <c r="V81" s="55"/>
      <c r="W81" s="32"/>
      <c r="X81" s="54"/>
      <c r="Y81" s="21" t="str">
        <f>IFERROR(VLOOKUP(May[[#This Row],[Drug Name2]],'Data Options'!$R$1:$S$100,2,FALSE), " ")</f>
        <v xml:space="preserve"> </v>
      </c>
      <c r="Z81" s="55"/>
      <c r="AA81" s="32"/>
      <c r="AB81" s="32"/>
      <c r="AC81" s="55"/>
      <c r="AD81" s="32"/>
      <c r="AE81" s="54"/>
      <c r="AF81" s="21" t="str">
        <f>IFERROR(VLOOKUP(May[[#This Row],[Drug Name3]],'Data Options'!$R$1:$S$100,2,FALSE), " ")</f>
        <v xml:space="preserve"> </v>
      </c>
      <c r="AG81" s="55"/>
      <c r="AH81" s="32"/>
      <c r="AI81" s="32"/>
      <c r="AJ81" s="55"/>
      <c r="AK81" s="32"/>
      <c r="AL81" s="32"/>
      <c r="AM81" s="32"/>
      <c r="AN81" s="32"/>
      <c r="AO81" s="32"/>
      <c r="AP81" s="31"/>
      <c r="AQ81" s="31"/>
      <c r="AR81" s="54"/>
      <c r="AS81" s="21" t="str">
        <f>IFERROR(VLOOKUP(May[[#This Row],[Drug Name4]],'Data Options'!$R$1:$S$100,2,FALSE), " ")</f>
        <v xml:space="preserve"> </v>
      </c>
      <c r="AT81" s="55"/>
      <c r="AU81" s="32"/>
      <c r="AV81" s="32"/>
      <c r="AW81" s="55"/>
      <c r="AX81" s="32"/>
      <c r="AY81" s="54"/>
      <c r="AZ81" s="21" t="str">
        <f>IFERROR(VLOOKUP(May[[#This Row],[Drug Name5]],'Data Options'!$R$1:$S$100,2,FALSE), " ")</f>
        <v xml:space="preserve"> </v>
      </c>
      <c r="BA81" s="55"/>
      <c r="BB81" s="32"/>
      <c r="BC81" s="32"/>
      <c r="BD81" s="55"/>
      <c r="BE81" s="32"/>
      <c r="BF81" s="54"/>
      <c r="BG81" s="21" t="str">
        <f>IFERROR(VLOOKUP(May[[#This Row],[Drug Name6]],'Data Options'!$R$1:$S$100,2,FALSE), " ")</f>
        <v xml:space="preserve"> </v>
      </c>
      <c r="BH81" s="55"/>
      <c r="BI81" s="32"/>
      <c r="BJ81" s="32"/>
      <c r="BK81" s="55"/>
      <c r="BL81" s="32"/>
      <c r="BM81" s="32"/>
      <c r="BN81" s="32"/>
      <c r="BO81" s="32"/>
      <c r="BP81" s="32"/>
      <c r="BQ81" s="31"/>
      <c r="BR81" s="31"/>
      <c r="BS81" s="54"/>
      <c r="BT81" s="21" t="str">
        <f>IFERROR(VLOOKUP(May[[#This Row],[Drug Name7]],'Data Options'!$R$1:$S$100,2,FALSE), " ")</f>
        <v xml:space="preserve"> </v>
      </c>
      <c r="BU81" s="55"/>
      <c r="BV81" s="32"/>
      <c r="BW81" s="32"/>
      <c r="BX81" s="55"/>
      <c r="BY81" s="32"/>
      <c r="BZ81" s="54"/>
      <c r="CA81" s="21" t="str">
        <f>IFERROR(VLOOKUP(May[[#This Row],[Drug Name8]],'Data Options'!$R$1:$S$100,2,FALSE), " ")</f>
        <v xml:space="preserve"> </v>
      </c>
      <c r="CB81" s="55"/>
      <c r="CC81" s="32"/>
      <c r="CD81" s="32"/>
      <c r="CE81" s="55"/>
      <c r="CF81" s="32"/>
      <c r="CG81" s="54"/>
      <c r="CH81" s="21" t="str">
        <f>IFERROR(VLOOKUP(May[[#This Row],[Drug Name9]],'Data Options'!$R$1:$S$100,2,FALSE), " ")</f>
        <v xml:space="preserve"> </v>
      </c>
      <c r="CI81" s="55"/>
      <c r="CJ81" s="32"/>
      <c r="CK81" s="32"/>
      <c r="CL81" s="55"/>
      <c r="CM81" s="32"/>
    </row>
    <row r="82" spans="1:91">
      <c r="A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54"/>
      <c r="R82" s="21" t="str">
        <f>IFERROR(VLOOKUP(May[[#This Row],[Drug Name]],'Data Options'!$R$1:$S$100,2,FALSE), " ")</f>
        <v xml:space="preserve"> </v>
      </c>
      <c r="S82" s="55"/>
      <c r="T82" s="32"/>
      <c r="U82" s="32"/>
      <c r="V82" s="55"/>
      <c r="W82" s="32"/>
      <c r="X82" s="54"/>
      <c r="Y82" s="21" t="str">
        <f>IFERROR(VLOOKUP(May[[#This Row],[Drug Name2]],'Data Options'!$R$1:$S$100,2,FALSE), " ")</f>
        <v xml:space="preserve"> </v>
      </c>
      <c r="Z82" s="55"/>
      <c r="AA82" s="32"/>
      <c r="AB82" s="32"/>
      <c r="AC82" s="55"/>
      <c r="AD82" s="32"/>
      <c r="AE82" s="54"/>
      <c r="AF82" s="21" t="str">
        <f>IFERROR(VLOOKUP(May[[#This Row],[Drug Name3]],'Data Options'!$R$1:$S$100,2,FALSE), " ")</f>
        <v xml:space="preserve"> </v>
      </c>
      <c r="AG82" s="55"/>
      <c r="AH82" s="32"/>
      <c r="AI82" s="32"/>
      <c r="AJ82" s="55"/>
      <c r="AK82" s="32"/>
      <c r="AL82" s="32"/>
      <c r="AM82" s="32"/>
      <c r="AN82" s="32"/>
      <c r="AO82" s="32"/>
      <c r="AP82" s="31"/>
      <c r="AQ82" s="31"/>
      <c r="AR82" s="54"/>
      <c r="AS82" s="21" t="str">
        <f>IFERROR(VLOOKUP(May[[#This Row],[Drug Name4]],'Data Options'!$R$1:$S$100,2,FALSE), " ")</f>
        <v xml:space="preserve"> </v>
      </c>
      <c r="AT82" s="55"/>
      <c r="AU82" s="32"/>
      <c r="AV82" s="32"/>
      <c r="AW82" s="55"/>
      <c r="AX82" s="32"/>
      <c r="AY82" s="54"/>
      <c r="AZ82" s="21" t="str">
        <f>IFERROR(VLOOKUP(May[[#This Row],[Drug Name5]],'Data Options'!$R$1:$S$100,2,FALSE), " ")</f>
        <v xml:space="preserve"> </v>
      </c>
      <c r="BA82" s="55"/>
      <c r="BB82" s="32"/>
      <c r="BC82" s="32"/>
      <c r="BD82" s="55"/>
      <c r="BE82" s="32"/>
      <c r="BF82" s="54"/>
      <c r="BG82" s="21" t="str">
        <f>IFERROR(VLOOKUP(May[[#This Row],[Drug Name6]],'Data Options'!$R$1:$S$100,2,FALSE), " ")</f>
        <v xml:space="preserve"> </v>
      </c>
      <c r="BH82" s="55"/>
      <c r="BI82" s="32"/>
      <c r="BJ82" s="32"/>
      <c r="BK82" s="55"/>
      <c r="BL82" s="32"/>
      <c r="BM82" s="32"/>
      <c r="BN82" s="32"/>
      <c r="BO82" s="32"/>
      <c r="BP82" s="32"/>
      <c r="BQ82" s="31"/>
      <c r="BR82" s="31"/>
      <c r="BS82" s="54"/>
      <c r="BT82" s="21" t="str">
        <f>IFERROR(VLOOKUP(May[[#This Row],[Drug Name7]],'Data Options'!$R$1:$S$100,2,FALSE), " ")</f>
        <v xml:space="preserve"> </v>
      </c>
      <c r="BU82" s="55"/>
      <c r="BV82" s="32"/>
      <c r="BW82" s="32"/>
      <c r="BX82" s="55"/>
      <c r="BY82" s="32"/>
      <c r="BZ82" s="54"/>
      <c r="CA82" s="21" t="str">
        <f>IFERROR(VLOOKUP(May[[#This Row],[Drug Name8]],'Data Options'!$R$1:$S$100,2,FALSE), " ")</f>
        <v xml:space="preserve"> </v>
      </c>
      <c r="CB82" s="55"/>
      <c r="CC82" s="32"/>
      <c r="CD82" s="32"/>
      <c r="CE82" s="55"/>
      <c r="CF82" s="32"/>
      <c r="CG82" s="54"/>
      <c r="CH82" s="21" t="str">
        <f>IFERROR(VLOOKUP(May[[#This Row],[Drug Name9]],'Data Options'!$R$1:$S$100,2,FALSE), " ")</f>
        <v xml:space="preserve"> </v>
      </c>
      <c r="CI82" s="55"/>
      <c r="CJ82" s="32"/>
      <c r="CK82" s="32"/>
      <c r="CL82" s="55"/>
      <c r="CM82" s="32"/>
    </row>
    <row r="83" spans="1:91">
      <c r="A83" s="5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31"/>
      <c r="Q83" s="54"/>
      <c r="R83" s="21" t="str">
        <f>IFERROR(VLOOKUP(May[[#This Row],[Drug Name]],'Data Options'!$R$1:$S$100,2,FALSE), " ")</f>
        <v xml:space="preserve"> </v>
      </c>
      <c r="S83" s="55"/>
      <c r="T83" s="32"/>
      <c r="U83" s="32"/>
      <c r="V83" s="55"/>
      <c r="W83" s="32"/>
      <c r="X83" s="54"/>
      <c r="Y83" s="21" t="str">
        <f>IFERROR(VLOOKUP(May[[#This Row],[Drug Name2]],'Data Options'!$R$1:$S$100,2,FALSE), " ")</f>
        <v xml:space="preserve"> </v>
      </c>
      <c r="Z83" s="55"/>
      <c r="AA83" s="32"/>
      <c r="AB83" s="32"/>
      <c r="AC83" s="55"/>
      <c r="AD83" s="32"/>
      <c r="AE83" s="54"/>
      <c r="AF83" s="21" t="str">
        <f>IFERROR(VLOOKUP(May[[#This Row],[Drug Name3]],'Data Options'!$R$1:$S$100,2,FALSE), " ")</f>
        <v xml:space="preserve"> </v>
      </c>
      <c r="AG83" s="55"/>
      <c r="AH83" s="32"/>
      <c r="AI83" s="32"/>
      <c r="AJ83" s="55"/>
      <c r="AK83" s="32"/>
      <c r="AL83" s="32"/>
      <c r="AM83" s="32"/>
      <c r="AN83" s="32"/>
      <c r="AO83" s="32"/>
      <c r="AP83" s="31"/>
      <c r="AQ83" s="31"/>
      <c r="AR83" s="54"/>
      <c r="AS83" s="21" t="str">
        <f>IFERROR(VLOOKUP(May[[#This Row],[Drug Name4]],'Data Options'!$R$1:$S$100,2,FALSE), " ")</f>
        <v xml:space="preserve"> </v>
      </c>
      <c r="AT83" s="55"/>
      <c r="AU83" s="32"/>
      <c r="AV83" s="32"/>
      <c r="AW83" s="55"/>
      <c r="AX83" s="32"/>
      <c r="AY83" s="54"/>
      <c r="AZ83" s="21" t="str">
        <f>IFERROR(VLOOKUP(May[[#This Row],[Drug Name5]],'Data Options'!$R$1:$S$100,2,FALSE), " ")</f>
        <v xml:space="preserve"> </v>
      </c>
      <c r="BA83" s="55"/>
      <c r="BB83" s="32"/>
      <c r="BC83" s="32"/>
      <c r="BD83" s="55"/>
      <c r="BE83" s="32"/>
      <c r="BF83" s="54"/>
      <c r="BG83" s="21" t="str">
        <f>IFERROR(VLOOKUP(May[[#This Row],[Drug Name6]],'Data Options'!$R$1:$S$100,2,FALSE), " ")</f>
        <v xml:space="preserve"> </v>
      </c>
      <c r="BH83" s="55"/>
      <c r="BI83" s="32"/>
      <c r="BJ83" s="32"/>
      <c r="BK83" s="55"/>
      <c r="BL83" s="32"/>
      <c r="BM83" s="32"/>
      <c r="BN83" s="32"/>
      <c r="BO83" s="32"/>
      <c r="BP83" s="32"/>
      <c r="BQ83" s="31"/>
      <c r="BR83" s="31"/>
      <c r="BS83" s="54"/>
      <c r="BT83" s="21" t="str">
        <f>IFERROR(VLOOKUP(May[[#This Row],[Drug Name7]],'Data Options'!$R$1:$S$100,2,FALSE), " ")</f>
        <v xml:space="preserve"> </v>
      </c>
      <c r="BU83" s="55"/>
      <c r="BV83" s="32"/>
      <c r="BW83" s="32"/>
      <c r="BX83" s="55"/>
      <c r="BY83" s="32"/>
      <c r="BZ83" s="54"/>
      <c r="CA83" s="21" t="str">
        <f>IFERROR(VLOOKUP(May[[#This Row],[Drug Name8]],'Data Options'!$R$1:$S$100,2,FALSE), " ")</f>
        <v xml:space="preserve"> </v>
      </c>
      <c r="CB83" s="55"/>
      <c r="CC83" s="32"/>
      <c r="CD83" s="32"/>
      <c r="CE83" s="55"/>
      <c r="CF83" s="32"/>
      <c r="CG83" s="54"/>
      <c r="CH83" s="21" t="str">
        <f>IFERROR(VLOOKUP(May[[#This Row],[Drug Name9]],'Data Options'!$R$1:$S$100,2,FALSE), " ")</f>
        <v xml:space="preserve"> </v>
      </c>
      <c r="CI83" s="55"/>
      <c r="CJ83" s="32"/>
      <c r="CK83" s="32"/>
      <c r="CL83" s="55"/>
      <c r="CM83" s="32"/>
    </row>
    <row r="84" spans="1:91">
      <c r="A84" s="5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31"/>
      <c r="Q84" s="54"/>
      <c r="R84" s="21" t="str">
        <f>IFERROR(VLOOKUP(May[[#This Row],[Drug Name]],'Data Options'!$R$1:$S$100,2,FALSE), " ")</f>
        <v xml:space="preserve"> </v>
      </c>
      <c r="S84" s="55"/>
      <c r="T84" s="32"/>
      <c r="U84" s="32"/>
      <c r="V84" s="55"/>
      <c r="W84" s="32"/>
      <c r="X84" s="54"/>
      <c r="Y84" s="21" t="str">
        <f>IFERROR(VLOOKUP(May[[#This Row],[Drug Name2]],'Data Options'!$R$1:$S$100,2,FALSE), " ")</f>
        <v xml:space="preserve"> </v>
      </c>
      <c r="Z84" s="55"/>
      <c r="AA84" s="32"/>
      <c r="AB84" s="32"/>
      <c r="AC84" s="55"/>
      <c r="AD84" s="32"/>
      <c r="AE84" s="54"/>
      <c r="AF84" s="21" t="str">
        <f>IFERROR(VLOOKUP(May[[#This Row],[Drug Name3]],'Data Options'!$R$1:$S$100,2,FALSE), " ")</f>
        <v xml:space="preserve"> </v>
      </c>
      <c r="AG84" s="55"/>
      <c r="AH84" s="32"/>
      <c r="AI84" s="32"/>
      <c r="AJ84" s="55"/>
      <c r="AK84" s="32"/>
      <c r="AL84" s="32"/>
      <c r="AM84" s="32"/>
      <c r="AN84" s="32"/>
      <c r="AO84" s="32"/>
      <c r="AP84" s="31"/>
      <c r="AQ84" s="31"/>
      <c r="AR84" s="54"/>
      <c r="AS84" s="21" t="str">
        <f>IFERROR(VLOOKUP(May[[#This Row],[Drug Name4]],'Data Options'!$R$1:$S$100,2,FALSE), " ")</f>
        <v xml:space="preserve"> </v>
      </c>
      <c r="AT84" s="55"/>
      <c r="AU84" s="32"/>
      <c r="AV84" s="32"/>
      <c r="AW84" s="55"/>
      <c r="AX84" s="32"/>
      <c r="AY84" s="54"/>
      <c r="AZ84" s="21" t="str">
        <f>IFERROR(VLOOKUP(May[[#This Row],[Drug Name5]],'Data Options'!$R$1:$S$100,2,FALSE), " ")</f>
        <v xml:space="preserve"> </v>
      </c>
      <c r="BA84" s="55"/>
      <c r="BB84" s="32"/>
      <c r="BC84" s="32"/>
      <c r="BD84" s="55"/>
      <c r="BE84" s="32"/>
      <c r="BF84" s="54"/>
      <c r="BG84" s="21" t="str">
        <f>IFERROR(VLOOKUP(May[[#This Row],[Drug Name6]],'Data Options'!$R$1:$S$100,2,FALSE), " ")</f>
        <v xml:space="preserve"> </v>
      </c>
      <c r="BH84" s="55"/>
      <c r="BI84" s="32"/>
      <c r="BJ84" s="32"/>
      <c r="BK84" s="55"/>
      <c r="BL84" s="32"/>
      <c r="BM84" s="32"/>
      <c r="BN84" s="32"/>
      <c r="BO84" s="32"/>
      <c r="BP84" s="32"/>
      <c r="BQ84" s="31"/>
      <c r="BR84" s="31"/>
      <c r="BS84" s="54"/>
      <c r="BT84" s="21" t="str">
        <f>IFERROR(VLOOKUP(May[[#This Row],[Drug Name7]],'Data Options'!$R$1:$S$100,2,FALSE), " ")</f>
        <v xml:space="preserve"> </v>
      </c>
      <c r="BU84" s="55"/>
      <c r="BV84" s="32"/>
      <c r="BW84" s="32"/>
      <c r="BX84" s="55"/>
      <c r="BY84" s="32"/>
      <c r="BZ84" s="54"/>
      <c r="CA84" s="21" t="str">
        <f>IFERROR(VLOOKUP(May[[#This Row],[Drug Name8]],'Data Options'!$R$1:$S$100,2,FALSE), " ")</f>
        <v xml:space="preserve"> </v>
      </c>
      <c r="CB84" s="55"/>
      <c r="CC84" s="32"/>
      <c r="CD84" s="32"/>
      <c r="CE84" s="55"/>
      <c r="CF84" s="32"/>
      <c r="CG84" s="54"/>
      <c r="CH84" s="21" t="str">
        <f>IFERROR(VLOOKUP(May[[#This Row],[Drug Name9]],'Data Options'!$R$1:$S$100,2,FALSE), " ")</f>
        <v xml:space="preserve"> </v>
      </c>
      <c r="CI84" s="55"/>
      <c r="CJ84" s="32"/>
      <c r="CK84" s="32"/>
      <c r="CL84" s="55"/>
      <c r="CM84" s="32"/>
    </row>
    <row r="85" spans="1:91">
      <c r="A85" s="5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31"/>
      <c r="Q85" s="54"/>
      <c r="R85" s="21" t="str">
        <f>IFERROR(VLOOKUP(May[[#This Row],[Drug Name]],'Data Options'!$R$1:$S$100,2,FALSE), " ")</f>
        <v xml:space="preserve"> </v>
      </c>
      <c r="S85" s="55"/>
      <c r="T85" s="32"/>
      <c r="U85" s="32"/>
      <c r="V85" s="55"/>
      <c r="W85" s="32"/>
      <c r="X85" s="54"/>
      <c r="Y85" s="21" t="str">
        <f>IFERROR(VLOOKUP(May[[#This Row],[Drug Name2]],'Data Options'!$R$1:$S$100,2,FALSE), " ")</f>
        <v xml:space="preserve"> </v>
      </c>
      <c r="Z85" s="55"/>
      <c r="AA85" s="32"/>
      <c r="AB85" s="32"/>
      <c r="AC85" s="55"/>
      <c r="AD85" s="32"/>
      <c r="AE85" s="54"/>
      <c r="AF85" s="21" t="str">
        <f>IFERROR(VLOOKUP(May[[#This Row],[Drug Name3]],'Data Options'!$R$1:$S$100,2,FALSE), " ")</f>
        <v xml:space="preserve"> </v>
      </c>
      <c r="AG85" s="55"/>
      <c r="AH85" s="32"/>
      <c r="AI85" s="32"/>
      <c r="AJ85" s="55"/>
      <c r="AK85" s="32"/>
      <c r="AL85" s="32"/>
      <c r="AM85" s="32"/>
      <c r="AN85" s="32"/>
      <c r="AO85" s="32"/>
      <c r="AP85" s="31"/>
      <c r="AQ85" s="31"/>
      <c r="AR85" s="54"/>
      <c r="AS85" s="21" t="str">
        <f>IFERROR(VLOOKUP(May[[#This Row],[Drug Name4]],'Data Options'!$R$1:$S$100,2,FALSE), " ")</f>
        <v xml:space="preserve"> </v>
      </c>
      <c r="AT85" s="55"/>
      <c r="AU85" s="32"/>
      <c r="AV85" s="32"/>
      <c r="AW85" s="55"/>
      <c r="AX85" s="32"/>
      <c r="AY85" s="54"/>
      <c r="AZ85" s="21" t="str">
        <f>IFERROR(VLOOKUP(May[[#This Row],[Drug Name5]],'Data Options'!$R$1:$S$100,2,FALSE), " ")</f>
        <v xml:space="preserve"> </v>
      </c>
      <c r="BA85" s="55"/>
      <c r="BB85" s="32"/>
      <c r="BC85" s="32"/>
      <c r="BD85" s="55"/>
      <c r="BE85" s="32"/>
      <c r="BF85" s="54"/>
      <c r="BG85" s="21" t="str">
        <f>IFERROR(VLOOKUP(May[[#This Row],[Drug Name6]],'Data Options'!$R$1:$S$100,2,FALSE), " ")</f>
        <v xml:space="preserve"> </v>
      </c>
      <c r="BH85" s="55"/>
      <c r="BI85" s="32"/>
      <c r="BJ85" s="32"/>
      <c r="BK85" s="55"/>
      <c r="BL85" s="32"/>
      <c r="BM85" s="32"/>
      <c r="BN85" s="32"/>
      <c r="BO85" s="32"/>
      <c r="BP85" s="32"/>
      <c r="BQ85" s="31"/>
      <c r="BR85" s="31"/>
      <c r="BS85" s="54"/>
      <c r="BT85" s="21" t="str">
        <f>IFERROR(VLOOKUP(May[[#This Row],[Drug Name7]],'Data Options'!$R$1:$S$100,2,FALSE), " ")</f>
        <v xml:space="preserve"> </v>
      </c>
      <c r="BU85" s="55"/>
      <c r="BV85" s="32"/>
      <c r="BW85" s="32"/>
      <c r="BX85" s="55"/>
      <c r="BY85" s="32"/>
      <c r="BZ85" s="54"/>
      <c r="CA85" s="21" t="str">
        <f>IFERROR(VLOOKUP(May[[#This Row],[Drug Name8]],'Data Options'!$R$1:$S$100,2,FALSE), " ")</f>
        <v xml:space="preserve"> </v>
      </c>
      <c r="CB85" s="55"/>
      <c r="CC85" s="32"/>
      <c r="CD85" s="32"/>
      <c r="CE85" s="55"/>
      <c r="CF85" s="32"/>
      <c r="CG85" s="54"/>
      <c r="CH85" s="21" t="str">
        <f>IFERROR(VLOOKUP(May[[#This Row],[Drug Name9]],'Data Options'!$R$1:$S$100,2,FALSE), " ")</f>
        <v xml:space="preserve"> </v>
      </c>
      <c r="CI85" s="55"/>
      <c r="CJ85" s="32"/>
      <c r="CK85" s="32"/>
      <c r="CL85" s="55"/>
      <c r="CM85" s="32"/>
    </row>
    <row r="86" spans="1:91">
      <c r="A86" s="5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31"/>
      <c r="Q86" s="54"/>
      <c r="R86" s="21" t="str">
        <f>IFERROR(VLOOKUP(May[[#This Row],[Drug Name]],'Data Options'!$R$1:$S$100,2,FALSE), " ")</f>
        <v xml:space="preserve"> </v>
      </c>
      <c r="S86" s="55"/>
      <c r="T86" s="32"/>
      <c r="U86" s="32"/>
      <c r="V86" s="55"/>
      <c r="W86" s="32"/>
      <c r="X86" s="54"/>
      <c r="Y86" s="21" t="str">
        <f>IFERROR(VLOOKUP(May[[#This Row],[Drug Name2]],'Data Options'!$R$1:$S$100,2,FALSE), " ")</f>
        <v xml:space="preserve"> </v>
      </c>
      <c r="Z86" s="55"/>
      <c r="AA86" s="32"/>
      <c r="AB86" s="32"/>
      <c r="AC86" s="55"/>
      <c r="AD86" s="32"/>
      <c r="AE86" s="54"/>
      <c r="AF86" s="21" t="str">
        <f>IFERROR(VLOOKUP(May[[#This Row],[Drug Name3]],'Data Options'!$R$1:$S$100,2,FALSE), " ")</f>
        <v xml:space="preserve"> </v>
      </c>
      <c r="AG86" s="55"/>
      <c r="AH86" s="32"/>
      <c r="AI86" s="32"/>
      <c r="AJ86" s="55"/>
      <c r="AK86" s="32"/>
      <c r="AL86" s="32"/>
      <c r="AM86" s="32"/>
      <c r="AN86" s="32"/>
      <c r="AO86" s="32"/>
      <c r="AP86" s="31"/>
      <c r="AQ86" s="31"/>
      <c r="AR86" s="54"/>
      <c r="AS86" s="21" t="str">
        <f>IFERROR(VLOOKUP(May[[#This Row],[Drug Name4]],'Data Options'!$R$1:$S$100,2,FALSE), " ")</f>
        <v xml:space="preserve"> </v>
      </c>
      <c r="AT86" s="55"/>
      <c r="AU86" s="32"/>
      <c r="AV86" s="32"/>
      <c r="AW86" s="55"/>
      <c r="AX86" s="32"/>
      <c r="AY86" s="54"/>
      <c r="AZ86" s="21" t="str">
        <f>IFERROR(VLOOKUP(May[[#This Row],[Drug Name5]],'Data Options'!$R$1:$S$100,2,FALSE), " ")</f>
        <v xml:space="preserve"> </v>
      </c>
      <c r="BA86" s="55"/>
      <c r="BB86" s="32"/>
      <c r="BC86" s="32"/>
      <c r="BD86" s="55"/>
      <c r="BE86" s="32"/>
      <c r="BF86" s="54"/>
      <c r="BG86" s="21" t="str">
        <f>IFERROR(VLOOKUP(May[[#This Row],[Drug Name6]],'Data Options'!$R$1:$S$100,2,FALSE), " ")</f>
        <v xml:space="preserve"> </v>
      </c>
      <c r="BH86" s="55"/>
      <c r="BI86" s="32"/>
      <c r="BJ86" s="32"/>
      <c r="BK86" s="55"/>
      <c r="BL86" s="32"/>
      <c r="BM86" s="32"/>
      <c r="BN86" s="32"/>
      <c r="BO86" s="32"/>
      <c r="BP86" s="32"/>
      <c r="BQ86" s="31"/>
      <c r="BR86" s="31"/>
      <c r="BS86" s="54"/>
      <c r="BT86" s="21" t="str">
        <f>IFERROR(VLOOKUP(May[[#This Row],[Drug Name7]],'Data Options'!$R$1:$S$100,2,FALSE), " ")</f>
        <v xml:space="preserve"> </v>
      </c>
      <c r="BU86" s="55"/>
      <c r="BV86" s="32"/>
      <c r="BW86" s="32"/>
      <c r="BX86" s="55"/>
      <c r="BY86" s="32"/>
      <c r="BZ86" s="54"/>
      <c r="CA86" s="21" t="str">
        <f>IFERROR(VLOOKUP(May[[#This Row],[Drug Name8]],'Data Options'!$R$1:$S$100,2,FALSE), " ")</f>
        <v xml:space="preserve"> </v>
      </c>
      <c r="CB86" s="55"/>
      <c r="CC86" s="32"/>
      <c r="CD86" s="32"/>
      <c r="CE86" s="55"/>
      <c r="CF86" s="32"/>
      <c r="CG86" s="54"/>
      <c r="CH86" s="21" t="str">
        <f>IFERROR(VLOOKUP(May[[#This Row],[Drug Name9]],'Data Options'!$R$1:$S$100,2,FALSE), " ")</f>
        <v xml:space="preserve"> </v>
      </c>
      <c r="CI86" s="55"/>
      <c r="CJ86" s="32"/>
      <c r="CK86" s="32"/>
      <c r="CL86" s="55"/>
      <c r="CM86" s="32"/>
    </row>
    <row r="87" spans="1:91">
      <c r="A87" s="5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31"/>
      <c r="Q87" s="54"/>
      <c r="R87" s="21" t="str">
        <f>IFERROR(VLOOKUP(May[[#This Row],[Drug Name]],'Data Options'!$R$1:$S$100,2,FALSE), " ")</f>
        <v xml:space="preserve"> </v>
      </c>
      <c r="S87" s="55"/>
      <c r="T87" s="32"/>
      <c r="U87" s="32"/>
      <c r="V87" s="55"/>
      <c r="W87" s="32"/>
      <c r="X87" s="54"/>
      <c r="Y87" s="21" t="str">
        <f>IFERROR(VLOOKUP(May[[#This Row],[Drug Name2]],'Data Options'!$R$1:$S$100,2,FALSE), " ")</f>
        <v xml:space="preserve"> </v>
      </c>
      <c r="Z87" s="55"/>
      <c r="AA87" s="32"/>
      <c r="AB87" s="32"/>
      <c r="AC87" s="55"/>
      <c r="AD87" s="32"/>
      <c r="AE87" s="54"/>
      <c r="AF87" s="21" t="str">
        <f>IFERROR(VLOOKUP(May[[#This Row],[Drug Name3]],'Data Options'!$R$1:$S$100,2,FALSE), " ")</f>
        <v xml:space="preserve"> </v>
      </c>
      <c r="AG87" s="55"/>
      <c r="AH87" s="32"/>
      <c r="AI87" s="32"/>
      <c r="AJ87" s="55"/>
      <c r="AK87" s="32"/>
      <c r="AL87" s="32"/>
      <c r="AM87" s="32"/>
      <c r="AN87" s="32"/>
      <c r="AO87" s="32"/>
      <c r="AP87" s="31"/>
      <c r="AQ87" s="31"/>
      <c r="AR87" s="54"/>
      <c r="AS87" s="21" t="str">
        <f>IFERROR(VLOOKUP(May[[#This Row],[Drug Name4]],'Data Options'!$R$1:$S$100,2,FALSE), " ")</f>
        <v xml:space="preserve"> </v>
      </c>
      <c r="AT87" s="55"/>
      <c r="AU87" s="32"/>
      <c r="AV87" s="32"/>
      <c r="AW87" s="55"/>
      <c r="AX87" s="32"/>
      <c r="AY87" s="54"/>
      <c r="AZ87" s="21" t="str">
        <f>IFERROR(VLOOKUP(May[[#This Row],[Drug Name5]],'Data Options'!$R$1:$S$100,2,FALSE), " ")</f>
        <v xml:space="preserve"> </v>
      </c>
      <c r="BA87" s="55"/>
      <c r="BB87" s="32"/>
      <c r="BC87" s="32"/>
      <c r="BD87" s="55"/>
      <c r="BE87" s="32"/>
      <c r="BF87" s="54"/>
      <c r="BG87" s="21" t="str">
        <f>IFERROR(VLOOKUP(May[[#This Row],[Drug Name6]],'Data Options'!$R$1:$S$100,2,FALSE), " ")</f>
        <v xml:space="preserve"> </v>
      </c>
      <c r="BH87" s="55"/>
      <c r="BI87" s="32"/>
      <c r="BJ87" s="32"/>
      <c r="BK87" s="55"/>
      <c r="BL87" s="32"/>
      <c r="BM87" s="32"/>
      <c r="BN87" s="32"/>
      <c r="BO87" s="32"/>
      <c r="BP87" s="32"/>
      <c r="BQ87" s="31"/>
      <c r="BR87" s="31"/>
      <c r="BS87" s="54"/>
      <c r="BT87" s="21" t="str">
        <f>IFERROR(VLOOKUP(May[[#This Row],[Drug Name7]],'Data Options'!$R$1:$S$100,2,FALSE), " ")</f>
        <v xml:space="preserve"> </v>
      </c>
      <c r="BU87" s="55"/>
      <c r="BV87" s="32"/>
      <c r="BW87" s="32"/>
      <c r="BX87" s="55"/>
      <c r="BY87" s="32"/>
      <c r="BZ87" s="54"/>
      <c r="CA87" s="21" t="str">
        <f>IFERROR(VLOOKUP(May[[#This Row],[Drug Name8]],'Data Options'!$R$1:$S$100,2,FALSE), " ")</f>
        <v xml:space="preserve"> </v>
      </c>
      <c r="CB87" s="55"/>
      <c r="CC87" s="32"/>
      <c r="CD87" s="32"/>
      <c r="CE87" s="55"/>
      <c r="CF87" s="32"/>
      <c r="CG87" s="54"/>
      <c r="CH87" s="21" t="str">
        <f>IFERROR(VLOOKUP(May[[#This Row],[Drug Name9]],'Data Options'!$R$1:$S$100,2,FALSE), " ")</f>
        <v xml:space="preserve"> </v>
      </c>
      <c r="CI87" s="55"/>
      <c r="CJ87" s="32"/>
      <c r="CK87" s="32"/>
      <c r="CL87" s="55"/>
      <c r="CM87" s="32"/>
    </row>
    <row r="88" spans="1:91">
      <c r="A88" s="5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31"/>
      <c r="Q88" s="54"/>
      <c r="R88" s="21" t="str">
        <f>IFERROR(VLOOKUP(May[[#This Row],[Drug Name]],'Data Options'!$R$1:$S$100,2,FALSE), " ")</f>
        <v xml:space="preserve"> </v>
      </c>
      <c r="S88" s="55"/>
      <c r="T88" s="32"/>
      <c r="U88" s="32"/>
      <c r="V88" s="55"/>
      <c r="W88" s="32"/>
      <c r="X88" s="54"/>
      <c r="Y88" s="21" t="str">
        <f>IFERROR(VLOOKUP(May[[#This Row],[Drug Name2]],'Data Options'!$R$1:$S$100,2,FALSE), " ")</f>
        <v xml:space="preserve"> </v>
      </c>
      <c r="Z88" s="55"/>
      <c r="AA88" s="32"/>
      <c r="AB88" s="32"/>
      <c r="AC88" s="55"/>
      <c r="AD88" s="32"/>
      <c r="AE88" s="54"/>
      <c r="AF88" s="21" t="str">
        <f>IFERROR(VLOOKUP(May[[#This Row],[Drug Name3]],'Data Options'!$R$1:$S$100,2,FALSE), " ")</f>
        <v xml:space="preserve"> </v>
      </c>
      <c r="AG88" s="55"/>
      <c r="AH88" s="32"/>
      <c r="AI88" s="32"/>
      <c r="AJ88" s="55"/>
      <c r="AK88" s="32"/>
      <c r="AL88" s="32"/>
      <c r="AM88" s="32"/>
      <c r="AN88" s="32"/>
      <c r="AO88" s="32"/>
      <c r="AP88" s="31"/>
      <c r="AQ88" s="31"/>
      <c r="AR88" s="54"/>
      <c r="AS88" s="21" t="str">
        <f>IFERROR(VLOOKUP(May[[#This Row],[Drug Name4]],'Data Options'!$R$1:$S$100,2,FALSE), " ")</f>
        <v xml:space="preserve"> </v>
      </c>
      <c r="AT88" s="55"/>
      <c r="AU88" s="32"/>
      <c r="AV88" s="32"/>
      <c r="AW88" s="55"/>
      <c r="AX88" s="32"/>
      <c r="AY88" s="54"/>
      <c r="AZ88" s="21" t="str">
        <f>IFERROR(VLOOKUP(May[[#This Row],[Drug Name5]],'Data Options'!$R$1:$S$100,2,FALSE), " ")</f>
        <v xml:space="preserve"> </v>
      </c>
      <c r="BA88" s="55"/>
      <c r="BB88" s="32"/>
      <c r="BC88" s="32"/>
      <c r="BD88" s="55"/>
      <c r="BE88" s="32"/>
      <c r="BF88" s="54"/>
      <c r="BG88" s="21" t="str">
        <f>IFERROR(VLOOKUP(May[[#This Row],[Drug Name6]],'Data Options'!$R$1:$S$100,2,FALSE), " ")</f>
        <v xml:space="preserve"> </v>
      </c>
      <c r="BH88" s="55"/>
      <c r="BI88" s="32"/>
      <c r="BJ88" s="32"/>
      <c r="BK88" s="55"/>
      <c r="BL88" s="32"/>
      <c r="BM88" s="32"/>
      <c r="BN88" s="32"/>
      <c r="BO88" s="32"/>
      <c r="BP88" s="32"/>
      <c r="BQ88" s="31"/>
      <c r="BR88" s="31"/>
      <c r="BS88" s="54"/>
      <c r="BT88" s="21" t="str">
        <f>IFERROR(VLOOKUP(May[[#This Row],[Drug Name7]],'Data Options'!$R$1:$S$100,2,FALSE), " ")</f>
        <v xml:space="preserve"> </v>
      </c>
      <c r="BU88" s="55"/>
      <c r="BV88" s="32"/>
      <c r="BW88" s="32"/>
      <c r="BX88" s="55"/>
      <c r="BY88" s="32"/>
      <c r="BZ88" s="54"/>
      <c r="CA88" s="21" t="str">
        <f>IFERROR(VLOOKUP(May[[#This Row],[Drug Name8]],'Data Options'!$R$1:$S$100,2,FALSE), " ")</f>
        <v xml:space="preserve"> </v>
      </c>
      <c r="CB88" s="55"/>
      <c r="CC88" s="32"/>
      <c r="CD88" s="32"/>
      <c r="CE88" s="55"/>
      <c r="CF88" s="32"/>
      <c r="CG88" s="54"/>
      <c r="CH88" s="21" t="str">
        <f>IFERROR(VLOOKUP(May[[#This Row],[Drug Name9]],'Data Options'!$R$1:$S$100,2,FALSE), " ")</f>
        <v xml:space="preserve"> </v>
      </c>
      <c r="CI88" s="55"/>
      <c r="CJ88" s="32"/>
      <c r="CK88" s="32"/>
      <c r="CL88" s="55"/>
      <c r="CM88" s="32"/>
    </row>
    <row r="89" spans="1:91">
      <c r="A89" s="5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31"/>
      <c r="Q89" s="54"/>
      <c r="R89" s="21" t="str">
        <f>IFERROR(VLOOKUP(May[[#This Row],[Drug Name]],'Data Options'!$R$1:$S$100,2,FALSE), " ")</f>
        <v xml:space="preserve"> </v>
      </c>
      <c r="S89" s="55"/>
      <c r="T89" s="32"/>
      <c r="U89" s="32"/>
      <c r="V89" s="55"/>
      <c r="W89" s="32"/>
      <c r="X89" s="54"/>
      <c r="Y89" s="21" t="str">
        <f>IFERROR(VLOOKUP(May[[#This Row],[Drug Name2]],'Data Options'!$R$1:$S$100,2,FALSE), " ")</f>
        <v xml:space="preserve"> </v>
      </c>
      <c r="Z89" s="55"/>
      <c r="AA89" s="32"/>
      <c r="AB89" s="32"/>
      <c r="AC89" s="55"/>
      <c r="AD89" s="32"/>
      <c r="AE89" s="54"/>
      <c r="AF89" s="21" t="str">
        <f>IFERROR(VLOOKUP(May[[#This Row],[Drug Name3]],'Data Options'!$R$1:$S$100,2,FALSE), " ")</f>
        <v xml:space="preserve"> </v>
      </c>
      <c r="AG89" s="55"/>
      <c r="AH89" s="32"/>
      <c r="AI89" s="32"/>
      <c r="AJ89" s="55"/>
      <c r="AK89" s="32"/>
      <c r="AL89" s="32"/>
      <c r="AM89" s="32"/>
      <c r="AN89" s="32"/>
      <c r="AO89" s="32"/>
      <c r="AP89" s="31"/>
      <c r="AQ89" s="31"/>
      <c r="AR89" s="54"/>
      <c r="AS89" s="21" t="str">
        <f>IFERROR(VLOOKUP(May[[#This Row],[Drug Name4]],'Data Options'!$R$1:$S$100,2,FALSE), " ")</f>
        <v xml:space="preserve"> </v>
      </c>
      <c r="AT89" s="55"/>
      <c r="AU89" s="32"/>
      <c r="AV89" s="32"/>
      <c r="AW89" s="55"/>
      <c r="AX89" s="32"/>
      <c r="AY89" s="54"/>
      <c r="AZ89" s="21" t="str">
        <f>IFERROR(VLOOKUP(May[[#This Row],[Drug Name5]],'Data Options'!$R$1:$S$100,2,FALSE), " ")</f>
        <v xml:space="preserve"> </v>
      </c>
      <c r="BA89" s="55"/>
      <c r="BB89" s="32"/>
      <c r="BC89" s="32"/>
      <c r="BD89" s="55"/>
      <c r="BE89" s="32"/>
      <c r="BF89" s="54"/>
      <c r="BG89" s="21" t="str">
        <f>IFERROR(VLOOKUP(May[[#This Row],[Drug Name6]],'Data Options'!$R$1:$S$100,2,FALSE), " ")</f>
        <v xml:space="preserve"> </v>
      </c>
      <c r="BH89" s="55"/>
      <c r="BI89" s="32"/>
      <c r="BJ89" s="32"/>
      <c r="BK89" s="55"/>
      <c r="BL89" s="32"/>
      <c r="BM89" s="32"/>
      <c r="BN89" s="32"/>
      <c r="BO89" s="32"/>
      <c r="BP89" s="32"/>
      <c r="BQ89" s="31"/>
      <c r="BR89" s="31"/>
      <c r="BS89" s="54"/>
      <c r="BT89" s="21" t="str">
        <f>IFERROR(VLOOKUP(May[[#This Row],[Drug Name7]],'Data Options'!$R$1:$S$100,2,FALSE), " ")</f>
        <v xml:space="preserve"> </v>
      </c>
      <c r="BU89" s="55"/>
      <c r="BV89" s="32"/>
      <c r="BW89" s="32"/>
      <c r="BX89" s="55"/>
      <c r="BY89" s="32"/>
      <c r="BZ89" s="54"/>
      <c r="CA89" s="21" t="str">
        <f>IFERROR(VLOOKUP(May[[#This Row],[Drug Name8]],'Data Options'!$R$1:$S$100,2,FALSE), " ")</f>
        <v xml:space="preserve"> </v>
      </c>
      <c r="CB89" s="55"/>
      <c r="CC89" s="32"/>
      <c r="CD89" s="32"/>
      <c r="CE89" s="55"/>
      <c r="CF89" s="32"/>
      <c r="CG89" s="54"/>
      <c r="CH89" s="21" t="str">
        <f>IFERROR(VLOOKUP(May[[#This Row],[Drug Name9]],'Data Options'!$R$1:$S$100,2,FALSE), " ")</f>
        <v xml:space="preserve"> </v>
      </c>
      <c r="CI89" s="55"/>
      <c r="CJ89" s="32"/>
      <c r="CK89" s="32"/>
      <c r="CL89" s="55"/>
      <c r="CM89" s="32"/>
    </row>
    <row r="90" spans="1:91">
      <c r="A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1"/>
      <c r="Q90" s="54"/>
      <c r="R90" s="21" t="str">
        <f>IFERROR(VLOOKUP(May[[#This Row],[Drug Name]],'Data Options'!$R$1:$S$100,2,FALSE), " ")</f>
        <v xml:space="preserve"> </v>
      </c>
      <c r="S90" s="55"/>
      <c r="T90" s="32"/>
      <c r="U90" s="32"/>
      <c r="V90" s="55"/>
      <c r="W90" s="32"/>
      <c r="X90" s="54"/>
      <c r="Y90" s="21" t="str">
        <f>IFERROR(VLOOKUP(May[[#This Row],[Drug Name2]],'Data Options'!$R$1:$S$100,2,FALSE), " ")</f>
        <v xml:space="preserve"> </v>
      </c>
      <c r="Z90" s="55"/>
      <c r="AA90" s="32"/>
      <c r="AB90" s="32"/>
      <c r="AC90" s="55"/>
      <c r="AD90" s="32"/>
      <c r="AE90" s="54"/>
      <c r="AF90" s="21" t="str">
        <f>IFERROR(VLOOKUP(May[[#This Row],[Drug Name3]],'Data Options'!$R$1:$S$100,2,FALSE), " ")</f>
        <v xml:space="preserve"> </v>
      </c>
      <c r="AG90" s="55"/>
      <c r="AH90" s="32"/>
      <c r="AI90" s="32"/>
      <c r="AJ90" s="55"/>
      <c r="AK90" s="32"/>
      <c r="AL90" s="32"/>
      <c r="AM90" s="32"/>
      <c r="AN90" s="32"/>
      <c r="AO90" s="32"/>
      <c r="AP90" s="31"/>
      <c r="AQ90" s="31"/>
      <c r="AR90" s="54"/>
      <c r="AS90" s="21" t="str">
        <f>IFERROR(VLOOKUP(May[[#This Row],[Drug Name4]],'Data Options'!$R$1:$S$100,2,FALSE), " ")</f>
        <v xml:space="preserve"> </v>
      </c>
      <c r="AT90" s="55"/>
      <c r="AU90" s="32"/>
      <c r="AV90" s="32"/>
      <c r="AW90" s="55"/>
      <c r="AX90" s="32"/>
      <c r="AY90" s="54"/>
      <c r="AZ90" s="21" t="str">
        <f>IFERROR(VLOOKUP(May[[#This Row],[Drug Name5]],'Data Options'!$R$1:$S$100,2,FALSE), " ")</f>
        <v xml:space="preserve"> </v>
      </c>
      <c r="BA90" s="55"/>
      <c r="BB90" s="32"/>
      <c r="BC90" s="32"/>
      <c r="BD90" s="55"/>
      <c r="BE90" s="32"/>
      <c r="BF90" s="54"/>
      <c r="BG90" s="21" t="str">
        <f>IFERROR(VLOOKUP(May[[#This Row],[Drug Name6]],'Data Options'!$R$1:$S$100,2,FALSE), " ")</f>
        <v xml:space="preserve"> </v>
      </c>
      <c r="BH90" s="55"/>
      <c r="BI90" s="32"/>
      <c r="BJ90" s="32"/>
      <c r="BK90" s="55"/>
      <c r="BL90" s="32"/>
      <c r="BM90" s="32"/>
      <c r="BN90" s="32"/>
      <c r="BO90" s="32"/>
      <c r="BP90" s="32"/>
      <c r="BQ90" s="31"/>
      <c r="BR90" s="31"/>
      <c r="BS90" s="54"/>
      <c r="BT90" s="21" t="str">
        <f>IFERROR(VLOOKUP(May[[#This Row],[Drug Name7]],'Data Options'!$R$1:$S$100,2,FALSE), " ")</f>
        <v xml:space="preserve"> </v>
      </c>
      <c r="BU90" s="55"/>
      <c r="BV90" s="32"/>
      <c r="BW90" s="32"/>
      <c r="BX90" s="55"/>
      <c r="BY90" s="32"/>
      <c r="BZ90" s="54"/>
      <c r="CA90" s="21" t="str">
        <f>IFERROR(VLOOKUP(May[[#This Row],[Drug Name8]],'Data Options'!$R$1:$S$100,2,FALSE), " ")</f>
        <v xml:space="preserve"> </v>
      </c>
      <c r="CB90" s="55"/>
      <c r="CC90" s="32"/>
      <c r="CD90" s="32"/>
      <c r="CE90" s="55"/>
      <c r="CF90" s="32"/>
      <c r="CG90" s="54"/>
      <c r="CH90" s="21" t="str">
        <f>IFERROR(VLOOKUP(May[[#This Row],[Drug Name9]],'Data Options'!$R$1:$S$100,2,FALSE), " ")</f>
        <v xml:space="preserve"> </v>
      </c>
      <c r="CI90" s="55"/>
      <c r="CJ90" s="32"/>
      <c r="CK90" s="32"/>
      <c r="CL90" s="55"/>
      <c r="CM90" s="32"/>
    </row>
    <row r="91" spans="1:91">
      <c r="A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1"/>
      <c r="Q91" s="54"/>
      <c r="R91" s="21" t="str">
        <f>IFERROR(VLOOKUP(May[[#This Row],[Drug Name]],'Data Options'!$R$1:$S$100,2,FALSE), " ")</f>
        <v xml:space="preserve"> </v>
      </c>
      <c r="S91" s="55"/>
      <c r="T91" s="32"/>
      <c r="U91" s="32"/>
      <c r="V91" s="55"/>
      <c r="W91" s="32"/>
      <c r="X91" s="54"/>
      <c r="Y91" s="21" t="str">
        <f>IFERROR(VLOOKUP(May[[#This Row],[Drug Name2]],'Data Options'!$R$1:$S$100,2,FALSE), " ")</f>
        <v xml:space="preserve"> </v>
      </c>
      <c r="Z91" s="55"/>
      <c r="AA91" s="32"/>
      <c r="AB91" s="32"/>
      <c r="AC91" s="55"/>
      <c r="AD91" s="32"/>
      <c r="AE91" s="54"/>
      <c r="AF91" s="21" t="str">
        <f>IFERROR(VLOOKUP(May[[#This Row],[Drug Name3]],'Data Options'!$R$1:$S$100,2,FALSE), " ")</f>
        <v xml:space="preserve"> </v>
      </c>
      <c r="AG91" s="55"/>
      <c r="AH91" s="32"/>
      <c r="AI91" s="32"/>
      <c r="AJ91" s="55"/>
      <c r="AK91" s="32"/>
      <c r="AL91" s="32"/>
      <c r="AM91" s="32"/>
      <c r="AN91" s="32"/>
      <c r="AO91" s="32"/>
      <c r="AP91" s="31"/>
      <c r="AQ91" s="31"/>
      <c r="AR91" s="54"/>
      <c r="AS91" s="21" t="str">
        <f>IFERROR(VLOOKUP(May[[#This Row],[Drug Name4]],'Data Options'!$R$1:$S$100,2,FALSE), " ")</f>
        <v xml:space="preserve"> </v>
      </c>
      <c r="AT91" s="55"/>
      <c r="AU91" s="32"/>
      <c r="AV91" s="32"/>
      <c r="AW91" s="55"/>
      <c r="AX91" s="32"/>
      <c r="AY91" s="54"/>
      <c r="AZ91" s="21" t="str">
        <f>IFERROR(VLOOKUP(May[[#This Row],[Drug Name5]],'Data Options'!$R$1:$S$100,2,FALSE), " ")</f>
        <v xml:space="preserve"> </v>
      </c>
      <c r="BA91" s="55"/>
      <c r="BB91" s="32"/>
      <c r="BC91" s="32"/>
      <c r="BD91" s="55"/>
      <c r="BE91" s="32"/>
      <c r="BF91" s="54"/>
      <c r="BG91" s="21" t="str">
        <f>IFERROR(VLOOKUP(May[[#This Row],[Drug Name6]],'Data Options'!$R$1:$S$100,2,FALSE), " ")</f>
        <v xml:space="preserve"> </v>
      </c>
      <c r="BH91" s="55"/>
      <c r="BI91" s="32"/>
      <c r="BJ91" s="32"/>
      <c r="BK91" s="55"/>
      <c r="BL91" s="32"/>
      <c r="BM91" s="32"/>
      <c r="BN91" s="32"/>
      <c r="BO91" s="32"/>
      <c r="BP91" s="32"/>
      <c r="BQ91" s="31"/>
      <c r="BR91" s="31"/>
      <c r="BS91" s="54"/>
      <c r="BT91" s="21" t="str">
        <f>IFERROR(VLOOKUP(May[[#This Row],[Drug Name7]],'Data Options'!$R$1:$S$100,2,FALSE), " ")</f>
        <v xml:space="preserve"> </v>
      </c>
      <c r="BU91" s="55"/>
      <c r="BV91" s="32"/>
      <c r="BW91" s="32"/>
      <c r="BX91" s="55"/>
      <c r="BY91" s="32"/>
      <c r="BZ91" s="54"/>
      <c r="CA91" s="21" t="str">
        <f>IFERROR(VLOOKUP(May[[#This Row],[Drug Name8]],'Data Options'!$R$1:$S$100,2,FALSE), " ")</f>
        <v xml:space="preserve"> </v>
      </c>
      <c r="CB91" s="55"/>
      <c r="CC91" s="32"/>
      <c r="CD91" s="32"/>
      <c r="CE91" s="55"/>
      <c r="CF91" s="32"/>
      <c r="CG91" s="54"/>
      <c r="CH91" s="21" t="str">
        <f>IFERROR(VLOOKUP(May[[#This Row],[Drug Name9]],'Data Options'!$R$1:$S$100,2,FALSE), " ")</f>
        <v xml:space="preserve"> </v>
      </c>
      <c r="CI91" s="55"/>
      <c r="CJ91" s="32"/>
      <c r="CK91" s="32"/>
      <c r="CL91" s="55"/>
      <c r="CM91" s="32"/>
    </row>
    <row r="92" spans="1:91">
      <c r="A92" s="5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1"/>
      <c r="Q92" s="54"/>
      <c r="R92" s="21" t="str">
        <f>IFERROR(VLOOKUP(May[[#This Row],[Drug Name]],'Data Options'!$R$1:$S$100,2,FALSE), " ")</f>
        <v xml:space="preserve"> </v>
      </c>
      <c r="S92" s="55"/>
      <c r="T92" s="32"/>
      <c r="U92" s="32"/>
      <c r="V92" s="55"/>
      <c r="W92" s="32"/>
      <c r="X92" s="54"/>
      <c r="Y92" s="21" t="str">
        <f>IFERROR(VLOOKUP(May[[#This Row],[Drug Name2]],'Data Options'!$R$1:$S$100,2,FALSE), " ")</f>
        <v xml:space="preserve"> </v>
      </c>
      <c r="Z92" s="55"/>
      <c r="AA92" s="32"/>
      <c r="AB92" s="32"/>
      <c r="AC92" s="55"/>
      <c r="AD92" s="32"/>
      <c r="AE92" s="54"/>
      <c r="AF92" s="21" t="str">
        <f>IFERROR(VLOOKUP(May[[#This Row],[Drug Name3]],'Data Options'!$R$1:$S$100,2,FALSE), " ")</f>
        <v xml:space="preserve"> </v>
      </c>
      <c r="AG92" s="55"/>
      <c r="AH92" s="32"/>
      <c r="AI92" s="32"/>
      <c r="AJ92" s="55"/>
      <c r="AK92" s="32"/>
      <c r="AL92" s="32"/>
      <c r="AM92" s="32"/>
      <c r="AN92" s="32"/>
      <c r="AO92" s="32"/>
      <c r="AP92" s="31"/>
      <c r="AQ92" s="31"/>
      <c r="AR92" s="54"/>
      <c r="AS92" s="21" t="str">
        <f>IFERROR(VLOOKUP(May[[#This Row],[Drug Name4]],'Data Options'!$R$1:$S$100,2,FALSE), " ")</f>
        <v xml:space="preserve"> </v>
      </c>
      <c r="AT92" s="55"/>
      <c r="AU92" s="32"/>
      <c r="AV92" s="32"/>
      <c r="AW92" s="55"/>
      <c r="AX92" s="32"/>
      <c r="AY92" s="54"/>
      <c r="AZ92" s="21" t="str">
        <f>IFERROR(VLOOKUP(May[[#This Row],[Drug Name5]],'Data Options'!$R$1:$S$100,2,FALSE), " ")</f>
        <v xml:space="preserve"> </v>
      </c>
      <c r="BA92" s="55"/>
      <c r="BB92" s="32"/>
      <c r="BC92" s="32"/>
      <c r="BD92" s="55"/>
      <c r="BE92" s="32"/>
      <c r="BF92" s="54"/>
      <c r="BG92" s="21" t="str">
        <f>IFERROR(VLOOKUP(May[[#This Row],[Drug Name6]],'Data Options'!$R$1:$S$100,2,FALSE), " ")</f>
        <v xml:space="preserve"> </v>
      </c>
      <c r="BH92" s="55"/>
      <c r="BI92" s="32"/>
      <c r="BJ92" s="32"/>
      <c r="BK92" s="55"/>
      <c r="BL92" s="32"/>
      <c r="BM92" s="32"/>
      <c r="BN92" s="32"/>
      <c r="BO92" s="32"/>
      <c r="BP92" s="32"/>
      <c r="BQ92" s="31"/>
      <c r="BR92" s="31"/>
      <c r="BS92" s="54"/>
      <c r="BT92" s="21" t="str">
        <f>IFERROR(VLOOKUP(May[[#This Row],[Drug Name7]],'Data Options'!$R$1:$S$100,2,FALSE), " ")</f>
        <v xml:space="preserve"> </v>
      </c>
      <c r="BU92" s="55"/>
      <c r="BV92" s="32"/>
      <c r="BW92" s="32"/>
      <c r="BX92" s="55"/>
      <c r="BY92" s="32"/>
      <c r="BZ92" s="54"/>
      <c r="CA92" s="21" t="str">
        <f>IFERROR(VLOOKUP(May[[#This Row],[Drug Name8]],'Data Options'!$R$1:$S$100,2,FALSE), " ")</f>
        <v xml:space="preserve"> </v>
      </c>
      <c r="CB92" s="55"/>
      <c r="CC92" s="32"/>
      <c r="CD92" s="32"/>
      <c r="CE92" s="55"/>
      <c r="CF92" s="32"/>
      <c r="CG92" s="54"/>
      <c r="CH92" s="21" t="str">
        <f>IFERROR(VLOOKUP(May[[#This Row],[Drug Name9]],'Data Options'!$R$1:$S$100,2,FALSE), " ")</f>
        <v xml:space="preserve"> </v>
      </c>
      <c r="CI92" s="55"/>
      <c r="CJ92" s="32"/>
      <c r="CK92" s="32"/>
      <c r="CL92" s="55"/>
      <c r="CM92" s="32"/>
    </row>
    <row r="93" spans="1:91">
      <c r="A93" s="5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1"/>
      <c r="Q93" s="54"/>
      <c r="R93" s="21" t="str">
        <f>IFERROR(VLOOKUP(May[[#This Row],[Drug Name]],'Data Options'!$R$1:$S$100,2,FALSE), " ")</f>
        <v xml:space="preserve"> </v>
      </c>
      <c r="S93" s="55"/>
      <c r="T93" s="32"/>
      <c r="U93" s="32"/>
      <c r="V93" s="55"/>
      <c r="W93" s="32"/>
      <c r="X93" s="54"/>
      <c r="Y93" s="21" t="str">
        <f>IFERROR(VLOOKUP(May[[#This Row],[Drug Name2]],'Data Options'!$R$1:$S$100,2,FALSE), " ")</f>
        <v xml:space="preserve"> </v>
      </c>
      <c r="Z93" s="55"/>
      <c r="AA93" s="32"/>
      <c r="AB93" s="32"/>
      <c r="AC93" s="55"/>
      <c r="AD93" s="32"/>
      <c r="AE93" s="54"/>
      <c r="AF93" s="21" t="str">
        <f>IFERROR(VLOOKUP(May[[#This Row],[Drug Name3]],'Data Options'!$R$1:$S$100,2,FALSE), " ")</f>
        <v xml:space="preserve"> </v>
      </c>
      <c r="AG93" s="55"/>
      <c r="AH93" s="32"/>
      <c r="AI93" s="32"/>
      <c r="AJ93" s="55"/>
      <c r="AK93" s="32"/>
      <c r="AL93" s="32"/>
      <c r="AM93" s="32"/>
      <c r="AN93" s="32"/>
      <c r="AO93" s="32"/>
      <c r="AP93" s="31"/>
      <c r="AQ93" s="31"/>
      <c r="AR93" s="54"/>
      <c r="AS93" s="21" t="str">
        <f>IFERROR(VLOOKUP(May[[#This Row],[Drug Name4]],'Data Options'!$R$1:$S$100,2,FALSE), " ")</f>
        <v xml:space="preserve"> </v>
      </c>
      <c r="AT93" s="55"/>
      <c r="AU93" s="32"/>
      <c r="AV93" s="32"/>
      <c r="AW93" s="55"/>
      <c r="AX93" s="32"/>
      <c r="AY93" s="54"/>
      <c r="AZ93" s="21" t="str">
        <f>IFERROR(VLOOKUP(May[[#This Row],[Drug Name5]],'Data Options'!$R$1:$S$100,2,FALSE), " ")</f>
        <v xml:space="preserve"> </v>
      </c>
      <c r="BA93" s="55"/>
      <c r="BB93" s="32"/>
      <c r="BC93" s="32"/>
      <c r="BD93" s="55"/>
      <c r="BE93" s="32"/>
      <c r="BF93" s="54"/>
      <c r="BG93" s="21" t="str">
        <f>IFERROR(VLOOKUP(May[[#This Row],[Drug Name6]],'Data Options'!$R$1:$S$100,2,FALSE), " ")</f>
        <v xml:space="preserve"> </v>
      </c>
      <c r="BH93" s="55"/>
      <c r="BI93" s="32"/>
      <c r="BJ93" s="32"/>
      <c r="BK93" s="55"/>
      <c r="BL93" s="32"/>
      <c r="BM93" s="32"/>
      <c r="BN93" s="32"/>
      <c r="BO93" s="32"/>
      <c r="BP93" s="32"/>
      <c r="BQ93" s="31"/>
      <c r="BR93" s="31"/>
      <c r="BS93" s="54"/>
      <c r="BT93" s="21" t="str">
        <f>IFERROR(VLOOKUP(May[[#This Row],[Drug Name7]],'Data Options'!$R$1:$S$100,2,FALSE), " ")</f>
        <v xml:space="preserve"> </v>
      </c>
      <c r="BU93" s="55"/>
      <c r="BV93" s="32"/>
      <c r="BW93" s="32"/>
      <c r="BX93" s="55"/>
      <c r="BY93" s="32"/>
      <c r="BZ93" s="54"/>
      <c r="CA93" s="21" t="str">
        <f>IFERROR(VLOOKUP(May[[#This Row],[Drug Name8]],'Data Options'!$R$1:$S$100,2,FALSE), " ")</f>
        <v xml:space="preserve"> </v>
      </c>
      <c r="CB93" s="55"/>
      <c r="CC93" s="32"/>
      <c r="CD93" s="32"/>
      <c r="CE93" s="55"/>
      <c r="CF93" s="32"/>
      <c r="CG93" s="54"/>
      <c r="CH93" s="21" t="str">
        <f>IFERROR(VLOOKUP(May[[#This Row],[Drug Name9]],'Data Options'!$R$1:$S$100,2,FALSE), " ")</f>
        <v xml:space="preserve"> </v>
      </c>
      <c r="CI93" s="55"/>
      <c r="CJ93" s="32"/>
      <c r="CK93" s="32"/>
      <c r="CL93" s="55"/>
      <c r="CM93" s="32"/>
    </row>
    <row r="94" spans="1:91">
      <c r="A94" s="5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1"/>
      <c r="Q94" s="54"/>
      <c r="R94" s="21" t="str">
        <f>IFERROR(VLOOKUP(May[[#This Row],[Drug Name]],'Data Options'!$R$1:$S$100,2,FALSE), " ")</f>
        <v xml:space="preserve"> </v>
      </c>
      <c r="S94" s="55"/>
      <c r="T94" s="32"/>
      <c r="U94" s="32"/>
      <c r="V94" s="55"/>
      <c r="W94" s="32"/>
      <c r="X94" s="54"/>
      <c r="Y94" s="21" t="str">
        <f>IFERROR(VLOOKUP(May[[#This Row],[Drug Name2]],'Data Options'!$R$1:$S$100,2,FALSE), " ")</f>
        <v xml:space="preserve"> </v>
      </c>
      <c r="Z94" s="55"/>
      <c r="AA94" s="32"/>
      <c r="AB94" s="32"/>
      <c r="AC94" s="55"/>
      <c r="AD94" s="32"/>
      <c r="AE94" s="54"/>
      <c r="AF94" s="21" t="str">
        <f>IFERROR(VLOOKUP(May[[#This Row],[Drug Name3]],'Data Options'!$R$1:$S$100,2,FALSE), " ")</f>
        <v xml:space="preserve"> </v>
      </c>
      <c r="AG94" s="55"/>
      <c r="AH94" s="32"/>
      <c r="AI94" s="32"/>
      <c r="AJ94" s="55"/>
      <c r="AK94" s="32"/>
      <c r="AL94" s="32"/>
      <c r="AM94" s="32"/>
      <c r="AN94" s="32"/>
      <c r="AO94" s="32"/>
      <c r="AP94" s="31"/>
      <c r="AQ94" s="31"/>
      <c r="AR94" s="54"/>
      <c r="AS94" s="21" t="str">
        <f>IFERROR(VLOOKUP(May[[#This Row],[Drug Name4]],'Data Options'!$R$1:$S$100,2,FALSE), " ")</f>
        <v xml:space="preserve"> </v>
      </c>
      <c r="AT94" s="55"/>
      <c r="AU94" s="32"/>
      <c r="AV94" s="32"/>
      <c r="AW94" s="55"/>
      <c r="AX94" s="32"/>
      <c r="AY94" s="54"/>
      <c r="AZ94" s="21" t="str">
        <f>IFERROR(VLOOKUP(May[[#This Row],[Drug Name5]],'Data Options'!$R$1:$S$100,2,FALSE), " ")</f>
        <v xml:space="preserve"> </v>
      </c>
      <c r="BA94" s="55"/>
      <c r="BB94" s="32"/>
      <c r="BC94" s="32"/>
      <c r="BD94" s="55"/>
      <c r="BE94" s="32"/>
      <c r="BF94" s="54"/>
      <c r="BG94" s="21" t="str">
        <f>IFERROR(VLOOKUP(May[[#This Row],[Drug Name6]],'Data Options'!$R$1:$S$100,2,FALSE), " ")</f>
        <v xml:space="preserve"> </v>
      </c>
      <c r="BH94" s="55"/>
      <c r="BI94" s="32"/>
      <c r="BJ94" s="32"/>
      <c r="BK94" s="55"/>
      <c r="BL94" s="32"/>
      <c r="BM94" s="32"/>
      <c r="BN94" s="32"/>
      <c r="BO94" s="32"/>
      <c r="BP94" s="32"/>
      <c r="BQ94" s="31"/>
      <c r="BR94" s="31"/>
      <c r="BS94" s="54"/>
      <c r="BT94" s="21" t="str">
        <f>IFERROR(VLOOKUP(May[[#This Row],[Drug Name7]],'Data Options'!$R$1:$S$100,2,FALSE), " ")</f>
        <v xml:space="preserve"> </v>
      </c>
      <c r="BU94" s="55"/>
      <c r="BV94" s="32"/>
      <c r="BW94" s="32"/>
      <c r="BX94" s="55"/>
      <c r="BY94" s="32"/>
      <c r="BZ94" s="54"/>
      <c r="CA94" s="21" t="str">
        <f>IFERROR(VLOOKUP(May[[#This Row],[Drug Name8]],'Data Options'!$R$1:$S$100,2,FALSE), " ")</f>
        <v xml:space="preserve"> </v>
      </c>
      <c r="CB94" s="55"/>
      <c r="CC94" s="32"/>
      <c r="CD94" s="32"/>
      <c r="CE94" s="55"/>
      <c r="CF94" s="32"/>
      <c r="CG94" s="54"/>
      <c r="CH94" s="21" t="str">
        <f>IFERROR(VLOOKUP(May[[#This Row],[Drug Name9]],'Data Options'!$R$1:$S$100,2,FALSE), " ")</f>
        <v xml:space="preserve"> </v>
      </c>
      <c r="CI94" s="55"/>
      <c r="CJ94" s="32"/>
      <c r="CK94" s="32"/>
      <c r="CL94" s="55"/>
      <c r="CM94" s="32"/>
    </row>
    <row r="95" spans="1:91">
      <c r="A95" s="5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1"/>
      <c r="P95" s="31"/>
      <c r="Q95" s="54"/>
      <c r="R95" s="21" t="str">
        <f>IFERROR(VLOOKUP(May[[#This Row],[Drug Name]],'Data Options'!$R$1:$S$100,2,FALSE), " ")</f>
        <v xml:space="preserve"> </v>
      </c>
      <c r="S95" s="55"/>
      <c r="T95" s="32"/>
      <c r="U95" s="32"/>
      <c r="V95" s="55"/>
      <c r="W95" s="32"/>
      <c r="X95" s="54"/>
      <c r="Y95" s="21" t="str">
        <f>IFERROR(VLOOKUP(May[[#This Row],[Drug Name2]],'Data Options'!$R$1:$S$100,2,FALSE), " ")</f>
        <v xml:space="preserve"> </v>
      </c>
      <c r="Z95" s="55"/>
      <c r="AA95" s="32"/>
      <c r="AB95" s="32"/>
      <c r="AC95" s="55"/>
      <c r="AD95" s="32"/>
      <c r="AE95" s="54"/>
      <c r="AF95" s="21" t="str">
        <f>IFERROR(VLOOKUP(May[[#This Row],[Drug Name3]],'Data Options'!$R$1:$S$100,2,FALSE), " ")</f>
        <v xml:space="preserve"> </v>
      </c>
      <c r="AG95" s="55"/>
      <c r="AH95" s="32"/>
      <c r="AI95" s="32"/>
      <c r="AJ95" s="55"/>
      <c r="AK95" s="32"/>
      <c r="AL95" s="32"/>
      <c r="AM95" s="32"/>
      <c r="AN95" s="32"/>
      <c r="AO95" s="32"/>
      <c r="AP95" s="31"/>
      <c r="AQ95" s="31"/>
      <c r="AR95" s="54"/>
      <c r="AS95" s="21" t="str">
        <f>IFERROR(VLOOKUP(May[[#This Row],[Drug Name4]],'Data Options'!$R$1:$S$100,2,FALSE), " ")</f>
        <v xml:space="preserve"> </v>
      </c>
      <c r="AT95" s="55"/>
      <c r="AU95" s="32"/>
      <c r="AV95" s="32"/>
      <c r="AW95" s="55"/>
      <c r="AX95" s="32"/>
      <c r="AY95" s="54"/>
      <c r="AZ95" s="21" t="str">
        <f>IFERROR(VLOOKUP(May[[#This Row],[Drug Name5]],'Data Options'!$R$1:$S$100,2,FALSE), " ")</f>
        <v xml:space="preserve"> </v>
      </c>
      <c r="BA95" s="55"/>
      <c r="BB95" s="32"/>
      <c r="BC95" s="32"/>
      <c r="BD95" s="55"/>
      <c r="BE95" s="32"/>
      <c r="BF95" s="54"/>
      <c r="BG95" s="21" t="str">
        <f>IFERROR(VLOOKUP(May[[#This Row],[Drug Name6]],'Data Options'!$R$1:$S$100,2,FALSE), " ")</f>
        <v xml:space="preserve"> </v>
      </c>
      <c r="BH95" s="55"/>
      <c r="BI95" s="32"/>
      <c r="BJ95" s="32"/>
      <c r="BK95" s="55"/>
      <c r="BL95" s="32"/>
      <c r="BM95" s="32"/>
      <c r="BN95" s="32"/>
      <c r="BO95" s="32"/>
      <c r="BP95" s="32"/>
      <c r="BQ95" s="31"/>
      <c r="BR95" s="31"/>
      <c r="BS95" s="54"/>
      <c r="BT95" s="21" t="str">
        <f>IFERROR(VLOOKUP(May[[#This Row],[Drug Name7]],'Data Options'!$R$1:$S$100,2,FALSE), " ")</f>
        <v xml:space="preserve"> </v>
      </c>
      <c r="BU95" s="55"/>
      <c r="BV95" s="32"/>
      <c r="BW95" s="32"/>
      <c r="BX95" s="55"/>
      <c r="BY95" s="32"/>
      <c r="BZ95" s="54"/>
      <c r="CA95" s="21" t="str">
        <f>IFERROR(VLOOKUP(May[[#This Row],[Drug Name8]],'Data Options'!$R$1:$S$100,2,FALSE), " ")</f>
        <v xml:space="preserve"> </v>
      </c>
      <c r="CB95" s="55"/>
      <c r="CC95" s="32"/>
      <c r="CD95" s="32"/>
      <c r="CE95" s="55"/>
      <c r="CF95" s="32"/>
      <c r="CG95" s="54"/>
      <c r="CH95" s="21" t="str">
        <f>IFERROR(VLOOKUP(May[[#This Row],[Drug Name9]],'Data Options'!$R$1:$S$100,2,FALSE), " ")</f>
        <v xml:space="preserve"> </v>
      </c>
      <c r="CI95" s="55"/>
      <c r="CJ95" s="32"/>
      <c r="CK95" s="32"/>
      <c r="CL95" s="55"/>
      <c r="CM95" s="32"/>
    </row>
    <row r="96" spans="1:91">
      <c r="A96" s="5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1"/>
      <c r="P96" s="31"/>
      <c r="Q96" s="54"/>
      <c r="R96" s="21" t="str">
        <f>IFERROR(VLOOKUP(May[[#This Row],[Drug Name]],'Data Options'!$R$1:$S$100,2,FALSE), " ")</f>
        <v xml:space="preserve"> </v>
      </c>
      <c r="S96" s="55"/>
      <c r="T96" s="32"/>
      <c r="U96" s="32"/>
      <c r="V96" s="55"/>
      <c r="W96" s="32"/>
      <c r="X96" s="54"/>
      <c r="Y96" s="21" t="str">
        <f>IFERROR(VLOOKUP(May[[#This Row],[Drug Name2]],'Data Options'!$R$1:$S$100,2,FALSE), " ")</f>
        <v xml:space="preserve"> </v>
      </c>
      <c r="Z96" s="55"/>
      <c r="AA96" s="32"/>
      <c r="AB96" s="32"/>
      <c r="AC96" s="55"/>
      <c r="AD96" s="32"/>
      <c r="AE96" s="54"/>
      <c r="AF96" s="21" t="str">
        <f>IFERROR(VLOOKUP(May[[#This Row],[Drug Name3]],'Data Options'!$R$1:$S$100,2,FALSE), " ")</f>
        <v xml:space="preserve"> </v>
      </c>
      <c r="AG96" s="55"/>
      <c r="AH96" s="32"/>
      <c r="AI96" s="32"/>
      <c r="AJ96" s="55"/>
      <c r="AK96" s="32"/>
      <c r="AL96" s="32"/>
      <c r="AM96" s="32"/>
      <c r="AN96" s="32"/>
      <c r="AO96" s="32"/>
      <c r="AP96" s="31"/>
      <c r="AQ96" s="31"/>
      <c r="AR96" s="54"/>
      <c r="AS96" s="21" t="str">
        <f>IFERROR(VLOOKUP(May[[#This Row],[Drug Name4]],'Data Options'!$R$1:$S$100,2,FALSE), " ")</f>
        <v xml:space="preserve"> </v>
      </c>
      <c r="AT96" s="55"/>
      <c r="AU96" s="32"/>
      <c r="AV96" s="32"/>
      <c r="AW96" s="55"/>
      <c r="AX96" s="32"/>
      <c r="AY96" s="54"/>
      <c r="AZ96" s="21" t="str">
        <f>IFERROR(VLOOKUP(May[[#This Row],[Drug Name5]],'Data Options'!$R$1:$S$100,2,FALSE), " ")</f>
        <v xml:space="preserve"> </v>
      </c>
      <c r="BA96" s="55"/>
      <c r="BB96" s="32"/>
      <c r="BC96" s="32"/>
      <c r="BD96" s="55"/>
      <c r="BE96" s="32"/>
      <c r="BF96" s="54"/>
      <c r="BG96" s="21" t="str">
        <f>IFERROR(VLOOKUP(May[[#This Row],[Drug Name6]],'Data Options'!$R$1:$S$100,2,FALSE), " ")</f>
        <v xml:space="preserve"> </v>
      </c>
      <c r="BH96" s="55"/>
      <c r="BI96" s="32"/>
      <c r="BJ96" s="32"/>
      <c r="BK96" s="55"/>
      <c r="BL96" s="32"/>
      <c r="BM96" s="32"/>
      <c r="BN96" s="32"/>
      <c r="BO96" s="32"/>
      <c r="BP96" s="32"/>
      <c r="BQ96" s="31"/>
      <c r="BR96" s="31"/>
      <c r="BS96" s="54"/>
      <c r="BT96" s="21" t="str">
        <f>IFERROR(VLOOKUP(May[[#This Row],[Drug Name7]],'Data Options'!$R$1:$S$100,2,FALSE), " ")</f>
        <v xml:space="preserve"> </v>
      </c>
      <c r="BU96" s="55"/>
      <c r="BV96" s="32"/>
      <c r="BW96" s="32"/>
      <c r="BX96" s="55"/>
      <c r="BY96" s="32"/>
      <c r="BZ96" s="54"/>
      <c r="CA96" s="21" t="str">
        <f>IFERROR(VLOOKUP(May[[#This Row],[Drug Name8]],'Data Options'!$R$1:$S$100,2,FALSE), " ")</f>
        <v xml:space="preserve"> </v>
      </c>
      <c r="CB96" s="55"/>
      <c r="CC96" s="32"/>
      <c r="CD96" s="32"/>
      <c r="CE96" s="55"/>
      <c r="CF96" s="32"/>
      <c r="CG96" s="54"/>
      <c r="CH96" s="21" t="str">
        <f>IFERROR(VLOOKUP(May[[#This Row],[Drug Name9]],'Data Options'!$R$1:$S$100,2,FALSE), " ")</f>
        <v xml:space="preserve"> </v>
      </c>
      <c r="CI96" s="55"/>
      <c r="CJ96" s="32"/>
      <c r="CK96" s="32"/>
      <c r="CL96" s="55"/>
      <c r="CM96" s="32"/>
    </row>
    <row r="97" spans="1:91">
      <c r="A97" s="5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1"/>
      <c r="P97" s="31"/>
      <c r="Q97" s="54"/>
      <c r="R97" s="21" t="str">
        <f>IFERROR(VLOOKUP(May[[#This Row],[Drug Name]],'Data Options'!$R$1:$S$100,2,FALSE), " ")</f>
        <v xml:space="preserve"> </v>
      </c>
      <c r="S97" s="55"/>
      <c r="T97" s="32"/>
      <c r="U97" s="32"/>
      <c r="V97" s="55"/>
      <c r="W97" s="32"/>
      <c r="X97" s="54"/>
      <c r="Y97" s="21" t="str">
        <f>IFERROR(VLOOKUP(May[[#This Row],[Drug Name2]],'Data Options'!$R$1:$S$100,2,FALSE), " ")</f>
        <v xml:space="preserve"> </v>
      </c>
      <c r="Z97" s="55"/>
      <c r="AA97" s="32"/>
      <c r="AB97" s="32"/>
      <c r="AC97" s="55"/>
      <c r="AD97" s="32"/>
      <c r="AE97" s="54"/>
      <c r="AF97" s="21" t="str">
        <f>IFERROR(VLOOKUP(May[[#This Row],[Drug Name3]],'Data Options'!$R$1:$S$100,2,FALSE), " ")</f>
        <v xml:space="preserve"> </v>
      </c>
      <c r="AG97" s="55"/>
      <c r="AH97" s="32"/>
      <c r="AI97" s="32"/>
      <c r="AJ97" s="55"/>
      <c r="AK97" s="32"/>
      <c r="AL97" s="32"/>
      <c r="AM97" s="32"/>
      <c r="AN97" s="32"/>
      <c r="AO97" s="32"/>
      <c r="AP97" s="31"/>
      <c r="AQ97" s="31"/>
      <c r="AR97" s="54"/>
      <c r="AS97" s="21" t="str">
        <f>IFERROR(VLOOKUP(May[[#This Row],[Drug Name4]],'Data Options'!$R$1:$S$100,2,FALSE), " ")</f>
        <v xml:space="preserve"> </v>
      </c>
      <c r="AT97" s="55"/>
      <c r="AU97" s="32"/>
      <c r="AV97" s="32"/>
      <c r="AW97" s="55"/>
      <c r="AX97" s="32"/>
      <c r="AY97" s="54"/>
      <c r="AZ97" s="21" t="str">
        <f>IFERROR(VLOOKUP(May[[#This Row],[Drug Name5]],'Data Options'!$R$1:$S$100,2,FALSE), " ")</f>
        <v xml:space="preserve"> </v>
      </c>
      <c r="BA97" s="55"/>
      <c r="BB97" s="32"/>
      <c r="BC97" s="32"/>
      <c r="BD97" s="55"/>
      <c r="BE97" s="32"/>
      <c r="BF97" s="54"/>
      <c r="BG97" s="21" t="str">
        <f>IFERROR(VLOOKUP(May[[#This Row],[Drug Name6]],'Data Options'!$R$1:$S$100,2,FALSE), " ")</f>
        <v xml:space="preserve"> </v>
      </c>
      <c r="BH97" s="55"/>
      <c r="BI97" s="32"/>
      <c r="BJ97" s="32"/>
      <c r="BK97" s="55"/>
      <c r="BL97" s="32"/>
      <c r="BM97" s="32"/>
      <c r="BN97" s="32"/>
      <c r="BO97" s="32"/>
      <c r="BP97" s="32"/>
      <c r="BQ97" s="31"/>
      <c r="BR97" s="31"/>
      <c r="BS97" s="54"/>
      <c r="BT97" s="21" t="str">
        <f>IFERROR(VLOOKUP(May[[#This Row],[Drug Name7]],'Data Options'!$R$1:$S$100,2,FALSE), " ")</f>
        <v xml:space="preserve"> </v>
      </c>
      <c r="BU97" s="55"/>
      <c r="BV97" s="32"/>
      <c r="BW97" s="32"/>
      <c r="BX97" s="55"/>
      <c r="BY97" s="32"/>
      <c r="BZ97" s="54"/>
      <c r="CA97" s="21" t="str">
        <f>IFERROR(VLOOKUP(May[[#This Row],[Drug Name8]],'Data Options'!$R$1:$S$100,2,FALSE), " ")</f>
        <v xml:space="preserve"> </v>
      </c>
      <c r="CB97" s="55"/>
      <c r="CC97" s="32"/>
      <c r="CD97" s="32"/>
      <c r="CE97" s="55"/>
      <c r="CF97" s="32"/>
      <c r="CG97" s="54"/>
      <c r="CH97" s="21" t="str">
        <f>IFERROR(VLOOKUP(May[[#This Row],[Drug Name9]],'Data Options'!$R$1:$S$100,2,FALSE), " ")</f>
        <v xml:space="preserve"> </v>
      </c>
      <c r="CI97" s="55"/>
      <c r="CJ97" s="32"/>
      <c r="CK97" s="32"/>
      <c r="CL97" s="55"/>
      <c r="CM97" s="32"/>
    </row>
    <row r="98" spans="1:91">
      <c r="A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1"/>
      <c r="P98" s="31"/>
      <c r="Q98" s="54"/>
      <c r="R98" s="21" t="str">
        <f>IFERROR(VLOOKUP(May[[#This Row],[Drug Name]],'Data Options'!$R$1:$S$100,2,FALSE), " ")</f>
        <v xml:space="preserve"> </v>
      </c>
      <c r="S98" s="55"/>
      <c r="T98" s="32"/>
      <c r="U98" s="32"/>
      <c r="V98" s="55"/>
      <c r="W98" s="32"/>
      <c r="X98" s="54"/>
      <c r="Y98" s="21" t="str">
        <f>IFERROR(VLOOKUP(May[[#This Row],[Drug Name2]],'Data Options'!$R$1:$S$100,2,FALSE), " ")</f>
        <v xml:space="preserve"> </v>
      </c>
      <c r="Z98" s="55"/>
      <c r="AA98" s="32"/>
      <c r="AB98" s="32"/>
      <c r="AC98" s="55"/>
      <c r="AD98" s="32"/>
      <c r="AE98" s="54"/>
      <c r="AF98" s="21" t="str">
        <f>IFERROR(VLOOKUP(May[[#This Row],[Drug Name3]],'Data Options'!$R$1:$S$100,2,FALSE), " ")</f>
        <v xml:space="preserve"> </v>
      </c>
      <c r="AG98" s="55"/>
      <c r="AH98" s="32"/>
      <c r="AI98" s="32"/>
      <c r="AJ98" s="55"/>
      <c r="AK98" s="32"/>
      <c r="AL98" s="32"/>
      <c r="AM98" s="32"/>
      <c r="AN98" s="32"/>
      <c r="AO98" s="32"/>
      <c r="AP98" s="31"/>
      <c r="AQ98" s="31"/>
      <c r="AR98" s="54"/>
      <c r="AS98" s="21" t="str">
        <f>IFERROR(VLOOKUP(May[[#This Row],[Drug Name4]],'Data Options'!$R$1:$S$100,2,FALSE), " ")</f>
        <v xml:space="preserve"> </v>
      </c>
      <c r="AT98" s="55"/>
      <c r="AU98" s="32"/>
      <c r="AV98" s="32"/>
      <c r="AW98" s="55"/>
      <c r="AX98" s="32"/>
      <c r="AY98" s="54"/>
      <c r="AZ98" s="21" t="str">
        <f>IFERROR(VLOOKUP(May[[#This Row],[Drug Name5]],'Data Options'!$R$1:$S$100,2,FALSE), " ")</f>
        <v xml:space="preserve"> </v>
      </c>
      <c r="BA98" s="55"/>
      <c r="BB98" s="32"/>
      <c r="BC98" s="32"/>
      <c r="BD98" s="55"/>
      <c r="BE98" s="32"/>
      <c r="BF98" s="54"/>
      <c r="BG98" s="21" t="str">
        <f>IFERROR(VLOOKUP(May[[#This Row],[Drug Name6]],'Data Options'!$R$1:$S$100,2,FALSE), " ")</f>
        <v xml:space="preserve"> </v>
      </c>
      <c r="BH98" s="55"/>
      <c r="BI98" s="32"/>
      <c r="BJ98" s="32"/>
      <c r="BK98" s="55"/>
      <c r="BL98" s="32"/>
      <c r="BM98" s="32"/>
      <c r="BN98" s="32"/>
      <c r="BO98" s="32"/>
      <c r="BP98" s="32"/>
      <c r="BQ98" s="31"/>
      <c r="BR98" s="31"/>
      <c r="BS98" s="54"/>
      <c r="BT98" s="21" t="str">
        <f>IFERROR(VLOOKUP(May[[#This Row],[Drug Name7]],'Data Options'!$R$1:$S$100,2,FALSE), " ")</f>
        <v xml:space="preserve"> </v>
      </c>
      <c r="BU98" s="55"/>
      <c r="BV98" s="32"/>
      <c r="BW98" s="32"/>
      <c r="BX98" s="55"/>
      <c r="BY98" s="32"/>
      <c r="BZ98" s="54"/>
      <c r="CA98" s="21" t="str">
        <f>IFERROR(VLOOKUP(May[[#This Row],[Drug Name8]],'Data Options'!$R$1:$S$100,2,FALSE), " ")</f>
        <v xml:space="preserve"> </v>
      </c>
      <c r="CB98" s="55"/>
      <c r="CC98" s="32"/>
      <c r="CD98" s="32"/>
      <c r="CE98" s="55"/>
      <c r="CF98" s="32"/>
      <c r="CG98" s="54"/>
      <c r="CH98" s="21" t="str">
        <f>IFERROR(VLOOKUP(May[[#This Row],[Drug Name9]],'Data Options'!$R$1:$S$100,2,FALSE), " ")</f>
        <v xml:space="preserve"> </v>
      </c>
      <c r="CI98" s="55"/>
      <c r="CJ98" s="32"/>
      <c r="CK98" s="32"/>
      <c r="CL98" s="55"/>
      <c r="CM98" s="32"/>
    </row>
    <row r="99" spans="1:91">
      <c r="A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1"/>
      <c r="P99" s="31"/>
      <c r="Q99" s="54"/>
      <c r="R99" s="21" t="str">
        <f>IFERROR(VLOOKUP(May[[#This Row],[Drug Name]],'Data Options'!$R$1:$S$100,2,FALSE), " ")</f>
        <v xml:space="preserve"> </v>
      </c>
      <c r="S99" s="55"/>
      <c r="T99" s="32"/>
      <c r="U99" s="32"/>
      <c r="V99" s="55"/>
      <c r="W99" s="32"/>
      <c r="X99" s="54"/>
      <c r="Y99" s="21" t="str">
        <f>IFERROR(VLOOKUP(May[[#This Row],[Drug Name2]],'Data Options'!$R$1:$S$100,2,FALSE), " ")</f>
        <v xml:space="preserve"> </v>
      </c>
      <c r="Z99" s="55"/>
      <c r="AA99" s="32"/>
      <c r="AB99" s="32"/>
      <c r="AC99" s="55"/>
      <c r="AD99" s="32"/>
      <c r="AE99" s="54"/>
      <c r="AF99" s="21" t="str">
        <f>IFERROR(VLOOKUP(May[[#This Row],[Drug Name3]],'Data Options'!$R$1:$S$100,2,FALSE), " ")</f>
        <v xml:space="preserve"> </v>
      </c>
      <c r="AG99" s="55"/>
      <c r="AH99" s="32"/>
      <c r="AI99" s="32"/>
      <c r="AJ99" s="55"/>
      <c r="AK99" s="32"/>
      <c r="AL99" s="32"/>
      <c r="AM99" s="32"/>
      <c r="AN99" s="32"/>
      <c r="AO99" s="32"/>
      <c r="AP99" s="31"/>
      <c r="AQ99" s="31"/>
      <c r="AR99" s="54"/>
      <c r="AS99" s="21" t="str">
        <f>IFERROR(VLOOKUP(May[[#This Row],[Drug Name4]],'Data Options'!$R$1:$S$100,2,FALSE), " ")</f>
        <v xml:space="preserve"> </v>
      </c>
      <c r="AT99" s="55"/>
      <c r="AU99" s="32"/>
      <c r="AV99" s="32"/>
      <c r="AW99" s="55"/>
      <c r="AX99" s="32"/>
      <c r="AY99" s="54"/>
      <c r="AZ99" s="21" t="str">
        <f>IFERROR(VLOOKUP(May[[#This Row],[Drug Name5]],'Data Options'!$R$1:$S$100,2,FALSE), " ")</f>
        <v xml:space="preserve"> </v>
      </c>
      <c r="BA99" s="55"/>
      <c r="BB99" s="32"/>
      <c r="BC99" s="32"/>
      <c r="BD99" s="55"/>
      <c r="BE99" s="32"/>
      <c r="BF99" s="54"/>
      <c r="BG99" s="21" t="str">
        <f>IFERROR(VLOOKUP(May[[#This Row],[Drug Name6]],'Data Options'!$R$1:$S$100,2,FALSE), " ")</f>
        <v xml:space="preserve"> </v>
      </c>
      <c r="BH99" s="55"/>
      <c r="BI99" s="32"/>
      <c r="BJ99" s="32"/>
      <c r="BK99" s="55"/>
      <c r="BL99" s="32"/>
      <c r="BM99" s="32"/>
      <c r="BN99" s="32"/>
      <c r="BO99" s="32"/>
      <c r="BP99" s="32"/>
      <c r="BQ99" s="31"/>
      <c r="BR99" s="31"/>
      <c r="BS99" s="54"/>
      <c r="BT99" s="21" t="str">
        <f>IFERROR(VLOOKUP(May[[#This Row],[Drug Name7]],'Data Options'!$R$1:$S$100,2,FALSE), " ")</f>
        <v xml:space="preserve"> </v>
      </c>
      <c r="BU99" s="55"/>
      <c r="BV99" s="32"/>
      <c r="BW99" s="32"/>
      <c r="BX99" s="55"/>
      <c r="BY99" s="32"/>
      <c r="BZ99" s="54"/>
      <c r="CA99" s="21" t="str">
        <f>IFERROR(VLOOKUP(May[[#This Row],[Drug Name8]],'Data Options'!$R$1:$S$100,2,FALSE), " ")</f>
        <v xml:space="preserve"> </v>
      </c>
      <c r="CB99" s="55"/>
      <c r="CC99" s="32"/>
      <c r="CD99" s="32"/>
      <c r="CE99" s="55"/>
      <c r="CF99" s="32"/>
      <c r="CG99" s="54"/>
      <c r="CH99" s="21" t="str">
        <f>IFERROR(VLOOKUP(May[[#This Row],[Drug Name9]],'Data Options'!$R$1:$S$100,2,FALSE), " ")</f>
        <v xml:space="preserve"> </v>
      </c>
      <c r="CI99" s="55"/>
      <c r="CJ99" s="32"/>
      <c r="CK99" s="32"/>
      <c r="CL99" s="55"/>
      <c r="CM99" s="32"/>
    </row>
    <row r="100" spans="1:91">
      <c r="A100" s="5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1"/>
      <c r="P100" s="31"/>
      <c r="Q100" s="54"/>
      <c r="R100" s="21" t="str">
        <f>IFERROR(VLOOKUP(May[[#This Row],[Drug Name]],'Data Options'!$R$1:$S$100,2,FALSE), " ")</f>
        <v xml:space="preserve"> </v>
      </c>
      <c r="S100" s="55"/>
      <c r="T100" s="32"/>
      <c r="U100" s="32"/>
      <c r="V100" s="55"/>
      <c r="W100" s="32"/>
      <c r="X100" s="54"/>
      <c r="Y100" s="21" t="str">
        <f>IFERROR(VLOOKUP(May[[#This Row],[Drug Name2]],'Data Options'!$R$1:$S$100,2,FALSE), " ")</f>
        <v xml:space="preserve"> </v>
      </c>
      <c r="Z100" s="55"/>
      <c r="AA100" s="32"/>
      <c r="AB100" s="32"/>
      <c r="AC100" s="55"/>
      <c r="AD100" s="32"/>
      <c r="AE100" s="54"/>
      <c r="AF100" s="21" t="str">
        <f>IFERROR(VLOOKUP(May[[#This Row],[Drug Name3]],'Data Options'!$R$1:$S$100,2,FALSE), " ")</f>
        <v xml:space="preserve"> </v>
      </c>
      <c r="AG100" s="55"/>
      <c r="AH100" s="32"/>
      <c r="AI100" s="32"/>
      <c r="AJ100" s="55"/>
      <c r="AK100" s="32"/>
      <c r="AL100" s="32"/>
      <c r="AM100" s="32"/>
      <c r="AN100" s="32"/>
      <c r="AO100" s="32"/>
      <c r="AP100" s="31"/>
      <c r="AQ100" s="31"/>
      <c r="AR100" s="54"/>
      <c r="AS100" s="21" t="str">
        <f>IFERROR(VLOOKUP(May[[#This Row],[Drug Name4]],'Data Options'!$R$1:$S$100,2,FALSE), " ")</f>
        <v xml:space="preserve"> </v>
      </c>
      <c r="AT100" s="55"/>
      <c r="AU100" s="32"/>
      <c r="AV100" s="32"/>
      <c r="AW100" s="55"/>
      <c r="AX100" s="32"/>
      <c r="AY100" s="54"/>
      <c r="AZ100" s="21" t="str">
        <f>IFERROR(VLOOKUP(May[[#This Row],[Drug Name5]],'Data Options'!$R$1:$S$100,2,FALSE), " ")</f>
        <v xml:space="preserve"> </v>
      </c>
      <c r="BA100" s="55"/>
      <c r="BB100" s="32"/>
      <c r="BC100" s="32"/>
      <c r="BD100" s="55"/>
      <c r="BE100" s="32"/>
      <c r="BF100" s="54"/>
      <c r="BG100" s="21" t="str">
        <f>IFERROR(VLOOKUP(May[[#This Row],[Drug Name6]],'Data Options'!$R$1:$S$100,2,FALSE), " ")</f>
        <v xml:space="preserve"> </v>
      </c>
      <c r="BH100" s="55"/>
      <c r="BI100" s="32"/>
      <c r="BJ100" s="32"/>
      <c r="BK100" s="55"/>
      <c r="BL100" s="32"/>
      <c r="BM100" s="32"/>
      <c r="BN100" s="32"/>
      <c r="BO100" s="32"/>
      <c r="BP100" s="32"/>
      <c r="BQ100" s="31"/>
      <c r="BR100" s="31"/>
      <c r="BS100" s="54"/>
      <c r="BT100" s="21" t="str">
        <f>IFERROR(VLOOKUP(May[[#This Row],[Drug Name7]],'Data Options'!$R$1:$S$100,2,FALSE), " ")</f>
        <v xml:space="preserve"> </v>
      </c>
      <c r="BU100" s="55"/>
      <c r="BV100" s="32"/>
      <c r="BW100" s="32"/>
      <c r="BX100" s="55"/>
      <c r="BY100" s="32"/>
      <c r="BZ100" s="54"/>
      <c r="CA100" s="21" t="str">
        <f>IFERROR(VLOOKUP(May[[#This Row],[Drug Name8]],'Data Options'!$R$1:$S$100,2,FALSE), " ")</f>
        <v xml:space="preserve"> </v>
      </c>
      <c r="CB100" s="55"/>
      <c r="CC100" s="32"/>
      <c r="CD100" s="32"/>
      <c r="CE100" s="55"/>
      <c r="CF100" s="32"/>
      <c r="CG100" s="54"/>
      <c r="CH100" s="21" t="str">
        <f>IFERROR(VLOOKUP(May[[#This Row],[Drug Name9]],'Data Options'!$R$1:$S$100,2,FALSE), " ")</f>
        <v xml:space="preserve"> </v>
      </c>
      <c r="CI100" s="55"/>
      <c r="CJ100" s="32"/>
      <c r="CK100" s="32"/>
      <c r="CL100" s="55"/>
      <c r="CM100" s="32"/>
    </row>
    <row r="101" spans="1:91">
      <c r="A101" s="5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1"/>
      <c r="P101" s="31"/>
      <c r="Q101" s="54"/>
      <c r="R101" s="21" t="str">
        <f>IFERROR(VLOOKUP(May[[#This Row],[Drug Name]],'Data Options'!$R$1:$S$100,2,FALSE), " ")</f>
        <v xml:space="preserve"> </v>
      </c>
      <c r="S101" s="55"/>
      <c r="T101" s="32"/>
      <c r="U101" s="32"/>
      <c r="V101" s="55"/>
      <c r="W101" s="32"/>
      <c r="X101" s="54"/>
      <c r="Y101" s="21" t="str">
        <f>IFERROR(VLOOKUP(May[[#This Row],[Drug Name2]],'Data Options'!$R$1:$S$100,2,FALSE), " ")</f>
        <v xml:space="preserve"> </v>
      </c>
      <c r="Z101" s="55"/>
      <c r="AA101" s="32"/>
      <c r="AB101" s="32"/>
      <c r="AC101" s="55"/>
      <c r="AD101" s="32"/>
      <c r="AE101" s="54"/>
      <c r="AF101" s="21" t="str">
        <f>IFERROR(VLOOKUP(May[[#This Row],[Drug Name3]],'Data Options'!$R$1:$S$100,2,FALSE), " ")</f>
        <v xml:space="preserve"> </v>
      </c>
      <c r="AG101" s="55"/>
      <c r="AH101" s="32"/>
      <c r="AI101" s="32"/>
      <c r="AJ101" s="55"/>
      <c r="AK101" s="32"/>
      <c r="AL101" s="32"/>
      <c r="AM101" s="32"/>
      <c r="AN101" s="32"/>
      <c r="AO101" s="32"/>
      <c r="AP101" s="31"/>
      <c r="AQ101" s="31"/>
      <c r="AR101" s="54"/>
      <c r="AS101" s="21" t="str">
        <f>IFERROR(VLOOKUP(May[[#This Row],[Drug Name4]],'Data Options'!$R$1:$S$100,2,FALSE), " ")</f>
        <v xml:space="preserve"> </v>
      </c>
      <c r="AT101" s="55"/>
      <c r="AU101" s="32"/>
      <c r="AV101" s="32"/>
      <c r="AW101" s="55"/>
      <c r="AX101" s="32"/>
      <c r="AY101" s="54"/>
      <c r="AZ101" s="21" t="str">
        <f>IFERROR(VLOOKUP(May[[#This Row],[Drug Name5]],'Data Options'!$R$1:$S$100,2,FALSE), " ")</f>
        <v xml:space="preserve"> </v>
      </c>
      <c r="BA101" s="55"/>
      <c r="BB101" s="32"/>
      <c r="BC101" s="32"/>
      <c r="BD101" s="55"/>
      <c r="BE101" s="32"/>
      <c r="BF101" s="54"/>
      <c r="BG101" s="21" t="str">
        <f>IFERROR(VLOOKUP(May[[#This Row],[Drug Name6]],'Data Options'!$R$1:$S$100,2,FALSE), " ")</f>
        <v xml:space="preserve"> </v>
      </c>
      <c r="BH101" s="55"/>
      <c r="BI101" s="32"/>
      <c r="BJ101" s="32"/>
      <c r="BK101" s="55"/>
      <c r="BL101" s="32"/>
      <c r="BM101" s="32"/>
      <c r="BN101" s="32"/>
      <c r="BO101" s="32"/>
      <c r="BP101" s="32"/>
      <c r="BQ101" s="31"/>
      <c r="BR101" s="31"/>
      <c r="BS101" s="54"/>
      <c r="BT101" s="21" t="str">
        <f>IFERROR(VLOOKUP(May[[#This Row],[Drug Name7]],'Data Options'!$R$1:$S$100,2,FALSE), " ")</f>
        <v xml:space="preserve"> </v>
      </c>
      <c r="BU101" s="55"/>
      <c r="BV101" s="32"/>
      <c r="BW101" s="32"/>
      <c r="BX101" s="55"/>
      <c r="BY101" s="32"/>
      <c r="BZ101" s="54"/>
      <c r="CA101" s="21" t="str">
        <f>IFERROR(VLOOKUP(May[[#This Row],[Drug Name8]],'Data Options'!$R$1:$S$100,2,FALSE), " ")</f>
        <v xml:space="preserve"> </v>
      </c>
      <c r="CB101" s="55"/>
      <c r="CC101" s="32"/>
      <c r="CD101" s="32"/>
      <c r="CE101" s="55"/>
      <c r="CF101" s="32"/>
      <c r="CG101" s="54"/>
      <c r="CH101" s="21" t="str">
        <f>IFERROR(VLOOKUP(May[[#This Row],[Drug Name9]],'Data Options'!$R$1:$S$100,2,FALSE), " ")</f>
        <v xml:space="preserve"> </v>
      </c>
      <c r="CI101" s="55"/>
      <c r="CJ101" s="32"/>
      <c r="CK101" s="32"/>
      <c r="CL101" s="55"/>
      <c r="CM101" s="32"/>
    </row>
    <row r="102" spans="1:91">
      <c r="A102" s="5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1"/>
      <c r="P102" s="31"/>
      <c r="Q102" s="54"/>
      <c r="R102" s="21" t="str">
        <f>IFERROR(VLOOKUP(May[[#This Row],[Drug Name]],'Data Options'!$R$1:$S$100,2,FALSE), " ")</f>
        <v xml:space="preserve"> </v>
      </c>
      <c r="S102" s="55"/>
      <c r="T102" s="32"/>
      <c r="U102" s="32"/>
      <c r="V102" s="55"/>
      <c r="W102" s="32"/>
      <c r="X102" s="54"/>
      <c r="Y102" s="21" t="str">
        <f>IFERROR(VLOOKUP(May[[#This Row],[Drug Name2]],'Data Options'!$R$1:$S$100,2,FALSE), " ")</f>
        <v xml:space="preserve"> </v>
      </c>
      <c r="Z102" s="55"/>
      <c r="AA102" s="32"/>
      <c r="AB102" s="32"/>
      <c r="AC102" s="55"/>
      <c r="AD102" s="32"/>
      <c r="AE102" s="54"/>
      <c r="AF102" s="21" t="str">
        <f>IFERROR(VLOOKUP(May[[#This Row],[Drug Name3]],'Data Options'!$R$1:$S$100,2,FALSE), " ")</f>
        <v xml:space="preserve"> </v>
      </c>
      <c r="AG102" s="55"/>
      <c r="AH102" s="32"/>
      <c r="AI102" s="32"/>
      <c r="AJ102" s="55"/>
      <c r="AK102" s="32"/>
      <c r="AL102" s="32"/>
      <c r="AM102" s="32"/>
      <c r="AN102" s="32"/>
      <c r="AO102" s="32"/>
      <c r="AP102" s="31"/>
      <c r="AQ102" s="31"/>
      <c r="AR102" s="54"/>
      <c r="AS102" s="21" t="str">
        <f>IFERROR(VLOOKUP(May[[#This Row],[Drug Name4]],'Data Options'!$R$1:$S$100,2,FALSE), " ")</f>
        <v xml:space="preserve"> </v>
      </c>
      <c r="AT102" s="55"/>
      <c r="AU102" s="32"/>
      <c r="AV102" s="32"/>
      <c r="AW102" s="55"/>
      <c r="AX102" s="32"/>
      <c r="AY102" s="54"/>
      <c r="AZ102" s="21" t="str">
        <f>IFERROR(VLOOKUP(May[[#This Row],[Drug Name5]],'Data Options'!$R$1:$S$100,2,FALSE), " ")</f>
        <v xml:space="preserve"> </v>
      </c>
      <c r="BA102" s="55"/>
      <c r="BB102" s="32"/>
      <c r="BC102" s="32"/>
      <c r="BD102" s="55"/>
      <c r="BE102" s="32"/>
      <c r="BF102" s="54"/>
      <c r="BG102" s="21" t="str">
        <f>IFERROR(VLOOKUP(May[[#This Row],[Drug Name6]],'Data Options'!$R$1:$S$100,2,FALSE), " ")</f>
        <v xml:space="preserve"> </v>
      </c>
      <c r="BH102" s="55"/>
      <c r="BI102" s="32"/>
      <c r="BJ102" s="32"/>
      <c r="BK102" s="55"/>
      <c r="BL102" s="32"/>
      <c r="BM102" s="32"/>
      <c r="BN102" s="32"/>
      <c r="BO102" s="32"/>
      <c r="BP102" s="32"/>
      <c r="BQ102" s="31"/>
      <c r="BR102" s="31"/>
      <c r="BS102" s="54"/>
      <c r="BT102" s="21" t="str">
        <f>IFERROR(VLOOKUP(May[[#This Row],[Drug Name7]],'Data Options'!$R$1:$S$100,2,FALSE), " ")</f>
        <v xml:space="preserve"> </v>
      </c>
      <c r="BU102" s="55"/>
      <c r="BV102" s="32"/>
      <c r="BW102" s="32"/>
      <c r="BX102" s="55"/>
      <c r="BY102" s="32"/>
      <c r="BZ102" s="54"/>
      <c r="CA102" s="21" t="str">
        <f>IFERROR(VLOOKUP(May[[#This Row],[Drug Name8]],'Data Options'!$R$1:$S$100,2,FALSE), " ")</f>
        <v xml:space="preserve"> </v>
      </c>
      <c r="CB102" s="55"/>
      <c r="CC102" s="32"/>
      <c r="CD102" s="32"/>
      <c r="CE102" s="55"/>
      <c r="CF102" s="32"/>
      <c r="CG102" s="54"/>
      <c r="CH102" s="21" t="str">
        <f>IFERROR(VLOOKUP(May[[#This Row],[Drug Name9]],'Data Options'!$R$1:$S$100,2,FALSE), " ")</f>
        <v xml:space="preserve"> </v>
      </c>
      <c r="CI102" s="55"/>
      <c r="CJ102" s="32"/>
      <c r="CK102" s="32"/>
      <c r="CL102" s="55"/>
      <c r="CM102" s="32"/>
    </row>
    <row r="103" spans="1:91">
      <c r="A103" s="5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1"/>
      <c r="Q103" s="54"/>
      <c r="R103" s="21" t="str">
        <f>IFERROR(VLOOKUP(May[[#This Row],[Drug Name]],'Data Options'!$R$1:$S$100,2,FALSE), " ")</f>
        <v xml:space="preserve"> </v>
      </c>
      <c r="S103" s="55"/>
      <c r="T103" s="32"/>
      <c r="U103" s="32"/>
      <c r="V103" s="55"/>
      <c r="W103" s="32"/>
      <c r="X103" s="54"/>
      <c r="Y103" s="21" t="str">
        <f>IFERROR(VLOOKUP(May[[#This Row],[Drug Name2]],'Data Options'!$R$1:$S$100,2,FALSE), " ")</f>
        <v xml:space="preserve"> </v>
      </c>
      <c r="Z103" s="55"/>
      <c r="AA103" s="32"/>
      <c r="AB103" s="32"/>
      <c r="AC103" s="55"/>
      <c r="AD103" s="32"/>
      <c r="AE103" s="54"/>
      <c r="AF103" s="21" t="str">
        <f>IFERROR(VLOOKUP(May[[#This Row],[Drug Name3]],'Data Options'!$R$1:$S$100,2,FALSE), " ")</f>
        <v xml:space="preserve"> </v>
      </c>
      <c r="AG103" s="55"/>
      <c r="AH103" s="32"/>
      <c r="AI103" s="32"/>
      <c r="AJ103" s="55"/>
      <c r="AK103" s="32"/>
      <c r="AL103" s="32"/>
      <c r="AM103" s="32"/>
      <c r="AN103" s="32"/>
      <c r="AO103" s="32"/>
      <c r="AP103" s="31"/>
      <c r="AQ103" s="31"/>
      <c r="AR103" s="54"/>
      <c r="AS103" s="21" t="str">
        <f>IFERROR(VLOOKUP(May[[#This Row],[Drug Name4]],'Data Options'!$R$1:$S$100,2,FALSE), " ")</f>
        <v xml:space="preserve"> </v>
      </c>
      <c r="AT103" s="55"/>
      <c r="AU103" s="32"/>
      <c r="AV103" s="32"/>
      <c r="AW103" s="55"/>
      <c r="AX103" s="32"/>
      <c r="AY103" s="54"/>
      <c r="AZ103" s="21" t="str">
        <f>IFERROR(VLOOKUP(May[[#This Row],[Drug Name5]],'Data Options'!$R$1:$S$100,2,FALSE), " ")</f>
        <v xml:space="preserve"> </v>
      </c>
      <c r="BA103" s="55"/>
      <c r="BB103" s="32"/>
      <c r="BC103" s="32"/>
      <c r="BD103" s="55"/>
      <c r="BE103" s="32"/>
      <c r="BF103" s="54"/>
      <c r="BG103" s="21" t="str">
        <f>IFERROR(VLOOKUP(May[[#This Row],[Drug Name6]],'Data Options'!$R$1:$S$100,2,FALSE), " ")</f>
        <v xml:space="preserve"> </v>
      </c>
      <c r="BH103" s="55"/>
      <c r="BI103" s="32"/>
      <c r="BJ103" s="32"/>
      <c r="BK103" s="55"/>
      <c r="BL103" s="32"/>
      <c r="BM103" s="32"/>
      <c r="BN103" s="32"/>
      <c r="BO103" s="32"/>
      <c r="BP103" s="32"/>
      <c r="BQ103" s="31"/>
      <c r="BR103" s="31"/>
      <c r="BS103" s="54"/>
      <c r="BT103" s="21" t="str">
        <f>IFERROR(VLOOKUP(May[[#This Row],[Drug Name7]],'Data Options'!$R$1:$S$100,2,FALSE), " ")</f>
        <v xml:space="preserve"> </v>
      </c>
      <c r="BU103" s="55"/>
      <c r="BV103" s="32"/>
      <c r="BW103" s="32"/>
      <c r="BX103" s="55"/>
      <c r="BY103" s="32"/>
      <c r="BZ103" s="54"/>
      <c r="CA103" s="21" t="str">
        <f>IFERROR(VLOOKUP(May[[#This Row],[Drug Name8]],'Data Options'!$R$1:$S$100,2,FALSE), " ")</f>
        <v xml:space="preserve"> </v>
      </c>
      <c r="CB103" s="55"/>
      <c r="CC103" s="32"/>
      <c r="CD103" s="32"/>
      <c r="CE103" s="55"/>
      <c r="CF103" s="32"/>
      <c r="CG103" s="54"/>
      <c r="CH103" s="21" t="str">
        <f>IFERROR(VLOOKUP(May[[#This Row],[Drug Name9]],'Data Options'!$R$1:$S$100,2,FALSE), " ")</f>
        <v xml:space="preserve"> </v>
      </c>
      <c r="CI103" s="55"/>
      <c r="CJ103" s="32"/>
      <c r="CK103" s="32"/>
      <c r="CL103" s="55"/>
      <c r="CM103" s="32"/>
    </row>
    <row r="104" spans="1:91">
      <c r="A104" s="5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Q104" s="54"/>
      <c r="R104" s="21" t="str">
        <f>IFERROR(VLOOKUP(May[[#This Row],[Drug Name]],'Data Options'!$R$1:$S$100,2,FALSE), " ")</f>
        <v xml:space="preserve"> </v>
      </c>
      <c r="S104" s="55"/>
      <c r="T104" s="32"/>
      <c r="U104" s="32"/>
      <c r="V104" s="55"/>
      <c r="W104" s="32"/>
      <c r="X104" s="54"/>
      <c r="Y104" s="21" t="str">
        <f>IFERROR(VLOOKUP(May[[#This Row],[Drug Name2]],'Data Options'!$R$1:$S$100,2,FALSE), " ")</f>
        <v xml:space="preserve"> </v>
      </c>
      <c r="Z104" s="55"/>
      <c r="AA104" s="32"/>
      <c r="AB104" s="32"/>
      <c r="AC104" s="55"/>
      <c r="AD104" s="32"/>
      <c r="AE104" s="54"/>
      <c r="AF104" s="21" t="str">
        <f>IFERROR(VLOOKUP(May[[#This Row],[Drug Name3]],'Data Options'!$R$1:$S$100,2,FALSE), " ")</f>
        <v xml:space="preserve"> </v>
      </c>
      <c r="AG104" s="55"/>
      <c r="AH104" s="32"/>
      <c r="AI104" s="32"/>
      <c r="AJ104" s="55"/>
      <c r="AK104" s="32"/>
      <c r="AL104" s="32"/>
      <c r="AM104" s="32"/>
      <c r="AN104" s="32"/>
      <c r="AO104" s="32"/>
      <c r="AP104" s="31"/>
      <c r="AQ104" s="31"/>
      <c r="AR104" s="54"/>
      <c r="AS104" s="21" t="str">
        <f>IFERROR(VLOOKUP(May[[#This Row],[Drug Name4]],'Data Options'!$R$1:$S$100,2,FALSE), " ")</f>
        <v xml:space="preserve"> </v>
      </c>
      <c r="AT104" s="55"/>
      <c r="AU104" s="32"/>
      <c r="AV104" s="32"/>
      <c r="AW104" s="55"/>
      <c r="AX104" s="32"/>
      <c r="AY104" s="54"/>
      <c r="AZ104" s="21" t="str">
        <f>IFERROR(VLOOKUP(May[[#This Row],[Drug Name5]],'Data Options'!$R$1:$S$100,2,FALSE), " ")</f>
        <v xml:space="preserve"> </v>
      </c>
      <c r="BA104" s="55"/>
      <c r="BB104" s="32"/>
      <c r="BC104" s="32"/>
      <c r="BD104" s="55"/>
      <c r="BE104" s="32"/>
      <c r="BF104" s="54"/>
      <c r="BG104" s="21" t="str">
        <f>IFERROR(VLOOKUP(May[[#This Row],[Drug Name6]],'Data Options'!$R$1:$S$100,2,FALSE), " ")</f>
        <v xml:space="preserve"> </v>
      </c>
      <c r="BH104" s="55"/>
      <c r="BI104" s="32"/>
      <c r="BJ104" s="32"/>
      <c r="BK104" s="55"/>
      <c r="BL104" s="32"/>
      <c r="BM104" s="32"/>
      <c r="BN104" s="32"/>
      <c r="BO104" s="32"/>
      <c r="BP104" s="32"/>
      <c r="BQ104" s="31"/>
      <c r="BR104" s="31"/>
      <c r="BS104" s="54"/>
      <c r="BT104" s="21" t="str">
        <f>IFERROR(VLOOKUP(May[[#This Row],[Drug Name7]],'Data Options'!$R$1:$S$100,2,FALSE), " ")</f>
        <v xml:space="preserve"> </v>
      </c>
      <c r="BU104" s="55"/>
      <c r="BV104" s="32"/>
      <c r="BW104" s="32"/>
      <c r="BX104" s="55"/>
      <c r="BY104" s="32"/>
      <c r="BZ104" s="54"/>
      <c r="CA104" s="21" t="str">
        <f>IFERROR(VLOOKUP(May[[#This Row],[Drug Name8]],'Data Options'!$R$1:$S$100,2,FALSE), " ")</f>
        <v xml:space="preserve"> </v>
      </c>
      <c r="CB104" s="55"/>
      <c r="CC104" s="32"/>
      <c r="CD104" s="32"/>
      <c r="CE104" s="55"/>
      <c r="CF104" s="32"/>
      <c r="CG104" s="54"/>
      <c r="CH104" s="21" t="str">
        <f>IFERROR(VLOOKUP(May[[#This Row],[Drug Name9]],'Data Options'!$R$1:$S$100,2,FALSE), " ")</f>
        <v xml:space="preserve"> </v>
      </c>
      <c r="CI104" s="55"/>
      <c r="CJ104" s="32"/>
      <c r="CK104" s="32"/>
      <c r="CL104" s="55"/>
      <c r="CM104" s="32"/>
    </row>
    <row r="105" spans="1:91">
      <c r="A105" s="5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1"/>
      <c r="Q105" s="54"/>
      <c r="R105" s="21" t="str">
        <f>IFERROR(VLOOKUP(May[[#This Row],[Drug Name]],'Data Options'!$R$1:$S$100,2,FALSE), " ")</f>
        <v xml:space="preserve"> </v>
      </c>
      <c r="S105" s="55"/>
      <c r="T105" s="32"/>
      <c r="U105" s="32"/>
      <c r="V105" s="55"/>
      <c r="W105" s="32"/>
      <c r="X105" s="54"/>
      <c r="Y105" s="21" t="str">
        <f>IFERROR(VLOOKUP(May[[#This Row],[Drug Name2]],'Data Options'!$R$1:$S$100,2,FALSE), " ")</f>
        <v xml:space="preserve"> </v>
      </c>
      <c r="Z105" s="55"/>
      <c r="AA105" s="32"/>
      <c r="AB105" s="32"/>
      <c r="AC105" s="55"/>
      <c r="AD105" s="32"/>
      <c r="AE105" s="54"/>
      <c r="AF105" s="21" t="str">
        <f>IFERROR(VLOOKUP(May[[#This Row],[Drug Name3]],'Data Options'!$R$1:$S$100,2,FALSE), " ")</f>
        <v xml:space="preserve"> </v>
      </c>
      <c r="AG105" s="55"/>
      <c r="AH105" s="32"/>
      <c r="AI105" s="32"/>
      <c r="AJ105" s="55"/>
      <c r="AK105" s="32"/>
      <c r="AL105" s="32"/>
      <c r="AM105" s="32"/>
      <c r="AN105" s="32"/>
      <c r="AO105" s="32"/>
      <c r="AP105" s="31"/>
      <c r="AQ105" s="31"/>
      <c r="AR105" s="54"/>
      <c r="AS105" s="21" t="str">
        <f>IFERROR(VLOOKUP(May[[#This Row],[Drug Name4]],'Data Options'!$R$1:$S$100,2,FALSE), " ")</f>
        <v xml:space="preserve"> </v>
      </c>
      <c r="AT105" s="55"/>
      <c r="AU105" s="32"/>
      <c r="AV105" s="32"/>
      <c r="AW105" s="55"/>
      <c r="AX105" s="32"/>
      <c r="AY105" s="54"/>
      <c r="AZ105" s="21" t="str">
        <f>IFERROR(VLOOKUP(May[[#This Row],[Drug Name5]],'Data Options'!$R$1:$S$100,2,FALSE), " ")</f>
        <v xml:space="preserve"> </v>
      </c>
      <c r="BA105" s="55"/>
      <c r="BB105" s="32"/>
      <c r="BC105" s="32"/>
      <c r="BD105" s="55"/>
      <c r="BE105" s="32"/>
      <c r="BF105" s="54"/>
      <c r="BG105" s="21" t="str">
        <f>IFERROR(VLOOKUP(May[[#This Row],[Drug Name6]],'Data Options'!$R$1:$S$100,2,FALSE), " ")</f>
        <v xml:space="preserve"> </v>
      </c>
      <c r="BH105" s="55"/>
      <c r="BI105" s="32"/>
      <c r="BJ105" s="32"/>
      <c r="BK105" s="55"/>
      <c r="BL105" s="32"/>
      <c r="BM105" s="32"/>
      <c r="BN105" s="32"/>
      <c r="BO105" s="32"/>
      <c r="BP105" s="32"/>
      <c r="BQ105" s="31"/>
      <c r="BR105" s="31"/>
      <c r="BS105" s="54"/>
      <c r="BT105" s="21" t="str">
        <f>IFERROR(VLOOKUP(May[[#This Row],[Drug Name7]],'Data Options'!$R$1:$S$100,2,FALSE), " ")</f>
        <v xml:space="preserve"> </v>
      </c>
      <c r="BU105" s="55"/>
      <c r="BV105" s="32"/>
      <c r="BW105" s="32"/>
      <c r="BX105" s="55"/>
      <c r="BY105" s="32"/>
      <c r="BZ105" s="54"/>
      <c r="CA105" s="21" t="str">
        <f>IFERROR(VLOOKUP(May[[#This Row],[Drug Name8]],'Data Options'!$R$1:$S$100,2,FALSE), " ")</f>
        <v xml:space="preserve"> </v>
      </c>
      <c r="CB105" s="55"/>
      <c r="CC105" s="32"/>
      <c r="CD105" s="32"/>
      <c r="CE105" s="55"/>
      <c r="CF105" s="32"/>
      <c r="CG105" s="54"/>
      <c r="CH105" s="21" t="str">
        <f>IFERROR(VLOOKUP(May[[#This Row],[Drug Name9]],'Data Options'!$R$1:$S$100,2,FALSE), " ")</f>
        <v xml:space="preserve"> </v>
      </c>
      <c r="CI105" s="55"/>
      <c r="CJ105" s="32"/>
      <c r="CK105" s="32"/>
      <c r="CL105" s="55"/>
      <c r="CM105" s="32"/>
    </row>
    <row r="106" spans="1:91">
      <c r="A106" s="5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1"/>
      <c r="P106" s="31"/>
      <c r="Q106" s="54"/>
      <c r="R106" s="21" t="str">
        <f>IFERROR(VLOOKUP(May[[#This Row],[Drug Name]],'Data Options'!$R$1:$S$100,2,FALSE), " ")</f>
        <v xml:space="preserve"> </v>
      </c>
      <c r="S106" s="55"/>
      <c r="T106" s="32"/>
      <c r="U106" s="32"/>
      <c r="V106" s="55"/>
      <c r="W106" s="32"/>
      <c r="X106" s="54"/>
      <c r="Y106" s="21" t="str">
        <f>IFERROR(VLOOKUP(May[[#This Row],[Drug Name2]],'Data Options'!$R$1:$S$100,2,FALSE), " ")</f>
        <v xml:space="preserve"> </v>
      </c>
      <c r="Z106" s="55"/>
      <c r="AA106" s="32"/>
      <c r="AB106" s="32"/>
      <c r="AC106" s="55"/>
      <c r="AD106" s="32"/>
      <c r="AE106" s="54"/>
      <c r="AF106" s="21" t="str">
        <f>IFERROR(VLOOKUP(May[[#This Row],[Drug Name3]],'Data Options'!$R$1:$S$100,2,FALSE), " ")</f>
        <v xml:space="preserve"> </v>
      </c>
      <c r="AG106" s="55"/>
      <c r="AH106" s="32"/>
      <c r="AI106" s="32"/>
      <c r="AJ106" s="55"/>
      <c r="AK106" s="32"/>
      <c r="AL106" s="32"/>
      <c r="AM106" s="32"/>
      <c r="AN106" s="32"/>
      <c r="AO106" s="32"/>
      <c r="AP106" s="31"/>
      <c r="AQ106" s="31"/>
      <c r="AR106" s="54"/>
      <c r="AS106" s="21" t="str">
        <f>IFERROR(VLOOKUP(May[[#This Row],[Drug Name4]],'Data Options'!$R$1:$S$100,2,FALSE), " ")</f>
        <v xml:space="preserve"> </v>
      </c>
      <c r="AT106" s="55"/>
      <c r="AU106" s="32"/>
      <c r="AV106" s="32"/>
      <c r="AW106" s="55"/>
      <c r="AX106" s="32"/>
      <c r="AY106" s="54"/>
      <c r="AZ106" s="21" t="str">
        <f>IFERROR(VLOOKUP(May[[#This Row],[Drug Name5]],'Data Options'!$R$1:$S$100,2,FALSE), " ")</f>
        <v xml:space="preserve"> </v>
      </c>
      <c r="BA106" s="55"/>
      <c r="BB106" s="32"/>
      <c r="BC106" s="32"/>
      <c r="BD106" s="55"/>
      <c r="BE106" s="32"/>
      <c r="BF106" s="54"/>
      <c r="BG106" s="21" t="str">
        <f>IFERROR(VLOOKUP(May[[#This Row],[Drug Name6]],'Data Options'!$R$1:$S$100,2,FALSE), " ")</f>
        <v xml:space="preserve"> </v>
      </c>
      <c r="BH106" s="55"/>
      <c r="BI106" s="32"/>
      <c r="BJ106" s="32"/>
      <c r="BK106" s="55"/>
      <c r="BL106" s="32"/>
      <c r="BM106" s="32"/>
      <c r="BN106" s="32"/>
      <c r="BO106" s="32"/>
      <c r="BP106" s="32"/>
      <c r="BQ106" s="31"/>
      <c r="BR106" s="31"/>
      <c r="BS106" s="54"/>
      <c r="BT106" s="21" t="str">
        <f>IFERROR(VLOOKUP(May[[#This Row],[Drug Name7]],'Data Options'!$R$1:$S$100,2,FALSE), " ")</f>
        <v xml:space="preserve"> </v>
      </c>
      <c r="BU106" s="55"/>
      <c r="BV106" s="32"/>
      <c r="BW106" s="32"/>
      <c r="BX106" s="55"/>
      <c r="BY106" s="32"/>
      <c r="BZ106" s="54"/>
      <c r="CA106" s="21" t="str">
        <f>IFERROR(VLOOKUP(May[[#This Row],[Drug Name8]],'Data Options'!$R$1:$S$100,2,FALSE), " ")</f>
        <v xml:space="preserve"> </v>
      </c>
      <c r="CB106" s="55"/>
      <c r="CC106" s="32"/>
      <c r="CD106" s="32"/>
      <c r="CE106" s="55"/>
      <c r="CF106" s="32"/>
      <c r="CG106" s="54"/>
      <c r="CH106" s="21" t="str">
        <f>IFERROR(VLOOKUP(May[[#This Row],[Drug Name9]],'Data Options'!$R$1:$S$100,2,FALSE), " ")</f>
        <v xml:space="preserve"> </v>
      </c>
      <c r="CI106" s="55"/>
      <c r="CJ106" s="32"/>
      <c r="CK106" s="32"/>
      <c r="CL106" s="55"/>
      <c r="CM106" s="32"/>
    </row>
    <row r="107" spans="1:91">
      <c r="A107" s="5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1"/>
      <c r="P107" s="31"/>
      <c r="Q107" s="54"/>
      <c r="R107" s="21" t="str">
        <f>IFERROR(VLOOKUP(May[[#This Row],[Drug Name]],'Data Options'!$R$1:$S$100,2,FALSE), " ")</f>
        <v xml:space="preserve"> </v>
      </c>
      <c r="S107" s="55"/>
      <c r="T107" s="32"/>
      <c r="U107" s="32"/>
      <c r="V107" s="55"/>
      <c r="W107" s="32"/>
      <c r="X107" s="54"/>
      <c r="Y107" s="21" t="str">
        <f>IFERROR(VLOOKUP(May[[#This Row],[Drug Name2]],'Data Options'!$R$1:$S$100,2,FALSE), " ")</f>
        <v xml:space="preserve"> </v>
      </c>
      <c r="Z107" s="55"/>
      <c r="AA107" s="32"/>
      <c r="AB107" s="32"/>
      <c r="AC107" s="55"/>
      <c r="AD107" s="32"/>
      <c r="AE107" s="54"/>
      <c r="AF107" s="21" t="str">
        <f>IFERROR(VLOOKUP(May[[#This Row],[Drug Name3]],'Data Options'!$R$1:$S$100,2,FALSE), " ")</f>
        <v xml:space="preserve"> </v>
      </c>
      <c r="AG107" s="55"/>
      <c r="AH107" s="32"/>
      <c r="AI107" s="32"/>
      <c r="AJ107" s="55"/>
      <c r="AK107" s="32"/>
      <c r="AL107" s="32"/>
      <c r="AM107" s="32"/>
      <c r="AN107" s="32"/>
      <c r="AO107" s="32"/>
      <c r="AP107" s="31"/>
      <c r="AQ107" s="31"/>
      <c r="AR107" s="54"/>
      <c r="AS107" s="21" t="str">
        <f>IFERROR(VLOOKUP(May[[#This Row],[Drug Name4]],'Data Options'!$R$1:$S$100,2,FALSE), " ")</f>
        <v xml:space="preserve"> </v>
      </c>
      <c r="AT107" s="55"/>
      <c r="AU107" s="32"/>
      <c r="AV107" s="32"/>
      <c r="AW107" s="55"/>
      <c r="AX107" s="32"/>
      <c r="AY107" s="54"/>
      <c r="AZ107" s="21" t="str">
        <f>IFERROR(VLOOKUP(May[[#This Row],[Drug Name5]],'Data Options'!$R$1:$S$100,2,FALSE), " ")</f>
        <v xml:space="preserve"> </v>
      </c>
      <c r="BA107" s="55"/>
      <c r="BB107" s="32"/>
      <c r="BC107" s="32"/>
      <c r="BD107" s="55"/>
      <c r="BE107" s="32"/>
      <c r="BF107" s="54"/>
      <c r="BG107" s="21" t="str">
        <f>IFERROR(VLOOKUP(May[[#This Row],[Drug Name6]],'Data Options'!$R$1:$S$100,2,FALSE), " ")</f>
        <v xml:space="preserve"> </v>
      </c>
      <c r="BH107" s="55"/>
      <c r="BI107" s="32"/>
      <c r="BJ107" s="32"/>
      <c r="BK107" s="55"/>
      <c r="BL107" s="32"/>
      <c r="BM107" s="32"/>
      <c r="BN107" s="32"/>
      <c r="BO107" s="32"/>
      <c r="BP107" s="32"/>
      <c r="BQ107" s="31"/>
      <c r="BR107" s="31"/>
      <c r="BS107" s="54"/>
      <c r="BT107" s="21" t="str">
        <f>IFERROR(VLOOKUP(May[[#This Row],[Drug Name7]],'Data Options'!$R$1:$S$100,2,FALSE), " ")</f>
        <v xml:space="preserve"> </v>
      </c>
      <c r="BU107" s="55"/>
      <c r="BV107" s="32"/>
      <c r="BW107" s="32"/>
      <c r="BX107" s="55"/>
      <c r="BY107" s="32"/>
      <c r="BZ107" s="54"/>
      <c r="CA107" s="21" t="str">
        <f>IFERROR(VLOOKUP(May[[#This Row],[Drug Name8]],'Data Options'!$R$1:$S$100,2,FALSE), " ")</f>
        <v xml:space="preserve"> </v>
      </c>
      <c r="CB107" s="55"/>
      <c r="CC107" s="32"/>
      <c r="CD107" s="32"/>
      <c r="CE107" s="55"/>
      <c r="CF107" s="32"/>
      <c r="CG107" s="54"/>
      <c r="CH107" s="21" t="str">
        <f>IFERROR(VLOOKUP(May[[#This Row],[Drug Name9]],'Data Options'!$R$1:$S$100,2,FALSE), " ")</f>
        <v xml:space="preserve"> </v>
      </c>
      <c r="CI107" s="55"/>
      <c r="CJ107" s="32"/>
      <c r="CK107" s="32"/>
      <c r="CL107" s="55"/>
      <c r="CM107" s="32"/>
    </row>
    <row r="108" spans="1:91">
      <c r="A108" s="5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1"/>
      <c r="P108" s="31"/>
      <c r="Q108" s="54"/>
      <c r="R108" s="21" t="str">
        <f>IFERROR(VLOOKUP(May[[#This Row],[Drug Name]],'Data Options'!$R$1:$S$100,2,FALSE), " ")</f>
        <v xml:space="preserve"> </v>
      </c>
      <c r="S108" s="55"/>
      <c r="T108" s="32"/>
      <c r="U108" s="32"/>
      <c r="V108" s="55"/>
      <c r="W108" s="32"/>
      <c r="X108" s="54"/>
      <c r="Y108" s="21" t="str">
        <f>IFERROR(VLOOKUP(May[[#This Row],[Drug Name2]],'Data Options'!$R$1:$S$100,2,FALSE), " ")</f>
        <v xml:space="preserve"> </v>
      </c>
      <c r="Z108" s="55"/>
      <c r="AA108" s="32"/>
      <c r="AB108" s="32"/>
      <c r="AC108" s="55"/>
      <c r="AD108" s="32"/>
      <c r="AE108" s="54"/>
      <c r="AF108" s="21" t="str">
        <f>IFERROR(VLOOKUP(May[[#This Row],[Drug Name3]],'Data Options'!$R$1:$S$100,2,FALSE), " ")</f>
        <v xml:space="preserve"> </v>
      </c>
      <c r="AG108" s="55"/>
      <c r="AH108" s="32"/>
      <c r="AI108" s="32"/>
      <c r="AJ108" s="55"/>
      <c r="AK108" s="32"/>
      <c r="AL108" s="32"/>
      <c r="AM108" s="32"/>
      <c r="AN108" s="32"/>
      <c r="AO108" s="32"/>
      <c r="AP108" s="31"/>
      <c r="AQ108" s="31"/>
      <c r="AR108" s="54"/>
      <c r="AS108" s="21" t="str">
        <f>IFERROR(VLOOKUP(May[[#This Row],[Drug Name4]],'Data Options'!$R$1:$S$100,2,FALSE), " ")</f>
        <v xml:space="preserve"> </v>
      </c>
      <c r="AT108" s="55"/>
      <c r="AU108" s="32"/>
      <c r="AV108" s="32"/>
      <c r="AW108" s="55"/>
      <c r="AX108" s="32"/>
      <c r="AY108" s="54"/>
      <c r="AZ108" s="21" t="str">
        <f>IFERROR(VLOOKUP(May[[#This Row],[Drug Name5]],'Data Options'!$R$1:$S$100,2,FALSE), " ")</f>
        <v xml:space="preserve"> </v>
      </c>
      <c r="BA108" s="55"/>
      <c r="BB108" s="32"/>
      <c r="BC108" s="32"/>
      <c r="BD108" s="55"/>
      <c r="BE108" s="32"/>
      <c r="BF108" s="54"/>
      <c r="BG108" s="21" t="str">
        <f>IFERROR(VLOOKUP(May[[#This Row],[Drug Name6]],'Data Options'!$R$1:$S$100,2,FALSE), " ")</f>
        <v xml:space="preserve"> </v>
      </c>
      <c r="BH108" s="55"/>
      <c r="BI108" s="32"/>
      <c r="BJ108" s="32"/>
      <c r="BK108" s="55"/>
      <c r="BL108" s="32"/>
      <c r="BM108" s="32"/>
      <c r="BN108" s="32"/>
      <c r="BO108" s="32"/>
      <c r="BP108" s="32"/>
      <c r="BQ108" s="31"/>
      <c r="BR108" s="31"/>
      <c r="BS108" s="54"/>
      <c r="BT108" s="21" t="str">
        <f>IFERROR(VLOOKUP(May[[#This Row],[Drug Name7]],'Data Options'!$R$1:$S$100,2,FALSE), " ")</f>
        <v xml:space="preserve"> </v>
      </c>
      <c r="BU108" s="55"/>
      <c r="BV108" s="32"/>
      <c r="BW108" s="32"/>
      <c r="BX108" s="55"/>
      <c r="BY108" s="32"/>
      <c r="BZ108" s="54"/>
      <c r="CA108" s="21" t="str">
        <f>IFERROR(VLOOKUP(May[[#This Row],[Drug Name8]],'Data Options'!$R$1:$S$100,2,FALSE), " ")</f>
        <v xml:space="preserve"> </v>
      </c>
      <c r="CB108" s="55"/>
      <c r="CC108" s="32"/>
      <c r="CD108" s="32"/>
      <c r="CE108" s="55"/>
      <c r="CF108" s="32"/>
      <c r="CG108" s="54"/>
      <c r="CH108" s="21" t="str">
        <f>IFERROR(VLOOKUP(May[[#This Row],[Drug Name9]],'Data Options'!$R$1:$S$100,2,FALSE), " ")</f>
        <v xml:space="preserve"> </v>
      </c>
      <c r="CI108" s="55"/>
      <c r="CJ108" s="32"/>
      <c r="CK108" s="32"/>
      <c r="CL108" s="55"/>
      <c r="CM108" s="32"/>
    </row>
    <row r="109" spans="1:91">
      <c r="A109" s="5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1"/>
      <c r="P109" s="31"/>
      <c r="Q109" s="54"/>
      <c r="R109" s="21" t="str">
        <f>IFERROR(VLOOKUP(May[[#This Row],[Drug Name]],'Data Options'!$R$1:$S$100,2,FALSE), " ")</f>
        <v xml:space="preserve"> </v>
      </c>
      <c r="S109" s="55"/>
      <c r="T109" s="32"/>
      <c r="U109" s="32"/>
      <c r="V109" s="55"/>
      <c r="W109" s="32"/>
      <c r="X109" s="54"/>
      <c r="Y109" s="21" t="str">
        <f>IFERROR(VLOOKUP(May[[#This Row],[Drug Name2]],'Data Options'!$R$1:$S$100,2,FALSE), " ")</f>
        <v xml:space="preserve"> </v>
      </c>
      <c r="Z109" s="55"/>
      <c r="AA109" s="32"/>
      <c r="AB109" s="32"/>
      <c r="AC109" s="55"/>
      <c r="AD109" s="32"/>
      <c r="AE109" s="54"/>
      <c r="AF109" s="21" t="str">
        <f>IFERROR(VLOOKUP(May[[#This Row],[Drug Name3]],'Data Options'!$R$1:$S$100,2,FALSE), " ")</f>
        <v xml:space="preserve"> </v>
      </c>
      <c r="AG109" s="55"/>
      <c r="AH109" s="32"/>
      <c r="AI109" s="32"/>
      <c r="AJ109" s="55"/>
      <c r="AK109" s="32"/>
      <c r="AL109" s="32"/>
      <c r="AM109" s="32"/>
      <c r="AN109" s="32"/>
      <c r="AO109" s="32"/>
      <c r="AP109" s="31"/>
      <c r="AQ109" s="31"/>
      <c r="AR109" s="54"/>
      <c r="AS109" s="21" t="str">
        <f>IFERROR(VLOOKUP(May[[#This Row],[Drug Name4]],'Data Options'!$R$1:$S$100,2,FALSE), " ")</f>
        <v xml:space="preserve"> </v>
      </c>
      <c r="AT109" s="55"/>
      <c r="AU109" s="32"/>
      <c r="AV109" s="32"/>
      <c r="AW109" s="55"/>
      <c r="AX109" s="32"/>
      <c r="AY109" s="54"/>
      <c r="AZ109" s="21" t="str">
        <f>IFERROR(VLOOKUP(May[[#This Row],[Drug Name5]],'Data Options'!$R$1:$S$100,2,FALSE), " ")</f>
        <v xml:space="preserve"> </v>
      </c>
      <c r="BA109" s="55"/>
      <c r="BB109" s="32"/>
      <c r="BC109" s="32"/>
      <c r="BD109" s="55"/>
      <c r="BE109" s="32"/>
      <c r="BF109" s="54"/>
      <c r="BG109" s="21" t="str">
        <f>IFERROR(VLOOKUP(May[[#This Row],[Drug Name6]],'Data Options'!$R$1:$S$100,2,FALSE), " ")</f>
        <v xml:space="preserve"> </v>
      </c>
      <c r="BH109" s="55"/>
      <c r="BI109" s="32"/>
      <c r="BJ109" s="32"/>
      <c r="BK109" s="55"/>
      <c r="BL109" s="32"/>
      <c r="BM109" s="32"/>
      <c r="BN109" s="32"/>
      <c r="BO109" s="32"/>
      <c r="BP109" s="32"/>
      <c r="BQ109" s="31"/>
      <c r="BR109" s="31"/>
      <c r="BS109" s="54"/>
      <c r="BT109" s="21" t="str">
        <f>IFERROR(VLOOKUP(May[[#This Row],[Drug Name7]],'Data Options'!$R$1:$S$100,2,FALSE), " ")</f>
        <v xml:space="preserve"> </v>
      </c>
      <c r="BU109" s="55"/>
      <c r="BV109" s="32"/>
      <c r="BW109" s="32"/>
      <c r="BX109" s="55"/>
      <c r="BY109" s="32"/>
      <c r="BZ109" s="54"/>
      <c r="CA109" s="21" t="str">
        <f>IFERROR(VLOOKUP(May[[#This Row],[Drug Name8]],'Data Options'!$R$1:$S$100,2,FALSE), " ")</f>
        <v xml:space="preserve"> </v>
      </c>
      <c r="CB109" s="55"/>
      <c r="CC109" s="32"/>
      <c r="CD109" s="32"/>
      <c r="CE109" s="55"/>
      <c r="CF109" s="32"/>
      <c r="CG109" s="54"/>
      <c r="CH109" s="21" t="str">
        <f>IFERROR(VLOOKUP(May[[#This Row],[Drug Name9]],'Data Options'!$R$1:$S$100,2,FALSE), " ")</f>
        <v xml:space="preserve"> </v>
      </c>
      <c r="CI109" s="55"/>
      <c r="CJ109" s="32"/>
      <c r="CK109" s="32"/>
      <c r="CL109" s="55"/>
      <c r="CM109" s="32"/>
    </row>
    <row r="110" spans="1:91">
      <c r="A110" s="5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54"/>
      <c r="R110" s="21" t="str">
        <f>IFERROR(VLOOKUP(May[[#This Row],[Drug Name]],'Data Options'!$R$1:$S$100,2,FALSE), " ")</f>
        <v xml:space="preserve"> </v>
      </c>
      <c r="S110" s="55"/>
      <c r="T110" s="32"/>
      <c r="U110" s="32"/>
      <c r="V110" s="55"/>
      <c r="W110" s="32"/>
      <c r="X110" s="54"/>
      <c r="Y110" s="21" t="str">
        <f>IFERROR(VLOOKUP(May[[#This Row],[Drug Name2]],'Data Options'!$R$1:$S$100,2,FALSE), " ")</f>
        <v xml:space="preserve"> </v>
      </c>
      <c r="Z110" s="55"/>
      <c r="AA110" s="32"/>
      <c r="AB110" s="32"/>
      <c r="AC110" s="55"/>
      <c r="AD110" s="32"/>
      <c r="AE110" s="54"/>
      <c r="AF110" s="21" t="str">
        <f>IFERROR(VLOOKUP(May[[#This Row],[Drug Name3]],'Data Options'!$R$1:$S$100,2,FALSE), " ")</f>
        <v xml:space="preserve"> </v>
      </c>
      <c r="AG110" s="55"/>
      <c r="AH110" s="32"/>
      <c r="AI110" s="32"/>
      <c r="AJ110" s="55"/>
      <c r="AK110" s="32"/>
      <c r="AL110" s="32"/>
      <c r="AM110" s="32"/>
      <c r="AN110" s="32"/>
      <c r="AO110" s="32"/>
      <c r="AP110" s="31"/>
      <c r="AQ110" s="31"/>
      <c r="AR110" s="54"/>
      <c r="AS110" s="21" t="str">
        <f>IFERROR(VLOOKUP(May[[#This Row],[Drug Name4]],'Data Options'!$R$1:$S$100,2,FALSE), " ")</f>
        <v xml:space="preserve"> </v>
      </c>
      <c r="AT110" s="55"/>
      <c r="AU110" s="32"/>
      <c r="AV110" s="32"/>
      <c r="AW110" s="55"/>
      <c r="AX110" s="32"/>
      <c r="AY110" s="54"/>
      <c r="AZ110" s="21" t="str">
        <f>IFERROR(VLOOKUP(May[[#This Row],[Drug Name5]],'Data Options'!$R$1:$S$100,2,FALSE), " ")</f>
        <v xml:space="preserve"> </v>
      </c>
      <c r="BA110" s="55"/>
      <c r="BB110" s="32"/>
      <c r="BC110" s="32"/>
      <c r="BD110" s="55"/>
      <c r="BE110" s="32"/>
      <c r="BF110" s="54"/>
      <c r="BG110" s="21" t="str">
        <f>IFERROR(VLOOKUP(May[[#This Row],[Drug Name6]],'Data Options'!$R$1:$S$100,2,FALSE), " ")</f>
        <v xml:space="preserve"> </v>
      </c>
      <c r="BH110" s="55"/>
      <c r="BI110" s="32"/>
      <c r="BJ110" s="32"/>
      <c r="BK110" s="55"/>
      <c r="BL110" s="32"/>
      <c r="BM110" s="32"/>
      <c r="BN110" s="32"/>
      <c r="BO110" s="32"/>
      <c r="BP110" s="32"/>
      <c r="BQ110" s="31"/>
      <c r="BR110" s="31"/>
      <c r="BS110" s="54"/>
      <c r="BT110" s="21" t="str">
        <f>IFERROR(VLOOKUP(May[[#This Row],[Drug Name7]],'Data Options'!$R$1:$S$100,2,FALSE), " ")</f>
        <v xml:space="preserve"> </v>
      </c>
      <c r="BU110" s="55"/>
      <c r="BV110" s="32"/>
      <c r="BW110" s="32"/>
      <c r="BX110" s="55"/>
      <c r="BY110" s="32"/>
      <c r="BZ110" s="54"/>
      <c r="CA110" s="21" t="str">
        <f>IFERROR(VLOOKUP(May[[#This Row],[Drug Name8]],'Data Options'!$R$1:$S$100,2,FALSE), " ")</f>
        <v xml:space="preserve"> </v>
      </c>
      <c r="CB110" s="55"/>
      <c r="CC110" s="32"/>
      <c r="CD110" s="32"/>
      <c r="CE110" s="55"/>
      <c r="CF110" s="32"/>
      <c r="CG110" s="54"/>
      <c r="CH110" s="21" t="str">
        <f>IFERROR(VLOOKUP(May[[#This Row],[Drug Name9]],'Data Options'!$R$1:$S$100,2,FALSE), " ")</f>
        <v xml:space="preserve"> </v>
      </c>
      <c r="CI110" s="55"/>
      <c r="CJ110" s="32"/>
      <c r="CK110" s="32"/>
      <c r="CL110" s="55"/>
      <c r="CM110" s="32"/>
    </row>
    <row r="111" spans="1:91">
      <c r="A111" s="5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1"/>
      <c r="P111" s="31"/>
      <c r="Q111" s="54"/>
      <c r="R111" s="21" t="str">
        <f>IFERROR(VLOOKUP(May[[#This Row],[Drug Name]],'Data Options'!$R$1:$S$100,2,FALSE), " ")</f>
        <v xml:space="preserve"> </v>
      </c>
      <c r="S111" s="55"/>
      <c r="T111" s="32"/>
      <c r="U111" s="32"/>
      <c r="V111" s="55"/>
      <c r="W111" s="32"/>
      <c r="X111" s="54"/>
      <c r="Y111" s="21" t="str">
        <f>IFERROR(VLOOKUP(May[[#This Row],[Drug Name2]],'Data Options'!$R$1:$S$100,2,FALSE), " ")</f>
        <v xml:space="preserve"> </v>
      </c>
      <c r="Z111" s="55"/>
      <c r="AA111" s="32"/>
      <c r="AB111" s="32"/>
      <c r="AC111" s="55"/>
      <c r="AD111" s="32"/>
      <c r="AE111" s="54"/>
      <c r="AF111" s="21" t="str">
        <f>IFERROR(VLOOKUP(May[[#This Row],[Drug Name3]],'Data Options'!$R$1:$S$100,2,FALSE), " ")</f>
        <v xml:space="preserve"> </v>
      </c>
      <c r="AG111" s="55"/>
      <c r="AH111" s="32"/>
      <c r="AI111" s="32"/>
      <c r="AJ111" s="55"/>
      <c r="AK111" s="32"/>
      <c r="AL111" s="32"/>
      <c r="AM111" s="32"/>
      <c r="AN111" s="32"/>
      <c r="AO111" s="32"/>
      <c r="AP111" s="31"/>
      <c r="AQ111" s="31"/>
      <c r="AR111" s="54"/>
      <c r="AS111" s="21" t="str">
        <f>IFERROR(VLOOKUP(May[[#This Row],[Drug Name4]],'Data Options'!$R$1:$S$100,2,FALSE), " ")</f>
        <v xml:space="preserve"> </v>
      </c>
      <c r="AT111" s="55"/>
      <c r="AU111" s="32"/>
      <c r="AV111" s="32"/>
      <c r="AW111" s="55"/>
      <c r="AX111" s="32"/>
      <c r="AY111" s="54"/>
      <c r="AZ111" s="21" t="str">
        <f>IFERROR(VLOOKUP(May[[#This Row],[Drug Name5]],'Data Options'!$R$1:$S$100,2,FALSE), " ")</f>
        <v xml:space="preserve"> </v>
      </c>
      <c r="BA111" s="55"/>
      <c r="BB111" s="32"/>
      <c r="BC111" s="32"/>
      <c r="BD111" s="55"/>
      <c r="BE111" s="32"/>
      <c r="BF111" s="54"/>
      <c r="BG111" s="21" t="str">
        <f>IFERROR(VLOOKUP(May[[#This Row],[Drug Name6]],'Data Options'!$R$1:$S$100,2,FALSE), " ")</f>
        <v xml:space="preserve"> </v>
      </c>
      <c r="BH111" s="55"/>
      <c r="BI111" s="32"/>
      <c r="BJ111" s="32"/>
      <c r="BK111" s="55"/>
      <c r="BL111" s="32"/>
      <c r="BM111" s="32"/>
      <c r="BN111" s="32"/>
      <c r="BO111" s="32"/>
      <c r="BP111" s="32"/>
      <c r="BQ111" s="31"/>
      <c r="BR111" s="31"/>
      <c r="BS111" s="54"/>
      <c r="BT111" s="21" t="str">
        <f>IFERROR(VLOOKUP(May[[#This Row],[Drug Name7]],'Data Options'!$R$1:$S$100,2,FALSE), " ")</f>
        <v xml:space="preserve"> </v>
      </c>
      <c r="BU111" s="55"/>
      <c r="BV111" s="32"/>
      <c r="BW111" s="32"/>
      <c r="BX111" s="55"/>
      <c r="BY111" s="32"/>
      <c r="BZ111" s="54"/>
      <c r="CA111" s="21" t="str">
        <f>IFERROR(VLOOKUP(May[[#This Row],[Drug Name8]],'Data Options'!$R$1:$S$100,2,FALSE), " ")</f>
        <v xml:space="preserve"> </v>
      </c>
      <c r="CB111" s="55"/>
      <c r="CC111" s="32"/>
      <c r="CD111" s="32"/>
      <c r="CE111" s="55"/>
      <c r="CF111" s="32"/>
      <c r="CG111" s="54"/>
      <c r="CH111" s="21" t="str">
        <f>IFERROR(VLOOKUP(May[[#This Row],[Drug Name9]],'Data Options'!$R$1:$S$100,2,FALSE), " ")</f>
        <v xml:space="preserve"> </v>
      </c>
      <c r="CI111" s="55"/>
      <c r="CJ111" s="32"/>
      <c r="CK111" s="32"/>
      <c r="CL111" s="55"/>
      <c r="CM111" s="32"/>
    </row>
    <row r="112" spans="1:91">
      <c r="A112" s="5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1"/>
      <c r="P112" s="31"/>
      <c r="Q112" s="54"/>
      <c r="R112" s="21" t="str">
        <f>IFERROR(VLOOKUP(May[[#This Row],[Drug Name]],'Data Options'!$R$1:$S$100,2,FALSE), " ")</f>
        <v xml:space="preserve"> </v>
      </c>
      <c r="S112" s="55"/>
      <c r="T112" s="32"/>
      <c r="U112" s="32"/>
      <c r="V112" s="55"/>
      <c r="W112" s="32"/>
      <c r="X112" s="54"/>
      <c r="Y112" s="21" t="str">
        <f>IFERROR(VLOOKUP(May[[#This Row],[Drug Name2]],'Data Options'!$R$1:$S$100,2,FALSE), " ")</f>
        <v xml:space="preserve"> </v>
      </c>
      <c r="Z112" s="55"/>
      <c r="AA112" s="32"/>
      <c r="AB112" s="32"/>
      <c r="AC112" s="55"/>
      <c r="AD112" s="32"/>
      <c r="AE112" s="54"/>
      <c r="AF112" s="21" t="str">
        <f>IFERROR(VLOOKUP(May[[#This Row],[Drug Name3]],'Data Options'!$R$1:$S$100,2,FALSE), " ")</f>
        <v xml:space="preserve"> </v>
      </c>
      <c r="AG112" s="55"/>
      <c r="AH112" s="32"/>
      <c r="AI112" s="32"/>
      <c r="AJ112" s="55"/>
      <c r="AK112" s="32"/>
      <c r="AL112" s="32"/>
      <c r="AM112" s="32"/>
      <c r="AN112" s="32"/>
      <c r="AO112" s="32"/>
      <c r="AP112" s="31"/>
      <c r="AQ112" s="31"/>
      <c r="AR112" s="54"/>
      <c r="AS112" s="21" t="str">
        <f>IFERROR(VLOOKUP(May[[#This Row],[Drug Name4]],'Data Options'!$R$1:$S$100,2,FALSE), " ")</f>
        <v xml:space="preserve"> </v>
      </c>
      <c r="AT112" s="55"/>
      <c r="AU112" s="32"/>
      <c r="AV112" s="32"/>
      <c r="AW112" s="55"/>
      <c r="AX112" s="32"/>
      <c r="AY112" s="54"/>
      <c r="AZ112" s="21" t="str">
        <f>IFERROR(VLOOKUP(May[[#This Row],[Drug Name5]],'Data Options'!$R$1:$S$100,2,FALSE), " ")</f>
        <v xml:space="preserve"> </v>
      </c>
      <c r="BA112" s="55"/>
      <c r="BB112" s="32"/>
      <c r="BC112" s="32"/>
      <c r="BD112" s="55"/>
      <c r="BE112" s="32"/>
      <c r="BF112" s="54"/>
      <c r="BG112" s="21" t="str">
        <f>IFERROR(VLOOKUP(May[[#This Row],[Drug Name6]],'Data Options'!$R$1:$S$100,2,FALSE), " ")</f>
        <v xml:space="preserve"> </v>
      </c>
      <c r="BH112" s="55"/>
      <c r="BI112" s="32"/>
      <c r="BJ112" s="32"/>
      <c r="BK112" s="55"/>
      <c r="BL112" s="32"/>
      <c r="BM112" s="32"/>
      <c r="BN112" s="32"/>
      <c r="BO112" s="32"/>
      <c r="BP112" s="32"/>
      <c r="BQ112" s="31"/>
      <c r="BR112" s="31"/>
      <c r="BS112" s="54"/>
      <c r="BT112" s="21" t="str">
        <f>IFERROR(VLOOKUP(May[[#This Row],[Drug Name7]],'Data Options'!$R$1:$S$100,2,FALSE), " ")</f>
        <v xml:space="preserve"> </v>
      </c>
      <c r="BU112" s="55"/>
      <c r="BV112" s="32"/>
      <c r="BW112" s="32"/>
      <c r="BX112" s="55"/>
      <c r="BY112" s="32"/>
      <c r="BZ112" s="54"/>
      <c r="CA112" s="21" t="str">
        <f>IFERROR(VLOOKUP(May[[#This Row],[Drug Name8]],'Data Options'!$R$1:$S$100,2,FALSE), " ")</f>
        <v xml:space="preserve"> </v>
      </c>
      <c r="CB112" s="55"/>
      <c r="CC112" s="32"/>
      <c r="CD112" s="32"/>
      <c r="CE112" s="55"/>
      <c r="CF112" s="32"/>
      <c r="CG112" s="54"/>
      <c r="CH112" s="21" t="str">
        <f>IFERROR(VLOOKUP(May[[#This Row],[Drug Name9]],'Data Options'!$R$1:$S$100,2,FALSE), " ")</f>
        <v xml:space="preserve"> </v>
      </c>
      <c r="CI112" s="55"/>
      <c r="CJ112" s="32"/>
      <c r="CK112" s="32"/>
      <c r="CL112" s="55"/>
      <c r="CM112" s="32"/>
    </row>
    <row r="113" spans="1:91">
      <c r="A113" s="5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1"/>
      <c r="P113" s="31"/>
      <c r="Q113" s="54"/>
      <c r="R113" s="21" t="str">
        <f>IFERROR(VLOOKUP(May[[#This Row],[Drug Name]],'Data Options'!$R$1:$S$100,2,FALSE), " ")</f>
        <v xml:space="preserve"> </v>
      </c>
      <c r="S113" s="55"/>
      <c r="T113" s="32"/>
      <c r="U113" s="32"/>
      <c r="V113" s="55"/>
      <c r="W113" s="32"/>
      <c r="X113" s="54"/>
      <c r="Y113" s="21" t="str">
        <f>IFERROR(VLOOKUP(May[[#This Row],[Drug Name2]],'Data Options'!$R$1:$S$100,2,FALSE), " ")</f>
        <v xml:space="preserve"> </v>
      </c>
      <c r="Z113" s="55"/>
      <c r="AA113" s="32"/>
      <c r="AB113" s="32"/>
      <c r="AC113" s="55"/>
      <c r="AD113" s="32"/>
      <c r="AE113" s="54"/>
      <c r="AF113" s="21" t="str">
        <f>IFERROR(VLOOKUP(May[[#This Row],[Drug Name3]],'Data Options'!$R$1:$S$100,2,FALSE), " ")</f>
        <v xml:space="preserve"> </v>
      </c>
      <c r="AG113" s="55"/>
      <c r="AH113" s="32"/>
      <c r="AI113" s="32"/>
      <c r="AJ113" s="55"/>
      <c r="AK113" s="32"/>
      <c r="AL113" s="32"/>
      <c r="AM113" s="32"/>
      <c r="AN113" s="32"/>
      <c r="AO113" s="32"/>
      <c r="AP113" s="31"/>
      <c r="AQ113" s="31"/>
      <c r="AR113" s="54"/>
      <c r="AS113" s="21" t="str">
        <f>IFERROR(VLOOKUP(May[[#This Row],[Drug Name4]],'Data Options'!$R$1:$S$100,2,FALSE), " ")</f>
        <v xml:space="preserve"> </v>
      </c>
      <c r="AT113" s="55"/>
      <c r="AU113" s="32"/>
      <c r="AV113" s="32"/>
      <c r="AW113" s="55"/>
      <c r="AX113" s="32"/>
      <c r="AY113" s="54"/>
      <c r="AZ113" s="21" t="str">
        <f>IFERROR(VLOOKUP(May[[#This Row],[Drug Name5]],'Data Options'!$R$1:$S$100,2,FALSE), " ")</f>
        <v xml:space="preserve"> </v>
      </c>
      <c r="BA113" s="55"/>
      <c r="BB113" s="32"/>
      <c r="BC113" s="32"/>
      <c r="BD113" s="55"/>
      <c r="BE113" s="32"/>
      <c r="BF113" s="54"/>
      <c r="BG113" s="21" t="str">
        <f>IFERROR(VLOOKUP(May[[#This Row],[Drug Name6]],'Data Options'!$R$1:$S$100,2,FALSE), " ")</f>
        <v xml:space="preserve"> </v>
      </c>
      <c r="BH113" s="55"/>
      <c r="BI113" s="32"/>
      <c r="BJ113" s="32"/>
      <c r="BK113" s="55"/>
      <c r="BL113" s="32"/>
      <c r="BM113" s="32"/>
      <c r="BN113" s="32"/>
      <c r="BO113" s="32"/>
      <c r="BP113" s="32"/>
      <c r="BQ113" s="31"/>
      <c r="BR113" s="31"/>
      <c r="BS113" s="54"/>
      <c r="BT113" s="21" t="str">
        <f>IFERROR(VLOOKUP(May[[#This Row],[Drug Name7]],'Data Options'!$R$1:$S$100,2,FALSE), " ")</f>
        <v xml:space="preserve"> </v>
      </c>
      <c r="BU113" s="55"/>
      <c r="BV113" s="32"/>
      <c r="BW113" s="32"/>
      <c r="BX113" s="55"/>
      <c r="BY113" s="32"/>
      <c r="BZ113" s="54"/>
      <c r="CA113" s="21" t="str">
        <f>IFERROR(VLOOKUP(May[[#This Row],[Drug Name8]],'Data Options'!$R$1:$S$100,2,FALSE), " ")</f>
        <v xml:space="preserve"> </v>
      </c>
      <c r="CB113" s="55"/>
      <c r="CC113" s="32"/>
      <c r="CD113" s="32"/>
      <c r="CE113" s="55"/>
      <c r="CF113" s="32"/>
      <c r="CG113" s="54"/>
      <c r="CH113" s="21" t="str">
        <f>IFERROR(VLOOKUP(May[[#This Row],[Drug Name9]],'Data Options'!$R$1:$S$100,2,FALSE), " ")</f>
        <v xml:space="preserve"> </v>
      </c>
      <c r="CI113" s="55"/>
      <c r="CJ113" s="32"/>
      <c r="CK113" s="32"/>
      <c r="CL113" s="55"/>
      <c r="CM113" s="32"/>
    </row>
    <row r="114" spans="1:91">
      <c r="A114" s="5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1"/>
      <c r="P114" s="31"/>
      <c r="Q114" s="54"/>
      <c r="R114" s="21" t="str">
        <f>IFERROR(VLOOKUP(May[[#This Row],[Drug Name]],'Data Options'!$R$1:$S$100,2,FALSE), " ")</f>
        <v xml:space="preserve"> </v>
      </c>
      <c r="S114" s="55"/>
      <c r="T114" s="32"/>
      <c r="U114" s="32"/>
      <c r="V114" s="55"/>
      <c r="W114" s="32"/>
      <c r="X114" s="54"/>
      <c r="Y114" s="21" t="str">
        <f>IFERROR(VLOOKUP(May[[#This Row],[Drug Name2]],'Data Options'!$R$1:$S$100,2,FALSE), " ")</f>
        <v xml:space="preserve"> </v>
      </c>
      <c r="Z114" s="55"/>
      <c r="AA114" s="32"/>
      <c r="AB114" s="32"/>
      <c r="AC114" s="55"/>
      <c r="AD114" s="32"/>
      <c r="AE114" s="54"/>
      <c r="AF114" s="21" t="str">
        <f>IFERROR(VLOOKUP(May[[#This Row],[Drug Name3]],'Data Options'!$R$1:$S$100,2,FALSE), " ")</f>
        <v xml:space="preserve"> </v>
      </c>
      <c r="AG114" s="55"/>
      <c r="AH114" s="32"/>
      <c r="AI114" s="32"/>
      <c r="AJ114" s="55"/>
      <c r="AK114" s="32"/>
      <c r="AL114" s="32"/>
      <c r="AM114" s="32"/>
      <c r="AN114" s="32"/>
      <c r="AO114" s="32"/>
      <c r="AP114" s="31"/>
      <c r="AQ114" s="31"/>
      <c r="AR114" s="54"/>
      <c r="AS114" s="21" t="str">
        <f>IFERROR(VLOOKUP(May[[#This Row],[Drug Name4]],'Data Options'!$R$1:$S$100,2,FALSE), " ")</f>
        <v xml:space="preserve"> </v>
      </c>
      <c r="AT114" s="55"/>
      <c r="AU114" s="32"/>
      <c r="AV114" s="32"/>
      <c r="AW114" s="55"/>
      <c r="AX114" s="32"/>
      <c r="AY114" s="54"/>
      <c r="AZ114" s="21" t="str">
        <f>IFERROR(VLOOKUP(May[[#This Row],[Drug Name5]],'Data Options'!$R$1:$S$100,2,FALSE), " ")</f>
        <v xml:space="preserve"> </v>
      </c>
      <c r="BA114" s="55"/>
      <c r="BB114" s="32"/>
      <c r="BC114" s="32"/>
      <c r="BD114" s="55"/>
      <c r="BE114" s="32"/>
      <c r="BF114" s="54"/>
      <c r="BG114" s="21" t="str">
        <f>IFERROR(VLOOKUP(May[[#This Row],[Drug Name6]],'Data Options'!$R$1:$S$100,2,FALSE), " ")</f>
        <v xml:space="preserve"> </v>
      </c>
      <c r="BH114" s="55"/>
      <c r="BI114" s="32"/>
      <c r="BJ114" s="32"/>
      <c r="BK114" s="55"/>
      <c r="BL114" s="32"/>
      <c r="BM114" s="32"/>
      <c r="BN114" s="32"/>
      <c r="BO114" s="32"/>
      <c r="BP114" s="32"/>
      <c r="BQ114" s="31"/>
      <c r="BR114" s="31"/>
      <c r="BS114" s="54"/>
      <c r="BT114" s="21" t="str">
        <f>IFERROR(VLOOKUP(May[[#This Row],[Drug Name7]],'Data Options'!$R$1:$S$100,2,FALSE), " ")</f>
        <v xml:space="preserve"> </v>
      </c>
      <c r="BU114" s="55"/>
      <c r="BV114" s="32"/>
      <c r="BW114" s="32"/>
      <c r="BX114" s="55"/>
      <c r="BY114" s="32"/>
      <c r="BZ114" s="54"/>
      <c r="CA114" s="21" t="str">
        <f>IFERROR(VLOOKUP(May[[#This Row],[Drug Name8]],'Data Options'!$R$1:$S$100,2,FALSE), " ")</f>
        <v xml:space="preserve"> </v>
      </c>
      <c r="CB114" s="55"/>
      <c r="CC114" s="32"/>
      <c r="CD114" s="32"/>
      <c r="CE114" s="55"/>
      <c r="CF114" s="32"/>
      <c r="CG114" s="54"/>
      <c r="CH114" s="21" t="str">
        <f>IFERROR(VLOOKUP(May[[#This Row],[Drug Name9]],'Data Options'!$R$1:$S$100,2,FALSE), " ")</f>
        <v xml:space="preserve"> </v>
      </c>
      <c r="CI114" s="55"/>
      <c r="CJ114" s="32"/>
      <c r="CK114" s="32"/>
      <c r="CL114" s="55"/>
      <c r="CM114" s="32"/>
    </row>
    <row r="115" spans="1:91">
      <c r="A115" s="5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1"/>
      <c r="P115" s="31"/>
      <c r="Q115" s="54"/>
      <c r="R115" s="21" t="str">
        <f>IFERROR(VLOOKUP(May[[#This Row],[Drug Name]],'Data Options'!$R$1:$S$100,2,FALSE), " ")</f>
        <v xml:space="preserve"> </v>
      </c>
      <c r="S115" s="55"/>
      <c r="T115" s="32"/>
      <c r="U115" s="32"/>
      <c r="V115" s="55"/>
      <c r="W115" s="32"/>
      <c r="X115" s="54"/>
      <c r="Y115" s="21" t="str">
        <f>IFERROR(VLOOKUP(May[[#This Row],[Drug Name2]],'Data Options'!$R$1:$S$100,2,FALSE), " ")</f>
        <v xml:space="preserve"> </v>
      </c>
      <c r="Z115" s="55"/>
      <c r="AA115" s="32"/>
      <c r="AB115" s="32"/>
      <c r="AC115" s="55"/>
      <c r="AD115" s="32"/>
      <c r="AE115" s="54"/>
      <c r="AF115" s="21" t="str">
        <f>IFERROR(VLOOKUP(May[[#This Row],[Drug Name3]],'Data Options'!$R$1:$S$100,2,FALSE), " ")</f>
        <v xml:space="preserve"> </v>
      </c>
      <c r="AG115" s="55"/>
      <c r="AH115" s="32"/>
      <c r="AI115" s="32"/>
      <c r="AJ115" s="55"/>
      <c r="AK115" s="32"/>
      <c r="AL115" s="32"/>
      <c r="AM115" s="32"/>
      <c r="AN115" s="32"/>
      <c r="AO115" s="32"/>
      <c r="AP115" s="31"/>
      <c r="AQ115" s="31"/>
      <c r="AR115" s="54"/>
      <c r="AS115" s="21" t="str">
        <f>IFERROR(VLOOKUP(May[[#This Row],[Drug Name4]],'Data Options'!$R$1:$S$100,2,FALSE), " ")</f>
        <v xml:space="preserve"> </v>
      </c>
      <c r="AT115" s="55"/>
      <c r="AU115" s="32"/>
      <c r="AV115" s="32"/>
      <c r="AW115" s="55"/>
      <c r="AX115" s="32"/>
      <c r="AY115" s="54"/>
      <c r="AZ115" s="21" t="str">
        <f>IFERROR(VLOOKUP(May[[#This Row],[Drug Name5]],'Data Options'!$R$1:$S$100,2,FALSE), " ")</f>
        <v xml:space="preserve"> </v>
      </c>
      <c r="BA115" s="55"/>
      <c r="BB115" s="32"/>
      <c r="BC115" s="32"/>
      <c r="BD115" s="55"/>
      <c r="BE115" s="32"/>
      <c r="BF115" s="54"/>
      <c r="BG115" s="21" t="str">
        <f>IFERROR(VLOOKUP(May[[#This Row],[Drug Name6]],'Data Options'!$R$1:$S$100,2,FALSE), " ")</f>
        <v xml:space="preserve"> </v>
      </c>
      <c r="BH115" s="55"/>
      <c r="BI115" s="32"/>
      <c r="BJ115" s="32"/>
      <c r="BK115" s="55"/>
      <c r="BL115" s="32"/>
      <c r="BM115" s="32"/>
      <c r="BN115" s="32"/>
      <c r="BO115" s="32"/>
      <c r="BP115" s="32"/>
      <c r="BQ115" s="31"/>
      <c r="BR115" s="31"/>
      <c r="BS115" s="54"/>
      <c r="BT115" s="21" t="str">
        <f>IFERROR(VLOOKUP(May[[#This Row],[Drug Name7]],'Data Options'!$R$1:$S$100,2,FALSE), " ")</f>
        <v xml:space="preserve"> </v>
      </c>
      <c r="BU115" s="55"/>
      <c r="BV115" s="32"/>
      <c r="BW115" s="32"/>
      <c r="BX115" s="55"/>
      <c r="BY115" s="32"/>
      <c r="BZ115" s="54"/>
      <c r="CA115" s="21" t="str">
        <f>IFERROR(VLOOKUP(May[[#This Row],[Drug Name8]],'Data Options'!$R$1:$S$100,2,FALSE), " ")</f>
        <v xml:space="preserve"> </v>
      </c>
      <c r="CB115" s="55"/>
      <c r="CC115" s="32"/>
      <c r="CD115" s="32"/>
      <c r="CE115" s="55"/>
      <c r="CF115" s="32"/>
      <c r="CG115" s="54"/>
      <c r="CH115" s="21" t="str">
        <f>IFERROR(VLOOKUP(May[[#This Row],[Drug Name9]],'Data Options'!$R$1:$S$100,2,FALSE), " ")</f>
        <v xml:space="preserve"> </v>
      </c>
      <c r="CI115" s="55"/>
      <c r="CJ115" s="32"/>
      <c r="CK115" s="32"/>
      <c r="CL115" s="55"/>
      <c r="CM115" s="32"/>
    </row>
    <row r="116" spans="1:91">
      <c r="A116" s="5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1"/>
      <c r="P116" s="31"/>
      <c r="Q116" s="54"/>
      <c r="R116" s="21" t="str">
        <f>IFERROR(VLOOKUP(May[[#This Row],[Drug Name]],'Data Options'!$R$1:$S$100,2,FALSE), " ")</f>
        <v xml:space="preserve"> </v>
      </c>
      <c r="S116" s="55"/>
      <c r="T116" s="32"/>
      <c r="U116" s="32"/>
      <c r="V116" s="55"/>
      <c r="W116" s="32"/>
      <c r="X116" s="54"/>
      <c r="Y116" s="21" t="str">
        <f>IFERROR(VLOOKUP(May[[#This Row],[Drug Name2]],'Data Options'!$R$1:$S$100,2,FALSE), " ")</f>
        <v xml:space="preserve"> </v>
      </c>
      <c r="Z116" s="55"/>
      <c r="AA116" s="32"/>
      <c r="AB116" s="32"/>
      <c r="AC116" s="55"/>
      <c r="AD116" s="32"/>
      <c r="AE116" s="54"/>
      <c r="AF116" s="21" t="str">
        <f>IFERROR(VLOOKUP(May[[#This Row],[Drug Name3]],'Data Options'!$R$1:$S$100,2,FALSE), " ")</f>
        <v xml:space="preserve"> </v>
      </c>
      <c r="AG116" s="55"/>
      <c r="AH116" s="32"/>
      <c r="AI116" s="32"/>
      <c r="AJ116" s="55"/>
      <c r="AK116" s="32"/>
      <c r="AL116" s="32"/>
      <c r="AM116" s="32"/>
      <c r="AN116" s="32"/>
      <c r="AO116" s="32"/>
      <c r="AP116" s="31"/>
      <c r="AQ116" s="31"/>
      <c r="AR116" s="54"/>
      <c r="AS116" s="21" t="str">
        <f>IFERROR(VLOOKUP(May[[#This Row],[Drug Name4]],'Data Options'!$R$1:$S$100,2,FALSE), " ")</f>
        <v xml:space="preserve"> </v>
      </c>
      <c r="AT116" s="55"/>
      <c r="AU116" s="32"/>
      <c r="AV116" s="32"/>
      <c r="AW116" s="55"/>
      <c r="AX116" s="32"/>
      <c r="AY116" s="54"/>
      <c r="AZ116" s="21" t="str">
        <f>IFERROR(VLOOKUP(May[[#This Row],[Drug Name5]],'Data Options'!$R$1:$S$100,2,FALSE), " ")</f>
        <v xml:space="preserve"> </v>
      </c>
      <c r="BA116" s="55"/>
      <c r="BB116" s="32"/>
      <c r="BC116" s="32"/>
      <c r="BD116" s="55"/>
      <c r="BE116" s="32"/>
      <c r="BF116" s="54"/>
      <c r="BG116" s="21" t="str">
        <f>IFERROR(VLOOKUP(May[[#This Row],[Drug Name6]],'Data Options'!$R$1:$S$100,2,FALSE), " ")</f>
        <v xml:space="preserve"> </v>
      </c>
      <c r="BH116" s="55"/>
      <c r="BI116" s="32"/>
      <c r="BJ116" s="32"/>
      <c r="BK116" s="55"/>
      <c r="BL116" s="32"/>
      <c r="BM116" s="32"/>
      <c r="BN116" s="32"/>
      <c r="BO116" s="32"/>
      <c r="BP116" s="32"/>
      <c r="BQ116" s="31"/>
      <c r="BR116" s="31"/>
      <c r="BS116" s="54"/>
      <c r="BT116" s="21" t="str">
        <f>IFERROR(VLOOKUP(May[[#This Row],[Drug Name7]],'Data Options'!$R$1:$S$100,2,FALSE), " ")</f>
        <v xml:space="preserve"> </v>
      </c>
      <c r="BU116" s="55"/>
      <c r="BV116" s="32"/>
      <c r="BW116" s="32"/>
      <c r="BX116" s="55"/>
      <c r="BY116" s="32"/>
      <c r="BZ116" s="54"/>
      <c r="CA116" s="21" t="str">
        <f>IFERROR(VLOOKUP(May[[#This Row],[Drug Name8]],'Data Options'!$R$1:$S$100,2,FALSE), " ")</f>
        <v xml:space="preserve"> </v>
      </c>
      <c r="CB116" s="55"/>
      <c r="CC116" s="32"/>
      <c r="CD116" s="32"/>
      <c r="CE116" s="55"/>
      <c r="CF116" s="32"/>
      <c r="CG116" s="54"/>
      <c r="CH116" s="21" t="str">
        <f>IFERROR(VLOOKUP(May[[#This Row],[Drug Name9]],'Data Options'!$R$1:$S$100,2,FALSE), " ")</f>
        <v xml:space="preserve"> </v>
      </c>
      <c r="CI116" s="55"/>
      <c r="CJ116" s="32"/>
      <c r="CK116" s="32"/>
      <c r="CL116" s="55"/>
      <c r="CM116" s="32"/>
    </row>
    <row r="117" spans="1:91">
      <c r="A117" s="5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1"/>
      <c r="P117" s="31"/>
      <c r="Q117" s="54"/>
      <c r="R117" s="21" t="str">
        <f>IFERROR(VLOOKUP(May[[#This Row],[Drug Name]],'Data Options'!$R$1:$S$100,2,FALSE), " ")</f>
        <v xml:space="preserve"> </v>
      </c>
      <c r="S117" s="55"/>
      <c r="T117" s="32"/>
      <c r="U117" s="32"/>
      <c r="V117" s="55"/>
      <c r="W117" s="32"/>
      <c r="X117" s="54"/>
      <c r="Y117" s="21" t="str">
        <f>IFERROR(VLOOKUP(May[[#This Row],[Drug Name2]],'Data Options'!$R$1:$S$100,2,FALSE), " ")</f>
        <v xml:space="preserve"> </v>
      </c>
      <c r="Z117" s="55"/>
      <c r="AA117" s="32"/>
      <c r="AB117" s="32"/>
      <c r="AC117" s="55"/>
      <c r="AD117" s="32"/>
      <c r="AE117" s="54"/>
      <c r="AF117" s="21" t="str">
        <f>IFERROR(VLOOKUP(May[[#This Row],[Drug Name3]],'Data Options'!$R$1:$S$100,2,FALSE), " ")</f>
        <v xml:space="preserve"> </v>
      </c>
      <c r="AG117" s="55"/>
      <c r="AH117" s="32"/>
      <c r="AI117" s="32"/>
      <c r="AJ117" s="55"/>
      <c r="AK117" s="32"/>
      <c r="AL117" s="32"/>
      <c r="AM117" s="32"/>
      <c r="AN117" s="32"/>
      <c r="AO117" s="32"/>
      <c r="AP117" s="31"/>
      <c r="AQ117" s="31"/>
      <c r="AR117" s="54"/>
      <c r="AS117" s="21" t="str">
        <f>IFERROR(VLOOKUP(May[[#This Row],[Drug Name4]],'Data Options'!$R$1:$S$100,2,FALSE), " ")</f>
        <v xml:space="preserve"> </v>
      </c>
      <c r="AT117" s="55"/>
      <c r="AU117" s="32"/>
      <c r="AV117" s="32"/>
      <c r="AW117" s="55"/>
      <c r="AX117" s="32"/>
      <c r="AY117" s="54"/>
      <c r="AZ117" s="21" t="str">
        <f>IFERROR(VLOOKUP(May[[#This Row],[Drug Name5]],'Data Options'!$R$1:$S$100,2,FALSE), " ")</f>
        <v xml:space="preserve"> </v>
      </c>
      <c r="BA117" s="55"/>
      <c r="BB117" s="32"/>
      <c r="BC117" s="32"/>
      <c r="BD117" s="55"/>
      <c r="BE117" s="32"/>
      <c r="BF117" s="54"/>
      <c r="BG117" s="21" t="str">
        <f>IFERROR(VLOOKUP(May[[#This Row],[Drug Name6]],'Data Options'!$R$1:$S$100,2,FALSE), " ")</f>
        <v xml:space="preserve"> </v>
      </c>
      <c r="BH117" s="55"/>
      <c r="BI117" s="32"/>
      <c r="BJ117" s="32"/>
      <c r="BK117" s="55"/>
      <c r="BL117" s="32"/>
      <c r="BM117" s="32"/>
      <c r="BN117" s="32"/>
      <c r="BO117" s="32"/>
      <c r="BP117" s="32"/>
      <c r="BQ117" s="31"/>
      <c r="BR117" s="31"/>
      <c r="BS117" s="54"/>
      <c r="BT117" s="21" t="str">
        <f>IFERROR(VLOOKUP(May[[#This Row],[Drug Name7]],'Data Options'!$R$1:$S$100,2,FALSE), " ")</f>
        <v xml:space="preserve"> </v>
      </c>
      <c r="BU117" s="55"/>
      <c r="BV117" s="32"/>
      <c r="BW117" s="32"/>
      <c r="BX117" s="55"/>
      <c r="BY117" s="32"/>
      <c r="BZ117" s="54"/>
      <c r="CA117" s="21" t="str">
        <f>IFERROR(VLOOKUP(May[[#This Row],[Drug Name8]],'Data Options'!$R$1:$S$100,2,FALSE), " ")</f>
        <v xml:space="preserve"> </v>
      </c>
      <c r="CB117" s="55"/>
      <c r="CC117" s="32"/>
      <c r="CD117" s="32"/>
      <c r="CE117" s="55"/>
      <c r="CF117" s="32"/>
      <c r="CG117" s="54"/>
      <c r="CH117" s="21" t="str">
        <f>IFERROR(VLOOKUP(May[[#This Row],[Drug Name9]],'Data Options'!$R$1:$S$100,2,FALSE), " ")</f>
        <v xml:space="preserve"> </v>
      </c>
      <c r="CI117" s="55"/>
      <c r="CJ117" s="32"/>
      <c r="CK117" s="32"/>
      <c r="CL117" s="55"/>
      <c r="CM117" s="32"/>
    </row>
    <row r="118" spans="1:91">
      <c r="A118" s="5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/>
      <c r="P118" s="31"/>
      <c r="Q118" s="54"/>
      <c r="R118" s="21" t="str">
        <f>IFERROR(VLOOKUP(May[[#This Row],[Drug Name]],'Data Options'!$R$1:$S$100,2,FALSE), " ")</f>
        <v xml:space="preserve"> </v>
      </c>
      <c r="S118" s="55"/>
      <c r="T118" s="32"/>
      <c r="U118" s="32"/>
      <c r="V118" s="55"/>
      <c r="W118" s="32"/>
      <c r="X118" s="54"/>
      <c r="Y118" s="21" t="str">
        <f>IFERROR(VLOOKUP(May[[#This Row],[Drug Name2]],'Data Options'!$R$1:$S$100,2,FALSE), " ")</f>
        <v xml:space="preserve"> </v>
      </c>
      <c r="Z118" s="55"/>
      <c r="AA118" s="32"/>
      <c r="AB118" s="32"/>
      <c r="AC118" s="55"/>
      <c r="AD118" s="32"/>
      <c r="AE118" s="54"/>
      <c r="AF118" s="21" t="str">
        <f>IFERROR(VLOOKUP(May[[#This Row],[Drug Name3]],'Data Options'!$R$1:$S$100,2,FALSE), " ")</f>
        <v xml:space="preserve"> </v>
      </c>
      <c r="AG118" s="55"/>
      <c r="AH118" s="32"/>
      <c r="AI118" s="32"/>
      <c r="AJ118" s="55"/>
      <c r="AK118" s="32"/>
      <c r="AL118" s="32"/>
      <c r="AM118" s="32"/>
      <c r="AN118" s="32"/>
      <c r="AO118" s="32"/>
      <c r="AP118" s="31"/>
      <c r="AQ118" s="31"/>
      <c r="AR118" s="54"/>
      <c r="AS118" s="21" t="str">
        <f>IFERROR(VLOOKUP(May[[#This Row],[Drug Name4]],'Data Options'!$R$1:$S$100,2,FALSE), " ")</f>
        <v xml:space="preserve"> </v>
      </c>
      <c r="AT118" s="55"/>
      <c r="AU118" s="32"/>
      <c r="AV118" s="32"/>
      <c r="AW118" s="55"/>
      <c r="AX118" s="32"/>
      <c r="AY118" s="54"/>
      <c r="AZ118" s="21" t="str">
        <f>IFERROR(VLOOKUP(May[[#This Row],[Drug Name5]],'Data Options'!$R$1:$S$100,2,FALSE), " ")</f>
        <v xml:space="preserve"> </v>
      </c>
      <c r="BA118" s="55"/>
      <c r="BB118" s="32"/>
      <c r="BC118" s="32"/>
      <c r="BD118" s="55"/>
      <c r="BE118" s="32"/>
      <c r="BF118" s="54"/>
      <c r="BG118" s="21" t="str">
        <f>IFERROR(VLOOKUP(May[[#This Row],[Drug Name6]],'Data Options'!$R$1:$S$100,2,FALSE), " ")</f>
        <v xml:space="preserve"> </v>
      </c>
      <c r="BH118" s="55"/>
      <c r="BI118" s="32"/>
      <c r="BJ118" s="32"/>
      <c r="BK118" s="55"/>
      <c r="BL118" s="32"/>
      <c r="BM118" s="32"/>
      <c r="BN118" s="32"/>
      <c r="BO118" s="32"/>
      <c r="BP118" s="32"/>
      <c r="BQ118" s="31"/>
      <c r="BR118" s="31"/>
      <c r="BS118" s="54"/>
      <c r="BT118" s="21" t="str">
        <f>IFERROR(VLOOKUP(May[[#This Row],[Drug Name7]],'Data Options'!$R$1:$S$100,2,FALSE), " ")</f>
        <v xml:space="preserve"> </v>
      </c>
      <c r="BU118" s="55"/>
      <c r="BV118" s="32"/>
      <c r="BW118" s="32"/>
      <c r="BX118" s="55"/>
      <c r="BY118" s="32"/>
      <c r="BZ118" s="54"/>
      <c r="CA118" s="21" t="str">
        <f>IFERROR(VLOOKUP(May[[#This Row],[Drug Name8]],'Data Options'!$R$1:$S$100,2,FALSE), " ")</f>
        <v xml:space="preserve"> </v>
      </c>
      <c r="CB118" s="55"/>
      <c r="CC118" s="32"/>
      <c r="CD118" s="32"/>
      <c r="CE118" s="55"/>
      <c r="CF118" s="32"/>
      <c r="CG118" s="54"/>
      <c r="CH118" s="21" t="str">
        <f>IFERROR(VLOOKUP(May[[#This Row],[Drug Name9]],'Data Options'!$R$1:$S$100,2,FALSE), " ")</f>
        <v xml:space="preserve"> </v>
      </c>
      <c r="CI118" s="55"/>
      <c r="CJ118" s="32"/>
      <c r="CK118" s="32"/>
      <c r="CL118" s="55"/>
      <c r="CM118" s="32"/>
    </row>
    <row r="119" spans="1:91">
      <c r="A119" s="5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1"/>
      <c r="P119" s="31"/>
      <c r="Q119" s="54"/>
      <c r="R119" s="21" t="str">
        <f>IFERROR(VLOOKUP(May[[#This Row],[Drug Name]],'Data Options'!$R$1:$S$100,2,FALSE), " ")</f>
        <v xml:space="preserve"> </v>
      </c>
      <c r="S119" s="55"/>
      <c r="T119" s="32"/>
      <c r="U119" s="32"/>
      <c r="V119" s="55"/>
      <c r="W119" s="32"/>
      <c r="X119" s="54"/>
      <c r="Y119" s="21" t="str">
        <f>IFERROR(VLOOKUP(May[[#This Row],[Drug Name2]],'Data Options'!$R$1:$S$100,2,FALSE), " ")</f>
        <v xml:space="preserve"> </v>
      </c>
      <c r="Z119" s="55"/>
      <c r="AA119" s="32"/>
      <c r="AB119" s="32"/>
      <c r="AC119" s="55"/>
      <c r="AD119" s="32"/>
      <c r="AE119" s="54"/>
      <c r="AF119" s="21" t="str">
        <f>IFERROR(VLOOKUP(May[[#This Row],[Drug Name3]],'Data Options'!$R$1:$S$100,2,FALSE), " ")</f>
        <v xml:space="preserve"> </v>
      </c>
      <c r="AG119" s="55"/>
      <c r="AH119" s="32"/>
      <c r="AI119" s="32"/>
      <c r="AJ119" s="55"/>
      <c r="AK119" s="32"/>
      <c r="AL119" s="32"/>
      <c r="AM119" s="32"/>
      <c r="AN119" s="32"/>
      <c r="AO119" s="32"/>
      <c r="AP119" s="31"/>
      <c r="AQ119" s="31"/>
      <c r="AR119" s="54"/>
      <c r="AS119" s="21" t="str">
        <f>IFERROR(VLOOKUP(May[[#This Row],[Drug Name4]],'Data Options'!$R$1:$S$100,2,FALSE), " ")</f>
        <v xml:space="preserve"> </v>
      </c>
      <c r="AT119" s="55"/>
      <c r="AU119" s="32"/>
      <c r="AV119" s="32"/>
      <c r="AW119" s="55"/>
      <c r="AX119" s="32"/>
      <c r="AY119" s="54"/>
      <c r="AZ119" s="21" t="str">
        <f>IFERROR(VLOOKUP(May[[#This Row],[Drug Name5]],'Data Options'!$R$1:$S$100,2,FALSE), " ")</f>
        <v xml:space="preserve"> </v>
      </c>
      <c r="BA119" s="55"/>
      <c r="BB119" s="32"/>
      <c r="BC119" s="32"/>
      <c r="BD119" s="55"/>
      <c r="BE119" s="32"/>
      <c r="BF119" s="54"/>
      <c r="BG119" s="21" t="str">
        <f>IFERROR(VLOOKUP(May[[#This Row],[Drug Name6]],'Data Options'!$R$1:$S$100,2,FALSE), " ")</f>
        <v xml:space="preserve"> </v>
      </c>
      <c r="BH119" s="55"/>
      <c r="BI119" s="32"/>
      <c r="BJ119" s="32"/>
      <c r="BK119" s="55"/>
      <c r="BL119" s="32"/>
      <c r="BM119" s="32"/>
      <c r="BN119" s="32"/>
      <c r="BO119" s="32"/>
      <c r="BP119" s="32"/>
      <c r="BQ119" s="31"/>
      <c r="BR119" s="31"/>
      <c r="BS119" s="54"/>
      <c r="BT119" s="21" t="str">
        <f>IFERROR(VLOOKUP(May[[#This Row],[Drug Name7]],'Data Options'!$R$1:$S$100,2,FALSE), " ")</f>
        <v xml:space="preserve"> </v>
      </c>
      <c r="BU119" s="55"/>
      <c r="BV119" s="32"/>
      <c r="BW119" s="32"/>
      <c r="BX119" s="55"/>
      <c r="BY119" s="32"/>
      <c r="BZ119" s="54"/>
      <c r="CA119" s="21" t="str">
        <f>IFERROR(VLOOKUP(May[[#This Row],[Drug Name8]],'Data Options'!$R$1:$S$100,2,FALSE), " ")</f>
        <v xml:space="preserve"> </v>
      </c>
      <c r="CB119" s="55"/>
      <c r="CC119" s="32"/>
      <c r="CD119" s="32"/>
      <c r="CE119" s="55"/>
      <c r="CF119" s="32"/>
      <c r="CG119" s="54"/>
      <c r="CH119" s="21" t="str">
        <f>IFERROR(VLOOKUP(May[[#This Row],[Drug Name9]],'Data Options'!$R$1:$S$100,2,FALSE), " ")</f>
        <v xml:space="preserve"> </v>
      </c>
      <c r="CI119" s="55"/>
      <c r="CJ119" s="32"/>
      <c r="CK119" s="32"/>
      <c r="CL119" s="55"/>
      <c r="CM119" s="32"/>
    </row>
    <row r="120" spans="1:91">
      <c r="A120" s="5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/>
      <c r="P120" s="31"/>
      <c r="Q120" s="54"/>
      <c r="R120" s="21" t="str">
        <f>IFERROR(VLOOKUP(May[[#This Row],[Drug Name]],'Data Options'!$R$1:$S$100,2,FALSE), " ")</f>
        <v xml:space="preserve"> </v>
      </c>
      <c r="S120" s="55"/>
      <c r="T120" s="32"/>
      <c r="U120" s="32"/>
      <c r="V120" s="55"/>
      <c r="W120" s="32"/>
      <c r="X120" s="54"/>
      <c r="Y120" s="21" t="str">
        <f>IFERROR(VLOOKUP(May[[#This Row],[Drug Name2]],'Data Options'!$R$1:$S$100,2,FALSE), " ")</f>
        <v xml:space="preserve"> </v>
      </c>
      <c r="Z120" s="55"/>
      <c r="AA120" s="32"/>
      <c r="AB120" s="32"/>
      <c r="AC120" s="55"/>
      <c r="AD120" s="32"/>
      <c r="AE120" s="54"/>
      <c r="AF120" s="21" t="str">
        <f>IFERROR(VLOOKUP(May[[#This Row],[Drug Name3]],'Data Options'!$R$1:$S$100,2,FALSE), " ")</f>
        <v xml:space="preserve"> </v>
      </c>
      <c r="AG120" s="55"/>
      <c r="AH120" s="32"/>
      <c r="AI120" s="32"/>
      <c r="AJ120" s="55"/>
      <c r="AK120" s="32"/>
      <c r="AL120" s="32"/>
      <c r="AM120" s="32"/>
      <c r="AN120" s="32"/>
      <c r="AO120" s="32"/>
      <c r="AP120" s="31"/>
      <c r="AQ120" s="31"/>
      <c r="AR120" s="54"/>
      <c r="AS120" s="21" t="str">
        <f>IFERROR(VLOOKUP(May[[#This Row],[Drug Name4]],'Data Options'!$R$1:$S$100,2,FALSE), " ")</f>
        <v xml:space="preserve"> </v>
      </c>
      <c r="AT120" s="55"/>
      <c r="AU120" s="32"/>
      <c r="AV120" s="32"/>
      <c r="AW120" s="55"/>
      <c r="AX120" s="32"/>
      <c r="AY120" s="54"/>
      <c r="AZ120" s="21" t="str">
        <f>IFERROR(VLOOKUP(May[[#This Row],[Drug Name5]],'Data Options'!$R$1:$S$100,2,FALSE), " ")</f>
        <v xml:space="preserve"> </v>
      </c>
      <c r="BA120" s="55"/>
      <c r="BB120" s="32"/>
      <c r="BC120" s="32"/>
      <c r="BD120" s="55"/>
      <c r="BE120" s="32"/>
      <c r="BF120" s="54"/>
      <c r="BG120" s="21" t="str">
        <f>IFERROR(VLOOKUP(May[[#This Row],[Drug Name6]],'Data Options'!$R$1:$S$100,2,FALSE), " ")</f>
        <v xml:space="preserve"> </v>
      </c>
      <c r="BH120" s="55"/>
      <c r="BI120" s="32"/>
      <c r="BJ120" s="32"/>
      <c r="BK120" s="55"/>
      <c r="BL120" s="32"/>
      <c r="BM120" s="32"/>
      <c r="BN120" s="32"/>
      <c r="BO120" s="32"/>
      <c r="BP120" s="32"/>
      <c r="BQ120" s="31"/>
      <c r="BR120" s="31"/>
      <c r="BS120" s="54"/>
      <c r="BT120" s="21" t="str">
        <f>IFERROR(VLOOKUP(May[[#This Row],[Drug Name7]],'Data Options'!$R$1:$S$100,2,FALSE), " ")</f>
        <v xml:space="preserve"> </v>
      </c>
      <c r="BU120" s="55"/>
      <c r="BV120" s="32"/>
      <c r="BW120" s="32"/>
      <c r="BX120" s="55"/>
      <c r="BY120" s="32"/>
      <c r="BZ120" s="54"/>
      <c r="CA120" s="21" t="str">
        <f>IFERROR(VLOOKUP(May[[#This Row],[Drug Name8]],'Data Options'!$R$1:$S$100,2,FALSE), " ")</f>
        <v xml:space="preserve"> </v>
      </c>
      <c r="CB120" s="55"/>
      <c r="CC120" s="32"/>
      <c r="CD120" s="32"/>
      <c r="CE120" s="55"/>
      <c r="CF120" s="32"/>
      <c r="CG120" s="54"/>
      <c r="CH120" s="21" t="str">
        <f>IFERROR(VLOOKUP(May[[#This Row],[Drug Name9]],'Data Options'!$R$1:$S$100,2,FALSE), " ")</f>
        <v xml:space="preserve"> </v>
      </c>
      <c r="CI120" s="55"/>
      <c r="CJ120" s="32"/>
      <c r="CK120" s="32"/>
      <c r="CL120" s="55"/>
      <c r="CM120" s="32"/>
    </row>
    <row r="121" spans="1:91">
      <c r="A121" s="5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1"/>
      <c r="P121" s="31"/>
      <c r="Q121" s="54"/>
      <c r="R121" s="21" t="str">
        <f>IFERROR(VLOOKUP(May[[#This Row],[Drug Name]],'Data Options'!$R$1:$S$100,2,FALSE), " ")</f>
        <v xml:space="preserve"> </v>
      </c>
      <c r="S121" s="55"/>
      <c r="T121" s="32"/>
      <c r="U121" s="32"/>
      <c r="V121" s="55"/>
      <c r="W121" s="32"/>
      <c r="X121" s="54"/>
      <c r="Y121" s="21" t="str">
        <f>IFERROR(VLOOKUP(May[[#This Row],[Drug Name2]],'Data Options'!$R$1:$S$100,2,FALSE), " ")</f>
        <v xml:space="preserve"> </v>
      </c>
      <c r="Z121" s="55"/>
      <c r="AA121" s="32"/>
      <c r="AB121" s="32"/>
      <c r="AC121" s="55"/>
      <c r="AD121" s="32"/>
      <c r="AE121" s="54"/>
      <c r="AF121" s="21" t="str">
        <f>IFERROR(VLOOKUP(May[[#This Row],[Drug Name3]],'Data Options'!$R$1:$S$100,2,FALSE), " ")</f>
        <v xml:space="preserve"> </v>
      </c>
      <c r="AG121" s="55"/>
      <c r="AH121" s="32"/>
      <c r="AI121" s="32"/>
      <c r="AJ121" s="55"/>
      <c r="AK121" s="32"/>
      <c r="AL121" s="32"/>
      <c r="AM121" s="32"/>
      <c r="AN121" s="32"/>
      <c r="AO121" s="32"/>
      <c r="AP121" s="31"/>
      <c r="AQ121" s="31"/>
      <c r="AR121" s="54"/>
      <c r="AS121" s="21" t="str">
        <f>IFERROR(VLOOKUP(May[[#This Row],[Drug Name4]],'Data Options'!$R$1:$S$100,2,FALSE), " ")</f>
        <v xml:space="preserve"> </v>
      </c>
      <c r="AT121" s="55"/>
      <c r="AU121" s="32"/>
      <c r="AV121" s="32"/>
      <c r="AW121" s="55"/>
      <c r="AX121" s="32"/>
      <c r="AY121" s="54"/>
      <c r="AZ121" s="21" t="str">
        <f>IFERROR(VLOOKUP(May[[#This Row],[Drug Name5]],'Data Options'!$R$1:$S$100,2,FALSE), " ")</f>
        <v xml:space="preserve"> </v>
      </c>
      <c r="BA121" s="55"/>
      <c r="BB121" s="32"/>
      <c r="BC121" s="32"/>
      <c r="BD121" s="55"/>
      <c r="BE121" s="32"/>
      <c r="BF121" s="54"/>
      <c r="BG121" s="21" t="str">
        <f>IFERROR(VLOOKUP(May[[#This Row],[Drug Name6]],'Data Options'!$R$1:$S$100,2,FALSE), " ")</f>
        <v xml:space="preserve"> </v>
      </c>
      <c r="BH121" s="55"/>
      <c r="BI121" s="32"/>
      <c r="BJ121" s="32"/>
      <c r="BK121" s="55"/>
      <c r="BL121" s="32"/>
      <c r="BM121" s="32"/>
      <c r="BN121" s="32"/>
      <c r="BO121" s="32"/>
      <c r="BP121" s="32"/>
      <c r="BQ121" s="31"/>
      <c r="BR121" s="31"/>
      <c r="BS121" s="54"/>
      <c r="BT121" s="21" t="str">
        <f>IFERROR(VLOOKUP(May[[#This Row],[Drug Name7]],'Data Options'!$R$1:$S$100,2,FALSE), " ")</f>
        <v xml:space="preserve"> </v>
      </c>
      <c r="BU121" s="55"/>
      <c r="BV121" s="32"/>
      <c r="BW121" s="32"/>
      <c r="BX121" s="55"/>
      <c r="BY121" s="32"/>
      <c r="BZ121" s="54"/>
      <c r="CA121" s="21" t="str">
        <f>IFERROR(VLOOKUP(May[[#This Row],[Drug Name8]],'Data Options'!$R$1:$S$100,2,FALSE), " ")</f>
        <v xml:space="preserve"> </v>
      </c>
      <c r="CB121" s="55"/>
      <c r="CC121" s="32"/>
      <c r="CD121" s="32"/>
      <c r="CE121" s="55"/>
      <c r="CF121" s="32"/>
      <c r="CG121" s="54"/>
      <c r="CH121" s="21" t="str">
        <f>IFERROR(VLOOKUP(May[[#This Row],[Drug Name9]],'Data Options'!$R$1:$S$100,2,FALSE), " ")</f>
        <v xml:space="preserve"> </v>
      </c>
      <c r="CI121" s="55"/>
      <c r="CJ121" s="32"/>
      <c r="CK121" s="32"/>
      <c r="CL121" s="55"/>
      <c r="CM121" s="32"/>
    </row>
    <row r="122" spans="1:91">
      <c r="A122" s="5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1"/>
      <c r="P122" s="31"/>
      <c r="Q122" s="54"/>
      <c r="R122" s="21" t="str">
        <f>IFERROR(VLOOKUP(May[[#This Row],[Drug Name]],'Data Options'!$R$1:$S$100,2,FALSE), " ")</f>
        <v xml:space="preserve"> </v>
      </c>
      <c r="S122" s="55"/>
      <c r="T122" s="32"/>
      <c r="U122" s="32"/>
      <c r="V122" s="55"/>
      <c r="W122" s="32"/>
      <c r="X122" s="54"/>
      <c r="Y122" s="21" t="str">
        <f>IFERROR(VLOOKUP(May[[#This Row],[Drug Name2]],'Data Options'!$R$1:$S$100,2,FALSE), " ")</f>
        <v xml:space="preserve"> </v>
      </c>
      <c r="Z122" s="55"/>
      <c r="AA122" s="32"/>
      <c r="AB122" s="32"/>
      <c r="AC122" s="55"/>
      <c r="AD122" s="32"/>
      <c r="AE122" s="54"/>
      <c r="AF122" s="21" t="str">
        <f>IFERROR(VLOOKUP(May[[#This Row],[Drug Name3]],'Data Options'!$R$1:$S$100,2,FALSE), " ")</f>
        <v xml:space="preserve"> </v>
      </c>
      <c r="AG122" s="55"/>
      <c r="AH122" s="32"/>
      <c r="AI122" s="32"/>
      <c r="AJ122" s="55"/>
      <c r="AK122" s="32"/>
      <c r="AL122" s="32"/>
      <c r="AM122" s="32"/>
      <c r="AN122" s="32"/>
      <c r="AO122" s="32"/>
      <c r="AP122" s="31"/>
      <c r="AQ122" s="31"/>
      <c r="AR122" s="54"/>
      <c r="AS122" s="21" t="str">
        <f>IFERROR(VLOOKUP(May[[#This Row],[Drug Name4]],'Data Options'!$R$1:$S$100,2,FALSE), " ")</f>
        <v xml:space="preserve"> </v>
      </c>
      <c r="AT122" s="55"/>
      <c r="AU122" s="32"/>
      <c r="AV122" s="32"/>
      <c r="AW122" s="55"/>
      <c r="AX122" s="32"/>
      <c r="AY122" s="54"/>
      <c r="AZ122" s="21" t="str">
        <f>IFERROR(VLOOKUP(May[[#This Row],[Drug Name5]],'Data Options'!$R$1:$S$100,2,FALSE), " ")</f>
        <v xml:space="preserve"> </v>
      </c>
      <c r="BA122" s="55"/>
      <c r="BB122" s="32"/>
      <c r="BC122" s="32"/>
      <c r="BD122" s="55"/>
      <c r="BE122" s="32"/>
      <c r="BF122" s="54"/>
      <c r="BG122" s="21" t="str">
        <f>IFERROR(VLOOKUP(May[[#This Row],[Drug Name6]],'Data Options'!$R$1:$S$100,2,FALSE), " ")</f>
        <v xml:space="preserve"> </v>
      </c>
      <c r="BH122" s="55"/>
      <c r="BI122" s="32"/>
      <c r="BJ122" s="32"/>
      <c r="BK122" s="55"/>
      <c r="BL122" s="32"/>
      <c r="BM122" s="32"/>
      <c r="BN122" s="32"/>
      <c r="BO122" s="32"/>
      <c r="BP122" s="32"/>
      <c r="BQ122" s="31"/>
      <c r="BR122" s="31"/>
      <c r="BS122" s="54"/>
      <c r="BT122" s="21" t="str">
        <f>IFERROR(VLOOKUP(May[[#This Row],[Drug Name7]],'Data Options'!$R$1:$S$100,2,FALSE), " ")</f>
        <v xml:space="preserve"> </v>
      </c>
      <c r="BU122" s="55"/>
      <c r="BV122" s="32"/>
      <c r="BW122" s="32"/>
      <c r="BX122" s="55"/>
      <c r="BY122" s="32"/>
      <c r="BZ122" s="54"/>
      <c r="CA122" s="21" t="str">
        <f>IFERROR(VLOOKUP(May[[#This Row],[Drug Name8]],'Data Options'!$R$1:$S$100,2,FALSE), " ")</f>
        <v xml:space="preserve"> </v>
      </c>
      <c r="CB122" s="55"/>
      <c r="CC122" s="32"/>
      <c r="CD122" s="32"/>
      <c r="CE122" s="55"/>
      <c r="CF122" s="32"/>
      <c r="CG122" s="54"/>
      <c r="CH122" s="21" t="str">
        <f>IFERROR(VLOOKUP(May[[#This Row],[Drug Name9]],'Data Options'!$R$1:$S$100,2,FALSE), " ")</f>
        <v xml:space="preserve"> </v>
      </c>
      <c r="CI122" s="55"/>
      <c r="CJ122" s="32"/>
      <c r="CK122" s="32"/>
      <c r="CL122" s="55"/>
      <c r="CM122" s="32"/>
    </row>
    <row r="123" spans="1:91">
      <c r="A123" s="5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1"/>
      <c r="P123" s="31"/>
      <c r="Q123" s="54"/>
      <c r="R123" s="21" t="str">
        <f>IFERROR(VLOOKUP(May[[#This Row],[Drug Name]],'Data Options'!$R$1:$S$100,2,FALSE), " ")</f>
        <v xml:space="preserve"> </v>
      </c>
      <c r="S123" s="55"/>
      <c r="T123" s="32"/>
      <c r="U123" s="32"/>
      <c r="V123" s="55"/>
      <c r="W123" s="32"/>
      <c r="X123" s="54"/>
      <c r="Y123" s="21" t="str">
        <f>IFERROR(VLOOKUP(May[[#This Row],[Drug Name2]],'Data Options'!$R$1:$S$100,2,FALSE), " ")</f>
        <v xml:space="preserve"> </v>
      </c>
      <c r="Z123" s="55"/>
      <c r="AA123" s="32"/>
      <c r="AB123" s="32"/>
      <c r="AC123" s="55"/>
      <c r="AD123" s="32"/>
      <c r="AE123" s="54"/>
      <c r="AF123" s="21" t="str">
        <f>IFERROR(VLOOKUP(May[[#This Row],[Drug Name3]],'Data Options'!$R$1:$S$100,2,FALSE), " ")</f>
        <v xml:space="preserve"> </v>
      </c>
      <c r="AG123" s="55"/>
      <c r="AH123" s="32"/>
      <c r="AI123" s="32"/>
      <c r="AJ123" s="55"/>
      <c r="AK123" s="32"/>
      <c r="AL123" s="32"/>
      <c r="AM123" s="32"/>
      <c r="AN123" s="32"/>
      <c r="AO123" s="32"/>
      <c r="AP123" s="31"/>
      <c r="AQ123" s="31"/>
      <c r="AR123" s="54"/>
      <c r="AS123" s="21" t="str">
        <f>IFERROR(VLOOKUP(May[[#This Row],[Drug Name4]],'Data Options'!$R$1:$S$100,2,FALSE), " ")</f>
        <v xml:space="preserve"> </v>
      </c>
      <c r="AT123" s="55"/>
      <c r="AU123" s="32"/>
      <c r="AV123" s="32"/>
      <c r="AW123" s="55"/>
      <c r="AX123" s="32"/>
      <c r="AY123" s="54"/>
      <c r="AZ123" s="21" t="str">
        <f>IFERROR(VLOOKUP(May[[#This Row],[Drug Name5]],'Data Options'!$R$1:$S$100,2,FALSE), " ")</f>
        <v xml:space="preserve"> </v>
      </c>
      <c r="BA123" s="55"/>
      <c r="BB123" s="32"/>
      <c r="BC123" s="32"/>
      <c r="BD123" s="55"/>
      <c r="BE123" s="32"/>
      <c r="BF123" s="54"/>
      <c r="BG123" s="21" t="str">
        <f>IFERROR(VLOOKUP(May[[#This Row],[Drug Name6]],'Data Options'!$R$1:$S$100,2,FALSE), " ")</f>
        <v xml:space="preserve"> </v>
      </c>
      <c r="BH123" s="55"/>
      <c r="BI123" s="32"/>
      <c r="BJ123" s="32"/>
      <c r="BK123" s="55"/>
      <c r="BL123" s="32"/>
      <c r="BM123" s="32"/>
      <c r="BN123" s="32"/>
      <c r="BO123" s="32"/>
      <c r="BP123" s="32"/>
      <c r="BQ123" s="31"/>
      <c r="BR123" s="31"/>
      <c r="BS123" s="54"/>
      <c r="BT123" s="21" t="str">
        <f>IFERROR(VLOOKUP(May[[#This Row],[Drug Name7]],'Data Options'!$R$1:$S$100,2,FALSE), " ")</f>
        <v xml:space="preserve"> </v>
      </c>
      <c r="BU123" s="55"/>
      <c r="BV123" s="32"/>
      <c r="BW123" s="32"/>
      <c r="BX123" s="55"/>
      <c r="BY123" s="32"/>
      <c r="BZ123" s="54"/>
      <c r="CA123" s="21" t="str">
        <f>IFERROR(VLOOKUP(May[[#This Row],[Drug Name8]],'Data Options'!$R$1:$S$100,2,FALSE), " ")</f>
        <v xml:space="preserve"> </v>
      </c>
      <c r="CB123" s="55"/>
      <c r="CC123" s="32"/>
      <c r="CD123" s="32"/>
      <c r="CE123" s="55"/>
      <c r="CF123" s="32"/>
      <c r="CG123" s="54"/>
      <c r="CH123" s="21" t="str">
        <f>IFERROR(VLOOKUP(May[[#This Row],[Drug Name9]],'Data Options'!$R$1:$S$100,2,FALSE), " ")</f>
        <v xml:space="preserve"> </v>
      </c>
      <c r="CI123" s="55"/>
      <c r="CJ123" s="32"/>
      <c r="CK123" s="32"/>
      <c r="CL123" s="55"/>
      <c r="CM123" s="32"/>
    </row>
    <row r="124" spans="1:91">
      <c r="A124" s="5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1"/>
      <c r="P124" s="31"/>
      <c r="Q124" s="54"/>
      <c r="R124" s="21" t="str">
        <f>IFERROR(VLOOKUP(May[[#This Row],[Drug Name]],'Data Options'!$R$1:$S$100,2,FALSE), " ")</f>
        <v xml:space="preserve"> </v>
      </c>
      <c r="S124" s="55"/>
      <c r="T124" s="32"/>
      <c r="U124" s="32"/>
      <c r="V124" s="55"/>
      <c r="W124" s="32"/>
      <c r="X124" s="54"/>
      <c r="Y124" s="21" t="str">
        <f>IFERROR(VLOOKUP(May[[#This Row],[Drug Name2]],'Data Options'!$R$1:$S$100,2,FALSE), " ")</f>
        <v xml:space="preserve"> </v>
      </c>
      <c r="Z124" s="55"/>
      <c r="AA124" s="32"/>
      <c r="AB124" s="32"/>
      <c r="AC124" s="55"/>
      <c r="AD124" s="32"/>
      <c r="AE124" s="54"/>
      <c r="AF124" s="21" t="str">
        <f>IFERROR(VLOOKUP(May[[#This Row],[Drug Name3]],'Data Options'!$R$1:$S$100,2,FALSE), " ")</f>
        <v xml:space="preserve"> </v>
      </c>
      <c r="AG124" s="55"/>
      <c r="AH124" s="32"/>
      <c r="AI124" s="32"/>
      <c r="AJ124" s="55"/>
      <c r="AK124" s="32"/>
      <c r="AL124" s="32"/>
      <c r="AM124" s="32"/>
      <c r="AN124" s="32"/>
      <c r="AO124" s="32"/>
      <c r="AP124" s="31"/>
      <c r="AQ124" s="31"/>
      <c r="AR124" s="54"/>
      <c r="AS124" s="21" t="str">
        <f>IFERROR(VLOOKUP(May[[#This Row],[Drug Name4]],'Data Options'!$R$1:$S$100,2,FALSE), " ")</f>
        <v xml:space="preserve"> </v>
      </c>
      <c r="AT124" s="55"/>
      <c r="AU124" s="32"/>
      <c r="AV124" s="32"/>
      <c r="AW124" s="55"/>
      <c r="AX124" s="32"/>
      <c r="AY124" s="54"/>
      <c r="AZ124" s="21" t="str">
        <f>IFERROR(VLOOKUP(May[[#This Row],[Drug Name5]],'Data Options'!$R$1:$S$100,2,FALSE), " ")</f>
        <v xml:space="preserve"> </v>
      </c>
      <c r="BA124" s="55"/>
      <c r="BB124" s="32"/>
      <c r="BC124" s="32"/>
      <c r="BD124" s="55"/>
      <c r="BE124" s="32"/>
      <c r="BF124" s="54"/>
      <c r="BG124" s="21" t="str">
        <f>IFERROR(VLOOKUP(May[[#This Row],[Drug Name6]],'Data Options'!$R$1:$S$100,2,FALSE), " ")</f>
        <v xml:space="preserve"> </v>
      </c>
      <c r="BH124" s="55"/>
      <c r="BI124" s="32"/>
      <c r="BJ124" s="32"/>
      <c r="BK124" s="55"/>
      <c r="BL124" s="32"/>
      <c r="BM124" s="32"/>
      <c r="BN124" s="32"/>
      <c r="BO124" s="32"/>
      <c r="BP124" s="32"/>
      <c r="BQ124" s="31"/>
      <c r="BR124" s="31"/>
      <c r="BS124" s="54"/>
      <c r="BT124" s="21" t="str">
        <f>IFERROR(VLOOKUP(May[[#This Row],[Drug Name7]],'Data Options'!$R$1:$S$100,2,FALSE), " ")</f>
        <v xml:space="preserve"> </v>
      </c>
      <c r="BU124" s="55"/>
      <c r="BV124" s="32"/>
      <c r="BW124" s="32"/>
      <c r="BX124" s="55"/>
      <c r="BY124" s="32"/>
      <c r="BZ124" s="54"/>
      <c r="CA124" s="21" t="str">
        <f>IFERROR(VLOOKUP(May[[#This Row],[Drug Name8]],'Data Options'!$R$1:$S$100,2,FALSE), " ")</f>
        <v xml:space="preserve"> </v>
      </c>
      <c r="CB124" s="55"/>
      <c r="CC124" s="32"/>
      <c r="CD124" s="32"/>
      <c r="CE124" s="55"/>
      <c r="CF124" s="32"/>
      <c r="CG124" s="54"/>
      <c r="CH124" s="21" t="str">
        <f>IFERROR(VLOOKUP(May[[#This Row],[Drug Name9]],'Data Options'!$R$1:$S$100,2,FALSE), " ")</f>
        <v xml:space="preserve"> </v>
      </c>
      <c r="CI124" s="55"/>
      <c r="CJ124" s="32"/>
      <c r="CK124" s="32"/>
      <c r="CL124" s="55"/>
      <c r="CM124" s="32"/>
    </row>
    <row r="125" spans="1:91">
      <c r="A125" s="5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1"/>
      <c r="P125" s="31"/>
      <c r="Q125" s="54"/>
      <c r="R125" s="21" t="str">
        <f>IFERROR(VLOOKUP(May[[#This Row],[Drug Name]],'Data Options'!$R$1:$S$100,2,FALSE), " ")</f>
        <v xml:space="preserve"> </v>
      </c>
      <c r="S125" s="55"/>
      <c r="T125" s="32"/>
      <c r="U125" s="32"/>
      <c r="V125" s="55"/>
      <c r="W125" s="32"/>
      <c r="X125" s="54"/>
      <c r="Y125" s="21" t="str">
        <f>IFERROR(VLOOKUP(May[[#This Row],[Drug Name2]],'Data Options'!$R$1:$S$100,2,FALSE), " ")</f>
        <v xml:space="preserve"> </v>
      </c>
      <c r="Z125" s="55"/>
      <c r="AA125" s="32"/>
      <c r="AB125" s="32"/>
      <c r="AC125" s="55"/>
      <c r="AD125" s="32"/>
      <c r="AE125" s="54"/>
      <c r="AF125" s="21" t="str">
        <f>IFERROR(VLOOKUP(May[[#This Row],[Drug Name3]],'Data Options'!$R$1:$S$100,2,FALSE), " ")</f>
        <v xml:space="preserve"> </v>
      </c>
      <c r="AG125" s="55"/>
      <c r="AH125" s="32"/>
      <c r="AI125" s="32"/>
      <c r="AJ125" s="55"/>
      <c r="AK125" s="32"/>
      <c r="AL125" s="32"/>
      <c r="AM125" s="32"/>
      <c r="AN125" s="32"/>
      <c r="AO125" s="32"/>
      <c r="AP125" s="31"/>
      <c r="AQ125" s="31"/>
      <c r="AR125" s="54"/>
      <c r="AS125" s="21" t="str">
        <f>IFERROR(VLOOKUP(May[[#This Row],[Drug Name4]],'Data Options'!$R$1:$S$100,2,FALSE), " ")</f>
        <v xml:space="preserve"> </v>
      </c>
      <c r="AT125" s="55"/>
      <c r="AU125" s="32"/>
      <c r="AV125" s="32"/>
      <c r="AW125" s="55"/>
      <c r="AX125" s="32"/>
      <c r="AY125" s="54"/>
      <c r="AZ125" s="21" t="str">
        <f>IFERROR(VLOOKUP(May[[#This Row],[Drug Name5]],'Data Options'!$R$1:$S$100,2,FALSE), " ")</f>
        <v xml:space="preserve"> </v>
      </c>
      <c r="BA125" s="55"/>
      <c r="BB125" s="32"/>
      <c r="BC125" s="32"/>
      <c r="BD125" s="55"/>
      <c r="BE125" s="32"/>
      <c r="BF125" s="54"/>
      <c r="BG125" s="21" t="str">
        <f>IFERROR(VLOOKUP(May[[#This Row],[Drug Name6]],'Data Options'!$R$1:$S$100,2,FALSE), " ")</f>
        <v xml:space="preserve"> </v>
      </c>
      <c r="BH125" s="55"/>
      <c r="BI125" s="32"/>
      <c r="BJ125" s="32"/>
      <c r="BK125" s="55"/>
      <c r="BL125" s="32"/>
      <c r="BM125" s="32"/>
      <c r="BN125" s="32"/>
      <c r="BO125" s="32"/>
      <c r="BP125" s="32"/>
      <c r="BQ125" s="31"/>
      <c r="BR125" s="31"/>
      <c r="BS125" s="54"/>
      <c r="BT125" s="21" t="str">
        <f>IFERROR(VLOOKUP(May[[#This Row],[Drug Name7]],'Data Options'!$R$1:$S$100,2,FALSE), " ")</f>
        <v xml:space="preserve"> </v>
      </c>
      <c r="BU125" s="55"/>
      <c r="BV125" s="32"/>
      <c r="BW125" s="32"/>
      <c r="BX125" s="55"/>
      <c r="BY125" s="32"/>
      <c r="BZ125" s="54"/>
      <c r="CA125" s="21" t="str">
        <f>IFERROR(VLOOKUP(May[[#This Row],[Drug Name8]],'Data Options'!$R$1:$S$100,2,FALSE), " ")</f>
        <v xml:space="preserve"> </v>
      </c>
      <c r="CB125" s="55"/>
      <c r="CC125" s="32"/>
      <c r="CD125" s="32"/>
      <c r="CE125" s="55"/>
      <c r="CF125" s="32"/>
      <c r="CG125" s="54"/>
      <c r="CH125" s="21" t="str">
        <f>IFERROR(VLOOKUP(May[[#This Row],[Drug Name9]],'Data Options'!$R$1:$S$100,2,FALSE), " ")</f>
        <v xml:space="preserve"> </v>
      </c>
      <c r="CI125" s="55"/>
      <c r="CJ125" s="32"/>
      <c r="CK125" s="32"/>
      <c r="CL125" s="55"/>
      <c r="CM125" s="32"/>
    </row>
    <row r="126" spans="1:91">
      <c r="A126" s="5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1"/>
      <c r="P126" s="31"/>
      <c r="Q126" s="54"/>
      <c r="R126" s="21" t="str">
        <f>IFERROR(VLOOKUP(May[[#This Row],[Drug Name]],'Data Options'!$R$1:$S$100,2,FALSE), " ")</f>
        <v xml:space="preserve"> </v>
      </c>
      <c r="S126" s="55"/>
      <c r="T126" s="32"/>
      <c r="U126" s="32"/>
      <c r="V126" s="55"/>
      <c r="W126" s="32"/>
      <c r="X126" s="54"/>
      <c r="Y126" s="21" t="str">
        <f>IFERROR(VLOOKUP(May[[#This Row],[Drug Name2]],'Data Options'!$R$1:$S$100,2,FALSE), " ")</f>
        <v xml:space="preserve"> </v>
      </c>
      <c r="Z126" s="55"/>
      <c r="AA126" s="32"/>
      <c r="AB126" s="32"/>
      <c r="AC126" s="55"/>
      <c r="AD126" s="32"/>
      <c r="AE126" s="54"/>
      <c r="AF126" s="21" t="str">
        <f>IFERROR(VLOOKUP(May[[#This Row],[Drug Name3]],'Data Options'!$R$1:$S$100,2,FALSE), " ")</f>
        <v xml:space="preserve"> </v>
      </c>
      <c r="AG126" s="55"/>
      <c r="AH126" s="32"/>
      <c r="AI126" s="32"/>
      <c r="AJ126" s="55"/>
      <c r="AK126" s="32"/>
      <c r="AL126" s="32"/>
      <c r="AM126" s="32"/>
      <c r="AN126" s="32"/>
      <c r="AO126" s="32"/>
      <c r="AP126" s="31"/>
      <c r="AQ126" s="31"/>
      <c r="AR126" s="54"/>
      <c r="AS126" s="21" t="str">
        <f>IFERROR(VLOOKUP(May[[#This Row],[Drug Name4]],'Data Options'!$R$1:$S$100,2,FALSE), " ")</f>
        <v xml:space="preserve"> </v>
      </c>
      <c r="AT126" s="55"/>
      <c r="AU126" s="32"/>
      <c r="AV126" s="32"/>
      <c r="AW126" s="55"/>
      <c r="AX126" s="32"/>
      <c r="AY126" s="54"/>
      <c r="AZ126" s="21" t="str">
        <f>IFERROR(VLOOKUP(May[[#This Row],[Drug Name5]],'Data Options'!$R$1:$S$100,2,FALSE), " ")</f>
        <v xml:space="preserve"> </v>
      </c>
      <c r="BA126" s="55"/>
      <c r="BB126" s="32"/>
      <c r="BC126" s="32"/>
      <c r="BD126" s="55"/>
      <c r="BE126" s="32"/>
      <c r="BF126" s="54"/>
      <c r="BG126" s="21" t="str">
        <f>IFERROR(VLOOKUP(May[[#This Row],[Drug Name6]],'Data Options'!$R$1:$S$100,2,FALSE), " ")</f>
        <v xml:space="preserve"> </v>
      </c>
      <c r="BH126" s="55"/>
      <c r="BI126" s="32"/>
      <c r="BJ126" s="32"/>
      <c r="BK126" s="55"/>
      <c r="BL126" s="32"/>
      <c r="BM126" s="32"/>
      <c r="BN126" s="32"/>
      <c r="BO126" s="32"/>
      <c r="BP126" s="32"/>
      <c r="BQ126" s="31"/>
      <c r="BR126" s="31"/>
      <c r="BS126" s="54"/>
      <c r="BT126" s="21" t="str">
        <f>IFERROR(VLOOKUP(May[[#This Row],[Drug Name7]],'Data Options'!$R$1:$S$100,2,FALSE), " ")</f>
        <v xml:space="preserve"> </v>
      </c>
      <c r="BU126" s="55"/>
      <c r="BV126" s="32"/>
      <c r="BW126" s="32"/>
      <c r="BX126" s="55"/>
      <c r="BY126" s="32"/>
      <c r="BZ126" s="54"/>
      <c r="CA126" s="21" t="str">
        <f>IFERROR(VLOOKUP(May[[#This Row],[Drug Name8]],'Data Options'!$R$1:$S$100,2,FALSE), " ")</f>
        <v xml:space="preserve"> </v>
      </c>
      <c r="CB126" s="55"/>
      <c r="CC126" s="32"/>
      <c r="CD126" s="32"/>
      <c r="CE126" s="55"/>
      <c r="CF126" s="32"/>
      <c r="CG126" s="54"/>
      <c r="CH126" s="21" t="str">
        <f>IFERROR(VLOOKUP(May[[#This Row],[Drug Name9]],'Data Options'!$R$1:$S$100,2,FALSE), " ")</f>
        <v xml:space="preserve"> </v>
      </c>
      <c r="CI126" s="55"/>
      <c r="CJ126" s="32"/>
      <c r="CK126" s="32"/>
      <c r="CL126" s="55"/>
      <c r="CM126" s="32"/>
    </row>
    <row r="127" spans="1:91">
      <c r="A127" s="5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1"/>
      <c r="P127" s="31"/>
      <c r="Q127" s="54"/>
      <c r="R127" s="21" t="str">
        <f>IFERROR(VLOOKUP(May[[#This Row],[Drug Name]],'Data Options'!$R$1:$S$100,2,FALSE), " ")</f>
        <v xml:space="preserve"> </v>
      </c>
      <c r="S127" s="55"/>
      <c r="T127" s="32"/>
      <c r="U127" s="32"/>
      <c r="V127" s="55"/>
      <c r="W127" s="32"/>
      <c r="X127" s="54"/>
      <c r="Y127" s="21" t="str">
        <f>IFERROR(VLOOKUP(May[[#This Row],[Drug Name2]],'Data Options'!$R$1:$S$100,2,FALSE), " ")</f>
        <v xml:space="preserve"> </v>
      </c>
      <c r="Z127" s="55"/>
      <c r="AA127" s="32"/>
      <c r="AB127" s="32"/>
      <c r="AC127" s="55"/>
      <c r="AD127" s="32"/>
      <c r="AE127" s="54"/>
      <c r="AF127" s="21" t="str">
        <f>IFERROR(VLOOKUP(May[[#This Row],[Drug Name3]],'Data Options'!$R$1:$S$100,2,FALSE), " ")</f>
        <v xml:space="preserve"> </v>
      </c>
      <c r="AG127" s="55"/>
      <c r="AH127" s="32"/>
      <c r="AI127" s="32"/>
      <c r="AJ127" s="55"/>
      <c r="AK127" s="32"/>
      <c r="AL127" s="32"/>
      <c r="AM127" s="32"/>
      <c r="AN127" s="32"/>
      <c r="AO127" s="32"/>
      <c r="AP127" s="31"/>
      <c r="AQ127" s="31"/>
      <c r="AR127" s="54"/>
      <c r="AS127" s="21" t="str">
        <f>IFERROR(VLOOKUP(May[[#This Row],[Drug Name4]],'Data Options'!$R$1:$S$100,2,FALSE), " ")</f>
        <v xml:space="preserve"> </v>
      </c>
      <c r="AT127" s="55"/>
      <c r="AU127" s="32"/>
      <c r="AV127" s="32"/>
      <c r="AW127" s="55"/>
      <c r="AX127" s="32"/>
      <c r="AY127" s="54"/>
      <c r="AZ127" s="21" t="str">
        <f>IFERROR(VLOOKUP(May[[#This Row],[Drug Name5]],'Data Options'!$R$1:$S$100,2,FALSE), " ")</f>
        <v xml:space="preserve"> </v>
      </c>
      <c r="BA127" s="55"/>
      <c r="BB127" s="32"/>
      <c r="BC127" s="32"/>
      <c r="BD127" s="55"/>
      <c r="BE127" s="32"/>
      <c r="BF127" s="54"/>
      <c r="BG127" s="21" t="str">
        <f>IFERROR(VLOOKUP(May[[#This Row],[Drug Name6]],'Data Options'!$R$1:$S$100,2,FALSE), " ")</f>
        <v xml:space="preserve"> </v>
      </c>
      <c r="BH127" s="55"/>
      <c r="BI127" s="32"/>
      <c r="BJ127" s="32"/>
      <c r="BK127" s="55"/>
      <c r="BL127" s="32"/>
      <c r="BM127" s="32"/>
      <c r="BN127" s="32"/>
      <c r="BO127" s="32"/>
      <c r="BP127" s="32"/>
      <c r="BQ127" s="31"/>
      <c r="BR127" s="31"/>
      <c r="BS127" s="54"/>
      <c r="BT127" s="21" t="str">
        <f>IFERROR(VLOOKUP(May[[#This Row],[Drug Name7]],'Data Options'!$R$1:$S$100,2,FALSE), " ")</f>
        <v xml:space="preserve"> </v>
      </c>
      <c r="BU127" s="55"/>
      <c r="BV127" s="32"/>
      <c r="BW127" s="32"/>
      <c r="BX127" s="55"/>
      <c r="BY127" s="32"/>
      <c r="BZ127" s="54"/>
      <c r="CA127" s="21" t="str">
        <f>IFERROR(VLOOKUP(May[[#This Row],[Drug Name8]],'Data Options'!$R$1:$S$100,2,FALSE), " ")</f>
        <v xml:space="preserve"> </v>
      </c>
      <c r="CB127" s="55"/>
      <c r="CC127" s="32"/>
      <c r="CD127" s="32"/>
      <c r="CE127" s="55"/>
      <c r="CF127" s="32"/>
      <c r="CG127" s="54"/>
      <c r="CH127" s="21" t="str">
        <f>IFERROR(VLOOKUP(May[[#This Row],[Drug Name9]],'Data Options'!$R$1:$S$100,2,FALSE), " ")</f>
        <v xml:space="preserve"> </v>
      </c>
      <c r="CI127" s="55"/>
      <c r="CJ127" s="32"/>
      <c r="CK127" s="32"/>
      <c r="CL127" s="55"/>
      <c r="CM127" s="32"/>
    </row>
    <row r="128" spans="1:91">
      <c r="A128" s="5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1"/>
      <c r="P128" s="31"/>
      <c r="Q128" s="54"/>
      <c r="R128" s="21" t="str">
        <f>IFERROR(VLOOKUP(May[[#This Row],[Drug Name]],'Data Options'!$R$1:$S$100,2,FALSE), " ")</f>
        <v xml:space="preserve"> </v>
      </c>
      <c r="S128" s="55"/>
      <c r="T128" s="32"/>
      <c r="U128" s="32"/>
      <c r="V128" s="55"/>
      <c r="W128" s="32"/>
      <c r="X128" s="54"/>
      <c r="Y128" s="21" t="str">
        <f>IFERROR(VLOOKUP(May[[#This Row],[Drug Name2]],'Data Options'!$R$1:$S$100,2,FALSE), " ")</f>
        <v xml:space="preserve"> </v>
      </c>
      <c r="Z128" s="55"/>
      <c r="AA128" s="32"/>
      <c r="AB128" s="32"/>
      <c r="AC128" s="55"/>
      <c r="AD128" s="32"/>
      <c r="AE128" s="54"/>
      <c r="AF128" s="21" t="str">
        <f>IFERROR(VLOOKUP(May[[#This Row],[Drug Name3]],'Data Options'!$R$1:$S$100,2,FALSE), " ")</f>
        <v xml:space="preserve"> </v>
      </c>
      <c r="AG128" s="55"/>
      <c r="AH128" s="32"/>
      <c r="AI128" s="32"/>
      <c r="AJ128" s="55"/>
      <c r="AK128" s="32"/>
      <c r="AL128" s="32"/>
      <c r="AM128" s="32"/>
      <c r="AN128" s="32"/>
      <c r="AO128" s="32"/>
      <c r="AP128" s="31"/>
      <c r="AQ128" s="31"/>
      <c r="AR128" s="54"/>
      <c r="AS128" s="21" t="str">
        <f>IFERROR(VLOOKUP(May[[#This Row],[Drug Name4]],'Data Options'!$R$1:$S$100,2,FALSE), " ")</f>
        <v xml:space="preserve"> </v>
      </c>
      <c r="AT128" s="55"/>
      <c r="AU128" s="32"/>
      <c r="AV128" s="32"/>
      <c r="AW128" s="55"/>
      <c r="AX128" s="32"/>
      <c r="AY128" s="54"/>
      <c r="AZ128" s="21" t="str">
        <f>IFERROR(VLOOKUP(May[[#This Row],[Drug Name5]],'Data Options'!$R$1:$S$100,2,FALSE), " ")</f>
        <v xml:space="preserve"> </v>
      </c>
      <c r="BA128" s="55"/>
      <c r="BB128" s="32"/>
      <c r="BC128" s="32"/>
      <c r="BD128" s="55"/>
      <c r="BE128" s="32"/>
      <c r="BF128" s="54"/>
      <c r="BG128" s="21" t="str">
        <f>IFERROR(VLOOKUP(May[[#This Row],[Drug Name6]],'Data Options'!$R$1:$S$100,2,FALSE), " ")</f>
        <v xml:space="preserve"> </v>
      </c>
      <c r="BH128" s="55"/>
      <c r="BI128" s="32"/>
      <c r="BJ128" s="32"/>
      <c r="BK128" s="55"/>
      <c r="BL128" s="32"/>
      <c r="BM128" s="32"/>
      <c r="BN128" s="32"/>
      <c r="BO128" s="32"/>
      <c r="BP128" s="32"/>
      <c r="BQ128" s="31"/>
      <c r="BR128" s="31"/>
      <c r="BS128" s="54"/>
      <c r="BT128" s="21" t="str">
        <f>IFERROR(VLOOKUP(May[[#This Row],[Drug Name7]],'Data Options'!$R$1:$S$100,2,FALSE), " ")</f>
        <v xml:space="preserve"> </v>
      </c>
      <c r="BU128" s="55"/>
      <c r="BV128" s="32"/>
      <c r="BW128" s="32"/>
      <c r="BX128" s="55"/>
      <c r="BY128" s="32"/>
      <c r="BZ128" s="54"/>
      <c r="CA128" s="21" t="str">
        <f>IFERROR(VLOOKUP(May[[#This Row],[Drug Name8]],'Data Options'!$R$1:$S$100,2,FALSE), " ")</f>
        <v xml:space="preserve"> </v>
      </c>
      <c r="CB128" s="55"/>
      <c r="CC128" s="32"/>
      <c r="CD128" s="32"/>
      <c r="CE128" s="55"/>
      <c r="CF128" s="32"/>
      <c r="CG128" s="54"/>
      <c r="CH128" s="21" t="str">
        <f>IFERROR(VLOOKUP(May[[#This Row],[Drug Name9]],'Data Options'!$R$1:$S$100,2,FALSE), " ")</f>
        <v xml:space="preserve"> </v>
      </c>
      <c r="CI128" s="55"/>
      <c r="CJ128" s="32"/>
      <c r="CK128" s="32"/>
      <c r="CL128" s="55"/>
      <c r="CM128" s="32"/>
    </row>
    <row r="129" spans="1:91">
      <c r="A129" s="5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1"/>
      <c r="P129" s="31"/>
      <c r="Q129" s="54"/>
      <c r="R129" s="21" t="str">
        <f>IFERROR(VLOOKUP(May[[#This Row],[Drug Name]],'Data Options'!$R$1:$S$100,2,FALSE), " ")</f>
        <v xml:space="preserve"> </v>
      </c>
      <c r="S129" s="55"/>
      <c r="T129" s="32"/>
      <c r="U129" s="32"/>
      <c r="V129" s="55"/>
      <c r="W129" s="32"/>
      <c r="X129" s="54"/>
      <c r="Y129" s="21" t="str">
        <f>IFERROR(VLOOKUP(May[[#This Row],[Drug Name2]],'Data Options'!$R$1:$S$100,2,FALSE), " ")</f>
        <v xml:space="preserve"> </v>
      </c>
      <c r="Z129" s="55"/>
      <c r="AA129" s="32"/>
      <c r="AB129" s="32"/>
      <c r="AC129" s="55"/>
      <c r="AD129" s="32"/>
      <c r="AE129" s="54"/>
      <c r="AF129" s="21" t="str">
        <f>IFERROR(VLOOKUP(May[[#This Row],[Drug Name3]],'Data Options'!$R$1:$S$100,2,FALSE), " ")</f>
        <v xml:space="preserve"> </v>
      </c>
      <c r="AG129" s="55"/>
      <c r="AH129" s="32"/>
      <c r="AI129" s="32"/>
      <c r="AJ129" s="55"/>
      <c r="AK129" s="32"/>
      <c r="AL129" s="32"/>
      <c r="AM129" s="32"/>
      <c r="AN129" s="32"/>
      <c r="AO129" s="32"/>
      <c r="AP129" s="31"/>
      <c r="AQ129" s="31"/>
      <c r="AR129" s="54"/>
      <c r="AS129" s="21" t="str">
        <f>IFERROR(VLOOKUP(May[[#This Row],[Drug Name4]],'Data Options'!$R$1:$S$100,2,FALSE), " ")</f>
        <v xml:space="preserve"> </v>
      </c>
      <c r="AT129" s="55"/>
      <c r="AU129" s="32"/>
      <c r="AV129" s="32"/>
      <c r="AW129" s="55"/>
      <c r="AX129" s="32"/>
      <c r="AY129" s="54"/>
      <c r="AZ129" s="21" t="str">
        <f>IFERROR(VLOOKUP(May[[#This Row],[Drug Name5]],'Data Options'!$R$1:$S$100,2,FALSE), " ")</f>
        <v xml:space="preserve"> </v>
      </c>
      <c r="BA129" s="55"/>
      <c r="BB129" s="32"/>
      <c r="BC129" s="32"/>
      <c r="BD129" s="55"/>
      <c r="BE129" s="32"/>
      <c r="BF129" s="54"/>
      <c r="BG129" s="21" t="str">
        <f>IFERROR(VLOOKUP(May[[#This Row],[Drug Name6]],'Data Options'!$R$1:$S$100,2,FALSE), " ")</f>
        <v xml:space="preserve"> </v>
      </c>
      <c r="BH129" s="55"/>
      <c r="BI129" s="32"/>
      <c r="BJ129" s="32"/>
      <c r="BK129" s="55"/>
      <c r="BL129" s="32"/>
      <c r="BM129" s="32"/>
      <c r="BN129" s="32"/>
      <c r="BO129" s="32"/>
      <c r="BP129" s="32"/>
      <c r="BQ129" s="31"/>
      <c r="BR129" s="31"/>
      <c r="BS129" s="54"/>
      <c r="BT129" s="21" t="str">
        <f>IFERROR(VLOOKUP(May[[#This Row],[Drug Name7]],'Data Options'!$R$1:$S$100,2,FALSE), " ")</f>
        <v xml:space="preserve"> </v>
      </c>
      <c r="BU129" s="55"/>
      <c r="BV129" s="32"/>
      <c r="BW129" s="32"/>
      <c r="BX129" s="55"/>
      <c r="BY129" s="32"/>
      <c r="BZ129" s="54"/>
      <c r="CA129" s="21" t="str">
        <f>IFERROR(VLOOKUP(May[[#This Row],[Drug Name8]],'Data Options'!$R$1:$S$100,2,FALSE), " ")</f>
        <v xml:space="preserve"> </v>
      </c>
      <c r="CB129" s="55"/>
      <c r="CC129" s="32"/>
      <c r="CD129" s="32"/>
      <c r="CE129" s="55"/>
      <c r="CF129" s="32"/>
      <c r="CG129" s="54"/>
      <c r="CH129" s="21" t="str">
        <f>IFERROR(VLOOKUP(May[[#This Row],[Drug Name9]],'Data Options'!$R$1:$S$100,2,FALSE), " ")</f>
        <v xml:space="preserve"> </v>
      </c>
      <c r="CI129" s="55"/>
      <c r="CJ129" s="32"/>
      <c r="CK129" s="32"/>
      <c r="CL129" s="55"/>
      <c r="CM129" s="32"/>
    </row>
    <row r="130" spans="1:91">
      <c r="A130" s="5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1"/>
      <c r="P130" s="31"/>
      <c r="Q130" s="54"/>
      <c r="R130" s="21" t="str">
        <f>IFERROR(VLOOKUP(May[[#This Row],[Drug Name]],'Data Options'!$R$1:$S$100,2,FALSE), " ")</f>
        <v xml:space="preserve"> </v>
      </c>
      <c r="S130" s="55"/>
      <c r="T130" s="32"/>
      <c r="U130" s="32"/>
      <c r="V130" s="55"/>
      <c r="W130" s="32"/>
      <c r="X130" s="54"/>
      <c r="Y130" s="21" t="str">
        <f>IFERROR(VLOOKUP(May[[#This Row],[Drug Name2]],'Data Options'!$R$1:$S$100,2,FALSE), " ")</f>
        <v xml:space="preserve"> </v>
      </c>
      <c r="Z130" s="55"/>
      <c r="AA130" s="32"/>
      <c r="AB130" s="32"/>
      <c r="AC130" s="55"/>
      <c r="AD130" s="32"/>
      <c r="AE130" s="54"/>
      <c r="AF130" s="21" t="str">
        <f>IFERROR(VLOOKUP(May[[#This Row],[Drug Name3]],'Data Options'!$R$1:$S$100,2,FALSE), " ")</f>
        <v xml:space="preserve"> </v>
      </c>
      <c r="AG130" s="55"/>
      <c r="AH130" s="32"/>
      <c r="AI130" s="32"/>
      <c r="AJ130" s="55"/>
      <c r="AK130" s="32"/>
      <c r="AL130" s="32"/>
      <c r="AM130" s="32"/>
      <c r="AN130" s="32"/>
      <c r="AO130" s="32"/>
      <c r="AP130" s="31"/>
      <c r="AQ130" s="31"/>
      <c r="AR130" s="54"/>
      <c r="AS130" s="21" t="str">
        <f>IFERROR(VLOOKUP(May[[#This Row],[Drug Name4]],'Data Options'!$R$1:$S$100,2,FALSE), " ")</f>
        <v xml:space="preserve"> </v>
      </c>
      <c r="AT130" s="55"/>
      <c r="AU130" s="32"/>
      <c r="AV130" s="32"/>
      <c r="AW130" s="55"/>
      <c r="AX130" s="32"/>
      <c r="AY130" s="54"/>
      <c r="AZ130" s="21" t="str">
        <f>IFERROR(VLOOKUP(May[[#This Row],[Drug Name5]],'Data Options'!$R$1:$S$100,2,FALSE), " ")</f>
        <v xml:space="preserve"> </v>
      </c>
      <c r="BA130" s="55"/>
      <c r="BB130" s="32"/>
      <c r="BC130" s="32"/>
      <c r="BD130" s="55"/>
      <c r="BE130" s="32"/>
      <c r="BF130" s="54"/>
      <c r="BG130" s="21" t="str">
        <f>IFERROR(VLOOKUP(May[[#This Row],[Drug Name6]],'Data Options'!$R$1:$S$100,2,FALSE), " ")</f>
        <v xml:space="preserve"> </v>
      </c>
      <c r="BH130" s="55"/>
      <c r="BI130" s="32"/>
      <c r="BJ130" s="32"/>
      <c r="BK130" s="55"/>
      <c r="BL130" s="32"/>
      <c r="BM130" s="32"/>
      <c r="BN130" s="32"/>
      <c r="BO130" s="32"/>
      <c r="BP130" s="32"/>
      <c r="BQ130" s="31"/>
      <c r="BR130" s="31"/>
      <c r="BS130" s="54"/>
      <c r="BT130" s="21" t="str">
        <f>IFERROR(VLOOKUP(May[[#This Row],[Drug Name7]],'Data Options'!$R$1:$S$100,2,FALSE), " ")</f>
        <v xml:space="preserve"> </v>
      </c>
      <c r="BU130" s="55"/>
      <c r="BV130" s="32"/>
      <c r="BW130" s="32"/>
      <c r="BX130" s="55"/>
      <c r="BY130" s="32"/>
      <c r="BZ130" s="54"/>
      <c r="CA130" s="21" t="str">
        <f>IFERROR(VLOOKUP(May[[#This Row],[Drug Name8]],'Data Options'!$R$1:$S$100,2,FALSE), " ")</f>
        <v xml:space="preserve"> </v>
      </c>
      <c r="CB130" s="55"/>
      <c r="CC130" s="32"/>
      <c r="CD130" s="32"/>
      <c r="CE130" s="55"/>
      <c r="CF130" s="32"/>
      <c r="CG130" s="54"/>
      <c r="CH130" s="21" t="str">
        <f>IFERROR(VLOOKUP(May[[#This Row],[Drug Name9]],'Data Options'!$R$1:$S$100,2,FALSE), " ")</f>
        <v xml:space="preserve"> </v>
      </c>
      <c r="CI130" s="55"/>
      <c r="CJ130" s="32"/>
      <c r="CK130" s="32"/>
      <c r="CL130" s="55"/>
      <c r="CM130" s="32"/>
    </row>
    <row r="131" spans="1:91">
      <c r="A131" s="5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1"/>
      <c r="P131" s="31"/>
      <c r="Q131" s="54"/>
      <c r="R131" s="21" t="str">
        <f>IFERROR(VLOOKUP(May[[#This Row],[Drug Name]],'Data Options'!$R$1:$S$100,2,FALSE), " ")</f>
        <v xml:space="preserve"> </v>
      </c>
      <c r="S131" s="55"/>
      <c r="T131" s="32"/>
      <c r="U131" s="32"/>
      <c r="V131" s="55"/>
      <c r="W131" s="32"/>
      <c r="X131" s="54"/>
      <c r="Y131" s="21" t="str">
        <f>IFERROR(VLOOKUP(May[[#This Row],[Drug Name2]],'Data Options'!$R$1:$S$100,2,FALSE), " ")</f>
        <v xml:space="preserve"> </v>
      </c>
      <c r="Z131" s="55"/>
      <c r="AA131" s="32"/>
      <c r="AB131" s="32"/>
      <c r="AC131" s="55"/>
      <c r="AD131" s="32"/>
      <c r="AE131" s="54"/>
      <c r="AF131" s="21" t="str">
        <f>IFERROR(VLOOKUP(May[[#This Row],[Drug Name3]],'Data Options'!$R$1:$S$100,2,FALSE), " ")</f>
        <v xml:space="preserve"> </v>
      </c>
      <c r="AG131" s="55"/>
      <c r="AH131" s="32"/>
      <c r="AI131" s="32"/>
      <c r="AJ131" s="55"/>
      <c r="AK131" s="32"/>
      <c r="AL131" s="32"/>
      <c r="AM131" s="32"/>
      <c r="AN131" s="32"/>
      <c r="AO131" s="32"/>
      <c r="AP131" s="31"/>
      <c r="AQ131" s="31"/>
      <c r="AR131" s="54"/>
      <c r="AS131" s="21" t="str">
        <f>IFERROR(VLOOKUP(May[[#This Row],[Drug Name4]],'Data Options'!$R$1:$S$100,2,FALSE), " ")</f>
        <v xml:space="preserve"> </v>
      </c>
      <c r="AT131" s="55"/>
      <c r="AU131" s="32"/>
      <c r="AV131" s="32"/>
      <c r="AW131" s="55"/>
      <c r="AX131" s="32"/>
      <c r="AY131" s="54"/>
      <c r="AZ131" s="21" t="str">
        <f>IFERROR(VLOOKUP(May[[#This Row],[Drug Name5]],'Data Options'!$R$1:$S$100,2,FALSE), " ")</f>
        <v xml:space="preserve"> </v>
      </c>
      <c r="BA131" s="55"/>
      <c r="BB131" s="32"/>
      <c r="BC131" s="32"/>
      <c r="BD131" s="55"/>
      <c r="BE131" s="32"/>
      <c r="BF131" s="54"/>
      <c r="BG131" s="21" t="str">
        <f>IFERROR(VLOOKUP(May[[#This Row],[Drug Name6]],'Data Options'!$R$1:$S$100,2,FALSE), " ")</f>
        <v xml:space="preserve"> </v>
      </c>
      <c r="BH131" s="55"/>
      <c r="BI131" s="32"/>
      <c r="BJ131" s="32"/>
      <c r="BK131" s="55"/>
      <c r="BL131" s="32"/>
      <c r="BM131" s="32"/>
      <c r="BN131" s="32"/>
      <c r="BO131" s="32"/>
      <c r="BP131" s="32"/>
      <c r="BQ131" s="31"/>
      <c r="BR131" s="31"/>
      <c r="BS131" s="54"/>
      <c r="BT131" s="21" t="str">
        <f>IFERROR(VLOOKUP(May[[#This Row],[Drug Name7]],'Data Options'!$R$1:$S$100,2,FALSE), " ")</f>
        <v xml:space="preserve"> </v>
      </c>
      <c r="BU131" s="55"/>
      <c r="BV131" s="32"/>
      <c r="BW131" s="32"/>
      <c r="BX131" s="55"/>
      <c r="BY131" s="32"/>
      <c r="BZ131" s="54"/>
      <c r="CA131" s="21" t="str">
        <f>IFERROR(VLOOKUP(May[[#This Row],[Drug Name8]],'Data Options'!$R$1:$S$100,2,FALSE), " ")</f>
        <v xml:space="preserve"> </v>
      </c>
      <c r="CB131" s="55"/>
      <c r="CC131" s="32"/>
      <c r="CD131" s="32"/>
      <c r="CE131" s="55"/>
      <c r="CF131" s="32"/>
      <c r="CG131" s="54"/>
      <c r="CH131" s="21" t="str">
        <f>IFERROR(VLOOKUP(May[[#This Row],[Drug Name9]],'Data Options'!$R$1:$S$100,2,FALSE), " ")</f>
        <v xml:space="preserve"> </v>
      </c>
      <c r="CI131" s="55"/>
      <c r="CJ131" s="32"/>
      <c r="CK131" s="32"/>
      <c r="CL131" s="55"/>
      <c r="CM131" s="32"/>
    </row>
    <row r="132" spans="1:91">
      <c r="A132" s="5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1"/>
      <c r="P132" s="31"/>
      <c r="Q132" s="54"/>
      <c r="R132" s="21" t="str">
        <f>IFERROR(VLOOKUP(May[[#This Row],[Drug Name]],'Data Options'!$R$1:$S$100,2,FALSE), " ")</f>
        <v xml:space="preserve"> </v>
      </c>
      <c r="S132" s="55"/>
      <c r="T132" s="32"/>
      <c r="U132" s="32"/>
      <c r="V132" s="55"/>
      <c r="W132" s="32"/>
      <c r="X132" s="54"/>
      <c r="Y132" s="21" t="str">
        <f>IFERROR(VLOOKUP(May[[#This Row],[Drug Name2]],'Data Options'!$R$1:$S$100,2,FALSE), " ")</f>
        <v xml:space="preserve"> </v>
      </c>
      <c r="Z132" s="55"/>
      <c r="AA132" s="32"/>
      <c r="AB132" s="32"/>
      <c r="AC132" s="55"/>
      <c r="AD132" s="32"/>
      <c r="AE132" s="54"/>
      <c r="AF132" s="21" t="str">
        <f>IFERROR(VLOOKUP(May[[#This Row],[Drug Name3]],'Data Options'!$R$1:$S$100,2,FALSE), " ")</f>
        <v xml:space="preserve"> </v>
      </c>
      <c r="AG132" s="55"/>
      <c r="AH132" s="32"/>
      <c r="AI132" s="32"/>
      <c r="AJ132" s="55"/>
      <c r="AK132" s="32"/>
      <c r="AL132" s="32"/>
      <c r="AM132" s="32"/>
      <c r="AN132" s="32"/>
      <c r="AO132" s="32"/>
      <c r="AP132" s="31"/>
      <c r="AQ132" s="31"/>
      <c r="AR132" s="54"/>
      <c r="AS132" s="21" t="str">
        <f>IFERROR(VLOOKUP(May[[#This Row],[Drug Name4]],'Data Options'!$R$1:$S$100,2,FALSE), " ")</f>
        <v xml:space="preserve"> </v>
      </c>
      <c r="AT132" s="55"/>
      <c r="AU132" s="32"/>
      <c r="AV132" s="32"/>
      <c r="AW132" s="55"/>
      <c r="AX132" s="32"/>
      <c r="AY132" s="54"/>
      <c r="AZ132" s="21" t="str">
        <f>IFERROR(VLOOKUP(May[[#This Row],[Drug Name5]],'Data Options'!$R$1:$S$100,2,FALSE), " ")</f>
        <v xml:space="preserve"> </v>
      </c>
      <c r="BA132" s="55"/>
      <c r="BB132" s="32"/>
      <c r="BC132" s="32"/>
      <c r="BD132" s="55"/>
      <c r="BE132" s="32"/>
      <c r="BF132" s="54"/>
      <c r="BG132" s="21" t="str">
        <f>IFERROR(VLOOKUP(May[[#This Row],[Drug Name6]],'Data Options'!$R$1:$S$100,2,FALSE), " ")</f>
        <v xml:space="preserve"> </v>
      </c>
      <c r="BH132" s="55"/>
      <c r="BI132" s="32"/>
      <c r="BJ132" s="32"/>
      <c r="BK132" s="55"/>
      <c r="BL132" s="32"/>
      <c r="BM132" s="32"/>
      <c r="BN132" s="32"/>
      <c r="BO132" s="32"/>
      <c r="BP132" s="32"/>
      <c r="BQ132" s="31"/>
      <c r="BR132" s="31"/>
      <c r="BS132" s="54"/>
      <c r="BT132" s="21" t="str">
        <f>IFERROR(VLOOKUP(May[[#This Row],[Drug Name7]],'Data Options'!$R$1:$S$100,2,FALSE), " ")</f>
        <v xml:space="preserve"> </v>
      </c>
      <c r="BU132" s="55"/>
      <c r="BV132" s="32"/>
      <c r="BW132" s="32"/>
      <c r="BX132" s="55"/>
      <c r="BY132" s="32"/>
      <c r="BZ132" s="54"/>
      <c r="CA132" s="21" t="str">
        <f>IFERROR(VLOOKUP(May[[#This Row],[Drug Name8]],'Data Options'!$R$1:$S$100,2,FALSE), " ")</f>
        <v xml:space="preserve"> </v>
      </c>
      <c r="CB132" s="55"/>
      <c r="CC132" s="32"/>
      <c r="CD132" s="32"/>
      <c r="CE132" s="55"/>
      <c r="CF132" s="32"/>
      <c r="CG132" s="54"/>
      <c r="CH132" s="21" t="str">
        <f>IFERROR(VLOOKUP(May[[#This Row],[Drug Name9]],'Data Options'!$R$1:$S$100,2,FALSE), " ")</f>
        <v xml:space="preserve"> </v>
      </c>
      <c r="CI132" s="55"/>
      <c r="CJ132" s="32"/>
      <c r="CK132" s="32"/>
      <c r="CL132" s="55"/>
      <c r="CM132" s="32"/>
    </row>
    <row r="133" spans="1:91">
      <c r="A133" s="5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54"/>
      <c r="R133" s="21" t="str">
        <f>IFERROR(VLOOKUP(May[[#This Row],[Drug Name]],'Data Options'!$R$1:$S$100,2,FALSE), " ")</f>
        <v xml:space="preserve"> </v>
      </c>
      <c r="S133" s="55"/>
      <c r="T133" s="32"/>
      <c r="U133" s="32"/>
      <c r="V133" s="55"/>
      <c r="W133" s="32"/>
      <c r="X133" s="54"/>
      <c r="Y133" s="21" t="str">
        <f>IFERROR(VLOOKUP(May[[#This Row],[Drug Name2]],'Data Options'!$R$1:$S$100,2,FALSE), " ")</f>
        <v xml:space="preserve"> </v>
      </c>
      <c r="Z133" s="55"/>
      <c r="AA133" s="32"/>
      <c r="AB133" s="32"/>
      <c r="AC133" s="55"/>
      <c r="AD133" s="32"/>
      <c r="AE133" s="54"/>
      <c r="AF133" s="21" t="str">
        <f>IFERROR(VLOOKUP(May[[#This Row],[Drug Name3]],'Data Options'!$R$1:$S$100,2,FALSE), " ")</f>
        <v xml:space="preserve"> </v>
      </c>
      <c r="AG133" s="55"/>
      <c r="AH133" s="32"/>
      <c r="AI133" s="32"/>
      <c r="AJ133" s="55"/>
      <c r="AK133" s="32"/>
      <c r="AL133" s="32"/>
      <c r="AM133" s="32"/>
      <c r="AN133" s="32"/>
      <c r="AO133" s="32"/>
      <c r="AP133" s="31"/>
      <c r="AQ133" s="31"/>
      <c r="AR133" s="54"/>
      <c r="AS133" s="21" t="str">
        <f>IFERROR(VLOOKUP(May[[#This Row],[Drug Name4]],'Data Options'!$R$1:$S$100,2,FALSE), " ")</f>
        <v xml:space="preserve"> </v>
      </c>
      <c r="AT133" s="55"/>
      <c r="AU133" s="32"/>
      <c r="AV133" s="32"/>
      <c r="AW133" s="55"/>
      <c r="AX133" s="32"/>
      <c r="AY133" s="54"/>
      <c r="AZ133" s="21" t="str">
        <f>IFERROR(VLOOKUP(May[[#This Row],[Drug Name5]],'Data Options'!$R$1:$S$100,2,FALSE), " ")</f>
        <v xml:space="preserve"> </v>
      </c>
      <c r="BA133" s="55"/>
      <c r="BB133" s="32"/>
      <c r="BC133" s="32"/>
      <c r="BD133" s="55"/>
      <c r="BE133" s="32"/>
      <c r="BF133" s="54"/>
      <c r="BG133" s="21" t="str">
        <f>IFERROR(VLOOKUP(May[[#This Row],[Drug Name6]],'Data Options'!$R$1:$S$100,2,FALSE), " ")</f>
        <v xml:space="preserve"> </v>
      </c>
      <c r="BH133" s="55"/>
      <c r="BI133" s="32"/>
      <c r="BJ133" s="32"/>
      <c r="BK133" s="55"/>
      <c r="BL133" s="32"/>
      <c r="BM133" s="32"/>
      <c r="BN133" s="32"/>
      <c r="BO133" s="32"/>
      <c r="BP133" s="32"/>
      <c r="BQ133" s="31"/>
      <c r="BR133" s="31"/>
      <c r="BS133" s="54"/>
      <c r="BT133" s="21" t="str">
        <f>IFERROR(VLOOKUP(May[[#This Row],[Drug Name7]],'Data Options'!$R$1:$S$100,2,FALSE), " ")</f>
        <v xml:space="preserve"> </v>
      </c>
      <c r="BU133" s="55"/>
      <c r="BV133" s="32"/>
      <c r="BW133" s="32"/>
      <c r="BX133" s="55"/>
      <c r="BY133" s="32"/>
      <c r="BZ133" s="54"/>
      <c r="CA133" s="21" t="str">
        <f>IFERROR(VLOOKUP(May[[#This Row],[Drug Name8]],'Data Options'!$R$1:$S$100,2,FALSE), " ")</f>
        <v xml:space="preserve"> </v>
      </c>
      <c r="CB133" s="55"/>
      <c r="CC133" s="32"/>
      <c r="CD133" s="32"/>
      <c r="CE133" s="55"/>
      <c r="CF133" s="32"/>
      <c r="CG133" s="54"/>
      <c r="CH133" s="21" t="str">
        <f>IFERROR(VLOOKUP(May[[#This Row],[Drug Name9]],'Data Options'!$R$1:$S$100,2,FALSE), " ")</f>
        <v xml:space="preserve"> </v>
      </c>
      <c r="CI133" s="55"/>
      <c r="CJ133" s="32"/>
      <c r="CK133" s="32"/>
      <c r="CL133" s="55"/>
      <c r="CM133" s="32"/>
    </row>
    <row r="134" spans="1:91">
      <c r="A134" s="5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54"/>
      <c r="R134" s="21" t="str">
        <f>IFERROR(VLOOKUP(May[[#This Row],[Drug Name]],'Data Options'!$R$1:$S$100,2,FALSE), " ")</f>
        <v xml:space="preserve"> </v>
      </c>
      <c r="S134" s="55"/>
      <c r="T134" s="32"/>
      <c r="U134" s="32"/>
      <c r="V134" s="55"/>
      <c r="W134" s="32"/>
      <c r="X134" s="54"/>
      <c r="Y134" s="21" t="str">
        <f>IFERROR(VLOOKUP(May[[#This Row],[Drug Name2]],'Data Options'!$R$1:$S$100,2,FALSE), " ")</f>
        <v xml:space="preserve"> </v>
      </c>
      <c r="Z134" s="55"/>
      <c r="AA134" s="32"/>
      <c r="AB134" s="32"/>
      <c r="AC134" s="55"/>
      <c r="AD134" s="32"/>
      <c r="AE134" s="54"/>
      <c r="AF134" s="21" t="str">
        <f>IFERROR(VLOOKUP(May[[#This Row],[Drug Name3]],'Data Options'!$R$1:$S$100,2,FALSE), " ")</f>
        <v xml:space="preserve"> </v>
      </c>
      <c r="AG134" s="55"/>
      <c r="AH134" s="32"/>
      <c r="AI134" s="32"/>
      <c r="AJ134" s="55"/>
      <c r="AK134" s="32"/>
      <c r="AL134" s="32"/>
      <c r="AM134" s="32"/>
      <c r="AN134" s="32"/>
      <c r="AO134" s="32"/>
      <c r="AP134" s="31"/>
      <c r="AQ134" s="31"/>
      <c r="AR134" s="54"/>
      <c r="AS134" s="21" t="str">
        <f>IFERROR(VLOOKUP(May[[#This Row],[Drug Name4]],'Data Options'!$R$1:$S$100,2,FALSE), " ")</f>
        <v xml:space="preserve"> </v>
      </c>
      <c r="AT134" s="55"/>
      <c r="AU134" s="32"/>
      <c r="AV134" s="32"/>
      <c r="AW134" s="55"/>
      <c r="AX134" s="32"/>
      <c r="AY134" s="54"/>
      <c r="AZ134" s="21" t="str">
        <f>IFERROR(VLOOKUP(May[[#This Row],[Drug Name5]],'Data Options'!$R$1:$S$100,2,FALSE), " ")</f>
        <v xml:space="preserve"> </v>
      </c>
      <c r="BA134" s="55"/>
      <c r="BB134" s="32"/>
      <c r="BC134" s="32"/>
      <c r="BD134" s="55"/>
      <c r="BE134" s="32"/>
      <c r="BF134" s="54"/>
      <c r="BG134" s="21" t="str">
        <f>IFERROR(VLOOKUP(May[[#This Row],[Drug Name6]],'Data Options'!$R$1:$S$100,2,FALSE), " ")</f>
        <v xml:space="preserve"> </v>
      </c>
      <c r="BH134" s="55"/>
      <c r="BI134" s="32"/>
      <c r="BJ134" s="32"/>
      <c r="BK134" s="55"/>
      <c r="BL134" s="32"/>
      <c r="BM134" s="32"/>
      <c r="BN134" s="32"/>
      <c r="BO134" s="32"/>
      <c r="BP134" s="32"/>
      <c r="BQ134" s="31"/>
      <c r="BR134" s="31"/>
      <c r="BS134" s="54"/>
      <c r="BT134" s="21" t="str">
        <f>IFERROR(VLOOKUP(May[[#This Row],[Drug Name7]],'Data Options'!$R$1:$S$100,2,FALSE), " ")</f>
        <v xml:space="preserve"> </v>
      </c>
      <c r="BU134" s="55"/>
      <c r="BV134" s="32"/>
      <c r="BW134" s="32"/>
      <c r="BX134" s="55"/>
      <c r="BY134" s="32"/>
      <c r="BZ134" s="54"/>
      <c r="CA134" s="21" t="str">
        <f>IFERROR(VLOOKUP(May[[#This Row],[Drug Name8]],'Data Options'!$R$1:$S$100,2,FALSE), " ")</f>
        <v xml:space="preserve"> </v>
      </c>
      <c r="CB134" s="55"/>
      <c r="CC134" s="32"/>
      <c r="CD134" s="32"/>
      <c r="CE134" s="55"/>
      <c r="CF134" s="32"/>
      <c r="CG134" s="54"/>
      <c r="CH134" s="21" t="str">
        <f>IFERROR(VLOOKUP(May[[#This Row],[Drug Name9]],'Data Options'!$R$1:$S$100,2,FALSE), " ")</f>
        <v xml:space="preserve"> </v>
      </c>
      <c r="CI134" s="55"/>
      <c r="CJ134" s="32"/>
      <c r="CK134" s="32"/>
      <c r="CL134" s="55"/>
      <c r="CM134" s="32"/>
    </row>
    <row r="135" spans="1:91">
      <c r="A135" s="5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1"/>
      <c r="P135" s="31"/>
      <c r="Q135" s="54"/>
      <c r="R135" s="21" t="str">
        <f>IFERROR(VLOOKUP(May[[#This Row],[Drug Name]],'Data Options'!$R$1:$S$100,2,FALSE), " ")</f>
        <v xml:space="preserve"> </v>
      </c>
      <c r="S135" s="55"/>
      <c r="T135" s="32"/>
      <c r="U135" s="32"/>
      <c r="V135" s="55"/>
      <c r="W135" s="32"/>
      <c r="X135" s="54"/>
      <c r="Y135" s="21" t="str">
        <f>IFERROR(VLOOKUP(May[[#This Row],[Drug Name2]],'Data Options'!$R$1:$S$100,2,FALSE), " ")</f>
        <v xml:space="preserve"> </v>
      </c>
      <c r="Z135" s="55"/>
      <c r="AA135" s="32"/>
      <c r="AB135" s="32"/>
      <c r="AC135" s="55"/>
      <c r="AD135" s="32"/>
      <c r="AE135" s="54"/>
      <c r="AF135" s="21" t="str">
        <f>IFERROR(VLOOKUP(May[[#This Row],[Drug Name3]],'Data Options'!$R$1:$S$100,2,FALSE), " ")</f>
        <v xml:space="preserve"> </v>
      </c>
      <c r="AG135" s="55"/>
      <c r="AH135" s="32"/>
      <c r="AI135" s="32"/>
      <c r="AJ135" s="55"/>
      <c r="AK135" s="32"/>
      <c r="AL135" s="32"/>
      <c r="AM135" s="32"/>
      <c r="AN135" s="32"/>
      <c r="AO135" s="32"/>
      <c r="AP135" s="31"/>
      <c r="AQ135" s="31"/>
      <c r="AR135" s="54"/>
      <c r="AS135" s="21" t="str">
        <f>IFERROR(VLOOKUP(May[[#This Row],[Drug Name4]],'Data Options'!$R$1:$S$100,2,FALSE), " ")</f>
        <v xml:space="preserve"> </v>
      </c>
      <c r="AT135" s="55"/>
      <c r="AU135" s="32"/>
      <c r="AV135" s="32"/>
      <c r="AW135" s="55"/>
      <c r="AX135" s="32"/>
      <c r="AY135" s="54"/>
      <c r="AZ135" s="21" t="str">
        <f>IFERROR(VLOOKUP(May[[#This Row],[Drug Name5]],'Data Options'!$R$1:$S$100,2,FALSE), " ")</f>
        <v xml:space="preserve"> </v>
      </c>
      <c r="BA135" s="55"/>
      <c r="BB135" s="32"/>
      <c r="BC135" s="32"/>
      <c r="BD135" s="55"/>
      <c r="BE135" s="32"/>
      <c r="BF135" s="54"/>
      <c r="BG135" s="21" t="str">
        <f>IFERROR(VLOOKUP(May[[#This Row],[Drug Name6]],'Data Options'!$R$1:$S$100,2,FALSE), " ")</f>
        <v xml:space="preserve"> </v>
      </c>
      <c r="BH135" s="55"/>
      <c r="BI135" s="32"/>
      <c r="BJ135" s="32"/>
      <c r="BK135" s="55"/>
      <c r="BL135" s="32"/>
      <c r="BM135" s="32"/>
      <c r="BN135" s="32"/>
      <c r="BO135" s="32"/>
      <c r="BP135" s="32"/>
      <c r="BQ135" s="31"/>
      <c r="BR135" s="31"/>
      <c r="BS135" s="54"/>
      <c r="BT135" s="21" t="str">
        <f>IFERROR(VLOOKUP(May[[#This Row],[Drug Name7]],'Data Options'!$R$1:$S$100,2,FALSE), " ")</f>
        <v xml:space="preserve"> </v>
      </c>
      <c r="BU135" s="55"/>
      <c r="BV135" s="32"/>
      <c r="BW135" s="32"/>
      <c r="BX135" s="55"/>
      <c r="BY135" s="32"/>
      <c r="BZ135" s="54"/>
      <c r="CA135" s="21" t="str">
        <f>IFERROR(VLOOKUP(May[[#This Row],[Drug Name8]],'Data Options'!$R$1:$S$100,2,FALSE), " ")</f>
        <v xml:space="preserve"> </v>
      </c>
      <c r="CB135" s="55"/>
      <c r="CC135" s="32"/>
      <c r="CD135" s="32"/>
      <c r="CE135" s="55"/>
      <c r="CF135" s="32"/>
      <c r="CG135" s="54"/>
      <c r="CH135" s="21" t="str">
        <f>IFERROR(VLOOKUP(May[[#This Row],[Drug Name9]],'Data Options'!$R$1:$S$100,2,FALSE), " ")</f>
        <v xml:space="preserve"> </v>
      </c>
      <c r="CI135" s="55"/>
      <c r="CJ135" s="32"/>
      <c r="CK135" s="32"/>
      <c r="CL135" s="55"/>
      <c r="CM135" s="32"/>
    </row>
    <row r="136" spans="1:91">
      <c r="A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1"/>
      <c r="P136" s="31"/>
      <c r="Q136" s="54"/>
      <c r="R136" s="21" t="str">
        <f>IFERROR(VLOOKUP(May[[#This Row],[Drug Name]],'Data Options'!$R$1:$S$100,2,FALSE), " ")</f>
        <v xml:space="preserve"> </v>
      </c>
      <c r="S136" s="55"/>
      <c r="T136" s="32"/>
      <c r="U136" s="32"/>
      <c r="V136" s="55"/>
      <c r="W136" s="32"/>
      <c r="X136" s="54"/>
      <c r="Y136" s="21" t="str">
        <f>IFERROR(VLOOKUP(May[[#This Row],[Drug Name2]],'Data Options'!$R$1:$S$100,2,FALSE), " ")</f>
        <v xml:space="preserve"> </v>
      </c>
      <c r="Z136" s="55"/>
      <c r="AA136" s="32"/>
      <c r="AB136" s="32"/>
      <c r="AC136" s="55"/>
      <c r="AD136" s="32"/>
      <c r="AE136" s="54"/>
      <c r="AF136" s="21" t="str">
        <f>IFERROR(VLOOKUP(May[[#This Row],[Drug Name3]],'Data Options'!$R$1:$S$100,2,FALSE), " ")</f>
        <v xml:space="preserve"> </v>
      </c>
      <c r="AG136" s="55"/>
      <c r="AH136" s="32"/>
      <c r="AI136" s="32"/>
      <c r="AJ136" s="55"/>
      <c r="AK136" s="32"/>
      <c r="AL136" s="32"/>
      <c r="AM136" s="32"/>
      <c r="AN136" s="32"/>
      <c r="AO136" s="32"/>
      <c r="AP136" s="31"/>
      <c r="AQ136" s="31"/>
      <c r="AR136" s="54"/>
      <c r="AS136" s="21" t="str">
        <f>IFERROR(VLOOKUP(May[[#This Row],[Drug Name4]],'Data Options'!$R$1:$S$100,2,FALSE), " ")</f>
        <v xml:space="preserve"> </v>
      </c>
      <c r="AT136" s="55"/>
      <c r="AU136" s="32"/>
      <c r="AV136" s="32"/>
      <c r="AW136" s="55"/>
      <c r="AX136" s="32"/>
      <c r="AY136" s="54"/>
      <c r="AZ136" s="21" t="str">
        <f>IFERROR(VLOOKUP(May[[#This Row],[Drug Name5]],'Data Options'!$R$1:$S$100,2,FALSE), " ")</f>
        <v xml:space="preserve"> </v>
      </c>
      <c r="BA136" s="55"/>
      <c r="BB136" s="32"/>
      <c r="BC136" s="32"/>
      <c r="BD136" s="55"/>
      <c r="BE136" s="32"/>
      <c r="BF136" s="54"/>
      <c r="BG136" s="21" t="str">
        <f>IFERROR(VLOOKUP(May[[#This Row],[Drug Name6]],'Data Options'!$R$1:$S$100,2,FALSE), " ")</f>
        <v xml:space="preserve"> </v>
      </c>
      <c r="BH136" s="55"/>
      <c r="BI136" s="32"/>
      <c r="BJ136" s="32"/>
      <c r="BK136" s="55"/>
      <c r="BL136" s="32"/>
      <c r="BM136" s="32"/>
      <c r="BN136" s="32"/>
      <c r="BO136" s="32"/>
      <c r="BP136" s="32"/>
      <c r="BQ136" s="31"/>
      <c r="BR136" s="31"/>
      <c r="BS136" s="54"/>
      <c r="BT136" s="21" t="str">
        <f>IFERROR(VLOOKUP(May[[#This Row],[Drug Name7]],'Data Options'!$R$1:$S$100,2,FALSE), " ")</f>
        <v xml:space="preserve"> </v>
      </c>
      <c r="BU136" s="55"/>
      <c r="BV136" s="32"/>
      <c r="BW136" s="32"/>
      <c r="BX136" s="55"/>
      <c r="BY136" s="32"/>
      <c r="BZ136" s="54"/>
      <c r="CA136" s="21" t="str">
        <f>IFERROR(VLOOKUP(May[[#This Row],[Drug Name8]],'Data Options'!$R$1:$S$100,2,FALSE), " ")</f>
        <v xml:space="preserve"> </v>
      </c>
      <c r="CB136" s="55"/>
      <c r="CC136" s="32"/>
      <c r="CD136" s="32"/>
      <c r="CE136" s="55"/>
      <c r="CF136" s="32"/>
      <c r="CG136" s="54"/>
      <c r="CH136" s="21" t="str">
        <f>IFERROR(VLOOKUP(May[[#This Row],[Drug Name9]],'Data Options'!$R$1:$S$100,2,FALSE), " ")</f>
        <v xml:space="preserve"> </v>
      </c>
      <c r="CI136" s="55"/>
      <c r="CJ136" s="32"/>
      <c r="CK136" s="32"/>
      <c r="CL136" s="55"/>
      <c r="CM136" s="32"/>
    </row>
    <row r="137" spans="1:91">
      <c r="A137" s="5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/>
      <c r="P137" s="31"/>
      <c r="Q137" s="54"/>
      <c r="R137" s="21" t="str">
        <f>IFERROR(VLOOKUP(May[[#This Row],[Drug Name]],'Data Options'!$R$1:$S$100,2,FALSE), " ")</f>
        <v xml:space="preserve"> </v>
      </c>
      <c r="S137" s="55"/>
      <c r="T137" s="32"/>
      <c r="U137" s="32"/>
      <c r="V137" s="55"/>
      <c r="W137" s="32"/>
      <c r="X137" s="54"/>
      <c r="Y137" s="21" t="str">
        <f>IFERROR(VLOOKUP(May[[#This Row],[Drug Name2]],'Data Options'!$R$1:$S$100,2,FALSE), " ")</f>
        <v xml:space="preserve"> </v>
      </c>
      <c r="Z137" s="55"/>
      <c r="AA137" s="32"/>
      <c r="AB137" s="32"/>
      <c r="AC137" s="55"/>
      <c r="AD137" s="32"/>
      <c r="AE137" s="54"/>
      <c r="AF137" s="21" t="str">
        <f>IFERROR(VLOOKUP(May[[#This Row],[Drug Name3]],'Data Options'!$R$1:$S$100,2,FALSE), " ")</f>
        <v xml:space="preserve"> </v>
      </c>
      <c r="AG137" s="55"/>
      <c r="AH137" s="32"/>
      <c r="AI137" s="32"/>
      <c r="AJ137" s="55"/>
      <c r="AK137" s="32"/>
      <c r="AL137" s="32"/>
      <c r="AM137" s="32"/>
      <c r="AN137" s="32"/>
      <c r="AO137" s="32"/>
      <c r="AP137" s="31"/>
      <c r="AQ137" s="31"/>
      <c r="AR137" s="54"/>
      <c r="AS137" s="21" t="str">
        <f>IFERROR(VLOOKUP(May[[#This Row],[Drug Name4]],'Data Options'!$R$1:$S$100,2,FALSE), " ")</f>
        <v xml:space="preserve"> </v>
      </c>
      <c r="AT137" s="55"/>
      <c r="AU137" s="32"/>
      <c r="AV137" s="32"/>
      <c r="AW137" s="55"/>
      <c r="AX137" s="32"/>
      <c r="AY137" s="54"/>
      <c r="AZ137" s="21" t="str">
        <f>IFERROR(VLOOKUP(May[[#This Row],[Drug Name5]],'Data Options'!$R$1:$S$100,2,FALSE), " ")</f>
        <v xml:space="preserve"> </v>
      </c>
      <c r="BA137" s="55"/>
      <c r="BB137" s="32"/>
      <c r="BC137" s="32"/>
      <c r="BD137" s="55"/>
      <c r="BE137" s="32"/>
      <c r="BF137" s="54"/>
      <c r="BG137" s="21" t="str">
        <f>IFERROR(VLOOKUP(May[[#This Row],[Drug Name6]],'Data Options'!$R$1:$S$100,2,FALSE), " ")</f>
        <v xml:space="preserve"> </v>
      </c>
      <c r="BH137" s="55"/>
      <c r="BI137" s="32"/>
      <c r="BJ137" s="32"/>
      <c r="BK137" s="55"/>
      <c r="BL137" s="32"/>
      <c r="BM137" s="32"/>
      <c r="BN137" s="32"/>
      <c r="BO137" s="32"/>
      <c r="BP137" s="32"/>
      <c r="BQ137" s="31"/>
      <c r="BR137" s="31"/>
      <c r="BS137" s="54"/>
      <c r="BT137" s="21" t="str">
        <f>IFERROR(VLOOKUP(May[[#This Row],[Drug Name7]],'Data Options'!$R$1:$S$100,2,FALSE), " ")</f>
        <v xml:space="preserve"> </v>
      </c>
      <c r="BU137" s="55"/>
      <c r="BV137" s="32"/>
      <c r="BW137" s="32"/>
      <c r="BX137" s="55"/>
      <c r="BY137" s="32"/>
      <c r="BZ137" s="54"/>
      <c r="CA137" s="21" t="str">
        <f>IFERROR(VLOOKUP(May[[#This Row],[Drug Name8]],'Data Options'!$R$1:$S$100,2,FALSE), " ")</f>
        <v xml:space="preserve"> </v>
      </c>
      <c r="CB137" s="55"/>
      <c r="CC137" s="32"/>
      <c r="CD137" s="32"/>
      <c r="CE137" s="55"/>
      <c r="CF137" s="32"/>
      <c r="CG137" s="54"/>
      <c r="CH137" s="21" t="str">
        <f>IFERROR(VLOOKUP(May[[#This Row],[Drug Name9]],'Data Options'!$R$1:$S$100,2,FALSE), " ")</f>
        <v xml:space="preserve"> </v>
      </c>
      <c r="CI137" s="55"/>
      <c r="CJ137" s="32"/>
      <c r="CK137" s="32"/>
      <c r="CL137" s="55"/>
      <c r="CM137" s="32"/>
    </row>
    <row r="138" spans="1:91">
      <c r="A138" s="5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1"/>
      <c r="P138" s="31"/>
      <c r="Q138" s="54"/>
      <c r="R138" s="21" t="str">
        <f>IFERROR(VLOOKUP(May[[#This Row],[Drug Name]],'Data Options'!$R$1:$S$100,2,FALSE), " ")</f>
        <v xml:space="preserve"> </v>
      </c>
      <c r="S138" s="55"/>
      <c r="T138" s="32"/>
      <c r="U138" s="32"/>
      <c r="V138" s="55"/>
      <c r="W138" s="32"/>
      <c r="X138" s="54"/>
      <c r="Y138" s="21" t="str">
        <f>IFERROR(VLOOKUP(May[[#This Row],[Drug Name2]],'Data Options'!$R$1:$S$100,2,FALSE), " ")</f>
        <v xml:space="preserve"> </v>
      </c>
      <c r="Z138" s="55"/>
      <c r="AA138" s="32"/>
      <c r="AB138" s="32"/>
      <c r="AC138" s="55"/>
      <c r="AD138" s="32"/>
      <c r="AE138" s="54"/>
      <c r="AF138" s="21" t="str">
        <f>IFERROR(VLOOKUP(May[[#This Row],[Drug Name3]],'Data Options'!$R$1:$S$100,2,FALSE), " ")</f>
        <v xml:space="preserve"> </v>
      </c>
      <c r="AG138" s="55"/>
      <c r="AH138" s="32"/>
      <c r="AI138" s="32"/>
      <c r="AJ138" s="55"/>
      <c r="AK138" s="32"/>
      <c r="AL138" s="32"/>
      <c r="AM138" s="32"/>
      <c r="AN138" s="32"/>
      <c r="AO138" s="32"/>
      <c r="AP138" s="31"/>
      <c r="AQ138" s="31"/>
      <c r="AR138" s="54"/>
      <c r="AS138" s="21" t="str">
        <f>IFERROR(VLOOKUP(May[[#This Row],[Drug Name4]],'Data Options'!$R$1:$S$100,2,FALSE), " ")</f>
        <v xml:space="preserve"> </v>
      </c>
      <c r="AT138" s="55"/>
      <c r="AU138" s="32"/>
      <c r="AV138" s="32"/>
      <c r="AW138" s="55"/>
      <c r="AX138" s="32"/>
      <c r="AY138" s="54"/>
      <c r="AZ138" s="21" t="str">
        <f>IFERROR(VLOOKUP(May[[#This Row],[Drug Name5]],'Data Options'!$R$1:$S$100,2,FALSE), " ")</f>
        <v xml:space="preserve"> </v>
      </c>
      <c r="BA138" s="55"/>
      <c r="BB138" s="32"/>
      <c r="BC138" s="32"/>
      <c r="BD138" s="55"/>
      <c r="BE138" s="32"/>
      <c r="BF138" s="54"/>
      <c r="BG138" s="21" t="str">
        <f>IFERROR(VLOOKUP(May[[#This Row],[Drug Name6]],'Data Options'!$R$1:$S$100,2,FALSE), " ")</f>
        <v xml:space="preserve"> </v>
      </c>
      <c r="BH138" s="55"/>
      <c r="BI138" s="32"/>
      <c r="BJ138" s="32"/>
      <c r="BK138" s="55"/>
      <c r="BL138" s="32"/>
      <c r="BM138" s="32"/>
      <c r="BN138" s="32"/>
      <c r="BO138" s="32"/>
      <c r="BP138" s="32"/>
      <c r="BQ138" s="31"/>
      <c r="BR138" s="31"/>
      <c r="BS138" s="54"/>
      <c r="BT138" s="21" t="str">
        <f>IFERROR(VLOOKUP(May[[#This Row],[Drug Name7]],'Data Options'!$R$1:$S$100,2,FALSE), " ")</f>
        <v xml:space="preserve"> </v>
      </c>
      <c r="BU138" s="55"/>
      <c r="BV138" s="32"/>
      <c r="BW138" s="32"/>
      <c r="BX138" s="55"/>
      <c r="BY138" s="32"/>
      <c r="BZ138" s="54"/>
      <c r="CA138" s="21" t="str">
        <f>IFERROR(VLOOKUP(May[[#This Row],[Drug Name8]],'Data Options'!$R$1:$S$100,2,FALSE), " ")</f>
        <v xml:space="preserve"> </v>
      </c>
      <c r="CB138" s="55"/>
      <c r="CC138" s="32"/>
      <c r="CD138" s="32"/>
      <c r="CE138" s="55"/>
      <c r="CF138" s="32"/>
      <c r="CG138" s="54"/>
      <c r="CH138" s="21" t="str">
        <f>IFERROR(VLOOKUP(May[[#This Row],[Drug Name9]],'Data Options'!$R$1:$S$100,2,FALSE), " ")</f>
        <v xml:space="preserve"> </v>
      </c>
      <c r="CI138" s="55"/>
      <c r="CJ138" s="32"/>
      <c r="CK138" s="32"/>
      <c r="CL138" s="55"/>
      <c r="CM138" s="32"/>
    </row>
    <row r="139" spans="1:91">
      <c r="A139" s="5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1"/>
      <c r="P139" s="31"/>
      <c r="Q139" s="54"/>
      <c r="R139" s="21" t="str">
        <f>IFERROR(VLOOKUP(May[[#This Row],[Drug Name]],'Data Options'!$R$1:$S$100,2,FALSE), " ")</f>
        <v xml:space="preserve"> </v>
      </c>
      <c r="S139" s="55"/>
      <c r="T139" s="32"/>
      <c r="U139" s="32"/>
      <c r="V139" s="55"/>
      <c r="W139" s="32"/>
      <c r="X139" s="54"/>
      <c r="Y139" s="21" t="str">
        <f>IFERROR(VLOOKUP(May[[#This Row],[Drug Name2]],'Data Options'!$R$1:$S$100,2,FALSE), " ")</f>
        <v xml:space="preserve"> </v>
      </c>
      <c r="Z139" s="55"/>
      <c r="AA139" s="32"/>
      <c r="AB139" s="32"/>
      <c r="AC139" s="55"/>
      <c r="AD139" s="32"/>
      <c r="AE139" s="54"/>
      <c r="AF139" s="21" t="str">
        <f>IFERROR(VLOOKUP(May[[#This Row],[Drug Name3]],'Data Options'!$R$1:$S$100,2,FALSE), " ")</f>
        <v xml:space="preserve"> </v>
      </c>
      <c r="AG139" s="55"/>
      <c r="AH139" s="32"/>
      <c r="AI139" s="32"/>
      <c r="AJ139" s="55"/>
      <c r="AK139" s="32"/>
      <c r="AL139" s="32"/>
      <c r="AM139" s="32"/>
      <c r="AN139" s="32"/>
      <c r="AO139" s="32"/>
      <c r="AP139" s="31"/>
      <c r="AQ139" s="31"/>
      <c r="AR139" s="54"/>
      <c r="AS139" s="21" t="str">
        <f>IFERROR(VLOOKUP(May[[#This Row],[Drug Name4]],'Data Options'!$R$1:$S$100,2,FALSE), " ")</f>
        <v xml:space="preserve"> </v>
      </c>
      <c r="AT139" s="55"/>
      <c r="AU139" s="32"/>
      <c r="AV139" s="32"/>
      <c r="AW139" s="55"/>
      <c r="AX139" s="32"/>
      <c r="AY139" s="54"/>
      <c r="AZ139" s="21" t="str">
        <f>IFERROR(VLOOKUP(May[[#This Row],[Drug Name5]],'Data Options'!$R$1:$S$100,2,FALSE), " ")</f>
        <v xml:space="preserve"> </v>
      </c>
      <c r="BA139" s="55"/>
      <c r="BB139" s="32"/>
      <c r="BC139" s="32"/>
      <c r="BD139" s="55"/>
      <c r="BE139" s="32"/>
      <c r="BF139" s="54"/>
      <c r="BG139" s="21" t="str">
        <f>IFERROR(VLOOKUP(May[[#This Row],[Drug Name6]],'Data Options'!$R$1:$S$100,2,FALSE), " ")</f>
        <v xml:space="preserve"> </v>
      </c>
      <c r="BH139" s="55"/>
      <c r="BI139" s="32"/>
      <c r="BJ139" s="32"/>
      <c r="BK139" s="55"/>
      <c r="BL139" s="32"/>
      <c r="BM139" s="32"/>
      <c r="BN139" s="32"/>
      <c r="BO139" s="32"/>
      <c r="BP139" s="32"/>
      <c r="BQ139" s="31"/>
      <c r="BR139" s="31"/>
      <c r="BS139" s="54"/>
      <c r="BT139" s="21" t="str">
        <f>IFERROR(VLOOKUP(May[[#This Row],[Drug Name7]],'Data Options'!$R$1:$S$100,2,FALSE), " ")</f>
        <v xml:space="preserve"> </v>
      </c>
      <c r="BU139" s="55"/>
      <c r="BV139" s="32"/>
      <c r="BW139" s="32"/>
      <c r="BX139" s="55"/>
      <c r="BY139" s="32"/>
      <c r="BZ139" s="54"/>
      <c r="CA139" s="21" t="str">
        <f>IFERROR(VLOOKUP(May[[#This Row],[Drug Name8]],'Data Options'!$R$1:$S$100,2,FALSE), " ")</f>
        <v xml:space="preserve"> </v>
      </c>
      <c r="CB139" s="55"/>
      <c r="CC139" s="32"/>
      <c r="CD139" s="32"/>
      <c r="CE139" s="55"/>
      <c r="CF139" s="32"/>
      <c r="CG139" s="54"/>
      <c r="CH139" s="21" t="str">
        <f>IFERROR(VLOOKUP(May[[#This Row],[Drug Name9]],'Data Options'!$R$1:$S$100,2,FALSE), " ")</f>
        <v xml:space="preserve"> </v>
      </c>
      <c r="CI139" s="55"/>
      <c r="CJ139" s="32"/>
      <c r="CK139" s="32"/>
      <c r="CL139" s="55"/>
      <c r="CM139" s="32"/>
    </row>
    <row r="140" spans="1:91">
      <c r="A140" s="5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1"/>
      <c r="P140" s="31"/>
      <c r="Q140" s="54"/>
      <c r="R140" s="21" t="str">
        <f>IFERROR(VLOOKUP(May[[#This Row],[Drug Name]],'Data Options'!$R$1:$S$100,2,FALSE), " ")</f>
        <v xml:space="preserve"> </v>
      </c>
      <c r="S140" s="55"/>
      <c r="T140" s="32"/>
      <c r="U140" s="32"/>
      <c r="V140" s="55"/>
      <c r="W140" s="32"/>
      <c r="X140" s="54"/>
      <c r="Y140" s="21" t="str">
        <f>IFERROR(VLOOKUP(May[[#This Row],[Drug Name2]],'Data Options'!$R$1:$S$100,2,FALSE), " ")</f>
        <v xml:space="preserve"> </v>
      </c>
      <c r="Z140" s="55"/>
      <c r="AA140" s="32"/>
      <c r="AB140" s="32"/>
      <c r="AC140" s="55"/>
      <c r="AD140" s="32"/>
      <c r="AE140" s="54"/>
      <c r="AF140" s="21" t="str">
        <f>IFERROR(VLOOKUP(May[[#This Row],[Drug Name3]],'Data Options'!$R$1:$S$100,2,FALSE), " ")</f>
        <v xml:space="preserve"> </v>
      </c>
      <c r="AG140" s="55"/>
      <c r="AH140" s="32"/>
      <c r="AI140" s="32"/>
      <c r="AJ140" s="55"/>
      <c r="AK140" s="32"/>
      <c r="AL140" s="32"/>
      <c r="AM140" s="32"/>
      <c r="AN140" s="32"/>
      <c r="AO140" s="32"/>
      <c r="AP140" s="31"/>
      <c r="AQ140" s="31"/>
      <c r="AR140" s="54"/>
      <c r="AS140" s="21" t="str">
        <f>IFERROR(VLOOKUP(May[[#This Row],[Drug Name4]],'Data Options'!$R$1:$S$100,2,FALSE), " ")</f>
        <v xml:space="preserve"> </v>
      </c>
      <c r="AT140" s="55"/>
      <c r="AU140" s="32"/>
      <c r="AV140" s="32"/>
      <c r="AW140" s="55"/>
      <c r="AX140" s="32"/>
      <c r="AY140" s="54"/>
      <c r="AZ140" s="21" t="str">
        <f>IFERROR(VLOOKUP(May[[#This Row],[Drug Name5]],'Data Options'!$R$1:$S$100,2,FALSE), " ")</f>
        <v xml:space="preserve"> </v>
      </c>
      <c r="BA140" s="55"/>
      <c r="BB140" s="32"/>
      <c r="BC140" s="32"/>
      <c r="BD140" s="55"/>
      <c r="BE140" s="32"/>
      <c r="BF140" s="54"/>
      <c r="BG140" s="21" t="str">
        <f>IFERROR(VLOOKUP(May[[#This Row],[Drug Name6]],'Data Options'!$R$1:$S$100,2,FALSE), " ")</f>
        <v xml:space="preserve"> </v>
      </c>
      <c r="BH140" s="55"/>
      <c r="BI140" s="32"/>
      <c r="BJ140" s="32"/>
      <c r="BK140" s="55"/>
      <c r="BL140" s="32"/>
      <c r="BM140" s="32"/>
      <c r="BN140" s="32"/>
      <c r="BO140" s="32"/>
      <c r="BP140" s="32"/>
      <c r="BQ140" s="31"/>
      <c r="BR140" s="31"/>
      <c r="BS140" s="54"/>
      <c r="BT140" s="21" t="str">
        <f>IFERROR(VLOOKUP(May[[#This Row],[Drug Name7]],'Data Options'!$R$1:$S$100,2,FALSE), " ")</f>
        <v xml:space="preserve"> </v>
      </c>
      <c r="BU140" s="55"/>
      <c r="BV140" s="32"/>
      <c r="BW140" s="32"/>
      <c r="BX140" s="55"/>
      <c r="BY140" s="32"/>
      <c r="BZ140" s="54"/>
      <c r="CA140" s="21" t="str">
        <f>IFERROR(VLOOKUP(May[[#This Row],[Drug Name8]],'Data Options'!$R$1:$S$100,2,FALSE), " ")</f>
        <v xml:space="preserve"> </v>
      </c>
      <c r="CB140" s="55"/>
      <c r="CC140" s="32"/>
      <c r="CD140" s="32"/>
      <c r="CE140" s="55"/>
      <c r="CF140" s="32"/>
      <c r="CG140" s="54"/>
      <c r="CH140" s="21" t="str">
        <f>IFERROR(VLOOKUP(May[[#This Row],[Drug Name9]],'Data Options'!$R$1:$S$100,2,FALSE), " ")</f>
        <v xml:space="preserve"> </v>
      </c>
      <c r="CI140" s="55"/>
      <c r="CJ140" s="32"/>
      <c r="CK140" s="32"/>
      <c r="CL140" s="55"/>
      <c r="CM140" s="32"/>
    </row>
    <row r="141" spans="1:91">
      <c r="A141" s="5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1"/>
      <c r="Q141" s="54"/>
      <c r="R141" s="21" t="str">
        <f>IFERROR(VLOOKUP(May[[#This Row],[Drug Name]],'Data Options'!$R$1:$S$100,2,FALSE), " ")</f>
        <v xml:space="preserve"> </v>
      </c>
      <c r="S141" s="55"/>
      <c r="T141" s="32"/>
      <c r="U141" s="32"/>
      <c r="V141" s="55"/>
      <c r="W141" s="32"/>
      <c r="X141" s="54"/>
      <c r="Y141" s="21" t="str">
        <f>IFERROR(VLOOKUP(May[[#This Row],[Drug Name2]],'Data Options'!$R$1:$S$100,2,FALSE), " ")</f>
        <v xml:space="preserve"> </v>
      </c>
      <c r="Z141" s="55"/>
      <c r="AA141" s="32"/>
      <c r="AB141" s="32"/>
      <c r="AC141" s="55"/>
      <c r="AD141" s="32"/>
      <c r="AE141" s="54"/>
      <c r="AF141" s="21" t="str">
        <f>IFERROR(VLOOKUP(May[[#This Row],[Drug Name3]],'Data Options'!$R$1:$S$100,2,FALSE), " ")</f>
        <v xml:space="preserve"> </v>
      </c>
      <c r="AG141" s="55"/>
      <c r="AH141" s="32"/>
      <c r="AI141" s="32"/>
      <c r="AJ141" s="55"/>
      <c r="AK141" s="32"/>
      <c r="AL141" s="32"/>
      <c r="AM141" s="32"/>
      <c r="AN141" s="32"/>
      <c r="AO141" s="32"/>
      <c r="AP141" s="31"/>
      <c r="AQ141" s="31"/>
      <c r="AR141" s="54"/>
      <c r="AS141" s="21" t="str">
        <f>IFERROR(VLOOKUP(May[[#This Row],[Drug Name4]],'Data Options'!$R$1:$S$100,2,FALSE), " ")</f>
        <v xml:space="preserve"> </v>
      </c>
      <c r="AT141" s="55"/>
      <c r="AU141" s="32"/>
      <c r="AV141" s="32"/>
      <c r="AW141" s="55"/>
      <c r="AX141" s="32"/>
      <c r="AY141" s="54"/>
      <c r="AZ141" s="21" t="str">
        <f>IFERROR(VLOOKUP(May[[#This Row],[Drug Name5]],'Data Options'!$R$1:$S$100,2,FALSE), " ")</f>
        <v xml:space="preserve"> </v>
      </c>
      <c r="BA141" s="55"/>
      <c r="BB141" s="32"/>
      <c r="BC141" s="32"/>
      <c r="BD141" s="55"/>
      <c r="BE141" s="32"/>
      <c r="BF141" s="54"/>
      <c r="BG141" s="21" t="str">
        <f>IFERROR(VLOOKUP(May[[#This Row],[Drug Name6]],'Data Options'!$R$1:$S$100,2,FALSE), " ")</f>
        <v xml:space="preserve"> </v>
      </c>
      <c r="BH141" s="55"/>
      <c r="BI141" s="32"/>
      <c r="BJ141" s="32"/>
      <c r="BK141" s="55"/>
      <c r="BL141" s="32"/>
      <c r="BM141" s="32"/>
      <c r="BN141" s="32"/>
      <c r="BO141" s="32"/>
      <c r="BP141" s="32"/>
      <c r="BQ141" s="31"/>
      <c r="BR141" s="31"/>
      <c r="BS141" s="54"/>
      <c r="BT141" s="21" t="str">
        <f>IFERROR(VLOOKUP(May[[#This Row],[Drug Name7]],'Data Options'!$R$1:$S$100,2,FALSE), " ")</f>
        <v xml:space="preserve"> </v>
      </c>
      <c r="BU141" s="55"/>
      <c r="BV141" s="32"/>
      <c r="BW141" s="32"/>
      <c r="BX141" s="55"/>
      <c r="BY141" s="32"/>
      <c r="BZ141" s="54"/>
      <c r="CA141" s="21" t="str">
        <f>IFERROR(VLOOKUP(May[[#This Row],[Drug Name8]],'Data Options'!$R$1:$S$100,2,FALSE), " ")</f>
        <v xml:space="preserve"> </v>
      </c>
      <c r="CB141" s="55"/>
      <c r="CC141" s="32"/>
      <c r="CD141" s="32"/>
      <c r="CE141" s="55"/>
      <c r="CF141" s="32"/>
      <c r="CG141" s="54"/>
      <c r="CH141" s="21" t="str">
        <f>IFERROR(VLOOKUP(May[[#This Row],[Drug Name9]],'Data Options'!$R$1:$S$100,2,FALSE), " ")</f>
        <v xml:space="preserve"> </v>
      </c>
      <c r="CI141" s="55"/>
      <c r="CJ141" s="32"/>
      <c r="CK141" s="32"/>
      <c r="CL141" s="55"/>
      <c r="CM141" s="32"/>
    </row>
    <row r="142" spans="1:91">
      <c r="A142" s="5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1"/>
      <c r="P142" s="31"/>
      <c r="Q142" s="54"/>
      <c r="R142" s="21" t="str">
        <f>IFERROR(VLOOKUP(May[[#This Row],[Drug Name]],'Data Options'!$R$1:$S$100,2,FALSE), " ")</f>
        <v xml:space="preserve"> </v>
      </c>
      <c r="S142" s="55"/>
      <c r="T142" s="32"/>
      <c r="U142" s="32"/>
      <c r="V142" s="55"/>
      <c r="W142" s="32"/>
      <c r="X142" s="54"/>
      <c r="Y142" s="21" t="str">
        <f>IFERROR(VLOOKUP(May[[#This Row],[Drug Name2]],'Data Options'!$R$1:$S$100,2,FALSE), " ")</f>
        <v xml:space="preserve"> </v>
      </c>
      <c r="Z142" s="55"/>
      <c r="AA142" s="32"/>
      <c r="AB142" s="32"/>
      <c r="AC142" s="55"/>
      <c r="AD142" s="32"/>
      <c r="AE142" s="54"/>
      <c r="AF142" s="21" t="str">
        <f>IFERROR(VLOOKUP(May[[#This Row],[Drug Name3]],'Data Options'!$R$1:$S$100,2,FALSE), " ")</f>
        <v xml:space="preserve"> </v>
      </c>
      <c r="AG142" s="55"/>
      <c r="AH142" s="32"/>
      <c r="AI142" s="32"/>
      <c r="AJ142" s="55"/>
      <c r="AK142" s="32"/>
      <c r="AL142" s="32"/>
      <c r="AM142" s="32"/>
      <c r="AN142" s="32"/>
      <c r="AO142" s="32"/>
      <c r="AP142" s="31"/>
      <c r="AQ142" s="31"/>
      <c r="AR142" s="54"/>
      <c r="AS142" s="21" t="str">
        <f>IFERROR(VLOOKUP(May[[#This Row],[Drug Name4]],'Data Options'!$R$1:$S$100,2,FALSE), " ")</f>
        <v xml:space="preserve"> </v>
      </c>
      <c r="AT142" s="55"/>
      <c r="AU142" s="32"/>
      <c r="AV142" s="32"/>
      <c r="AW142" s="55"/>
      <c r="AX142" s="32"/>
      <c r="AY142" s="54"/>
      <c r="AZ142" s="21" t="str">
        <f>IFERROR(VLOOKUP(May[[#This Row],[Drug Name5]],'Data Options'!$R$1:$S$100,2,FALSE), " ")</f>
        <v xml:space="preserve"> </v>
      </c>
      <c r="BA142" s="55"/>
      <c r="BB142" s="32"/>
      <c r="BC142" s="32"/>
      <c r="BD142" s="55"/>
      <c r="BE142" s="32"/>
      <c r="BF142" s="54"/>
      <c r="BG142" s="21" t="str">
        <f>IFERROR(VLOOKUP(May[[#This Row],[Drug Name6]],'Data Options'!$R$1:$S$100,2,FALSE), " ")</f>
        <v xml:space="preserve"> </v>
      </c>
      <c r="BH142" s="55"/>
      <c r="BI142" s="32"/>
      <c r="BJ142" s="32"/>
      <c r="BK142" s="55"/>
      <c r="BL142" s="32"/>
      <c r="BM142" s="32"/>
      <c r="BN142" s="32"/>
      <c r="BO142" s="32"/>
      <c r="BP142" s="32"/>
      <c r="BQ142" s="31"/>
      <c r="BR142" s="31"/>
      <c r="BS142" s="54"/>
      <c r="BT142" s="21" t="str">
        <f>IFERROR(VLOOKUP(May[[#This Row],[Drug Name7]],'Data Options'!$R$1:$S$100,2,FALSE), " ")</f>
        <v xml:space="preserve"> </v>
      </c>
      <c r="BU142" s="55"/>
      <c r="BV142" s="32"/>
      <c r="BW142" s="32"/>
      <c r="BX142" s="55"/>
      <c r="BY142" s="32"/>
      <c r="BZ142" s="54"/>
      <c r="CA142" s="21" t="str">
        <f>IFERROR(VLOOKUP(May[[#This Row],[Drug Name8]],'Data Options'!$R$1:$S$100,2,FALSE), " ")</f>
        <v xml:space="preserve"> </v>
      </c>
      <c r="CB142" s="55"/>
      <c r="CC142" s="32"/>
      <c r="CD142" s="32"/>
      <c r="CE142" s="55"/>
      <c r="CF142" s="32"/>
      <c r="CG142" s="54"/>
      <c r="CH142" s="21" t="str">
        <f>IFERROR(VLOOKUP(May[[#This Row],[Drug Name9]],'Data Options'!$R$1:$S$100,2,FALSE), " ")</f>
        <v xml:space="preserve"> </v>
      </c>
      <c r="CI142" s="55"/>
      <c r="CJ142" s="32"/>
      <c r="CK142" s="32"/>
      <c r="CL142" s="55"/>
      <c r="CM142" s="32"/>
    </row>
    <row r="143" spans="1:91">
      <c r="A143" s="5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1"/>
      <c r="P143" s="31"/>
      <c r="Q143" s="54"/>
      <c r="R143" s="21" t="str">
        <f>IFERROR(VLOOKUP(May[[#This Row],[Drug Name]],'Data Options'!$R$1:$S$100,2,FALSE), " ")</f>
        <v xml:space="preserve"> </v>
      </c>
      <c r="S143" s="55"/>
      <c r="T143" s="32"/>
      <c r="U143" s="32"/>
      <c r="V143" s="55"/>
      <c r="W143" s="32"/>
      <c r="X143" s="54"/>
      <c r="Y143" s="21" t="str">
        <f>IFERROR(VLOOKUP(May[[#This Row],[Drug Name2]],'Data Options'!$R$1:$S$100,2,FALSE), " ")</f>
        <v xml:space="preserve"> </v>
      </c>
      <c r="Z143" s="55"/>
      <c r="AA143" s="32"/>
      <c r="AB143" s="32"/>
      <c r="AC143" s="55"/>
      <c r="AD143" s="32"/>
      <c r="AE143" s="54"/>
      <c r="AF143" s="21" t="str">
        <f>IFERROR(VLOOKUP(May[[#This Row],[Drug Name3]],'Data Options'!$R$1:$S$100,2,FALSE), " ")</f>
        <v xml:space="preserve"> </v>
      </c>
      <c r="AG143" s="55"/>
      <c r="AH143" s="32"/>
      <c r="AI143" s="32"/>
      <c r="AJ143" s="55"/>
      <c r="AK143" s="32"/>
      <c r="AL143" s="32"/>
      <c r="AM143" s="32"/>
      <c r="AN143" s="32"/>
      <c r="AO143" s="32"/>
      <c r="AP143" s="31"/>
      <c r="AQ143" s="31"/>
      <c r="AR143" s="54"/>
      <c r="AS143" s="21" t="str">
        <f>IFERROR(VLOOKUP(May[[#This Row],[Drug Name4]],'Data Options'!$R$1:$S$100,2,FALSE), " ")</f>
        <v xml:space="preserve"> </v>
      </c>
      <c r="AT143" s="55"/>
      <c r="AU143" s="32"/>
      <c r="AV143" s="32"/>
      <c r="AW143" s="55"/>
      <c r="AX143" s="32"/>
      <c r="AY143" s="54"/>
      <c r="AZ143" s="21" t="str">
        <f>IFERROR(VLOOKUP(May[[#This Row],[Drug Name5]],'Data Options'!$R$1:$S$100,2,FALSE), " ")</f>
        <v xml:space="preserve"> </v>
      </c>
      <c r="BA143" s="55"/>
      <c r="BB143" s="32"/>
      <c r="BC143" s="32"/>
      <c r="BD143" s="55"/>
      <c r="BE143" s="32"/>
      <c r="BF143" s="54"/>
      <c r="BG143" s="21" t="str">
        <f>IFERROR(VLOOKUP(May[[#This Row],[Drug Name6]],'Data Options'!$R$1:$S$100,2,FALSE), " ")</f>
        <v xml:space="preserve"> </v>
      </c>
      <c r="BH143" s="55"/>
      <c r="BI143" s="32"/>
      <c r="BJ143" s="32"/>
      <c r="BK143" s="55"/>
      <c r="BL143" s="32"/>
      <c r="BM143" s="32"/>
      <c r="BN143" s="32"/>
      <c r="BO143" s="32"/>
      <c r="BP143" s="32"/>
      <c r="BQ143" s="31"/>
      <c r="BR143" s="31"/>
      <c r="BS143" s="54"/>
      <c r="BT143" s="21" t="str">
        <f>IFERROR(VLOOKUP(May[[#This Row],[Drug Name7]],'Data Options'!$R$1:$S$100,2,FALSE), " ")</f>
        <v xml:space="preserve"> </v>
      </c>
      <c r="BU143" s="55"/>
      <c r="BV143" s="32"/>
      <c r="BW143" s="32"/>
      <c r="BX143" s="55"/>
      <c r="BY143" s="32"/>
      <c r="BZ143" s="54"/>
      <c r="CA143" s="21" t="str">
        <f>IFERROR(VLOOKUP(May[[#This Row],[Drug Name8]],'Data Options'!$R$1:$S$100,2,FALSE), " ")</f>
        <v xml:space="preserve"> </v>
      </c>
      <c r="CB143" s="55"/>
      <c r="CC143" s="32"/>
      <c r="CD143" s="32"/>
      <c r="CE143" s="55"/>
      <c r="CF143" s="32"/>
      <c r="CG143" s="54"/>
      <c r="CH143" s="21" t="str">
        <f>IFERROR(VLOOKUP(May[[#This Row],[Drug Name9]],'Data Options'!$R$1:$S$100,2,FALSE), " ")</f>
        <v xml:space="preserve"> </v>
      </c>
      <c r="CI143" s="55"/>
      <c r="CJ143" s="32"/>
      <c r="CK143" s="32"/>
      <c r="CL143" s="55"/>
      <c r="CM143" s="32"/>
    </row>
    <row r="144" spans="1:91">
      <c r="A144" s="5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1"/>
      <c r="P144" s="31"/>
      <c r="Q144" s="54"/>
      <c r="R144" s="21" t="str">
        <f>IFERROR(VLOOKUP(May[[#This Row],[Drug Name]],'Data Options'!$R$1:$S$100,2,FALSE), " ")</f>
        <v xml:space="preserve"> </v>
      </c>
      <c r="S144" s="55"/>
      <c r="T144" s="32"/>
      <c r="U144" s="32"/>
      <c r="V144" s="55"/>
      <c r="W144" s="32"/>
      <c r="X144" s="54"/>
      <c r="Y144" s="21" t="str">
        <f>IFERROR(VLOOKUP(May[[#This Row],[Drug Name2]],'Data Options'!$R$1:$S$100,2,FALSE), " ")</f>
        <v xml:space="preserve"> </v>
      </c>
      <c r="Z144" s="55"/>
      <c r="AA144" s="32"/>
      <c r="AB144" s="32"/>
      <c r="AC144" s="55"/>
      <c r="AD144" s="32"/>
      <c r="AE144" s="54"/>
      <c r="AF144" s="21" t="str">
        <f>IFERROR(VLOOKUP(May[[#This Row],[Drug Name3]],'Data Options'!$R$1:$S$100,2,FALSE), " ")</f>
        <v xml:space="preserve"> </v>
      </c>
      <c r="AG144" s="55"/>
      <c r="AH144" s="32"/>
      <c r="AI144" s="32"/>
      <c r="AJ144" s="55"/>
      <c r="AK144" s="32"/>
      <c r="AL144" s="32"/>
      <c r="AM144" s="32"/>
      <c r="AN144" s="32"/>
      <c r="AO144" s="32"/>
      <c r="AP144" s="31"/>
      <c r="AQ144" s="31"/>
      <c r="AR144" s="54"/>
      <c r="AS144" s="21" t="str">
        <f>IFERROR(VLOOKUP(May[[#This Row],[Drug Name4]],'Data Options'!$R$1:$S$100,2,FALSE), " ")</f>
        <v xml:space="preserve"> </v>
      </c>
      <c r="AT144" s="55"/>
      <c r="AU144" s="32"/>
      <c r="AV144" s="32"/>
      <c r="AW144" s="55"/>
      <c r="AX144" s="32"/>
      <c r="AY144" s="54"/>
      <c r="AZ144" s="21" t="str">
        <f>IFERROR(VLOOKUP(May[[#This Row],[Drug Name5]],'Data Options'!$R$1:$S$100,2,FALSE), " ")</f>
        <v xml:space="preserve"> </v>
      </c>
      <c r="BA144" s="55"/>
      <c r="BB144" s="32"/>
      <c r="BC144" s="32"/>
      <c r="BD144" s="55"/>
      <c r="BE144" s="32"/>
      <c r="BF144" s="54"/>
      <c r="BG144" s="21" t="str">
        <f>IFERROR(VLOOKUP(May[[#This Row],[Drug Name6]],'Data Options'!$R$1:$S$100,2,FALSE), " ")</f>
        <v xml:space="preserve"> </v>
      </c>
      <c r="BH144" s="55"/>
      <c r="BI144" s="32"/>
      <c r="BJ144" s="32"/>
      <c r="BK144" s="55"/>
      <c r="BL144" s="32"/>
      <c r="BM144" s="32"/>
      <c r="BN144" s="32"/>
      <c r="BO144" s="32"/>
      <c r="BP144" s="32"/>
      <c r="BQ144" s="31"/>
      <c r="BR144" s="31"/>
      <c r="BS144" s="54"/>
      <c r="BT144" s="21" t="str">
        <f>IFERROR(VLOOKUP(May[[#This Row],[Drug Name7]],'Data Options'!$R$1:$S$100,2,FALSE), " ")</f>
        <v xml:space="preserve"> </v>
      </c>
      <c r="BU144" s="55"/>
      <c r="BV144" s="32"/>
      <c r="BW144" s="32"/>
      <c r="BX144" s="55"/>
      <c r="BY144" s="32"/>
      <c r="BZ144" s="54"/>
      <c r="CA144" s="21" t="str">
        <f>IFERROR(VLOOKUP(May[[#This Row],[Drug Name8]],'Data Options'!$R$1:$S$100,2,FALSE), " ")</f>
        <v xml:space="preserve"> </v>
      </c>
      <c r="CB144" s="55"/>
      <c r="CC144" s="32"/>
      <c r="CD144" s="32"/>
      <c r="CE144" s="55"/>
      <c r="CF144" s="32"/>
      <c r="CG144" s="54"/>
      <c r="CH144" s="21" t="str">
        <f>IFERROR(VLOOKUP(May[[#This Row],[Drug Name9]],'Data Options'!$R$1:$S$100,2,FALSE), " ")</f>
        <v xml:space="preserve"> </v>
      </c>
      <c r="CI144" s="55"/>
      <c r="CJ144" s="32"/>
      <c r="CK144" s="32"/>
      <c r="CL144" s="55"/>
      <c r="CM144" s="32"/>
    </row>
    <row r="145" spans="1:91">
      <c r="A145" s="5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1"/>
      <c r="P145" s="31"/>
      <c r="Q145" s="54"/>
      <c r="R145" s="21" t="str">
        <f>IFERROR(VLOOKUP(May[[#This Row],[Drug Name]],'Data Options'!$R$1:$S$100,2,FALSE), " ")</f>
        <v xml:space="preserve"> </v>
      </c>
      <c r="S145" s="55"/>
      <c r="T145" s="32"/>
      <c r="U145" s="32"/>
      <c r="V145" s="55"/>
      <c r="W145" s="32"/>
      <c r="X145" s="54"/>
      <c r="Y145" s="21" t="str">
        <f>IFERROR(VLOOKUP(May[[#This Row],[Drug Name2]],'Data Options'!$R$1:$S$100,2,FALSE), " ")</f>
        <v xml:space="preserve"> </v>
      </c>
      <c r="Z145" s="55"/>
      <c r="AA145" s="32"/>
      <c r="AB145" s="32"/>
      <c r="AC145" s="55"/>
      <c r="AD145" s="32"/>
      <c r="AE145" s="54"/>
      <c r="AF145" s="21" t="str">
        <f>IFERROR(VLOOKUP(May[[#This Row],[Drug Name3]],'Data Options'!$R$1:$S$100,2,FALSE), " ")</f>
        <v xml:space="preserve"> </v>
      </c>
      <c r="AG145" s="55"/>
      <c r="AH145" s="32"/>
      <c r="AI145" s="32"/>
      <c r="AJ145" s="55"/>
      <c r="AK145" s="32"/>
      <c r="AL145" s="32"/>
      <c r="AM145" s="32"/>
      <c r="AN145" s="32"/>
      <c r="AO145" s="32"/>
      <c r="AP145" s="31"/>
      <c r="AQ145" s="31"/>
      <c r="AR145" s="54"/>
      <c r="AS145" s="21" t="str">
        <f>IFERROR(VLOOKUP(May[[#This Row],[Drug Name4]],'Data Options'!$R$1:$S$100,2,FALSE), " ")</f>
        <v xml:space="preserve"> </v>
      </c>
      <c r="AT145" s="55"/>
      <c r="AU145" s="32"/>
      <c r="AV145" s="32"/>
      <c r="AW145" s="55"/>
      <c r="AX145" s="32"/>
      <c r="AY145" s="54"/>
      <c r="AZ145" s="21" t="str">
        <f>IFERROR(VLOOKUP(May[[#This Row],[Drug Name5]],'Data Options'!$R$1:$S$100,2,FALSE), " ")</f>
        <v xml:space="preserve"> </v>
      </c>
      <c r="BA145" s="55"/>
      <c r="BB145" s="32"/>
      <c r="BC145" s="32"/>
      <c r="BD145" s="55"/>
      <c r="BE145" s="32"/>
      <c r="BF145" s="54"/>
      <c r="BG145" s="21" t="str">
        <f>IFERROR(VLOOKUP(May[[#This Row],[Drug Name6]],'Data Options'!$R$1:$S$100,2,FALSE), " ")</f>
        <v xml:space="preserve"> </v>
      </c>
      <c r="BH145" s="55"/>
      <c r="BI145" s="32"/>
      <c r="BJ145" s="32"/>
      <c r="BK145" s="55"/>
      <c r="BL145" s="32"/>
      <c r="BM145" s="32"/>
      <c r="BN145" s="32"/>
      <c r="BO145" s="32"/>
      <c r="BP145" s="32"/>
      <c r="BQ145" s="31"/>
      <c r="BR145" s="31"/>
      <c r="BS145" s="54"/>
      <c r="BT145" s="21" t="str">
        <f>IFERROR(VLOOKUP(May[[#This Row],[Drug Name7]],'Data Options'!$R$1:$S$100,2,FALSE), " ")</f>
        <v xml:space="preserve"> </v>
      </c>
      <c r="BU145" s="55"/>
      <c r="BV145" s="32"/>
      <c r="BW145" s="32"/>
      <c r="BX145" s="55"/>
      <c r="BY145" s="32"/>
      <c r="BZ145" s="54"/>
      <c r="CA145" s="21" t="str">
        <f>IFERROR(VLOOKUP(May[[#This Row],[Drug Name8]],'Data Options'!$R$1:$S$100,2,FALSE), " ")</f>
        <v xml:space="preserve"> </v>
      </c>
      <c r="CB145" s="55"/>
      <c r="CC145" s="32"/>
      <c r="CD145" s="32"/>
      <c r="CE145" s="55"/>
      <c r="CF145" s="32"/>
      <c r="CG145" s="54"/>
      <c r="CH145" s="21" t="str">
        <f>IFERROR(VLOOKUP(May[[#This Row],[Drug Name9]],'Data Options'!$R$1:$S$100,2,FALSE), " ")</f>
        <v xml:space="preserve"> </v>
      </c>
      <c r="CI145" s="55"/>
      <c r="CJ145" s="32"/>
      <c r="CK145" s="32"/>
      <c r="CL145" s="55"/>
      <c r="CM145" s="32"/>
    </row>
    <row r="146" spans="1:91">
      <c r="A146" s="5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1"/>
      <c r="P146" s="31"/>
      <c r="Q146" s="54"/>
      <c r="R146" s="21" t="str">
        <f>IFERROR(VLOOKUP(May[[#This Row],[Drug Name]],'Data Options'!$R$1:$S$100,2,FALSE), " ")</f>
        <v xml:space="preserve"> </v>
      </c>
      <c r="S146" s="55"/>
      <c r="T146" s="32"/>
      <c r="U146" s="32"/>
      <c r="V146" s="55"/>
      <c r="W146" s="32"/>
      <c r="X146" s="54"/>
      <c r="Y146" s="21" t="str">
        <f>IFERROR(VLOOKUP(May[[#This Row],[Drug Name2]],'Data Options'!$R$1:$S$100,2,FALSE), " ")</f>
        <v xml:space="preserve"> </v>
      </c>
      <c r="Z146" s="55"/>
      <c r="AA146" s="32"/>
      <c r="AB146" s="32"/>
      <c r="AC146" s="55"/>
      <c r="AD146" s="32"/>
      <c r="AE146" s="54"/>
      <c r="AF146" s="21" t="str">
        <f>IFERROR(VLOOKUP(May[[#This Row],[Drug Name3]],'Data Options'!$R$1:$S$100,2,FALSE), " ")</f>
        <v xml:space="preserve"> </v>
      </c>
      <c r="AG146" s="55"/>
      <c r="AH146" s="32"/>
      <c r="AI146" s="32"/>
      <c r="AJ146" s="55"/>
      <c r="AK146" s="32"/>
      <c r="AL146" s="32"/>
      <c r="AM146" s="32"/>
      <c r="AN146" s="32"/>
      <c r="AO146" s="32"/>
      <c r="AP146" s="31"/>
      <c r="AQ146" s="31"/>
      <c r="AR146" s="54"/>
      <c r="AS146" s="21" t="str">
        <f>IFERROR(VLOOKUP(May[[#This Row],[Drug Name4]],'Data Options'!$R$1:$S$100,2,FALSE), " ")</f>
        <v xml:space="preserve"> </v>
      </c>
      <c r="AT146" s="55"/>
      <c r="AU146" s="32"/>
      <c r="AV146" s="32"/>
      <c r="AW146" s="55"/>
      <c r="AX146" s="32"/>
      <c r="AY146" s="54"/>
      <c r="AZ146" s="21" t="str">
        <f>IFERROR(VLOOKUP(May[[#This Row],[Drug Name5]],'Data Options'!$R$1:$S$100,2,FALSE), " ")</f>
        <v xml:space="preserve"> </v>
      </c>
      <c r="BA146" s="55"/>
      <c r="BB146" s="32"/>
      <c r="BC146" s="32"/>
      <c r="BD146" s="55"/>
      <c r="BE146" s="32"/>
      <c r="BF146" s="54"/>
      <c r="BG146" s="21" t="str">
        <f>IFERROR(VLOOKUP(May[[#This Row],[Drug Name6]],'Data Options'!$R$1:$S$100,2,FALSE), " ")</f>
        <v xml:space="preserve"> </v>
      </c>
      <c r="BH146" s="55"/>
      <c r="BI146" s="32"/>
      <c r="BJ146" s="32"/>
      <c r="BK146" s="55"/>
      <c r="BL146" s="32"/>
      <c r="BM146" s="32"/>
      <c r="BN146" s="32"/>
      <c r="BO146" s="32"/>
      <c r="BP146" s="32"/>
      <c r="BQ146" s="31"/>
      <c r="BR146" s="31"/>
      <c r="BS146" s="54"/>
      <c r="BT146" s="21" t="str">
        <f>IFERROR(VLOOKUP(May[[#This Row],[Drug Name7]],'Data Options'!$R$1:$S$100,2,FALSE), " ")</f>
        <v xml:space="preserve"> </v>
      </c>
      <c r="BU146" s="55"/>
      <c r="BV146" s="32"/>
      <c r="BW146" s="32"/>
      <c r="BX146" s="55"/>
      <c r="BY146" s="32"/>
      <c r="BZ146" s="54"/>
      <c r="CA146" s="21" t="str">
        <f>IFERROR(VLOOKUP(May[[#This Row],[Drug Name8]],'Data Options'!$R$1:$S$100,2,FALSE), " ")</f>
        <v xml:space="preserve"> </v>
      </c>
      <c r="CB146" s="55"/>
      <c r="CC146" s="32"/>
      <c r="CD146" s="32"/>
      <c r="CE146" s="55"/>
      <c r="CF146" s="32"/>
      <c r="CG146" s="54"/>
      <c r="CH146" s="21" t="str">
        <f>IFERROR(VLOOKUP(May[[#This Row],[Drug Name9]],'Data Options'!$R$1:$S$100,2,FALSE), " ")</f>
        <v xml:space="preserve"> </v>
      </c>
      <c r="CI146" s="55"/>
      <c r="CJ146" s="32"/>
      <c r="CK146" s="32"/>
      <c r="CL146" s="55"/>
      <c r="CM146" s="32"/>
    </row>
    <row r="147" spans="1:91">
      <c r="A147" s="5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1"/>
      <c r="P147" s="31"/>
      <c r="Q147" s="54"/>
      <c r="R147" s="21" t="str">
        <f>IFERROR(VLOOKUP(May[[#This Row],[Drug Name]],'Data Options'!$R$1:$S$100,2,FALSE), " ")</f>
        <v xml:space="preserve"> </v>
      </c>
      <c r="S147" s="55"/>
      <c r="T147" s="32"/>
      <c r="U147" s="32"/>
      <c r="V147" s="55"/>
      <c r="W147" s="32"/>
      <c r="X147" s="54"/>
      <c r="Y147" s="21" t="str">
        <f>IFERROR(VLOOKUP(May[[#This Row],[Drug Name2]],'Data Options'!$R$1:$S$100,2,FALSE), " ")</f>
        <v xml:space="preserve"> </v>
      </c>
      <c r="Z147" s="55"/>
      <c r="AA147" s="32"/>
      <c r="AB147" s="32"/>
      <c r="AC147" s="55"/>
      <c r="AD147" s="32"/>
      <c r="AE147" s="54"/>
      <c r="AF147" s="21" t="str">
        <f>IFERROR(VLOOKUP(May[[#This Row],[Drug Name3]],'Data Options'!$R$1:$S$100,2,FALSE), " ")</f>
        <v xml:space="preserve"> </v>
      </c>
      <c r="AG147" s="55"/>
      <c r="AH147" s="32"/>
      <c r="AI147" s="32"/>
      <c r="AJ147" s="55"/>
      <c r="AK147" s="32"/>
      <c r="AL147" s="32"/>
      <c r="AM147" s="32"/>
      <c r="AN147" s="32"/>
      <c r="AO147" s="32"/>
      <c r="AP147" s="31"/>
      <c r="AQ147" s="31"/>
      <c r="AR147" s="54"/>
      <c r="AS147" s="21" t="str">
        <f>IFERROR(VLOOKUP(May[[#This Row],[Drug Name4]],'Data Options'!$R$1:$S$100,2,FALSE), " ")</f>
        <v xml:space="preserve"> </v>
      </c>
      <c r="AT147" s="55"/>
      <c r="AU147" s="32"/>
      <c r="AV147" s="32"/>
      <c r="AW147" s="55"/>
      <c r="AX147" s="32"/>
      <c r="AY147" s="54"/>
      <c r="AZ147" s="21" t="str">
        <f>IFERROR(VLOOKUP(May[[#This Row],[Drug Name5]],'Data Options'!$R$1:$S$100,2,FALSE), " ")</f>
        <v xml:space="preserve"> </v>
      </c>
      <c r="BA147" s="55"/>
      <c r="BB147" s="32"/>
      <c r="BC147" s="32"/>
      <c r="BD147" s="55"/>
      <c r="BE147" s="32"/>
      <c r="BF147" s="54"/>
      <c r="BG147" s="21" t="str">
        <f>IFERROR(VLOOKUP(May[[#This Row],[Drug Name6]],'Data Options'!$R$1:$S$100,2,FALSE), " ")</f>
        <v xml:space="preserve"> </v>
      </c>
      <c r="BH147" s="55"/>
      <c r="BI147" s="32"/>
      <c r="BJ147" s="32"/>
      <c r="BK147" s="55"/>
      <c r="BL147" s="32"/>
      <c r="BM147" s="32"/>
      <c r="BN147" s="32"/>
      <c r="BO147" s="32"/>
      <c r="BP147" s="32"/>
      <c r="BQ147" s="31"/>
      <c r="BR147" s="31"/>
      <c r="BS147" s="54"/>
      <c r="BT147" s="21" t="str">
        <f>IFERROR(VLOOKUP(May[[#This Row],[Drug Name7]],'Data Options'!$R$1:$S$100,2,FALSE), " ")</f>
        <v xml:space="preserve"> </v>
      </c>
      <c r="BU147" s="55"/>
      <c r="BV147" s="32"/>
      <c r="BW147" s="32"/>
      <c r="BX147" s="55"/>
      <c r="BY147" s="32"/>
      <c r="BZ147" s="54"/>
      <c r="CA147" s="21" t="str">
        <f>IFERROR(VLOOKUP(May[[#This Row],[Drug Name8]],'Data Options'!$R$1:$S$100,2,FALSE), " ")</f>
        <v xml:space="preserve"> </v>
      </c>
      <c r="CB147" s="55"/>
      <c r="CC147" s="32"/>
      <c r="CD147" s="32"/>
      <c r="CE147" s="55"/>
      <c r="CF147" s="32"/>
      <c r="CG147" s="54"/>
      <c r="CH147" s="21" t="str">
        <f>IFERROR(VLOOKUP(May[[#This Row],[Drug Name9]],'Data Options'!$R$1:$S$100,2,FALSE), " ")</f>
        <v xml:space="preserve"> </v>
      </c>
      <c r="CI147" s="55"/>
      <c r="CJ147" s="32"/>
      <c r="CK147" s="32"/>
      <c r="CL147" s="55"/>
      <c r="CM147" s="32"/>
    </row>
    <row r="148" spans="1:91">
      <c r="A148" s="5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1"/>
      <c r="P148" s="31"/>
      <c r="Q148" s="54"/>
      <c r="R148" s="21" t="str">
        <f>IFERROR(VLOOKUP(May[[#This Row],[Drug Name]],'Data Options'!$R$1:$S$100,2,FALSE), " ")</f>
        <v xml:space="preserve"> </v>
      </c>
      <c r="S148" s="55"/>
      <c r="T148" s="32"/>
      <c r="U148" s="32"/>
      <c r="V148" s="55"/>
      <c r="W148" s="32"/>
      <c r="X148" s="54"/>
      <c r="Y148" s="21" t="str">
        <f>IFERROR(VLOOKUP(May[[#This Row],[Drug Name2]],'Data Options'!$R$1:$S$100,2,FALSE), " ")</f>
        <v xml:space="preserve"> </v>
      </c>
      <c r="Z148" s="55"/>
      <c r="AA148" s="32"/>
      <c r="AB148" s="32"/>
      <c r="AC148" s="55"/>
      <c r="AD148" s="32"/>
      <c r="AE148" s="54"/>
      <c r="AF148" s="21" t="str">
        <f>IFERROR(VLOOKUP(May[[#This Row],[Drug Name3]],'Data Options'!$R$1:$S$100,2,FALSE), " ")</f>
        <v xml:space="preserve"> </v>
      </c>
      <c r="AG148" s="55"/>
      <c r="AH148" s="32"/>
      <c r="AI148" s="32"/>
      <c r="AJ148" s="55"/>
      <c r="AK148" s="32"/>
      <c r="AL148" s="32"/>
      <c r="AM148" s="32"/>
      <c r="AN148" s="32"/>
      <c r="AO148" s="32"/>
      <c r="AP148" s="31"/>
      <c r="AQ148" s="31"/>
      <c r="AR148" s="54"/>
      <c r="AS148" s="21" t="str">
        <f>IFERROR(VLOOKUP(May[[#This Row],[Drug Name4]],'Data Options'!$R$1:$S$100,2,FALSE), " ")</f>
        <v xml:space="preserve"> </v>
      </c>
      <c r="AT148" s="55"/>
      <c r="AU148" s="32"/>
      <c r="AV148" s="32"/>
      <c r="AW148" s="55"/>
      <c r="AX148" s="32"/>
      <c r="AY148" s="54"/>
      <c r="AZ148" s="21" t="str">
        <f>IFERROR(VLOOKUP(May[[#This Row],[Drug Name5]],'Data Options'!$R$1:$S$100,2,FALSE), " ")</f>
        <v xml:space="preserve"> </v>
      </c>
      <c r="BA148" s="55"/>
      <c r="BB148" s="32"/>
      <c r="BC148" s="32"/>
      <c r="BD148" s="55"/>
      <c r="BE148" s="32"/>
      <c r="BF148" s="54"/>
      <c r="BG148" s="21" t="str">
        <f>IFERROR(VLOOKUP(May[[#This Row],[Drug Name6]],'Data Options'!$R$1:$S$100,2,FALSE), " ")</f>
        <v xml:space="preserve"> </v>
      </c>
      <c r="BH148" s="55"/>
      <c r="BI148" s="32"/>
      <c r="BJ148" s="32"/>
      <c r="BK148" s="55"/>
      <c r="BL148" s="32"/>
      <c r="BM148" s="32"/>
      <c r="BN148" s="32"/>
      <c r="BO148" s="32"/>
      <c r="BP148" s="32"/>
      <c r="BQ148" s="31"/>
      <c r="BR148" s="31"/>
      <c r="BS148" s="54"/>
      <c r="BT148" s="21" t="str">
        <f>IFERROR(VLOOKUP(May[[#This Row],[Drug Name7]],'Data Options'!$R$1:$S$100,2,FALSE), " ")</f>
        <v xml:space="preserve"> </v>
      </c>
      <c r="BU148" s="55"/>
      <c r="BV148" s="32"/>
      <c r="BW148" s="32"/>
      <c r="BX148" s="55"/>
      <c r="BY148" s="32"/>
      <c r="BZ148" s="54"/>
      <c r="CA148" s="21" t="str">
        <f>IFERROR(VLOOKUP(May[[#This Row],[Drug Name8]],'Data Options'!$R$1:$S$100,2,FALSE), " ")</f>
        <v xml:space="preserve"> </v>
      </c>
      <c r="CB148" s="55"/>
      <c r="CC148" s="32"/>
      <c r="CD148" s="32"/>
      <c r="CE148" s="55"/>
      <c r="CF148" s="32"/>
      <c r="CG148" s="54"/>
      <c r="CH148" s="21" t="str">
        <f>IFERROR(VLOOKUP(May[[#This Row],[Drug Name9]],'Data Options'!$R$1:$S$100,2,FALSE), " ")</f>
        <v xml:space="preserve"> </v>
      </c>
      <c r="CI148" s="55"/>
      <c r="CJ148" s="32"/>
      <c r="CK148" s="32"/>
      <c r="CL148" s="55"/>
      <c r="CM148" s="32"/>
    </row>
    <row r="149" spans="1:91">
      <c r="A149" s="5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1"/>
      <c r="P149" s="31"/>
      <c r="Q149" s="54"/>
      <c r="R149" s="21" t="str">
        <f>IFERROR(VLOOKUP(May[[#This Row],[Drug Name]],'Data Options'!$R$1:$S$100,2,FALSE), " ")</f>
        <v xml:space="preserve"> </v>
      </c>
      <c r="S149" s="55"/>
      <c r="T149" s="32"/>
      <c r="U149" s="32"/>
      <c r="V149" s="55"/>
      <c r="W149" s="32"/>
      <c r="X149" s="54"/>
      <c r="Y149" s="21" t="str">
        <f>IFERROR(VLOOKUP(May[[#This Row],[Drug Name2]],'Data Options'!$R$1:$S$100,2,FALSE), " ")</f>
        <v xml:space="preserve"> </v>
      </c>
      <c r="Z149" s="55"/>
      <c r="AA149" s="32"/>
      <c r="AB149" s="32"/>
      <c r="AC149" s="55"/>
      <c r="AD149" s="32"/>
      <c r="AE149" s="54"/>
      <c r="AF149" s="21" t="str">
        <f>IFERROR(VLOOKUP(May[[#This Row],[Drug Name3]],'Data Options'!$R$1:$S$100,2,FALSE), " ")</f>
        <v xml:space="preserve"> </v>
      </c>
      <c r="AG149" s="55"/>
      <c r="AH149" s="32"/>
      <c r="AI149" s="32"/>
      <c r="AJ149" s="55"/>
      <c r="AK149" s="32"/>
      <c r="AL149" s="32"/>
      <c r="AM149" s="32"/>
      <c r="AN149" s="32"/>
      <c r="AO149" s="32"/>
      <c r="AP149" s="31"/>
      <c r="AQ149" s="31"/>
      <c r="AR149" s="54"/>
      <c r="AS149" s="21" t="str">
        <f>IFERROR(VLOOKUP(May[[#This Row],[Drug Name4]],'Data Options'!$R$1:$S$100,2,FALSE), " ")</f>
        <v xml:space="preserve"> </v>
      </c>
      <c r="AT149" s="55"/>
      <c r="AU149" s="32"/>
      <c r="AV149" s="32"/>
      <c r="AW149" s="55"/>
      <c r="AX149" s="32"/>
      <c r="AY149" s="54"/>
      <c r="AZ149" s="21" t="str">
        <f>IFERROR(VLOOKUP(May[[#This Row],[Drug Name5]],'Data Options'!$R$1:$S$100,2,FALSE), " ")</f>
        <v xml:space="preserve"> </v>
      </c>
      <c r="BA149" s="55"/>
      <c r="BB149" s="32"/>
      <c r="BC149" s="32"/>
      <c r="BD149" s="55"/>
      <c r="BE149" s="32"/>
      <c r="BF149" s="54"/>
      <c r="BG149" s="21" t="str">
        <f>IFERROR(VLOOKUP(May[[#This Row],[Drug Name6]],'Data Options'!$R$1:$S$100,2,FALSE), " ")</f>
        <v xml:space="preserve"> </v>
      </c>
      <c r="BH149" s="55"/>
      <c r="BI149" s="32"/>
      <c r="BJ149" s="32"/>
      <c r="BK149" s="55"/>
      <c r="BL149" s="32"/>
      <c r="BM149" s="32"/>
      <c r="BN149" s="32"/>
      <c r="BO149" s="32"/>
      <c r="BP149" s="32"/>
      <c r="BQ149" s="31"/>
      <c r="BR149" s="31"/>
      <c r="BS149" s="54"/>
      <c r="BT149" s="21" t="str">
        <f>IFERROR(VLOOKUP(May[[#This Row],[Drug Name7]],'Data Options'!$R$1:$S$100,2,FALSE), " ")</f>
        <v xml:space="preserve"> </v>
      </c>
      <c r="BU149" s="55"/>
      <c r="BV149" s="32"/>
      <c r="BW149" s="32"/>
      <c r="BX149" s="55"/>
      <c r="BY149" s="32"/>
      <c r="BZ149" s="54"/>
      <c r="CA149" s="21" t="str">
        <f>IFERROR(VLOOKUP(May[[#This Row],[Drug Name8]],'Data Options'!$R$1:$S$100,2,FALSE), " ")</f>
        <v xml:space="preserve"> </v>
      </c>
      <c r="CB149" s="55"/>
      <c r="CC149" s="32"/>
      <c r="CD149" s="32"/>
      <c r="CE149" s="55"/>
      <c r="CF149" s="32"/>
      <c r="CG149" s="54"/>
      <c r="CH149" s="21" t="str">
        <f>IFERROR(VLOOKUP(May[[#This Row],[Drug Name9]],'Data Options'!$R$1:$S$100,2,FALSE), " ")</f>
        <v xml:space="preserve"> </v>
      </c>
      <c r="CI149" s="55"/>
      <c r="CJ149" s="32"/>
      <c r="CK149" s="32"/>
      <c r="CL149" s="55"/>
      <c r="CM149" s="32"/>
    </row>
    <row r="150" spans="1:91">
      <c r="A150" s="5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1"/>
      <c r="P150" s="31"/>
      <c r="Q150" s="54"/>
      <c r="R150" s="21" t="str">
        <f>IFERROR(VLOOKUP(May[[#This Row],[Drug Name]],'Data Options'!$R$1:$S$100,2,FALSE), " ")</f>
        <v xml:space="preserve"> </v>
      </c>
      <c r="S150" s="55"/>
      <c r="T150" s="32"/>
      <c r="U150" s="32"/>
      <c r="V150" s="55"/>
      <c r="W150" s="32"/>
      <c r="X150" s="54"/>
      <c r="Y150" s="21" t="str">
        <f>IFERROR(VLOOKUP(May[[#This Row],[Drug Name2]],'Data Options'!$R$1:$S$100,2,FALSE), " ")</f>
        <v xml:space="preserve"> </v>
      </c>
      <c r="Z150" s="55"/>
      <c r="AA150" s="32"/>
      <c r="AB150" s="32"/>
      <c r="AC150" s="55"/>
      <c r="AD150" s="32"/>
      <c r="AE150" s="54"/>
      <c r="AF150" s="21" t="str">
        <f>IFERROR(VLOOKUP(May[[#This Row],[Drug Name3]],'Data Options'!$R$1:$S$100,2,FALSE), " ")</f>
        <v xml:space="preserve"> </v>
      </c>
      <c r="AG150" s="55"/>
      <c r="AH150" s="32"/>
      <c r="AI150" s="32"/>
      <c r="AJ150" s="55"/>
      <c r="AK150" s="32"/>
      <c r="AL150" s="32"/>
      <c r="AM150" s="32"/>
      <c r="AN150" s="32"/>
      <c r="AO150" s="32"/>
      <c r="AP150" s="31"/>
      <c r="AQ150" s="31"/>
      <c r="AR150" s="54"/>
      <c r="AS150" s="21" t="str">
        <f>IFERROR(VLOOKUP(May[[#This Row],[Drug Name4]],'Data Options'!$R$1:$S$100,2,FALSE), " ")</f>
        <v xml:space="preserve"> </v>
      </c>
      <c r="AT150" s="55"/>
      <c r="AU150" s="32"/>
      <c r="AV150" s="32"/>
      <c r="AW150" s="55"/>
      <c r="AX150" s="32"/>
      <c r="AY150" s="54"/>
      <c r="AZ150" s="21" t="str">
        <f>IFERROR(VLOOKUP(May[[#This Row],[Drug Name5]],'Data Options'!$R$1:$S$100,2,FALSE), " ")</f>
        <v xml:space="preserve"> </v>
      </c>
      <c r="BA150" s="55"/>
      <c r="BB150" s="32"/>
      <c r="BC150" s="32"/>
      <c r="BD150" s="55"/>
      <c r="BE150" s="32"/>
      <c r="BF150" s="54"/>
      <c r="BG150" s="21" t="str">
        <f>IFERROR(VLOOKUP(May[[#This Row],[Drug Name6]],'Data Options'!$R$1:$S$100,2,FALSE), " ")</f>
        <v xml:space="preserve"> </v>
      </c>
      <c r="BH150" s="55"/>
      <c r="BI150" s="32"/>
      <c r="BJ150" s="32"/>
      <c r="BK150" s="55"/>
      <c r="BL150" s="32"/>
      <c r="BM150" s="32"/>
      <c r="BN150" s="32"/>
      <c r="BO150" s="32"/>
      <c r="BP150" s="32"/>
      <c r="BQ150" s="31"/>
      <c r="BR150" s="31"/>
      <c r="BS150" s="54"/>
      <c r="BT150" s="21" t="str">
        <f>IFERROR(VLOOKUP(May[[#This Row],[Drug Name7]],'Data Options'!$R$1:$S$100,2,FALSE), " ")</f>
        <v xml:space="preserve"> </v>
      </c>
      <c r="BU150" s="55"/>
      <c r="BV150" s="32"/>
      <c r="BW150" s="32"/>
      <c r="BX150" s="55"/>
      <c r="BY150" s="32"/>
      <c r="BZ150" s="54"/>
      <c r="CA150" s="21" t="str">
        <f>IFERROR(VLOOKUP(May[[#This Row],[Drug Name8]],'Data Options'!$R$1:$S$100,2,FALSE), " ")</f>
        <v xml:space="preserve"> </v>
      </c>
      <c r="CB150" s="55"/>
      <c r="CC150" s="32"/>
      <c r="CD150" s="32"/>
      <c r="CE150" s="55"/>
      <c r="CF150" s="32"/>
      <c r="CG150" s="54"/>
      <c r="CH150" s="21" t="str">
        <f>IFERROR(VLOOKUP(May[[#This Row],[Drug Name9]],'Data Options'!$R$1:$S$100,2,FALSE), " ")</f>
        <v xml:space="preserve"> </v>
      </c>
      <c r="CI150" s="55"/>
      <c r="CJ150" s="32"/>
      <c r="CK150" s="32"/>
      <c r="CL150" s="55"/>
      <c r="CM150" s="32"/>
    </row>
    <row r="151" spans="1:91">
      <c r="A151" s="5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1"/>
      <c r="P151" s="31"/>
      <c r="Q151" s="54"/>
      <c r="R151" s="21" t="str">
        <f>IFERROR(VLOOKUP(May[[#This Row],[Drug Name]],'Data Options'!$R$1:$S$100,2,FALSE), " ")</f>
        <v xml:space="preserve"> </v>
      </c>
      <c r="S151" s="55"/>
      <c r="T151" s="32"/>
      <c r="U151" s="32"/>
      <c r="V151" s="55"/>
      <c r="W151" s="32"/>
      <c r="X151" s="54"/>
      <c r="Y151" s="21" t="str">
        <f>IFERROR(VLOOKUP(May[[#This Row],[Drug Name2]],'Data Options'!$R$1:$S$100,2,FALSE), " ")</f>
        <v xml:space="preserve"> </v>
      </c>
      <c r="Z151" s="55"/>
      <c r="AA151" s="32"/>
      <c r="AB151" s="32"/>
      <c r="AC151" s="55"/>
      <c r="AD151" s="32"/>
      <c r="AE151" s="54"/>
      <c r="AF151" s="21" t="str">
        <f>IFERROR(VLOOKUP(May[[#This Row],[Drug Name3]],'Data Options'!$R$1:$S$100,2,FALSE), " ")</f>
        <v xml:space="preserve"> </v>
      </c>
      <c r="AG151" s="55"/>
      <c r="AH151" s="32"/>
      <c r="AI151" s="32"/>
      <c r="AJ151" s="55"/>
      <c r="AK151" s="32"/>
      <c r="AL151" s="32"/>
      <c r="AM151" s="32"/>
      <c r="AN151" s="32"/>
      <c r="AO151" s="32"/>
      <c r="AP151" s="31"/>
      <c r="AQ151" s="31"/>
      <c r="AR151" s="54"/>
      <c r="AS151" s="21" t="str">
        <f>IFERROR(VLOOKUP(May[[#This Row],[Drug Name4]],'Data Options'!$R$1:$S$100,2,FALSE), " ")</f>
        <v xml:space="preserve"> </v>
      </c>
      <c r="AT151" s="55"/>
      <c r="AU151" s="32"/>
      <c r="AV151" s="32"/>
      <c r="AW151" s="55"/>
      <c r="AX151" s="32"/>
      <c r="AY151" s="54"/>
      <c r="AZ151" s="21" t="str">
        <f>IFERROR(VLOOKUP(May[[#This Row],[Drug Name5]],'Data Options'!$R$1:$S$100,2,FALSE), " ")</f>
        <v xml:space="preserve"> </v>
      </c>
      <c r="BA151" s="55"/>
      <c r="BB151" s="32"/>
      <c r="BC151" s="32"/>
      <c r="BD151" s="55"/>
      <c r="BE151" s="32"/>
      <c r="BF151" s="54"/>
      <c r="BG151" s="21" t="str">
        <f>IFERROR(VLOOKUP(May[[#This Row],[Drug Name6]],'Data Options'!$R$1:$S$100,2,FALSE), " ")</f>
        <v xml:space="preserve"> </v>
      </c>
      <c r="BH151" s="55"/>
      <c r="BI151" s="32"/>
      <c r="BJ151" s="32"/>
      <c r="BK151" s="55"/>
      <c r="BL151" s="32"/>
      <c r="BM151" s="32"/>
      <c r="BN151" s="32"/>
      <c r="BO151" s="32"/>
      <c r="BP151" s="32"/>
      <c r="BQ151" s="31"/>
      <c r="BR151" s="31"/>
      <c r="BS151" s="54"/>
      <c r="BT151" s="21" t="str">
        <f>IFERROR(VLOOKUP(May[[#This Row],[Drug Name7]],'Data Options'!$R$1:$S$100,2,FALSE), " ")</f>
        <v xml:space="preserve"> </v>
      </c>
      <c r="BU151" s="55"/>
      <c r="BV151" s="32"/>
      <c r="BW151" s="32"/>
      <c r="BX151" s="55"/>
      <c r="BY151" s="32"/>
      <c r="BZ151" s="54"/>
      <c r="CA151" s="21" t="str">
        <f>IFERROR(VLOOKUP(May[[#This Row],[Drug Name8]],'Data Options'!$R$1:$S$100,2,FALSE), " ")</f>
        <v xml:space="preserve"> </v>
      </c>
      <c r="CB151" s="55"/>
      <c r="CC151" s="32"/>
      <c r="CD151" s="32"/>
      <c r="CE151" s="55"/>
      <c r="CF151" s="32"/>
      <c r="CG151" s="54"/>
      <c r="CH151" s="21" t="str">
        <f>IFERROR(VLOOKUP(May[[#This Row],[Drug Name9]],'Data Options'!$R$1:$S$100,2,FALSE), " ")</f>
        <v xml:space="preserve"> </v>
      </c>
      <c r="CI151" s="55"/>
      <c r="CJ151" s="32"/>
      <c r="CK151" s="32"/>
      <c r="CL151" s="55"/>
      <c r="CM151" s="32"/>
    </row>
    <row r="152" spans="1:91">
      <c r="A152" s="5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1"/>
      <c r="P152" s="31"/>
      <c r="Q152" s="54"/>
      <c r="R152" s="21" t="str">
        <f>IFERROR(VLOOKUP(May[[#This Row],[Drug Name]],'Data Options'!$R$1:$S$100,2,FALSE), " ")</f>
        <v xml:space="preserve"> </v>
      </c>
      <c r="S152" s="55"/>
      <c r="T152" s="32"/>
      <c r="U152" s="32"/>
      <c r="V152" s="55"/>
      <c r="W152" s="32"/>
      <c r="X152" s="54"/>
      <c r="Y152" s="21" t="str">
        <f>IFERROR(VLOOKUP(May[[#This Row],[Drug Name2]],'Data Options'!$R$1:$S$100,2,FALSE), " ")</f>
        <v xml:space="preserve"> </v>
      </c>
      <c r="Z152" s="55"/>
      <c r="AA152" s="32"/>
      <c r="AB152" s="32"/>
      <c r="AC152" s="55"/>
      <c r="AD152" s="32"/>
      <c r="AE152" s="54"/>
      <c r="AF152" s="21" t="str">
        <f>IFERROR(VLOOKUP(May[[#This Row],[Drug Name3]],'Data Options'!$R$1:$S$100,2,FALSE), " ")</f>
        <v xml:space="preserve"> </v>
      </c>
      <c r="AG152" s="55"/>
      <c r="AH152" s="32"/>
      <c r="AI152" s="32"/>
      <c r="AJ152" s="55"/>
      <c r="AK152" s="32"/>
      <c r="AL152" s="32"/>
      <c r="AM152" s="32"/>
      <c r="AN152" s="32"/>
      <c r="AO152" s="32"/>
      <c r="AP152" s="31"/>
      <c r="AQ152" s="31"/>
      <c r="AR152" s="54"/>
      <c r="AS152" s="21" t="str">
        <f>IFERROR(VLOOKUP(May[[#This Row],[Drug Name4]],'Data Options'!$R$1:$S$100,2,FALSE), " ")</f>
        <v xml:space="preserve"> </v>
      </c>
      <c r="AT152" s="55"/>
      <c r="AU152" s="32"/>
      <c r="AV152" s="32"/>
      <c r="AW152" s="55"/>
      <c r="AX152" s="32"/>
      <c r="AY152" s="54"/>
      <c r="AZ152" s="21" t="str">
        <f>IFERROR(VLOOKUP(May[[#This Row],[Drug Name5]],'Data Options'!$R$1:$S$100,2,FALSE), " ")</f>
        <v xml:space="preserve"> </v>
      </c>
      <c r="BA152" s="55"/>
      <c r="BB152" s="32"/>
      <c r="BC152" s="32"/>
      <c r="BD152" s="55"/>
      <c r="BE152" s="32"/>
      <c r="BF152" s="54"/>
      <c r="BG152" s="21" t="str">
        <f>IFERROR(VLOOKUP(May[[#This Row],[Drug Name6]],'Data Options'!$R$1:$S$100,2,FALSE), " ")</f>
        <v xml:space="preserve"> </v>
      </c>
      <c r="BH152" s="55"/>
      <c r="BI152" s="32"/>
      <c r="BJ152" s="32"/>
      <c r="BK152" s="55"/>
      <c r="BL152" s="32"/>
      <c r="BM152" s="32"/>
      <c r="BN152" s="32"/>
      <c r="BO152" s="32"/>
      <c r="BP152" s="32"/>
      <c r="BQ152" s="31"/>
      <c r="BR152" s="31"/>
      <c r="BS152" s="54"/>
      <c r="BT152" s="21" t="str">
        <f>IFERROR(VLOOKUP(May[[#This Row],[Drug Name7]],'Data Options'!$R$1:$S$100,2,FALSE), " ")</f>
        <v xml:space="preserve"> </v>
      </c>
      <c r="BU152" s="55"/>
      <c r="BV152" s="32"/>
      <c r="BW152" s="32"/>
      <c r="BX152" s="55"/>
      <c r="BY152" s="32"/>
      <c r="BZ152" s="54"/>
      <c r="CA152" s="21" t="str">
        <f>IFERROR(VLOOKUP(May[[#This Row],[Drug Name8]],'Data Options'!$R$1:$S$100,2,FALSE), " ")</f>
        <v xml:space="preserve"> </v>
      </c>
      <c r="CB152" s="55"/>
      <c r="CC152" s="32"/>
      <c r="CD152" s="32"/>
      <c r="CE152" s="55"/>
      <c r="CF152" s="32"/>
      <c r="CG152" s="54"/>
      <c r="CH152" s="21" t="str">
        <f>IFERROR(VLOOKUP(May[[#This Row],[Drug Name9]],'Data Options'!$R$1:$S$100,2,FALSE), " ")</f>
        <v xml:space="preserve"> </v>
      </c>
      <c r="CI152" s="55"/>
      <c r="CJ152" s="32"/>
      <c r="CK152" s="32"/>
      <c r="CL152" s="55"/>
      <c r="CM152" s="32"/>
    </row>
    <row r="153" spans="1:91">
      <c r="A153" s="5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1"/>
      <c r="P153" s="31"/>
      <c r="Q153" s="54"/>
      <c r="R153" s="21" t="str">
        <f>IFERROR(VLOOKUP(May[[#This Row],[Drug Name]],'Data Options'!$R$1:$S$100,2,FALSE), " ")</f>
        <v xml:space="preserve"> </v>
      </c>
      <c r="S153" s="55"/>
      <c r="T153" s="32"/>
      <c r="U153" s="32"/>
      <c r="V153" s="55"/>
      <c r="W153" s="32"/>
      <c r="X153" s="54"/>
      <c r="Y153" s="21" t="str">
        <f>IFERROR(VLOOKUP(May[[#This Row],[Drug Name2]],'Data Options'!$R$1:$S$100,2,FALSE), " ")</f>
        <v xml:space="preserve"> </v>
      </c>
      <c r="Z153" s="55"/>
      <c r="AA153" s="32"/>
      <c r="AB153" s="32"/>
      <c r="AC153" s="55"/>
      <c r="AD153" s="32"/>
      <c r="AE153" s="54"/>
      <c r="AF153" s="21" t="str">
        <f>IFERROR(VLOOKUP(May[[#This Row],[Drug Name3]],'Data Options'!$R$1:$S$100,2,FALSE), " ")</f>
        <v xml:space="preserve"> </v>
      </c>
      <c r="AG153" s="55"/>
      <c r="AH153" s="32"/>
      <c r="AI153" s="32"/>
      <c r="AJ153" s="55"/>
      <c r="AK153" s="32"/>
      <c r="AL153" s="32"/>
      <c r="AM153" s="32"/>
      <c r="AN153" s="32"/>
      <c r="AO153" s="32"/>
      <c r="AP153" s="31"/>
      <c r="AQ153" s="31"/>
      <c r="AR153" s="54"/>
      <c r="AS153" s="21" t="str">
        <f>IFERROR(VLOOKUP(May[[#This Row],[Drug Name4]],'Data Options'!$R$1:$S$100,2,FALSE), " ")</f>
        <v xml:space="preserve"> </v>
      </c>
      <c r="AT153" s="55"/>
      <c r="AU153" s="32"/>
      <c r="AV153" s="32"/>
      <c r="AW153" s="55"/>
      <c r="AX153" s="32"/>
      <c r="AY153" s="54"/>
      <c r="AZ153" s="21" t="str">
        <f>IFERROR(VLOOKUP(May[[#This Row],[Drug Name5]],'Data Options'!$R$1:$S$100,2,FALSE), " ")</f>
        <v xml:space="preserve"> </v>
      </c>
      <c r="BA153" s="55"/>
      <c r="BB153" s="32"/>
      <c r="BC153" s="32"/>
      <c r="BD153" s="55"/>
      <c r="BE153" s="32"/>
      <c r="BF153" s="54"/>
      <c r="BG153" s="21" t="str">
        <f>IFERROR(VLOOKUP(May[[#This Row],[Drug Name6]],'Data Options'!$R$1:$S$100,2,FALSE), " ")</f>
        <v xml:space="preserve"> </v>
      </c>
      <c r="BH153" s="55"/>
      <c r="BI153" s="32"/>
      <c r="BJ153" s="32"/>
      <c r="BK153" s="55"/>
      <c r="BL153" s="32"/>
      <c r="BM153" s="32"/>
      <c r="BN153" s="32"/>
      <c r="BO153" s="32"/>
      <c r="BP153" s="32"/>
      <c r="BQ153" s="31"/>
      <c r="BR153" s="31"/>
      <c r="BS153" s="54"/>
      <c r="BT153" s="21" t="str">
        <f>IFERROR(VLOOKUP(May[[#This Row],[Drug Name7]],'Data Options'!$R$1:$S$100,2,FALSE), " ")</f>
        <v xml:space="preserve"> </v>
      </c>
      <c r="BU153" s="55"/>
      <c r="BV153" s="32"/>
      <c r="BW153" s="32"/>
      <c r="BX153" s="55"/>
      <c r="BY153" s="32"/>
      <c r="BZ153" s="54"/>
      <c r="CA153" s="21" t="str">
        <f>IFERROR(VLOOKUP(May[[#This Row],[Drug Name8]],'Data Options'!$R$1:$S$100,2,FALSE), " ")</f>
        <v xml:space="preserve"> </v>
      </c>
      <c r="CB153" s="55"/>
      <c r="CC153" s="32"/>
      <c r="CD153" s="32"/>
      <c r="CE153" s="55"/>
      <c r="CF153" s="32"/>
      <c r="CG153" s="54"/>
      <c r="CH153" s="21" t="str">
        <f>IFERROR(VLOOKUP(May[[#This Row],[Drug Name9]],'Data Options'!$R$1:$S$100,2,FALSE), " ")</f>
        <v xml:space="preserve"> </v>
      </c>
      <c r="CI153" s="55"/>
      <c r="CJ153" s="32"/>
      <c r="CK153" s="32"/>
      <c r="CL153" s="55"/>
      <c r="CM153" s="32"/>
    </row>
    <row r="154" spans="1:91">
      <c r="A154" s="5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1"/>
      <c r="P154" s="31"/>
      <c r="Q154" s="54"/>
      <c r="R154" s="21" t="str">
        <f>IFERROR(VLOOKUP(May[[#This Row],[Drug Name]],'Data Options'!$R$1:$S$100,2,FALSE), " ")</f>
        <v xml:space="preserve"> </v>
      </c>
      <c r="S154" s="55"/>
      <c r="T154" s="32"/>
      <c r="U154" s="32"/>
      <c r="V154" s="55"/>
      <c r="W154" s="32"/>
      <c r="X154" s="54"/>
      <c r="Y154" s="21" t="str">
        <f>IFERROR(VLOOKUP(May[[#This Row],[Drug Name2]],'Data Options'!$R$1:$S$100,2,FALSE), " ")</f>
        <v xml:space="preserve"> </v>
      </c>
      <c r="Z154" s="55"/>
      <c r="AA154" s="32"/>
      <c r="AB154" s="32"/>
      <c r="AC154" s="55"/>
      <c r="AD154" s="32"/>
      <c r="AE154" s="54"/>
      <c r="AF154" s="21" t="str">
        <f>IFERROR(VLOOKUP(May[[#This Row],[Drug Name3]],'Data Options'!$R$1:$S$100,2,FALSE), " ")</f>
        <v xml:space="preserve"> </v>
      </c>
      <c r="AG154" s="55"/>
      <c r="AH154" s="32"/>
      <c r="AI154" s="32"/>
      <c r="AJ154" s="55"/>
      <c r="AK154" s="32"/>
      <c r="AL154" s="32"/>
      <c r="AM154" s="32"/>
      <c r="AN154" s="32"/>
      <c r="AO154" s="32"/>
      <c r="AP154" s="31"/>
      <c r="AQ154" s="31"/>
      <c r="AR154" s="54"/>
      <c r="AS154" s="21" t="str">
        <f>IFERROR(VLOOKUP(May[[#This Row],[Drug Name4]],'Data Options'!$R$1:$S$100,2,FALSE), " ")</f>
        <v xml:space="preserve"> </v>
      </c>
      <c r="AT154" s="55"/>
      <c r="AU154" s="32"/>
      <c r="AV154" s="32"/>
      <c r="AW154" s="55"/>
      <c r="AX154" s="32"/>
      <c r="AY154" s="54"/>
      <c r="AZ154" s="21" t="str">
        <f>IFERROR(VLOOKUP(May[[#This Row],[Drug Name5]],'Data Options'!$R$1:$S$100,2,FALSE), " ")</f>
        <v xml:space="preserve"> </v>
      </c>
      <c r="BA154" s="55"/>
      <c r="BB154" s="32"/>
      <c r="BC154" s="32"/>
      <c r="BD154" s="55"/>
      <c r="BE154" s="32"/>
      <c r="BF154" s="54"/>
      <c r="BG154" s="21" t="str">
        <f>IFERROR(VLOOKUP(May[[#This Row],[Drug Name6]],'Data Options'!$R$1:$S$100,2,FALSE), " ")</f>
        <v xml:space="preserve"> </v>
      </c>
      <c r="BH154" s="55"/>
      <c r="BI154" s="32"/>
      <c r="BJ154" s="32"/>
      <c r="BK154" s="55"/>
      <c r="BL154" s="32"/>
      <c r="BM154" s="32"/>
      <c r="BN154" s="32"/>
      <c r="BO154" s="32"/>
      <c r="BP154" s="32"/>
      <c r="BQ154" s="31"/>
      <c r="BR154" s="31"/>
      <c r="BS154" s="54"/>
      <c r="BT154" s="21" t="str">
        <f>IFERROR(VLOOKUP(May[[#This Row],[Drug Name7]],'Data Options'!$R$1:$S$100,2,FALSE), " ")</f>
        <v xml:space="preserve"> </v>
      </c>
      <c r="BU154" s="55"/>
      <c r="BV154" s="32"/>
      <c r="BW154" s="32"/>
      <c r="BX154" s="55"/>
      <c r="BY154" s="32"/>
      <c r="BZ154" s="54"/>
      <c r="CA154" s="21" t="str">
        <f>IFERROR(VLOOKUP(May[[#This Row],[Drug Name8]],'Data Options'!$R$1:$S$100,2,FALSE), " ")</f>
        <v xml:space="preserve"> </v>
      </c>
      <c r="CB154" s="55"/>
      <c r="CC154" s="32"/>
      <c r="CD154" s="32"/>
      <c r="CE154" s="55"/>
      <c r="CF154" s="32"/>
      <c r="CG154" s="54"/>
      <c r="CH154" s="21" t="str">
        <f>IFERROR(VLOOKUP(May[[#This Row],[Drug Name9]],'Data Options'!$R$1:$S$100,2,FALSE), " ")</f>
        <v xml:space="preserve"> </v>
      </c>
      <c r="CI154" s="55"/>
      <c r="CJ154" s="32"/>
      <c r="CK154" s="32"/>
      <c r="CL154" s="55"/>
      <c r="CM154" s="32"/>
    </row>
    <row r="155" spans="1:91">
      <c r="A155" s="5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54"/>
      <c r="R155" s="21" t="str">
        <f>IFERROR(VLOOKUP(May[[#This Row],[Drug Name]],'Data Options'!$R$1:$S$100,2,FALSE), " ")</f>
        <v xml:space="preserve"> </v>
      </c>
      <c r="S155" s="55"/>
      <c r="T155" s="32"/>
      <c r="U155" s="32"/>
      <c r="V155" s="55"/>
      <c r="W155" s="32"/>
      <c r="X155" s="54"/>
      <c r="Y155" s="21" t="str">
        <f>IFERROR(VLOOKUP(May[[#This Row],[Drug Name2]],'Data Options'!$R$1:$S$100,2,FALSE), " ")</f>
        <v xml:space="preserve"> </v>
      </c>
      <c r="Z155" s="55"/>
      <c r="AA155" s="32"/>
      <c r="AB155" s="32"/>
      <c r="AC155" s="55"/>
      <c r="AD155" s="32"/>
      <c r="AE155" s="54"/>
      <c r="AF155" s="21" t="str">
        <f>IFERROR(VLOOKUP(May[[#This Row],[Drug Name3]],'Data Options'!$R$1:$S$100,2,FALSE), " ")</f>
        <v xml:space="preserve"> </v>
      </c>
      <c r="AG155" s="55"/>
      <c r="AH155" s="32"/>
      <c r="AI155" s="32"/>
      <c r="AJ155" s="55"/>
      <c r="AK155" s="32"/>
      <c r="AL155" s="32"/>
      <c r="AM155" s="32"/>
      <c r="AN155" s="32"/>
      <c r="AO155" s="32"/>
      <c r="AP155" s="31"/>
      <c r="AQ155" s="31"/>
      <c r="AR155" s="54"/>
      <c r="AS155" s="21" t="str">
        <f>IFERROR(VLOOKUP(May[[#This Row],[Drug Name4]],'Data Options'!$R$1:$S$100,2,FALSE), " ")</f>
        <v xml:space="preserve"> </v>
      </c>
      <c r="AT155" s="55"/>
      <c r="AU155" s="32"/>
      <c r="AV155" s="32"/>
      <c r="AW155" s="55"/>
      <c r="AX155" s="32"/>
      <c r="AY155" s="54"/>
      <c r="AZ155" s="21" t="str">
        <f>IFERROR(VLOOKUP(May[[#This Row],[Drug Name5]],'Data Options'!$R$1:$S$100,2,FALSE), " ")</f>
        <v xml:space="preserve"> </v>
      </c>
      <c r="BA155" s="55"/>
      <c r="BB155" s="32"/>
      <c r="BC155" s="32"/>
      <c r="BD155" s="55"/>
      <c r="BE155" s="32"/>
      <c r="BF155" s="54"/>
      <c r="BG155" s="21" t="str">
        <f>IFERROR(VLOOKUP(May[[#This Row],[Drug Name6]],'Data Options'!$R$1:$S$100,2,FALSE), " ")</f>
        <v xml:space="preserve"> </v>
      </c>
      <c r="BH155" s="55"/>
      <c r="BI155" s="32"/>
      <c r="BJ155" s="32"/>
      <c r="BK155" s="55"/>
      <c r="BL155" s="32"/>
      <c r="BM155" s="32"/>
      <c r="BN155" s="32"/>
      <c r="BO155" s="32"/>
      <c r="BP155" s="32"/>
      <c r="BQ155" s="31"/>
      <c r="BR155" s="31"/>
      <c r="BS155" s="54"/>
      <c r="BT155" s="21" t="str">
        <f>IFERROR(VLOOKUP(May[[#This Row],[Drug Name7]],'Data Options'!$R$1:$S$100,2,FALSE), " ")</f>
        <v xml:space="preserve"> </v>
      </c>
      <c r="BU155" s="55"/>
      <c r="BV155" s="32"/>
      <c r="BW155" s="32"/>
      <c r="BX155" s="55"/>
      <c r="BY155" s="32"/>
      <c r="BZ155" s="54"/>
      <c r="CA155" s="21" t="str">
        <f>IFERROR(VLOOKUP(May[[#This Row],[Drug Name8]],'Data Options'!$R$1:$S$100,2,FALSE), " ")</f>
        <v xml:space="preserve"> </v>
      </c>
      <c r="CB155" s="55"/>
      <c r="CC155" s="32"/>
      <c r="CD155" s="32"/>
      <c r="CE155" s="55"/>
      <c r="CF155" s="32"/>
      <c r="CG155" s="54"/>
      <c r="CH155" s="21" t="str">
        <f>IFERROR(VLOOKUP(May[[#This Row],[Drug Name9]],'Data Options'!$R$1:$S$100,2,FALSE), " ")</f>
        <v xml:space="preserve"> </v>
      </c>
      <c r="CI155" s="55"/>
      <c r="CJ155" s="32"/>
      <c r="CK155" s="32"/>
      <c r="CL155" s="55"/>
      <c r="CM155" s="32"/>
    </row>
    <row r="156" spans="1:91">
      <c r="A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1"/>
      <c r="P156" s="31"/>
      <c r="Q156" s="54"/>
      <c r="R156" s="21" t="str">
        <f>IFERROR(VLOOKUP(May[[#This Row],[Drug Name]],'Data Options'!$R$1:$S$100,2,FALSE), " ")</f>
        <v xml:space="preserve"> </v>
      </c>
      <c r="S156" s="55"/>
      <c r="T156" s="32"/>
      <c r="U156" s="32"/>
      <c r="V156" s="55"/>
      <c r="W156" s="32"/>
      <c r="X156" s="54"/>
      <c r="Y156" s="21" t="str">
        <f>IFERROR(VLOOKUP(May[[#This Row],[Drug Name2]],'Data Options'!$R$1:$S$100,2,FALSE), " ")</f>
        <v xml:space="preserve"> </v>
      </c>
      <c r="Z156" s="55"/>
      <c r="AA156" s="32"/>
      <c r="AB156" s="32"/>
      <c r="AC156" s="55"/>
      <c r="AD156" s="32"/>
      <c r="AE156" s="54"/>
      <c r="AF156" s="21" t="str">
        <f>IFERROR(VLOOKUP(May[[#This Row],[Drug Name3]],'Data Options'!$R$1:$S$100,2,FALSE), " ")</f>
        <v xml:space="preserve"> </v>
      </c>
      <c r="AG156" s="55"/>
      <c r="AH156" s="32"/>
      <c r="AI156" s="32"/>
      <c r="AJ156" s="55"/>
      <c r="AK156" s="32"/>
      <c r="AL156" s="32"/>
      <c r="AM156" s="32"/>
      <c r="AN156" s="32"/>
      <c r="AO156" s="32"/>
      <c r="AP156" s="31"/>
      <c r="AQ156" s="31"/>
      <c r="AR156" s="54"/>
      <c r="AS156" s="21" t="str">
        <f>IFERROR(VLOOKUP(May[[#This Row],[Drug Name4]],'Data Options'!$R$1:$S$100,2,FALSE), " ")</f>
        <v xml:space="preserve"> </v>
      </c>
      <c r="AT156" s="55"/>
      <c r="AU156" s="32"/>
      <c r="AV156" s="32"/>
      <c r="AW156" s="55"/>
      <c r="AX156" s="32"/>
      <c r="AY156" s="54"/>
      <c r="AZ156" s="21" t="str">
        <f>IFERROR(VLOOKUP(May[[#This Row],[Drug Name5]],'Data Options'!$R$1:$S$100,2,FALSE), " ")</f>
        <v xml:space="preserve"> </v>
      </c>
      <c r="BA156" s="55"/>
      <c r="BB156" s="32"/>
      <c r="BC156" s="32"/>
      <c r="BD156" s="55"/>
      <c r="BE156" s="32"/>
      <c r="BF156" s="54"/>
      <c r="BG156" s="21" t="str">
        <f>IFERROR(VLOOKUP(May[[#This Row],[Drug Name6]],'Data Options'!$R$1:$S$100,2,FALSE), " ")</f>
        <v xml:space="preserve"> </v>
      </c>
      <c r="BH156" s="55"/>
      <c r="BI156" s="32"/>
      <c r="BJ156" s="32"/>
      <c r="BK156" s="55"/>
      <c r="BL156" s="32"/>
      <c r="BM156" s="32"/>
      <c r="BN156" s="32"/>
      <c r="BO156" s="32"/>
      <c r="BP156" s="32"/>
      <c r="BQ156" s="31"/>
      <c r="BR156" s="31"/>
      <c r="BS156" s="54"/>
      <c r="BT156" s="21" t="str">
        <f>IFERROR(VLOOKUP(May[[#This Row],[Drug Name7]],'Data Options'!$R$1:$S$100,2,FALSE), " ")</f>
        <v xml:space="preserve"> </v>
      </c>
      <c r="BU156" s="55"/>
      <c r="BV156" s="32"/>
      <c r="BW156" s="32"/>
      <c r="BX156" s="55"/>
      <c r="BY156" s="32"/>
      <c r="BZ156" s="54"/>
      <c r="CA156" s="21" t="str">
        <f>IFERROR(VLOOKUP(May[[#This Row],[Drug Name8]],'Data Options'!$R$1:$S$100,2,FALSE), " ")</f>
        <v xml:space="preserve"> </v>
      </c>
      <c r="CB156" s="55"/>
      <c r="CC156" s="32"/>
      <c r="CD156" s="32"/>
      <c r="CE156" s="55"/>
      <c r="CF156" s="32"/>
      <c r="CG156" s="54"/>
      <c r="CH156" s="21" t="str">
        <f>IFERROR(VLOOKUP(May[[#This Row],[Drug Name9]],'Data Options'!$R$1:$S$100,2,FALSE), " ")</f>
        <v xml:space="preserve"> </v>
      </c>
      <c r="CI156" s="55"/>
      <c r="CJ156" s="32"/>
      <c r="CK156" s="32"/>
      <c r="CL156" s="55"/>
      <c r="CM156" s="32"/>
    </row>
    <row r="157" spans="1:91">
      <c r="A157" s="5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1"/>
      <c r="P157" s="31"/>
      <c r="Q157" s="54"/>
      <c r="R157" s="21" t="str">
        <f>IFERROR(VLOOKUP(May[[#This Row],[Drug Name]],'Data Options'!$R$1:$S$100,2,FALSE), " ")</f>
        <v xml:space="preserve"> </v>
      </c>
      <c r="S157" s="55"/>
      <c r="T157" s="32"/>
      <c r="U157" s="32"/>
      <c r="V157" s="55"/>
      <c r="W157" s="32"/>
      <c r="X157" s="54"/>
      <c r="Y157" s="21" t="str">
        <f>IFERROR(VLOOKUP(May[[#This Row],[Drug Name2]],'Data Options'!$R$1:$S$100,2,FALSE), " ")</f>
        <v xml:space="preserve"> </v>
      </c>
      <c r="Z157" s="55"/>
      <c r="AA157" s="32"/>
      <c r="AB157" s="32"/>
      <c r="AC157" s="55"/>
      <c r="AD157" s="32"/>
      <c r="AE157" s="54"/>
      <c r="AF157" s="21" t="str">
        <f>IFERROR(VLOOKUP(May[[#This Row],[Drug Name3]],'Data Options'!$R$1:$S$100,2,FALSE), " ")</f>
        <v xml:space="preserve"> </v>
      </c>
      <c r="AG157" s="55"/>
      <c r="AH157" s="32"/>
      <c r="AI157" s="32"/>
      <c r="AJ157" s="55"/>
      <c r="AK157" s="32"/>
      <c r="AL157" s="32"/>
      <c r="AM157" s="32"/>
      <c r="AN157" s="32"/>
      <c r="AO157" s="32"/>
      <c r="AP157" s="31"/>
      <c r="AQ157" s="31"/>
      <c r="AR157" s="54"/>
      <c r="AS157" s="21" t="str">
        <f>IFERROR(VLOOKUP(May[[#This Row],[Drug Name4]],'Data Options'!$R$1:$S$100,2,FALSE), " ")</f>
        <v xml:space="preserve"> </v>
      </c>
      <c r="AT157" s="55"/>
      <c r="AU157" s="32"/>
      <c r="AV157" s="32"/>
      <c r="AW157" s="55"/>
      <c r="AX157" s="32"/>
      <c r="AY157" s="54"/>
      <c r="AZ157" s="21" t="str">
        <f>IFERROR(VLOOKUP(May[[#This Row],[Drug Name5]],'Data Options'!$R$1:$S$100,2,FALSE), " ")</f>
        <v xml:space="preserve"> </v>
      </c>
      <c r="BA157" s="55"/>
      <c r="BB157" s="32"/>
      <c r="BC157" s="32"/>
      <c r="BD157" s="55"/>
      <c r="BE157" s="32"/>
      <c r="BF157" s="54"/>
      <c r="BG157" s="21" t="str">
        <f>IFERROR(VLOOKUP(May[[#This Row],[Drug Name6]],'Data Options'!$R$1:$S$100,2,FALSE), " ")</f>
        <v xml:space="preserve"> </v>
      </c>
      <c r="BH157" s="55"/>
      <c r="BI157" s="32"/>
      <c r="BJ157" s="32"/>
      <c r="BK157" s="55"/>
      <c r="BL157" s="32"/>
      <c r="BM157" s="32"/>
      <c r="BN157" s="32"/>
      <c r="BO157" s="32"/>
      <c r="BP157" s="32"/>
      <c r="BQ157" s="31"/>
      <c r="BR157" s="31"/>
      <c r="BS157" s="54"/>
      <c r="BT157" s="21" t="str">
        <f>IFERROR(VLOOKUP(May[[#This Row],[Drug Name7]],'Data Options'!$R$1:$S$100,2,FALSE), " ")</f>
        <v xml:space="preserve"> </v>
      </c>
      <c r="BU157" s="55"/>
      <c r="BV157" s="32"/>
      <c r="BW157" s="32"/>
      <c r="BX157" s="55"/>
      <c r="BY157" s="32"/>
      <c r="BZ157" s="54"/>
      <c r="CA157" s="21" t="str">
        <f>IFERROR(VLOOKUP(May[[#This Row],[Drug Name8]],'Data Options'!$R$1:$S$100,2,FALSE), " ")</f>
        <v xml:space="preserve"> </v>
      </c>
      <c r="CB157" s="55"/>
      <c r="CC157" s="32"/>
      <c r="CD157" s="32"/>
      <c r="CE157" s="55"/>
      <c r="CF157" s="32"/>
      <c r="CG157" s="54"/>
      <c r="CH157" s="21" t="str">
        <f>IFERROR(VLOOKUP(May[[#This Row],[Drug Name9]],'Data Options'!$R$1:$S$100,2,FALSE), " ")</f>
        <v xml:space="preserve"> </v>
      </c>
      <c r="CI157" s="55"/>
      <c r="CJ157" s="32"/>
      <c r="CK157" s="32"/>
      <c r="CL157" s="55"/>
      <c r="CM157" s="32"/>
    </row>
    <row r="158" spans="1:91">
      <c r="A158" s="5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1"/>
      <c r="P158" s="31"/>
      <c r="Q158" s="54"/>
      <c r="R158" s="21" t="str">
        <f>IFERROR(VLOOKUP(May[[#This Row],[Drug Name]],'Data Options'!$R$1:$S$100,2,FALSE), " ")</f>
        <v xml:space="preserve"> </v>
      </c>
      <c r="S158" s="55"/>
      <c r="T158" s="32"/>
      <c r="U158" s="32"/>
      <c r="V158" s="55"/>
      <c r="W158" s="32"/>
      <c r="X158" s="54"/>
      <c r="Y158" s="21" t="str">
        <f>IFERROR(VLOOKUP(May[[#This Row],[Drug Name2]],'Data Options'!$R$1:$S$100,2,FALSE), " ")</f>
        <v xml:space="preserve"> </v>
      </c>
      <c r="Z158" s="55"/>
      <c r="AA158" s="32"/>
      <c r="AB158" s="32"/>
      <c r="AC158" s="55"/>
      <c r="AD158" s="32"/>
      <c r="AE158" s="54"/>
      <c r="AF158" s="21" t="str">
        <f>IFERROR(VLOOKUP(May[[#This Row],[Drug Name3]],'Data Options'!$R$1:$S$100,2,FALSE), " ")</f>
        <v xml:space="preserve"> </v>
      </c>
      <c r="AG158" s="55"/>
      <c r="AH158" s="32"/>
      <c r="AI158" s="32"/>
      <c r="AJ158" s="55"/>
      <c r="AK158" s="32"/>
      <c r="AL158" s="32"/>
      <c r="AM158" s="32"/>
      <c r="AN158" s="32"/>
      <c r="AO158" s="32"/>
      <c r="AP158" s="31"/>
      <c r="AQ158" s="31"/>
      <c r="AR158" s="54"/>
      <c r="AS158" s="21" t="str">
        <f>IFERROR(VLOOKUP(May[[#This Row],[Drug Name4]],'Data Options'!$R$1:$S$100,2,FALSE), " ")</f>
        <v xml:space="preserve"> </v>
      </c>
      <c r="AT158" s="55"/>
      <c r="AU158" s="32"/>
      <c r="AV158" s="32"/>
      <c r="AW158" s="55"/>
      <c r="AX158" s="32"/>
      <c r="AY158" s="54"/>
      <c r="AZ158" s="21" t="str">
        <f>IFERROR(VLOOKUP(May[[#This Row],[Drug Name5]],'Data Options'!$R$1:$S$100,2,FALSE), " ")</f>
        <v xml:space="preserve"> </v>
      </c>
      <c r="BA158" s="55"/>
      <c r="BB158" s="32"/>
      <c r="BC158" s="32"/>
      <c r="BD158" s="55"/>
      <c r="BE158" s="32"/>
      <c r="BF158" s="54"/>
      <c r="BG158" s="21" t="str">
        <f>IFERROR(VLOOKUP(May[[#This Row],[Drug Name6]],'Data Options'!$R$1:$S$100,2,FALSE), " ")</f>
        <v xml:space="preserve"> </v>
      </c>
      <c r="BH158" s="55"/>
      <c r="BI158" s="32"/>
      <c r="BJ158" s="32"/>
      <c r="BK158" s="55"/>
      <c r="BL158" s="32"/>
      <c r="BM158" s="32"/>
      <c r="BN158" s="32"/>
      <c r="BO158" s="32"/>
      <c r="BP158" s="32"/>
      <c r="BQ158" s="31"/>
      <c r="BR158" s="31"/>
      <c r="BS158" s="54"/>
      <c r="BT158" s="21" t="str">
        <f>IFERROR(VLOOKUP(May[[#This Row],[Drug Name7]],'Data Options'!$R$1:$S$100,2,FALSE), " ")</f>
        <v xml:space="preserve"> </v>
      </c>
      <c r="BU158" s="55"/>
      <c r="BV158" s="32"/>
      <c r="BW158" s="32"/>
      <c r="BX158" s="55"/>
      <c r="BY158" s="32"/>
      <c r="BZ158" s="54"/>
      <c r="CA158" s="21" t="str">
        <f>IFERROR(VLOOKUP(May[[#This Row],[Drug Name8]],'Data Options'!$R$1:$S$100,2,FALSE), " ")</f>
        <v xml:space="preserve"> </v>
      </c>
      <c r="CB158" s="55"/>
      <c r="CC158" s="32"/>
      <c r="CD158" s="32"/>
      <c r="CE158" s="55"/>
      <c r="CF158" s="32"/>
      <c r="CG158" s="54"/>
      <c r="CH158" s="21" t="str">
        <f>IFERROR(VLOOKUP(May[[#This Row],[Drug Name9]],'Data Options'!$R$1:$S$100,2,FALSE), " ")</f>
        <v xml:space="preserve"> </v>
      </c>
      <c r="CI158" s="55"/>
      <c r="CJ158" s="32"/>
      <c r="CK158" s="32"/>
      <c r="CL158" s="55"/>
      <c r="CM158" s="32"/>
    </row>
    <row r="159" spans="1:91">
      <c r="A159" s="5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1"/>
      <c r="P159" s="31"/>
      <c r="Q159" s="54"/>
      <c r="R159" s="21" t="str">
        <f>IFERROR(VLOOKUP(May[[#This Row],[Drug Name]],'Data Options'!$R$1:$S$100,2,FALSE), " ")</f>
        <v xml:space="preserve"> </v>
      </c>
      <c r="S159" s="55"/>
      <c r="T159" s="32"/>
      <c r="U159" s="32"/>
      <c r="V159" s="55"/>
      <c r="W159" s="32"/>
      <c r="X159" s="54"/>
      <c r="Y159" s="21" t="str">
        <f>IFERROR(VLOOKUP(May[[#This Row],[Drug Name2]],'Data Options'!$R$1:$S$100,2,FALSE), " ")</f>
        <v xml:space="preserve"> </v>
      </c>
      <c r="Z159" s="55"/>
      <c r="AA159" s="32"/>
      <c r="AB159" s="32"/>
      <c r="AC159" s="55"/>
      <c r="AD159" s="32"/>
      <c r="AE159" s="54"/>
      <c r="AF159" s="21" t="str">
        <f>IFERROR(VLOOKUP(May[[#This Row],[Drug Name3]],'Data Options'!$R$1:$S$100,2,FALSE), " ")</f>
        <v xml:space="preserve"> </v>
      </c>
      <c r="AG159" s="55"/>
      <c r="AH159" s="32"/>
      <c r="AI159" s="32"/>
      <c r="AJ159" s="55"/>
      <c r="AK159" s="32"/>
      <c r="AL159" s="32"/>
      <c r="AM159" s="32"/>
      <c r="AN159" s="32"/>
      <c r="AO159" s="32"/>
      <c r="AP159" s="31"/>
      <c r="AQ159" s="31"/>
      <c r="AR159" s="54"/>
      <c r="AS159" s="21" t="str">
        <f>IFERROR(VLOOKUP(May[[#This Row],[Drug Name4]],'Data Options'!$R$1:$S$100,2,FALSE), " ")</f>
        <v xml:space="preserve"> </v>
      </c>
      <c r="AT159" s="55"/>
      <c r="AU159" s="32"/>
      <c r="AV159" s="32"/>
      <c r="AW159" s="55"/>
      <c r="AX159" s="32"/>
      <c r="AY159" s="54"/>
      <c r="AZ159" s="21" t="str">
        <f>IFERROR(VLOOKUP(May[[#This Row],[Drug Name5]],'Data Options'!$R$1:$S$100,2,FALSE), " ")</f>
        <v xml:space="preserve"> </v>
      </c>
      <c r="BA159" s="55"/>
      <c r="BB159" s="32"/>
      <c r="BC159" s="32"/>
      <c r="BD159" s="55"/>
      <c r="BE159" s="32"/>
      <c r="BF159" s="54"/>
      <c r="BG159" s="21" t="str">
        <f>IFERROR(VLOOKUP(May[[#This Row],[Drug Name6]],'Data Options'!$R$1:$S$100,2,FALSE), " ")</f>
        <v xml:space="preserve"> </v>
      </c>
      <c r="BH159" s="55"/>
      <c r="BI159" s="32"/>
      <c r="BJ159" s="32"/>
      <c r="BK159" s="55"/>
      <c r="BL159" s="32"/>
      <c r="BM159" s="32"/>
      <c r="BN159" s="32"/>
      <c r="BO159" s="32"/>
      <c r="BP159" s="32"/>
      <c r="BQ159" s="31"/>
      <c r="BR159" s="31"/>
      <c r="BS159" s="54"/>
      <c r="BT159" s="21" t="str">
        <f>IFERROR(VLOOKUP(May[[#This Row],[Drug Name7]],'Data Options'!$R$1:$S$100,2,FALSE), " ")</f>
        <v xml:space="preserve"> </v>
      </c>
      <c r="BU159" s="55"/>
      <c r="BV159" s="32"/>
      <c r="BW159" s="32"/>
      <c r="BX159" s="55"/>
      <c r="BY159" s="32"/>
      <c r="BZ159" s="54"/>
      <c r="CA159" s="21" t="str">
        <f>IFERROR(VLOOKUP(May[[#This Row],[Drug Name8]],'Data Options'!$R$1:$S$100,2,FALSE), " ")</f>
        <v xml:space="preserve"> </v>
      </c>
      <c r="CB159" s="55"/>
      <c r="CC159" s="32"/>
      <c r="CD159" s="32"/>
      <c r="CE159" s="55"/>
      <c r="CF159" s="32"/>
      <c r="CG159" s="54"/>
      <c r="CH159" s="21" t="str">
        <f>IFERROR(VLOOKUP(May[[#This Row],[Drug Name9]],'Data Options'!$R$1:$S$100,2,FALSE), " ")</f>
        <v xml:space="preserve"> </v>
      </c>
      <c r="CI159" s="55"/>
      <c r="CJ159" s="32"/>
      <c r="CK159" s="32"/>
      <c r="CL159" s="55"/>
      <c r="CM159" s="32"/>
    </row>
    <row r="160" spans="1:91">
      <c r="A160" s="5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1"/>
      <c r="P160" s="31"/>
      <c r="Q160" s="54"/>
      <c r="R160" s="21" t="str">
        <f>IFERROR(VLOOKUP(May[[#This Row],[Drug Name]],'Data Options'!$R$1:$S$100,2,FALSE), " ")</f>
        <v xml:space="preserve"> </v>
      </c>
      <c r="S160" s="55"/>
      <c r="T160" s="32"/>
      <c r="U160" s="32"/>
      <c r="V160" s="55"/>
      <c r="W160" s="32"/>
      <c r="X160" s="54"/>
      <c r="Y160" s="21" t="str">
        <f>IFERROR(VLOOKUP(May[[#This Row],[Drug Name2]],'Data Options'!$R$1:$S$100,2,FALSE), " ")</f>
        <v xml:space="preserve"> </v>
      </c>
      <c r="Z160" s="55"/>
      <c r="AA160" s="32"/>
      <c r="AB160" s="32"/>
      <c r="AC160" s="55"/>
      <c r="AD160" s="32"/>
      <c r="AE160" s="54"/>
      <c r="AF160" s="21" t="str">
        <f>IFERROR(VLOOKUP(May[[#This Row],[Drug Name3]],'Data Options'!$R$1:$S$100,2,FALSE), " ")</f>
        <v xml:space="preserve"> </v>
      </c>
      <c r="AG160" s="55"/>
      <c r="AH160" s="32"/>
      <c r="AI160" s="32"/>
      <c r="AJ160" s="55"/>
      <c r="AK160" s="32"/>
      <c r="AL160" s="32"/>
      <c r="AM160" s="32"/>
      <c r="AN160" s="32"/>
      <c r="AO160" s="32"/>
      <c r="AP160" s="31"/>
      <c r="AQ160" s="31"/>
      <c r="AR160" s="54"/>
      <c r="AS160" s="21" t="str">
        <f>IFERROR(VLOOKUP(May[[#This Row],[Drug Name4]],'Data Options'!$R$1:$S$100,2,FALSE), " ")</f>
        <v xml:space="preserve"> </v>
      </c>
      <c r="AT160" s="55"/>
      <c r="AU160" s="32"/>
      <c r="AV160" s="32"/>
      <c r="AW160" s="55"/>
      <c r="AX160" s="32"/>
      <c r="AY160" s="54"/>
      <c r="AZ160" s="21" t="str">
        <f>IFERROR(VLOOKUP(May[[#This Row],[Drug Name5]],'Data Options'!$R$1:$S$100,2,FALSE), " ")</f>
        <v xml:space="preserve"> </v>
      </c>
      <c r="BA160" s="55"/>
      <c r="BB160" s="32"/>
      <c r="BC160" s="32"/>
      <c r="BD160" s="55"/>
      <c r="BE160" s="32"/>
      <c r="BF160" s="54"/>
      <c r="BG160" s="21" t="str">
        <f>IFERROR(VLOOKUP(May[[#This Row],[Drug Name6]],'Data Options'!$R$1:$S$100,2,FALSE), " ")</f>
        <v xml:space="preserve"> </v>
      </c>
      <c r="BH160" s="55"/>
      <c r="BI160" s="32"/>
      <c r="BJ160" s="32"/>
      <c r="BK160" s="55"/>
      <c r="BL160" s="32"/>
      <c r="BM160" s="32"/>
      <c r="BN160" s="32"/>
      <c r="BO160" s="32"/>
      <c r="BP160" s="32"/>
      <c r="BQ160" s="31"/>
      <c r="BR160" s="31"/>
      <c r="BS160" s="54"/>
      <c r="BT160" s="21" t="str">
        <f>IFERROR(VLOOKUP(May[[#This Row],[Drug Name7]],'Data Options'!$R$1:$S$100,2,FALSE), " ")</f>
        <v xml:space="preserve"> </v>
      </c>
      <c r="BU160" s="55"/>
      <c r="BV160" s="32"/>
      <c r="BW160" s="32"/>
      <c r="BX160" s="55"/>
      <c r="BY160" s="32"/>
      <c r="BZ160" s="54"/>
      <c r="CA160" s="21" t="str">
        <f>IFERROR(VLOOKUP(May[[#This Row],[Drug Name8]],'Data Options'!$R$1:$S$100,2,FALSE), " ")</f>
        <v xml:space="preserve"> </v>
      </c>
      <c r="CB160" s="55"/>
      <c r="CC160" s="32"/>
      <c r="CD160" s="32"/>
      <c r="CE160" s="55"/>
      <c r="CF160" s="32"/>
      <c r="CG160" s="54"/>
      <c r="CH160" s="21" t="str">
        <f>IFERROR(VLOOKUP(May[[#This Row],[Drug Name9]],'Data Options'!$R$1:$S$100,2,FALSE), " ")</f>
        <v xml:space="preserve"> </v>
      </c>
      <c r="CI160" s="55"/>
      <c r="CJ160" s="32"/>
      <c r="CK160" s="32"/>
      <c r="CL160" s="55"/>
      <c r="CM160" s="32"/>
    </row>
    <row r="161" spans="1:91">
      <c r="A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1"/>
      <c r="P161" s="31"/>
      <c r="Q161" s="54"/>
      <c r="R161" s="21" t="str">
        <f>IFERROR(VLOOKUP(May[[#This Row],[Drug Name]],'Data Options'!$R$1:$S$100,2,FALSE), " ")</f>
        <v xml:space="preserve"> </v>
      </c>
      <c r="S161" s="55"/>
      <c r="T161" s="32"/>
      <c r="U161" s="32"/>
      <c r="V161" s="55"/>
      <c r="W161" s="32"/>
      <c r="X161" s="54"/>
      <c r="Y161" s="21" t="str">
        <f>IFERROR(VLOOKUP(May[[#This Row],[Drug Name2]],'Data Options'!$R$1:$S$100,2,FALSE), " ")</f>
        <v xml:space="preserve"> </v>
      </c>
      <c r="Z161" s="55"/>
      <c r="AA161" s="32"/>
      <c r="AB161" s="32"/>
      <c r="AC161" s="55"/>
      <c r="AD161" s="32"/>
      <c r="AE161" s="54"/>
      <c r="AF161" s="21" t="str">
        <f>IFERROR(VLOOKUP(May[[#This Row],[Drug Name3]],'Data Options'!$R$1:$S$100,2,FALSE), " ")</f>
        <v xml:space="preserve"> </v>
      </c>
      <c r="AG161" s="55"/>
      <c r="AH161" s="32"/>
      <c r="AI161" s="32"/>
      <c r="AJ161" s="55"/>
      <c r="AK161" s="32"/>
      <c r="AL161" s="32"/>
      <c r="AM161" s="32"/>
      <c r="AN161" s="32"/>
      <c r="AO161" s="32"/>
      <c r="AP161" s="31"/>
      <c r="AQ161" s="31"/>
      <c r="AR161" s="54"/>
      <c r="AS161" s="21" t="str">
        <f>IFERROR(VLOOKUP(May[[#This Row],[Drug Name4]],'Data Options'!$R$1:$S$100,2,FALSE), " ")</f>
        <v xml:space="preserve"> </v>
      </c>
      <c r="AT161" s="55"/>
      <c r="AU161" s="32"/>
      <c r="AV161" s="32"/>
      <c r="AW161" s="55"/>
      <c r="AX161" s="32"/>
      <c r="AY161" s="54"/>
      <c r="AZ161" s="21" t="str">
        <f>IFERROR(VLOOKUP(May[[#This Row],[Drug Name5]],'Data Options'!$R$1:$S$100,2,FALSE), " ")</f>
        <v xml:space="preserve"> </v>
      </c>
      <c r="BA161" s="55"/>
      <c r="BB161" s="32"/>
      <c r="BC161" s="32"/>
      <c r="BD161" s="55"/>
      <c r="BE161" s="32"/>
      <c r="BF161" s="54"/>
      <c r="BG161" s="21" t="str">
        <f>IFERROR(VLOOKUP(May[[#This Row],[Drug Name6]],'Data Options'!$R$1:$S$100,2,FALSE), " ")</f>
        <v xml:space="preserve"> </v>
      </c>
      <c r="BH161" s="55"/>
      <c r="BI161" s="32"/>
      <c r="BJ161" s="32"/>
      <c r="BK161" s="55"/>
      <c r="BL161" s="32"/>
      <c r="BM161" s="32"/>
      <c r="BN161" s="32"/>
      <c r="BO161" s="32"/>
      <c r="BP161" s="32"/>
      <c r="BQ161" s="31"/>
      <c r="BR161" s="31"/>
      <c r="BS161" s="54"/>
      <c r="BT161" s="21" t="str">
        <f>IFERROR(VLOOKUP(May[[#This Row],[Drug Name7]],'Data Options'!$R$1:$S$100,2,FALSE), " ")</f>
        <v xml:space="preserve"> </v>
      </c>
      <c r="BU161" s="55"/>
      <c r="BV161" s="32"/>
      <c r="BW161" s="32"/>
      <c r="BX161" s="55"/>
      <c r="BY161" s="32"/>
      <c r="BZ161" s="54"/>
      <c r="CA161" s="21" t="str">
        <f>IFERROR(VLOOKUP(May[[#This Row],[Drug Name8]],'Data Options'!$R$1:$S$100,2,FALSE), " ")</f>
        <v xml:space="preserve"> </v>
      </c>
      <c r="CB161" s="55"/>
      <c r="CC161" s="32"/>
      <c r="CD161" s="32"/>
      <c r="CE161" s="55"/>
      <c r="CF161" s="32"/>
      <c r="CG161" s="54"/>
      <c r="CH161" s="21" t="str">
        <f>IFERROR(VLOOKUP(May[[#This Row],[Drug Name9]],'Data Options'!$R$1:$S$100,2,FALSE), " ")</f>
        <v xml:space="preserve"> </v>
      </c>
      <c r="CI161" s="55"/>
      <c r="CJ161" s="32"/>
      <c r="CK161" s="32"/>
      <c r="CL161" s="55"/>
      <c r="CM161" s="32"/>
    </row>
    <row r="162" spans="1:91">
      <c r="A162" s="5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1"/>
      <c r="P162" s="31"/>
      <c r="Q162" s="54"/>
      <c r="R162" s="21" t="str">
        <f>IFERROR(VLOOKUP(May[[#This Row],[Drug Name]],'Data Options'!$R$1:$S$100,2,FALSE), " ")</f>
        <v xml:space="preserve"> </v>
      </c>
      <c r="S162" s="55"/>
      <c r="T162" s="32"/>
      <c r="U162" s="32"/>
      <c r="V162" s="55"/>
      <c r="W162" s="32"/>
      <c r="X162" s="54"/>
      <c r="Y162" s="21" t="str">
        <f>IFERROR(VLOOKUP(May[[#This Row],[Drug Name2]],'Data Options'!$R$1:$S$100,2,FALSE), " ")</f>
        <v xml:space="preserve"> </v>
      </c>
      <c r="Z162" s="55"/>
      <c r="AA162" s="32"/>
      <c r="AB162" s="32"/>
      <c r="AC162" s="55"/>
      <c r="AD162" s="32"/>
      <c r="AE162" s="54"/>
      <c r="AF162" s="21" t="str">
        <f>IFERROR(VLOOKUP(May[[#This Row],[Drug Name3]],'Data Options'!$R$1:$S$100,2,FALSE), " ")</f>
        <v xml:space="preserve"> </v>
      </c>
      <c r="AG162" s="55"/>
      <c r="AH162" s="32"/>
      <c r="AI162" s="32"/>
      <c r="AJ162" s="55"/>
      <c r="AK162" s="32"/>
      <c r="AL162" s="32"/>
      <c r="AM162" s="32"/>
      <c r="AN162" s="32"/>
      <c r="AO162" s="32"/>
      <c r="AP162" s="31"/>
      <c r="AQ162" s="31"/>
      <c r="AR162" s="54"/>
      <c r="AS162" s="21" t="str">
        <f>IFERROR(VLOOKUP(May[[#This Row],[Drug Name4]],'Data Options'!$R$1:$S$100,2,FALSE), " ")</f>
        <v xml:space="preserve"> </v>
      </c>
      <c r="AT162" s="55"/>
      <c r="AU162" s="32"/>
      <c r="AV162" s="32"/>
      <c r="AW162" s="55"/>
      <c r="AX162" s="32"/>
      <c r="AY162" s="54"/>
      <c r="AZ162" s="21" t="str">
        <f>IFERROR(VLOOKUP(May[[#This Row],[Drug Name5]],'Data Options'!$R$1:$S$100,2,FALSE), " ")</f>
        <v xml:space="preserve"> </v>
      </c>
      <c r="BA162" s="55"/>
      <c r="BB162" s="32"/>
      <c r="BC162" s="32"/>
      <c r="BD162" s="55"/>
      <c r="BE162" s="32"/>
      <c r="BF162" s="54"/>
      <c r="BG162" s="21" t="str">
        <f>IFERROR(VLOOKUP(May[[#This Row],[Drug Name6]],'Data Options'!$R$1:$S$100,2,FALSE), " ")</f>
        <v xml:space="preserve"> </v>
      </c>
      <c r="BH162" s="55"/>
      <c r="BI162" s="32"/>
      <c r="BJ162" s="32"/>
      <c r="BK162" s="55"/>
      <c r="BL162" s="32"/>
      <c r="BM162" s="32"/>
      <c r="BN162" s="32"/>
      <c r="BO162" s="32"/>
      <c r="BP162" s="32"/>
      <c r="BQ162" s="31"/>
      <c r="BR162" s="31"/>
      <c r="BS162" s="54"/>
      <c r="BT162" s="21" t="str">
        <f>IFERROR(VLOOKUP(May[[#This Row],[Drug Name7]],'Data Options'!$R$1:$S$100,2,FALSE), " ")</f>
        <v xml:space="preserve"> </v>
      </c>
      <c r="BU162" s="55"/>
      <c r="BV162" s="32"/>
      <c r="BW162" s="32"/>
      <c r="BX162" s="55"/>
      <c r="BY162" s="32"/>
      <c r="BZ162" s="54"/>
      <c r="CA162" s="21" t="str">
        <f>IFERROR(VLOOKUP(May[[#This Row],[Drug Name8]],'Data Options'!$R$1:$S$100,2,FALSE), " ")</f>
        <v xml:space="preserve"> </v>
      </c>
      <c r="CB162" s="55"/>
      <c r="CC162" s="32"/>
      <c r="CD162" s="32"/>
      <c r="CE162" s="55"/>
      <c r="CF162" s="32"/>
      <c r="CG162" s="54"/>
      <c r="CH162" s="21" t="str">
        <f>IFERROR(VLOOKUP(May[[#This Row],[Drug Name9]],'Data Options'!$R$1:$S$100,2,FALSE), " ")</f>
        <v xml:space="preserve"> </v>
      </c>
      <c r="CI162" s="55"/>
      <c r="CJ162" s="32"/>
      <c r="CK162" s="32"/>
      <c r="CL162" s="55"/>
      <c r="CM162" s="32"/>
    </row>
    <row r="163" spans="1:91">
      <c r="A163" s="5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1"/>
      <c r="P163" s="31"/>
      <c r="Q163" s="54"/>
      <c r="R163" s="21" t="str">
        <f>IFERROR(VLOOKUP(May[[#This Row],[Drug Name]],'Data Options'!$R$1:$S$100,2,FALSE), " ")</f>
        <v xml:space="preserve"> </v>
      </c>
      <c r="S163" s="55"/>
      <c r="T163" s="32"/>
      <c r="U163" s="32"/>
      <c r="V163" s="55"/>
      <c r="W163" s="32"/>
      <c r="X163" s="54"/>
      <c r="Y163" s="21" t="str">
        <f>IFERROR(VLOOKUP(May[[#This Row],[Drug Name2]],'Data Options'!$R$1:$S$100,2,FALSE), " ")</f>
        <v xml:space="preserve"> </v>
      </c>
      <c r="Z163" s="55"/>
      <c r="AA163" s="32"/>
      <c r="AB163" s="32"/>
      <c r="AC163" s="55"/>
      <c r="AD163" s="32"/>
      <c r="AE163" s="54"/>
      <c r="AF163" s="21" t="str">
        <f>IFERROR(VLOOKUP(May[[#This Row],[Drug Name3]],'Data Options'!$R$1:$S$100,2,FALSE), " ")</f>
        <v xml:space="preserve"> </v>
      </c>
      <c r="AG163" s="55"/>
      <c r="AH163" s="32"/>
      <c r="AI163" s="32"/>
      <c r="AJ163" s="55"/>
      <c r="AK163" s="32"/>
      <c r="AL163" s="32"/>
      <c r="AM163" s="32"/>
      <c r="AN163" s="32"/>
      <c r="AO163" s="32"/>
      <c r="AP163" s="31"/>
      <c r="AQ163" s="31"/>
      <c r="AR163" s="54"/>
      <c r="AS163" s="21" t="str">
        <f>IFERROR(VLOOKUP(May[[#This Row],[Drug Name4]],'Data Options'!$R$1:$S$100,2,FALSE), " ")</f>
        <v xml:space="preserve"> </v>
      </c>
      <c r="AT163" s="55"/>
      <c r="AU163" s="32"/>
      <c r="AV163" s="32"/>
      <c r="AW163" s="55"/>
      <c r="AX163" s="32"/>
      <c r="AY163" s="54"/>
      <c r="AZ163" s="21" t="str">
        <f>IFERROR(VLOOKUP(May[[#This Row],[Drug Name5]],'Data Options'!$R$1:$S$100,2,FALSE), " ")</f>
        <v xml:space="preserve"> </v>
      </c>
      <c r="BA163" s="55"/>
      <c r="BB163" s="32"/>
      <c r="BC163" s="32"/>
      <c r="BD163" s="55"/>
      <c r="BE163" s="32"/>
      <c r="BF163" s="54"/>
      <c r="BG163" s="21" t="str">
        <f>IFERROR(VLOOKUP(May[[#This Row],[Drug Name6]],'Data Options'!$R$1:$S$100,2,FALSE), " ")</f>
        <v xml:space="preserve"> </v>
      </c>
      <c r="BH163" s="55"/>
      <c r="BI163" s="32"/>
      <c r="BJ163" s="32"/>
      <c r="BK163" s="55"/>
      <c r="BL163" s="32"/>
      <c r="BM163" s="32"/>
      <c r="BN163" s="32"/>
      <c r="BO163" s="32"/>
      <c r="BP163" s="32"/>
      <c r="BQ163" s="31"/>
      <c r="BR163" s="31"/>
      <c r="BS163" s="54"/>
      <c r="BT163" s="21" t="str">
        <f>IFERROR(VLOOKUP(May[[#This Row],[Drug Name7]],'Data Options'!$R$1:$S$100,2,FALSE), " ")</f>
        <v xml:space="preserve"> </v>
      </c>
      <c r="BU163" s="55"/>
      <c r="BV163" s="32"/>
      <c r="BW163" s="32"/>
      <c r="BX163" s="55"/>
      <c r="BY163" s="32"/>
      <c r="BZ163" s="54"/>
      <c r="CA163" s="21" t="str">
        <f>IFERROR(VLOOKUP(May[[#This Row],[Drug Name8]],'Data Options'!$R$1:$S$100,2,FALSE), " ")</f>
        <v xml:space="preserve"> </v>
      </c>
      <c r="CB163" s="55"/>
      <c r="CC163" s="32"/>
      <c r="CD163" s="32"/>
      <c r="CE163" s="55"/>
      <c r="CF163" s="32"/>
      <c r="CG163" s="54"/>
      <c r="CH163" s="21" t="str">
        <f>IFERROR(VLOOKUP(May[[#This Row],[Drug Name9]],'Data Options'!$R$1:$S$100,2,FALSE), " ")</f>
        <v xml:space="preserve"> </v>
      </c>
      <c r="CI163" s="55"/>
      <c r="CJ163" s="32"/>
      <c r="CK163" s="32"/>
      <c r="CL163" s="55"/>
      <c r="CM163" s="32"/>
    </row>
    <row r="164" spans="1:91">
      <c r="A164" s="5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1"/>
      <c r="P164" s="31"/>
      <c r="Q164" s="54"/>
      <c r="R164" s="21" t="str">
        <f>IFERROR(VLOOKUP(May[[#This Row],[Drug Name]],'Data Options'!$R$1:$S$100,2,FALSE), " ")</f>
        <v xml:space="preserve"> </v>
      </c>
      <c r="S164" s="55"/>
      <c r="T164" s="32"/>
      <c r="U164" s="32"/>
      <c r="V164" s="55"/>
      <c r="W164" s="32"/>
      <c r="X164" s="54"/>
      <c r="Y164" s="21" t="str">
        <f>IFERROR(VLOOKUP(May[[#This Row],[Drug Name2]],'Data Options'!$R$1:$S$100,2,FALSE), " ")</f>
        <v xml:space="preserve"> </v>
      </c>
      <c r="Z164" s="55"/>
      <c r="AA164" s="32"/>
      <c r="AB164" s="32"/>
      <c r="AC164" s="55"/>
      <c r="AD164" s="32"/>
      <c r="AE164" s="54"/>
      <c r="AF164" s="21" t="str">
        <f>IFERROR(VLOOKUP(May[[#This Row],[Drug Name3]],'Data Options'!$R$1:$S$100,2,FALSE), " ")</f>
        <v xml:space="preserve"> </v>
      </c>
      <c r="AG164" s="55"/>
      <c r="AH164" s="32"/>
      <c r="AI164" s="32"/>
      <c r="AJ164" s="55"/>
      <c r="AK164" s="32"/>
      <c r="AL164" s="32"/>
      <c r="AM164" s="32"/>
      <c r="AN164" s="32"/>
      <c r="AO164" s="32"/>
      <c r="AP164" s="31"/>
      <c r="AQ164" s="31"/>
      <c r="AR164" s="54"/>
      <c r="AS164" s="21" t="str">
        <f>IFERROR(VLOOKUP(May[[#This Row],[Drug Name4]],'Data Options'!$R$1:$S$100,2,FALSE), " ")</f>
        <v xml:space="preserve"> </v>
      </c>
      <c r="AT164" s="55"/>
      <c r="AU164" s="32"/>
      <c r="AV164" s="32"/>
      <c r="AW164" s="55"/>
      <c r="AX164" s="32"/>
      <c r="AY164" s="54"/>
      <c r="AZ164" s="21" t="str">
        <f>IFERROR(VLOOKUP(May[[#This Row],[Drug Name5]],'Data Options'!$R$1:$S$100,2,FALSE), " ")</f>
        <v xml:space="preserve"> </v>
      </c>
      <c r="BA164" s="55"/>
      <c r="BB164" s="32"/>
      <c r="BC164" s="32"/>
      <c r="BD164" s="55"/>
      <c r="BE164" s="32"/>
      <c r="BF164" s="54"/>
      <c r="BG164" s="21" t="str">
        <f>IFERROR(VLOOKUP(May[[#This Row],[Drug Name6]],'Data Options'!$R$1:$S$100,2,FALSE), " ")</f>
        <v xml:space="preserve"> </v>
      </c>
      <c r="BH164" s="55"/>
      <c r="BI164" s="32"/>
      <c r="BJ164" s="32"/>
      <c r="BK164" s="55"/>
      <c r="BL164" s="32"/>
      <c r="BM164" s="32"/>
      <c r="BN164" s="32"/>
      <c r="BO164" s="32"/>
      <c r="BP164" s="32"/>
      <c r="BQ164" s="31"/>
      <c r="BR164" s="31"/>
      <c r="BS164" s="54"/>
      <c r="BT164" s="21" t="str">
        <f>IFERROR(VLOOKUP(May[[#This Row],[Drug Name7]],'Data Options'!$R$1:$S$100,2,FALSE), " ")</f>
        <v xml:space="preserve"> </v>
      </c>
      <c r="BU164" s="55"/>
      <c r="BV164" s="32"/>
      <c r="BW164" s="32"/>
      <c r="BX164" s="55"/>
      <c r="BY164" s="32"/>
      <c r="BZ164" s="54"/>
      <c r="CA164" s="21" t="str">
        <f>IFERROR(VLOOKUP(May[[#This Row],[Drug Name8]],'Data Options'!$R$1:$S$100,2,FALSE), " ")</f>
        <v xml:space="preserve"> </v>
      </c>
      <c r="CB164" s="55"/>
      <c r="CC164" s="32"/>
      <c r="CD164" s="32"/>
      <c r="CE164" s="55"/>
      <c r="CF164" s="32"/>
      <c r="CG164" s="54"/>
      <c r="CH164" s="21" t="str">
        <f>IFERROR(VLOOKUP(May[[#This Row],[Drug Name9]],'Data Options'!$R$1:$S$100,2,FALSE), " ")</f>
        <v xml:space="preserve"> </v>
      </c>
      <c r="CI164" s="55"/>
      <c r="CJ164" s="32"/>
      <c r="CK164" s="32"/>
      <c r="CL164" s="55"/>
      <c r="CM164" s="32"/>
    </row>
    <row r="165" spans="1:91">
      <c r="A165" s="5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1"/>
      <c r="P165" s="31"/>
      <c r="Q165" s="54"/>
      <c r="R165" s="21" t="str">
        <f>IFERROR(VLOOKUP(May[[#This Row],[Drug Name]],'Data Options'!$R$1:$S$100,2,FALSE), " ")</f>
        <v xml:space="preserve"> </v>
      </c>
      <c r="S165" s="55"/>
      <c r="T165" s="32"/>
      <c r="U165" s="32"/>
      <c r="V165" s="55"/>
      <c r="W165" s="32"/>
      <c r="X165" s="54"/>
      <c r="Y165" s="21" t="str">
        <f>IFERROR(VLOOKUP(May[[#This Row],[Drug Name2]],'Data Options'!$R$1:$S$100,2,FALSE), " ")</f>
        <v xml:space="preserve"> </v>
      </c>
      <c r="Z165" s="55"/>
      <c r="AA165" s="32"/>
      <c r="AB165" s="32"/>
      <c r="AC165" s="55"/>
      <c r="AD165" s="32"/>
      <c r="AE165" s="54"/>
      <c r="AF165" s="21" t="str">
        <f>IFERROR(VLOOKUP(May[[#This Row],[Drug Name3]],'Data Options'!$R$1:$S$100,2,FALSE), " ")</f>
        <v xml:space="preserve"> </v>
      </c>
      <c r="AG165" s="55"/>
      <c r="AH165" s="32"/>
      <c r="AI165" s="32"/>
      <c r="AJ165" s="55"/>
      <c r="AK165" s="32"/>
      <c r="AL165" s="32"/>
      <c r="AM165" s="32"/>
      <c r="AN165" s="32"/>
      <c r="AO165" s="32"/>
      <c r="AP165" s="31"/>
      <c r="AQ165" s="31"/>
      <c r="AR165" s="54"/>
      <c r="AS165" s="21" t="str">
        <f>IFERROR(VLOOKUP(May[[#This Row],[Drug Name4]],'Data Options'!$R$1:$S$100,2,FALSE), " ")</f>
        <v xml:space="preserve"> </v>
      </c>
      <c r="AT165" s="55"/>
      <c r="AU165" s="32"/>
      <c r="AV165" s="32"/>
      <c r="AW165" s="55"/>
      <c r="AX165" s="32"/>
      <c r="AY165" s="54"/>
      <c r="AZ165" s="21" t="str">
        <f>IFERROR(VLOOKUP(May[[#This Row],[Drug Name5]],'Data Options'!$R$1:$S$100,2,FALSE), " ")</f>
        <v xml:space="preserve"> </v>
      </c>
      <c r="BA165" s="55"/>
      <c r="BB165" s="32"/>
      <c r="BC165" s="32"/>
      <c r="BD165" s="55"/>
      <c r="BE165" s="32"/>
      <c r="BF165" s="54"/>
      <c r="BG165" s="21" t="str">
        <f>IFERROR(VLOOKUP(May[[#This Row],[Drug Name6]],'Data Options'!$R$1:$S$100,2,FALSE), " ")</f>
        <v xml:space="preserve"> </v>
      </c>
      <c r="BH165" s="55"/>
      <c r="BI165" s="32"/>
      <c r="BJ165" s="32"/>
      <c r="BK165" s="55"/>
      <c r="BL165" s="32"/>
      <c r="BM165" s="32"/>
      <c r="BN165" s="32"/>
      <c r="BO165" s="32"/>
      <c r="BP165" s="32"/>
      <c r="BQ165" s="31"/>
      <c r="BR165" s="31"/>
      <c r="BS165" s="54"/>
      <c r="BT165" s="21" t="str">
        <f>IFERROR(VLOOKUP(May[[#This Row],[Drug Name7]],'Data Options'!$R$1:$S$100,2,FALSE), " ")</f>
        <v xml:space="preserve"> </v>
      </c>
      <c r="BU165" s="55"/>
      <c r="BV165" s="32"/>
      <c r="BW165" s="32"/>
      <c r="BX165" s="55"/>
      <c r="BY165" s="32"/>
      <c r="BZ165" s="54"/>
      <c r="CA165" s="21" t="str">
        <f>IFERROR(VLOOKUP(May[[#This Row],[Drug Name8]],'Data Options'!$R$1:$S$100,2,FALSE), " ")</f>
        <v xml:space="preserve"> </v>
      </c>
      <c r="CB165" s="55"/>
      <c r="CC165" s="32"/>
      <c r="CD165" s="32"/>
      <c r="CE165" s="55"/>
      <c r="CF165" s="32"/>
      <c r="CG165" s="54"/>
      <c r="CH165" s="21" t="str">
        <f>IFERROR(VLOOKUP(May[[#This Row],[Drug Name9]],'Data Options'!$R$1:$S$100,2,FALSE), " ")</f>
        <v xml:space="preserve"> </v>
      </c>
      <c r="CI165" s="55"/>
      <c r="CJ165" s="32"/>
      <c r="CK165" s="32"/>
      <c r="CL165" s="55"/>
      <c r="CM165" s="32"/>
    </row>
    <row r="166" spans="1:91">
      <c r="A166" s="5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1"/>
      <c r="P166" s="31"/>
      <c r="Q166" s="54"/>
      <c r="R166" s="21" t="str">
        <f>IFERROR(VLOOKUP(May[[#This Row],[Drug Name]],'Data Options'!$R$1:$S$100,2,FALSE), " ")</f>
        <v xml:space="preserve"> </v>
      </c>
      <c r="S166" s="55"/>
      <c r="T166" s="32"/>
      <c r="U166" s="32"/>
      <c r="V166" s="55"/>
      <c r="W166" s="32"/>
      <c r="X166" s="54"/>
      <c r="Y166" s="21" t="str">
        <f>IFERROR(VLOOKUP(May[[#This Row],[Drug Name2]],'Data Options'!$R$1:$S$100,2,FALSE), " ")</f>
        <v xml:space="preserve"> </v>
      </c>
      <c r="Z166" s="55"/>
      <c r="AA166" s="32"/>
      <c r="AB166" s="32"/>
      <c r="AC166" s="55"/>
      <c r="AD166" s="32"/>
      <c r="AE166" s="54"/>
      <c r="AF166" s="21" t="str">
        <f>IFERROR(VLOOKUP(May[[#This Row],[Drug Name3]],'Data Options'!$R$1:$S$100,2,FALSE), " ")</f>
        <v xml:space="preserve"> </v>
      </c>
      <c r="AG166" s="55"/>
      <c r="AH166" s="32"/>
      <c r="AI166" s="32"/>
      <c r="AJ166" s="55"/>
      <c r="AK166" s="32"/>
      <c r="AL166" s="32"/>
      <c r="AM166" s="32"/>
      <c r="AN166" s="32"/>
      <c r="AO166" s="32"/>
      <c r="AP166" s="31"/>
      <c r="AQ166" s="31"/>
      <c r="AR166" s="54"/>
      <c r="AS166" s="21" t="str">
        <f>IFERROR(VLOOKUP(May[[#This Row],[Drug Name4]],'Data Options'!$R$1:$S$100,2,FALSE), " ")</f>
        <v xml:space="preserve"> </v>
      </c>
      <c r="AT166" s="55"/>
      <c r="AU166" s="32"/>
      <c r="AV166" s="32"/>
      <c r="AW166" s="55"/>
      <c r="AX166" s="32"/>
      <c r="AY166" s="54"/>
      <c r="AZ166" s="21" t="str">
        <f>IFERROR(VLOOKUP(May[[#This Row],[Drug Name5]],'Data Options'!$R$1:$S$100,2,FALSE), " ")</f>
        <v xml:space="preserve"> </v>
      </c>
      <c r="BA166" s="55"/>
      <c r="BB166" s="32"/>
      <c r="BC166" s="32"/>
      <c r="BD166" s="55"/>
      <c r="BE166" s="32"/>
      <c r="BF166" s="54"/>
      <c r="BG166" s="21" t="str">
        <f>IFERROR(VLOOKUP(May[[#This Row],[Drug Name6]],'Data Options'!$R$1:$S$100,2,FALSE), " ")</f>
        <v xml:space="preserve"> </v>
      </c>
      <c r="BH166" s="55"/>
      <c r="BI166" s="32"/>
      <c r="BJ166" s="32"/>
      <c r="BK166" s="55"/>
      <c r="BL166" s="32"/>
      <c r="BM166" s="32"/>
      <c r="BN166" s="32"/>
      <c r="BO166" s="32"/>
      <c r="BP166" s="32"/>
      <c r="BQ166" s="31"/>
      <c r="BR166" s="31"/>
      <c r="BS166" s="54"/>
      <c r="BT166" s="21" t="str">
        <f>IFERROR(VLOOKUP(May[[#This Row],[Drug Name7]],'Data Options'!$R$1:$S$100,2,FALSE), " ")</f>
        <v xml:space="preserve"> </v>
      </c>
      <c r="BU166" s="55"/>
      <c r="BV166" s="32"/>
      <c r="BW166" s="32"/>
      <c r="BX166" s="55"/>
      <c r="BY166" s="32"/>
      <c r="BZ166" s="54"/>
      <c r="CA166" s="21" t="str">
        <f>IFERROR(VLOOKUP(May[[#This Row],[Drug Name8]],'Data Options'!$R$1:$S$100,2,FALSE), " ")</f>
        <v xml:space="preserve"> </v>
      </c>
      <c r="CB166" s="55"/>
      <c r="CC166" s="32"/>
      <c r="CD166" s="32"/>
      <c r="CE166" s="55"/>
      <c r="CF166" s="32"/>
      <c r="CG166" s="54"/>
      <c r="CH166" s="21" t="str">
        <f>IFERROR(VLOOKUP(May[[#This Row],[Drug Name9]],'Data Options'!$R$1:$S$100,2,FALSE), " ")</f>
        <v xml:space="preserve"> </v>
      </c>
      <c r="CI166" s="55"/>
      <c r="CJ166" s="32"/>
      <c r="CK166" s="32"/>
      <c r="CL166" s="55"/>
      <c r="CM166" s="32"/>
    </row>
    <row r="167" spans="1:91">
      <c r="A167" s="5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1"/>
      <c r="P167" s="31"/>
      <c r="Q167" s="54"/>
      <c r="R167" s="21" t="str">
        <f>IFERROR(VLOOKUP(May[[#This Row],[Drug Name]],'Data Options'!$R$1:$S$100,2,FALSE), " ")</f>
        <v xml:space="preserve"> </v>
      </c>
      <c r="S167" s="55"/>
      <c r="T167" s="32"/>
      <c r="U167" s="32"/>
      <c r="V167" s="55"/>
      <c r="W167" s="32"/>
      <c r="X167" s="54"/>
      <c r="Y167" s="21" t="str">
        <f>IFERROR(VLOOKUP(May[[#This Row],[Drug Name2]],'Data Options'!$R$1:$S$100,2,FALSE), " ")</f>
        <v xml:space="preserve"> </v>
      </c>
      <c r="Z167" s="55"/>
      <c r="AA167" s="32"/>
      <c r="AB167" s="32"/>
      <c r="AC167" s="55"/>
      <c r="AD167" s="32"/>
      <c r="AE167" s="54"/>
      <c r="AF167" s="21" t="str">
        <f>IFERROR(VLOOKUP(May[[#This Row],[Drug Name3]],'Data Options'!$R$1:$S$100,2,FALSE), " ")</f>
        <v xml:space="preserve"> </v>
      </c>
      <c r="AG167" s="55"/>
      <c r="AH167" s="32"/>
      <c r="AI167" s="32"/>
      <c r="AJ167" s="55"/>
      <c r="AK167" s="32"/>
      <c r="AL167" s="32"/>
      <c r="AM167" s="32"/>
      <c r="AN167" s="32"/>
      <c r="AO167" s="32"/>
      <c r="AP167" s="31"/>
      <c r="AQ167" s="31"/>
      <c r="AR167" s="54"/>
      <c r="AS167" s="21" t="str">
        <f>IFERROR(VLOOKUP(May[[#This Row],[Drug Name4]],'Data Options'!$R$1:$S$100,2,FALSE), " ")</f>
        <v xml:space="preserve"> </v>
      </c>
      <c r="AT167" s="55"/>
      <c r="AU167" s="32"/>
      <c r="AV167" s="32"/>
      <c r="AW167" s="55"/>
      <c r="AX167" s="32"/>
      <c r="AY167" s="54"/>
      <c r="AZ167" s="21" t="str">
        <f>IFERROR(VLOOKUP(May[[#This Row],[Drug Name5]],'Data Options'!$R$1:$S$100,2,FALSE), " ")</f>
        <v xml:space="preserve"> </v>
      </c>
      <c r="BA167" s="55"/>
      <c r="BB167" s="32"/>
      <c r="BC167" s="32"/>
      <c r="BD167" s="55"/>
      <c r="BE167" s="32"/>
      <c r="BF167" s="54"/>
      <c r="BG167" s="21" t="str">
        <f>IFERROR(VLOOKUP(May[[#This Row],[Drug Name6]],'Data Options'!$R$1:$S$100,2,FALSE), " ")</f>
        <v xml:space="preserve"> </v>
      </c>
      <c r="BH167" s="55"/>
      <c r="BI167" s="32"/>
      <c r="BJ167" s="32"/>
      <c r="BK167" s="55"/>
      <c r="BL167" s="32"/>
      <c r="BM167" s="32"/>
      <c r="BN167" s="32"/>
      <c r="BO167" s="32"/>
      <c r="BP167" s="32"/>
      <c r="BQ167" s="31"/>
      <c r="BR167" s="31"/>
      <c r="BS167" s="54"/>
      <c r="BT167" s="21" t="str">
        <f>IFERROR(VLOOKUP(May[[#This Row],[Drug Name7]],'Data Options'!$R$1:$S$100,2,FALSE), " ")</f>
        <v xml:space="preserve"> </v>
      </c>
      <c r="BU167" s="55"/>
      <c r="BV167" s="32"/>
      <c r="BW167" s="32"/>
      <c r="BX167" s="55"/>
      <c r="BY167" s="32"/>
      <c r="BZ167" s="54"/>
      <c r="CA167" s="21" t="str">
        <f>IFERROR(VLOOKUP(May[[#This Row],[Drug Name8]],'Data Options'!$R$1:$S$100,2,FALSE), " ")</f>
        <v xml:space="preserve"> </v>
      </c>
      <c r="CB167" s="55"/>
      <c r="CC167" s="32"/>
      <c r="CD167" s="32"/>
      <c r="CE167" s="55"/>
      <c r="CF167" s="32"/>
      <c r="CG167" s="54"/>
      <c r="CH167" s="21" t="str">
        <f>IFERROR(VLOOKUP(May[[#This Row],[Drug Name9]],'Data Options'!$R$1:$S$100,2,FALSE), " ")</f>
        <v xml:space="preserve"> </v>
      </c>
      <c r="CI167" s="55"/>
      <c r="CJ167" s="32"/>
      <c r="CK167" s="32"/>
      <c r="CL167" s="55"/>
      <c r="CM167" s="32"/>
    </row>
    <row r="168" spans="1:91">
      <c r="A168" s="5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1"/>
      <c r="P168" s="31"/>
      <c r="Q168" s="54"/>
      <c r="R168" s="21" t="str">
        <f>IFERROR(VLOOKUP(May[[#This Row],[Drug Name]],'Data Options'!$R$1:$S$100,2,FALSE), " ")</f>
        <v xml:space="preserve"> </v>
      </c>
      <c r="S168" s="55"/>
      <c r="T168" s="32"/>
      <c r="U168" s="32"/>
      <c r="V168" s="55"/>
      <c r="W168" s="32"/>
      <c r="X168" s="54"/>
      <c r="Y168" s="21" t="str">
        <f>IFERROR(VLOOKUP(May[[#This Row],[Drug Name2]],'Data Options'!$R$1:$S$100,2,FALSE), " ")</f>
        <v xml:space="preserve"> </v>
      </c>
      <c r="Z168" s="55"/>
      <c r="AA168" s="32"/>
      <c r="AB168" s="32"/>
      <c r="AC168" s="55"/>
      <c r="AD168" s="32"/>
      <c r="AE168" s="54"/>
      <c r="AF168" s="21" t="str">
        <f>IFERROR(VLOOKUP(May[[#This Row],[Drug Name3]],'Data Options'!$R$1:$S$100,2,FALSE), " ")</f>
        <v xml:space="preserve"> </v>
      </c>
      <c r="AG168" s="55"/>
      <c r="AH168" s="32"/>
      <c r="AI168" s="32"/>
      <c r="AJ168" s="55"/>
      <c r="AK168" s="32"/>
      <c r="AL168" s="32"/>
      <c r="AM168" s="32"/>
      <c r="AN168" s="32"/>
      <c r="AO168" s="32"/>
      <c r="AP168" s="31"/>
      <c r="AQ168" s="31"/>
      <c r="AR168" s="54"/>
      <c r="AS168" s="21" t="str">
        <f>IFERROR(VLOOKUP(May[[#This Row],[Drug Name4]],'Data Options'!$R$1:$S$100,2,FALSE), " ")</f>
        <v xml:space="preserve"> </v>
      </c>
      <c r="AT168" s="55"/>
      <c r="AU168" s="32"/>
      <c r="AV168" s="32"/>
      <c r="AW168" s="55"/>
      <c r="AX168" s="32"/>
      <c r="AY168" s="54"/>
      <c r="AZ168" s="21" t="str">
        <f>IFERROR(VLOOKUP(May[[#This Row],[Drug Name5]],'Data Options'!$R$1:$S$100,2,FALSE), " ")</f>
        <v xml:space="preserve"> </v>
      </c>
      <c r="BA168" s="55"/>
      <c r="BB168" s="32"/>
      <c r="BC168" s="32"/>
      <c r="BD168" s="55"/>
      <c r="BE168" s="32"/>
      <c r="BF168" s="54"/>
      <c r="BG168" s="21" t="str">
        <f>IFERROR(VLOOKUP(May[[#This Row],[Drug Name6]],'Data Options'!$R$1:$S$100,2,FALSE), " ")</f>
        <v xml:space="preserve"> </v>
      </c>
      <c r="BH168" s="55"/>
      <c r="BI168" s="32"/>
      <c r="BJ168" s="32"/>
      <c r="BK168" s="55"/>
      <c r="BL168" s="32"/>
      <c r="BM168" s="32"/>
      <c r="BN168" s="32"/>
      <c r="BO168" s="32"/>
      <c r="BP168" s="32"/>
      <c r="BQ168" s="31"/>
      <c r="BR168" s="31"/>
      <c r="BS168" s="54"/>
      <c r="BT168" s="21" t="str">
        <f>IFERROR(VLOOKUP(May[[#This Row],[Drug Name7]],'Data Options'!$R$1:$S$100,2,FALSE), " ")</f>
        <v xml:space="preserve"> </v>
      </c>
      <c r="BU168" s="55"/>
      <c r="BV168" s="32"/>
      <c r="BW168" s="32"/>
      <c r="BX168" s="55"/>
      <c r="BY168" s="32"/>
      <c r="BZ168" s="54"/>
      <c r="CA168" s="21" t="str">
        <f>IFERROR(VLOOKUP(May[[#This Row],[Drug Name8]],'Data Options'!$R$1:$S$100,2,FALSE), " ")</f>
        <v xml:space="preserve"> </v>
      </c>
      <c r="CB168" s="55"/>
      <c r="CC168" s="32"/>
      <c r="CD168" s="32"/>
      <c r="CE168" s="55"/>
      <c r="CF168" s="32"/>
      <c r="CG168" s="54"/>
      <c r="CH168" s="21" t="str">
        <f>IFERROR(VLOOKUP(May[[#This Row],[Drug Name9]],'Data Options'!$R$1:$S$100,2,FALSE), " ")</f>
        <v xml:space="preserve"> </v>
      </c>
      <c r="CI168" s="55"/>
      <c r="CJ168" s="32"/>
      <c r="CK168" s="32"/>
      <c r="CL168" s="55"/>
      <c r="CM168" s="32"/>
    </row>
    <row r="169" spans="1:91">
      <c r="A169" s="5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1"/>
      <c r="P169" s="31"/>
      <c r="Q169" s="54"/>
      <c r="R169" s="21" t="str">
        <f>IFERROR(VLOOKUP(May[[#This Row],[Drug Name]],'Data Options'!$R$1:$S$100,2,FALSE), " ")</f>
        <v xml:space="preserve"> </v>
      </c>
      <c r="S169" s="55"/>
      <c r="T169" s="32"/>
      <c r="U169" s="32"/>
      <c r="V169" s="55"/>
      <c r="W169" s="32"/>
      <c r="X169" s="54"/>
      <c r="Y169" s="21" t="str">
        <f>IFERROR(VLOOKUP(May[[#This Row],[Drug Name2]],'Data Options'!$R$1:$S$100,2,FALSE), " ")</f>
        <v xml:space="preserve"> </v>
      </c>
      <c r="Z169" s="55"/>
      <c r="AA169" s="32"/>
      <c r="AB169" s="32"/>
      <c r="AC169" s="55"/>
      <c r="AD169" s="32"/>
      <c r="AE169" s="54"/>
      <c r="AF169" s="21" t="str">
        <f>IFERROR(VLOOKUP(May[[#This Row],[Drug Name3]],'Data Options'!$R$1:$S$100,2,FALSE), " ")</f>
        <v xml:space="preserve"> </v>
      </c>
      <c r="AG169" s="55"/>
      <c r="AH169" s="32"/>
      <c r="AI169" s="32"/>
      <c r="AJ169" s="55"/>
      <c r="AK169" s="32"/>
      <c r="AL169" s="32"/>
      <c r="AM169" s="32"/>
      <c r="AN169" s="32"/>
      <c r="AO169" s="32"/>
      <c r="AP169" s="31"/>
      <c r="AQ169" s="31"/>
      <c r="AR169" s="54"/>
      <c r="AS169" s="21" t="str">
        <f>IFERROR(VLOOKUP(May[[#This Row],[Drug Name4]],'Data Options'!$R$1:$S$100,2,FALSE), " ")</f>
        <v xml:space="preserve"> </v>
      </c>
      <c r="AT169" s="55"/>
      <c r="AU169" s="32"/>
      <c r="AV169" s="32"/>
      <c r="AW169" s="55"/>
      <c r="AX169" s="32"/>
      <c r="AY169" s="54"/>
      <c r="AZ169" s="21" t="str">
        <f>IFERROR(VLOOKUP(May[[#This Row],[Drug Name5]],'Data Options'!$R$1:$S$100,2,FALSE), " ")</f>
        <v xml:space="preserve"> </v>
      </c>
      <c r="BA169" s="55"/>
      <c r="BB169" s="32"/>
      <c r="BC169" s="32"/>
      <c r="BD169" s="55"/>
      <c r="BE169" s="32"/>
      <c r="BF169" s="54"/>
      <c r="BG169" s="21" t="str">
        <f>IFERROR(VLOOKUP(May[[#This Row],[Drug Name6]],'Data Options'!$R$1:$S$100,2,FALSE), " ")</f>
        <v xml:space="preserve"> </v>
      </c>
      <c r="BH169" s="55"/>
      <c r="BI169" s="32"/>
      <c r="BJ169" s="32"/>
      <c r="BK169" s="55"/>
      <c r="BL169" s="32"/>
      <c r="BM169" s="32"/>
      <c r="BN169" s="32"/>
      <c r="BO169" s="32"/>
      <c r="BP169" s="32"/>
      <c r="BQ169" s="31"/>
      <c r="BR169" s="31"/>
      <c r="BS169" s="54"/>
      <c r="BT169" s="21" t="str">
        <f>IFERROR(VLOOKUP(May[[#This Row],[Drug Name7]],'Data Options'!$R$1:$S$100,2,FALSE), " ")</f>
        <v xml:space="preserve"> </v>
      </c>
      <c r="BU169" s="55"/>
      <c r="BV169" s="32"/>
      <c r="BW169" s="32"/>
      <c r="BX169" s="55"/>
      <c r="BY169" s="32"/>
      <c r="BZ169" s="54"/>
      <c r="CA169" s="21" t="str">
        <f>IFERROR(VLOOKUP(May[[#This Row],[Drug Name8]],'Data Options'!$R$1:$S$100,2,FALSE), " ")</f>
        <v xml:space="preserve"> </v>
      </c>
      <c r="CB169" s="55"/>
      <c r="CC169" s="32"/>
      <c r="CD169" s="32"/>
      <c r="CE169" s="55"/>
      <c r="CF169" s="32"/>
      <c r="CG169" s="54"/>
      <c r="CH169" s="21" t="str">
        <f>IFERROR(VLOOKUP(May[[#This Row],[Drug Name9]],'Data Options'!$R$1:$S$100,2,FALSE), " ")</f>
        <v xml:space="preserve"> </v>
      </c>
      <c r="CI169" s="55"/>
      <c r="CJ169" s="32"/>
      <c r="CK169" s="32"/>
      <c r="CL169" s="55"/>
      <c r="CM169" s="32"/>
    </row>
    <row r="170" spans="1:91">
      <c r="A170" s="5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1"/>
      <c r="P170" s="31"/>
      <c r="Q170" s="54"/>
      <c r="R170" s="21" t="str">
        <f>IFERROR(VLOOKUP(May[[#This Row],[Drug Name]],'Data Options'!$R$1:$S$100,2,FALSE), " ")</f>
        <v xml:space="preserve"> </v>
      </c>
      <c r="S170" s="55"/>
      <c r="T170" s="32"/>
      <c r="U170" s="32"/>
      <c r="V170" s="55"/>
      <c r="W170" s="32"/>
      <c r="X170" s="54"/>
      <c r="Y170" s="21" t="str">
        <f>IFERROR(VLOOKUP(May[[#This Row],[Drug Name2]],'Data Options'!$R$1:$S$100,2,FALSE), " ")</f>
        <v xml:space="preserve"> </v>
      </c>
      <c r="Z170" s="55"/>
      <c r="AA170" s="32"/>
      <c r="AB170" s="32"/>
      <c r="AC170" s="55"/>
      <c r="AD170" s="32"/>
      <c r="AE170" s="54"/>
      <c r="AF170" s="21" t="str">
        <f>IFERROR(VLOOKUP(May[[#This Row],[Drug Name3]],'Data Options'!$R$1:$S$100,2,FALSE), " ")</f>
        <v xml:space="preserve"> </v>
      </c>
      <c r="AG170" s="55"/>
      <c r="AH170" s="32"/>
      <c r="AI170" s="32"/>
      <c r="AJ170" s="55"/>
      <c r="AK170" s="32"/>
      <c r="AL170" s="32"/>
      <c r="AM170" s="32"/>
      <c r="AN170" s="32"/>
      <c r="AO170" s="32"/>
      <c r="AP170" s="31"/>
      <c r="AQ170" s="31"/>
      <c r="AR170" s="54"/>
      <c r="AS170" s="21" t="str">
        <f>IFERROR(VLOOKUP(May[[#This Row],[Drug Name4]],'Data Options'!$R$1:$S$100,2,FALSE), " ")</f>
        <v xml:space="preserve"> </v>
      </c>
      <c r="AT170" s="55"/>
      <c r="AU170" s="32"/>
      <c r="AV170" s="32"/>
      <c r="AW170" s="55"/>
      <c r="AX170" s="32"/>
      <c r="AY170" s="54"/>
      <c r="AZ170" s="21" t="str">
        <f>IFERROR(VLOOKUP(May[[#This Row],[Drug Name5]],'Data Options'!$R$1:$S$100,2,FALSE), " ")</f>
        <v xml:space="preserve"> </v>
      </c>
      <c r="BA170" s="55"/>
      <c r="BB170" s="32"/>
      <c r="BC170" s="32"/>
      <c r="BD170" s="55"/>
      <c r="BE170" s="32"/>
      <c r="BF170" s="54"/>
      <c r="BG170" s="21" t="str">
        <f>IFERROR(VLOOKUP(May[[#This Row],[Drug Name6]],'Data Options'!$R$1:$S$100,2,FALSE), " ")</f>
        <v xml:space="preserve"> </v>
      </c>
      <c r="BH170" s="55"/>
      <c r="BI170" s="32"/>
      <c r="BJ170" s="32"/>
      <c r="BK170" s="55"/>
      <c r="BL170" s="32"/>
      <c r="BM170" s="32"/>
      <c r="BN170" s="32"/>
      <c r="BO170" s="32"/>
      <c r="BP170" s="32"/>
      <c r="BQ170" s="31"/>
      <c r="BR170" s="31"/>
      <c r="BS170" s="54"/>
      <c r="BT170" s="21" t="str">
        <f>IFERROR(VLOOKUP(May[[#This Row],[Drug Name7]],'Data Options'!$R$1:$S$100,2,FALSE), " ")</f>
        <v xml:space="preserve"> </v>
      </c>
      <c r="BU170" s="55"/>
      <c r="BV170" s="32"/>
      <c r="BW170" s="32"/>
      <c r="BX170" s="55"/>
      <c r="BY170" s="32"/>
      <c r="BZ170" s="54"/>
      <c r="CA170" s="21" t="str">
        <f>IFERROR(VLOOKUP(May[[#This Row],[Drug Name8]],'Data Options'!$R$1:$S$100,2,FALSE), " ")</f>
        <v xml:space="preserve"> </v>
      </c>
      <c r="CB170" s="55"/>
      <c r="CC170" s="32"/>
      <c r="CD170" s="32"/>
      <c r="CE170" s="55"/>
      <c r="CF170" s="32"/>
      <c r="CG170" s="54"/>
      <c r="CH170" s="21" t="str">
        <f>IFERROR(VLOOKUP(May[[#This Row],[Drug Name9]],'Data Options'!$R$1:$S$100,2,FALSE), " ")</f>
        <v xml:space="preserve"> </v>
      </c>
      <c r="CI170" s="55"/>
      <c r="CJ170" s="32"/>
      <c r="CK170" s="32"/>
      <c r="CL170" s="55"/>
      <c r="CM170" s="32"/>
    </row>
    <row r="171" spans="1:91">
      <c r="A171" s="5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1"/>
      <c r="P171" s="31"/>
      <c r="Q171" s="54"/>
      <c r="R171" s="21" t="str">
        <f>IFERROR(VLOOKUP(May[[#This Row],[Drug Name]],'Data Options'!$R$1:$S$100,2,FALSE), " ")</f>
        <v xml:space="preserve"> </v>
      </c>
      <c r="S171" s="55"/>
      <c r="T171" s="32"/>
      <c r="U171" s="32"/>
      <c r="V171" s="55"/>
      <c r="W171" s="32"/>
      <c r="X171" s="54"/>
      <c r="Y171" s="21" t="str">
        <f>IFERROR(VLOOKUP(May[[#This Row],[Drug Name2]],'Data Options'!$R$1:$S$100,2,FALSE), " ")</f>
        <v xml:space="preserve"> </v>
      </c>
      <c r="Z171" s="55"/>
      <c r="AA171" s="32"/>
      <c r="AB171" s="32"/>
      <c r="AC171" s="55"/>
      <c r="AD171" s="32"/>
      <c r="AE171" s="54"/>
      <c r="AF171" s="21" t="str">
        <f>IFERROR(VLOOKUP(May[[#This Row],[Drug Name3]],'Data Options'!$R$1:$S$100,2,FALSE), " ")</f>
        <v xml:space="preserve"> </v>
      </c>
      <c r="AG171" s="55"/>
      <c r="AH171" s="32"/>
      <c r="AI171" s="32"/>
      <c r="AJ171" s="55"/>
      <c r="AK171" s="32"/>
      <c r="AL171" s="32"/>
      <c r="AM171" s="32"/>
      <c r="AN171" s="32"/>
      <c r="AO171" s="32"/>
      <c r="AP171" s="31"/>
      <c r="AQ171" s="31"/>
      <c r="AR171" s="54"/>
      <c r="AS171" s="21" t="str">
        <f>IFERROR(VLOOKUP(May[[#This Row],[Drug Name4]],'Data Options'!$R$1:$S$100,2,FALSE), " ")</f>
        <v xml:space="preserve"> </v>
      </c>
      <c r="AT171" s="55"/>
      <c r="AU171" s="32"/>
      <c r="AV171" s="32"/>
      <c r="AW171" s="55"/>
      <c r="AX171" s="32"/>
      <c r="AY171" s="54"/>
      <c r="AZ171" s="21" t="str">
        <f>IFERROR(VLOOKUP(May[[#This Row],[Drug Name5]],'Data Options'!$R$1:$S$100,2,FALSE), " ")</f>
        <v xml:space="preserve"> </v>
      </c>
      <c r="BA171" s="55"/>
      <c r="BB171" s="32"/>
      <c r="BC171" s="32"/>
      <c r="BD171" s="55"/>
      <c r="BE171" s="32"/>
      <c r="BF171" s="54"/>
      <c r="BG171" s="21" t="str">
        <f>IFERROR(VLOOKUP(May[[#This Row],[Drug Name6]],'Data Options'!$R$1:$S$100,2,FALSE), " ")</f>
        <v xml:space="preserve"> </v>
      </c>
      <c r="BH171" s="55"/>
      <c r="BI171" s="32"/>
      <c r="BJ171" s="32"/>
      <c r="BK171" s="55"/>
      <c r="BL171" s="32"/>
      <c r="BM171" s="32"/>
      <c r="BN171" s="32"/>
      <c r="BO171" s="32"/>
      <c r="BP171" s="32"/>
      <c r="BQ171" s="31"/>
      <c r="BR171" s="31"/>
      <c r="BS171" s="54"/>
      <c r="BT171" s="21" t="str">
        <f>IFERROR(VLOOKUP(May[[#This Row],[Drug Name7]],'Data Options'!$R$1:$S$100,2,FALSE), " ")</f>
        <v xml:space="preserve"> </v>
      </c>
      <c r="BU171" s="55"/>
      <c r="BV171" s="32"/>
      <c r="BW171" s="32"/>
      <c r="BX171" s="55"/>
      <c r="BY171" s="32"/>
      <c r="BZ171" s="54"/>
      <c r="CA171" s="21" t="str">
        <f>IFERROR(VLOOKUP(May[[#This Row],[Drug Name8]],'Data Options'!$R$1:$S$100,2,FALSE), " ")</f>
        <v xml:space="preserve"> </v>
      </c>
      <c r="CB171" s="55"/>
      <c r="CC171" s="32"/>
      <c r="CD171" s="32"/>
      <c r="CE171" s="55"/>
      <c r="CF171" s="32"/>
      <c r="CG171" s="54"/>
      <c r="CH171" s="21" t="str">
        <f>IFERROR(VLOOKUP(May[[#This Row],[Drug Name9]],'Data Options'!$R$1:$S$100,2,FALSE), " ")</f>
        <v xml:space="preserve"> </v>
      </c>
      <c r="CI171" s="55"/>
      <c r="CJ171" s="32"/>
      <c r="CK171" s="32"/>
      <c r="CL171" s="55"/>
      <c r="CM171" s="32"/>
    </row>
    <row r="172" spans="1:91">
      <c r="A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1"/>
      <c r="P172" s="31"/>
      <c r="Q172" s="54"/>
      <c r="R172" s="21" t="str">
        <f>IFERROR(VLOOKUP(May[[#This Row],[Drug Name]],'Data Options'!$R$1:$S$100,2,FALSE), " ")</f>
        <v xml:space="preserve"> </v>
      </c>
      <c r="S172" s="55"/>
      <c r="T172" s="32"/>
      <c r="U172" s="32"/>
      <c r="V172" s="55"/>
      <c r="W172" s="32"/>
      <c r="X172" s="54"/>
      <c r="Y172" s="21" t="str">
        <f>IFERROR(VLOOKUP(May[[#This Row],[Drug Name2]],'Data Options'!$R$1:$S$100,2,FALSE), " ")</f>
        <v xml:space="preserve"> </v>
      </c>
      <c r="Z172" s="55"/>
      <c r="AA172" s="32"/>
      <c r="AB172" s="32"/>
      <c r="AC172" s="55"/>
      <c r="AD172" s="32"/>
      <c r="AE172" s="54"/>
      <c r="AF172" s="21" t="str">
        <f>IFERROR(VLOOKUP(May[[#This Row],[Drug Name3]],'Data Options'!$R$1:$S$100,2,FALSE), " ")</f>
        <v xml:space="preserve"> </v>
      </c>
      <c r="AG172" s="55"/>
      <c r="AH172" s="32"/>
      <c r="AI172" s="32"/>
      <c r="AJ172" s="55"/>
      <c r="AK172" s="32"/>
      <c r="AL172" s="32"/>
      <c r="AM172" s="32"/>
      <c r="AN172" s="32"/>
      <c r="AO172" s="32"/>
      <c r="AP172" s="31"/>
      <c r="AQ172" s="31"/>
      <c r="AR172" s="54"/>
      <c r="AS172" s="21" t="str">
        <f>IFERROR(VLOOKUP(May[[#This Row],[Drug Name4]],'Data Options'!$R$1:$S$100,2,FALSE), " ")</f>
        <v xml:space="preserve"> </v>
      </c>
      <c r="AT172" s="55"/>
      <c r="AU172" s="32"/>
      <c r="AV172" s="32"/>
      <c r="AW172" s="55"/>
      <c r="AX172" s="32"/>
      <c r="AY172" s="54"/>
      <c r="AZ172" s="21" t="str">
        <f>IFERROR(VLOOKUP(May[[#This Row],[Drug Name5]],'Data Options'!$R$1:$S$100,2,FALSE), " ")</f>
        <v xml:space="preserve"> </v>
      </c>
      <c r="BA172" s="55"/>
      <c r="BB172" s="32"/>
      <c r="BC172" s="32"/>
      <c r="BD172" s="55"/>
      <c r="BE172" s="32"/>
      <c r="BF172" s="54"/>
      <c r="BG172" s="21" t="str">
        <f>IFERROR(VLOOKUP(May[[#This Row],[Drug Name6]],'Data Options'!$R$1:$S$100,2,FALSE), " ")</f>
        <v xml:space="preserve"> </v>
      </c>
      <c r="BH172" s="55"/>
      <c r="BI172" s="32"/>
      <c r="BJ172" s="32"/>
      <c r="BK172" s="55"/>
      <c r="BL172" s="32"/>
      <c r="BM172" s="32"/>
      <c r="BN172" s="32"/>
      <c r="BO172" s="32"/>
      <c r="BP172" s="32"/>
      <c r="BQ172" s="31"/>
      <c r="BR172" s="31"/>
      <c r="BS172" s="54"/>
      <c r="BT172" s="21" t="str">
        <f>IFERROR(VLOOKUP(May[[#This Row],[Drug Name7]],'Data Options'!$R$1:$S$100,2,FALSE), " ")</f>
        <v xml:space="preserve"> </v>
      </c>
      <c r="BU172" s="55"/>
      <c r="BV172" s="32"/>
      <c r="BW172" s="32"/>
      <c r="BX172" s="55"/>
      <c r="BY172" s="32"/>
      <c r="BZ172" s="54"/>
      <c r="CA172" s="21" t="str">
        <f>IFERROR(VLOOKUP(May[[#This Row],[Drug Name8]],'Data Options'!$R$1:$S$100,2,FALSE), " ")</f>
        <v xml:space="preserve"> </v>
      </c>
      <c r="CB172" s="55"/>
      <c r="CC172" s="32"/>
      <c r="CD172" s="32"/>
      <c r="CE172" s="55"/>
      <c r="CF172" s="32"/>
      <c r="CG172" s="54"/>
      <c r="CH172" s="21" t="str">
        <f>IFERROR(VLOOKUP(May[[#This Row],[Drug Name9]],'Data Options'!$R$1:$S$100,2,FALSE), " ")</f>
        <v xml:space="preserve"> </v>
      </c>
      <c r="CI172" s="55"/>
      <c r="CJ172" s="32"/>
      <c r="CK172" s="32"/>
      <c r="CL172" s="55"/>
      <c r="CM172" s="32"/>
    </row>
    <row r="173" spans="1:91">
      <c r="A173" s="5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1"/>
      <c r="P173" s="31"/>
      <c r="Q173" s="54"/>
      <c r="R173" s="21" t="str">
        <f>IFERROR(VLOOKUP(May[[#This Row],[Drug Name]],'Data Options'!$R$1:$S$100,2,FALSE), " ")</f>
        <v xml:space="preserve"> </v>
      </c>
      <c r="S173" s="55"/>
      <c r="T173" s="32"/>
      <c r="U173" s="32"/>
      <c r="V173" s="55"/>
      <c r="W173" s="32"/>
      <c r="X173" s="54"/>
      <c r="Y173" s="21" t="str">
        <f>IFERROR(VLOOKUP(May[[#This Row],[Drug Name2]],'Data Options'!$R$1:$S$100,2,FALSE), " ")</f>
        <v xml:space="preserve"> </v>
      </c>
      <c r="Z173" s="55"/>
      <c r="AA173" s="32"/>
      <c r="AB173" s="32"/>
      <c r="AC173" s="55"/>
      <c r="AD173" s="32"/>
      <c r="AE173" s="54"/>
      <c r="AF173" s="21" t="str">
        <f>IFERROR(VLOOKUP(May[[#This Row],[Drug Name3]],'Data Options'!$R$1:$S$100,2,FALSE), " ")</f>
        <v xml:space="preserve"> </v>
      </c>
      <c r="AG173" s="55"/>
      <c r="AH173" s="32"/>
      <c r="AI173" s="32"/>
      <c r="AJ173" s="55"/>
      <c r="AK173" s="32"/>
      <c r="AL173" s="32"/>
      <c r="AM173" s="32"/>
      <c r="AN173" s="32"/>
      <c r="AO173" s="32"/>
      <c r="AP173" s="31"/>
      <c r="AQ173" s="31"/>
      <c r="AR173" s="54"/>
      <c r="AS173" s="21" t="str">
        <f>IFERROR(VLOOKUP(May[[#This Row],[Drug Name4]],'Data Options'!$R$1:$S$100,2,FALSE), " ")</f>
        <v xml:space="preserve"> </v>
      </c>
      <c r="AT173" s="55"/>
      <c r="AU173" s="32"/>
      <c r="AV173" s="32"/>
      <c r="AW173" s="55"/>
      <c r="AX173" s="32"/>
      <c r="AY173" s="54"/>
      <c r="AZ173" s="21" t="str">
        <f>IFERROR(VLOOKUP(May[[#This Row],[Drug Name5]],'Data Options'!$R$1:$S$100,2,FALSE), " ")</f>
        <v xml:space="preserve"> </v>
      </c>
      <c r="BA173" s="55"/>
      <c r="BB173" s="32"/>
      <c r="BC173" s="32"/>
      <c r="BD173" s="55"/>
      <c r="BE173" s="32"/>
      <c r="BF173" s="54"/>
      <c r="BG173" s="21" t="str">
        <f>IFERROR(VLOOKUP(May[[#This Row],[Drug Name6]],'Data Options'!$R$1:$S$100,2,FALSE), " ")</f>
        <v xml:space="preserve"> </v>
      </c>
      <c r="BH173" s="55"/>
      <c r="BI173" s="32"/>
      <c r="BJ173" s="32"/>
      <c r="BK173" s="55"/>
      <c r="BL173" s="32"/>
      <c r="BM173" s="32"/>
      <c r="BN173" s="32"/>
      <c r="BO173" s="32"/>
      <c r="BP173" s="32"/>
      <c r="BQ173" s="31"/>
      <c r="BR173" s="31"/>
      <c r="BS173" s="54"/>
      <c r="BT173" s="21" t="str">
        <f>IFERROR(VLOOKUP(May[[#This Row],[Drug Name7]],'Data Options'!$R$1:$S$100,2,FALSE), " ")</f>
        <v xml:space="preserve"> </v>
      </c>
      <c r="BU173" s="55"/>
      <c r="BV173" s="32"/>
      <c r="BW173" s="32"/>
      <c r="BX173" s="55"/>
      <c r="BY173" s="32"/>
      <c r="BZ173" s="54"/>
      <c r="CA173" s="21" t="str">
        <f>IFERROR(VLOOKUP(May[[#This Row],[Drug Name8]],'Data Options'!$R$1:$S$100,2,FALSE), " ")</f>
        <v xml:space="preserve"> </v>
      </c>
      <c r="CB173" s="55"/>
      <c r="CC173" s="32"/>
      <c r="CD173" s="32"/>
      <c r="CE173" s="55"/>
      <c r="CF173" s="32"/>
      <c r="CG173" s="54"/>
      <c r="CH173" s="21" t="str">
        <f>IFERROR(VLOOKUP(May[[#This Row],[Drug Name9]],'Data Options'!$R$1:$S$100,2,FALSE), " ")</f>
        <v xml:space="preserve"> </v>
      </c>
      <c r="CI173" s="55"/>
      <c r="CJ173" s="32"/>
      <c r="CK173" s="32"/>
      <c r="CL173" s="55"/>
      <c r="CM173" s="32"/>
    </row>
    <row r="174" spans="1:91">
      <c r="A174" s="5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1"/>
      <c r="P174" s="31"/>
      <c r="Q174" s="54"/>
      <c r="R174" s="21" t="str">
        <f>IFERROR(VLOOKUP(May[[#This Row],[Drug Name]],'Data Options'!$R$1:$S$100,2,FALSE), " ")</f>
        <v xml:space="preserve"> </v>
      </c>
      <c r="S174" s="55"/>
      <c r="T174" s="32"/>
      <c r="U174" s="32"/>
      <c r="V174" s="55"/>
      <c r="W174" s="32"/>
      <c r="X174" s="54"/>
      <c r="Y174" s="21" t="str">
        <f>IFERROR(VLOOKUP(May[[#This Row],[Drug Name2]],'Data Options'!$R$1:$S$100,2,FALSE), " ")</f>
        <v xml:space="preserve"> </v>
      </c>
      <c r="Z174" s="55"/>
      <c r="AA174" s="32"/>
      <c r="AB174" s="32"/>
      <c r="AC174" s="55"/>
      <c r="AD174" s="32"/>
      <c r="AE174" s="54"/>
      <c r="AF174" s="21" t="str">
        <f>IFERROR(VLOOKUP(May[[#This Row],[Drug Name3]],'Data Options'!$R$1:$S$100,2,FALSE), " ")</f>
        <v xml:space="preserve"> </v>
      </c>
      <c r="AG174" s="55"/>
      <c r="AH174" s="32"/>
      <c r="AI174" s="32"/>
      <c r="AJ174" s="55"/>
      <c r="AK174" s="32"/>
      <c r="AL174" s="32"/>
      <c r="AM174" s="32"/>
      <c r="AN174" s="32"/>
      <c r="AO174" s="32"/>
      <c r="AP174" s="31"/>
      <c r="AQ174" s="31"/>
      <c r="AR174" s="54"/>
      <c r="AS174" s="21" t="str">
        <f>IFERROR(VLOOKUP(May[[#This Row],[Drug Name4]],'Data Options'!$R$1:$S$100,2,FALSE), " ")</f>
        <v xml:space="preserve"> </v>
      </c>
      <c r="AT174" s="55"/>
      <c r="AU174" s="32"/>
      <c r="AV174" s="32"/>
      <c r="AW174" s="55"/>
      <c r="AX174" s="32"/>
      <c r="AY174" s="54"/>
      <c r="AZ174" s="21" t="str">
        <f>IFERROR(VLOOKUP(May[[#This Row],[Drug Name5]],'Data Options'!$R$1:$S$100,2,FALSE), " ")</f>
        <v xml:space="preserve"> </v>
      </c>
      <c r="BA174" s="55"/>
      <c r="BB174" s="32"/>
      <c r="BC174" s="32"/>
      <c r="BD174" s="55"/>
      <c r="BE174" s="32"/>
      <c r="BF174" s="54"/>
      <c r="BG174" s="21" t="str">
        <f>IFERROR(VLOOKUP(May[[#This Row],[Drug Name6]],'Data Options'!$R$1:$S$100,2,FALSE), " ")</f>
        <v xml:space="preserve"> </v>
      </c>
      <c r="BH174" s="55"/>
      <c r="BI174" s="32"/>
      <c r="BJ174" s="32"/>
      <c r="BK174" s="55"/>
      <c r="BL174" s="32"/>
      <c r="BM174" s="32"/>
      <c r="BN174" s="32"/>
      <c r="BO174" s="32"/>
      <c r="BP174" s="32"/>
      <c r="BQ174" s="31"/>
      <c r="BR174" s="31"/>
      <c r="BS174" s="54"/>
      <c r="BT174" s="21" t="str">
        <f>IFERROR(VLOOKUP(May[[#This Row],[Drug Name7]],'Data Options'!$R$1:$S$100,2,FALSE), " ")</f>
        <v xml:space="preserve"> </v>
      </c>
      <c r="BU174" s="55"/>
      <c r="BV174" s="32"/>
      <c r="BW174" s="32"/>
      <c r="BX174" s="55"/>
      <c r="BY174" s="32"/>
      <c r="BZ174" s="54"/>
      <c r="CA174" s="21" t="str">
        <f>IFERROR(VLOOKUP(May[[#This Row],[Drug Name8]],'Data Options'!$R$1:$S$100,2,FALSE), " ")</f>
        <v xml:space="preserve"> </v>
      </c>
      <c r="CB174" s="55"/>
      <c r="CC174" s="32"/>
      <c r="CD174" s="32"/>
      <c r="CE174" s="55"/>
      <c r="CF174" s="32"/>
      <c r="CG174" s="54"/>
      <c r="CH174" s="21" t="str">
        <f>IFERROR(VLOOKUP(May[[#This Row],[Drug Name9]],'Data Options'!$R$1:$S$100,2,FALSE), " ")</f>
        <v xml:space="preserve"> </v>
      </c>
      <c r="CI174" s="55"/>
      <c r="CJ174" s="32"/>
      <c r="CK174" s="32"/>
      <c r="CL174" s="55"/>
      <c r="CM174" s="32"/>
    </row>
    <row r="175" spans="1:91">
      <c r="A175" s="5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1"/>
      <c r="P175" s="31"/>
      <c r="Q175" s="54"/>
      <c r="R175" s="21" t="str">
        <f>IFERROR(VLOOKUP(May[[#This Row],[Drug Name]],'Data Options'!$R$1:$S$100,2,FALSE), " ")</f>
        <v xml:space="preserve"> </v>
      </c>
      <c r="S175" s="55"/>
      <c r="T175" s="32"/>
      <c r="U175" s="32"/>
      <c r="V175" s="55"/>
      <c r="W175" s="32"/>
      <c r="X175" s="54"/>
      <c r="Y175" s="21" t="str">
        <f>IFERROR(VLOOKUP(May[[#This Row],[Drug Name2]],'Data Options'!$R$1:$S$100,2,FALSE), " ")</f>
        <v xml:space="preserve"> </v>
      </c>
      <c r="Z175" s="55"/>
      <c r="AA175" s="32"/>
      <c r="AB175" s="32"/>
      <c r="AC175" s="55"/>
      <c r="AD175" s="32"/>
      <c r="AE175" s="54"/>
      <c r="AF175" s="21" t="str">
        <f>IFERROR(VLOOKUP(May[[#This Row],[Drug Name3]],'Data Options'!$R$1:$S$100,2,FALSE), " ")</f>
        <v xml:space="preserve"> </v>
      </c>
      <c r="AG175" s="55"/>
      <c r="AH175" s="32"/>
      <c r="AI175" s="32"/>
      <c r="AJ175" s="55"/>
      <c r="AK175" s="32"/>
      <c r="AL175" s="32"/>
      <c r="AM175" s="32"/>
      <c r="AN175" s="32"/>
      <c r="AO175" s="32"/>
      <c r="AP175" s="31"/>
      <c r="AQ175" s="31"/>
      <c r="AR175" s="54"/>
      <c r="AS175" s="21" t="str">
        <f>IFERROR(VLOOKUP(May[[#This Row],[Drug Name4]],'Data Options'!$R$1:$S$100,2,FALSE), " ")</f>
        <v xml:space="preserve"> </v>
      </c>
      <c r="AT175" s="55"/>
      <c r="AU175" s="32"/>
      <c r="AV175" s="32"/>
      <c r="AW175" s="55"/>
      <c r="AX175" s="32"/>
      <c r="AY175" s="54"/>
      <c r="AZ175" s="21" t="str">
        <f>IFERROR(VLOOKUP(May[[#This Row],[Drug Name5]],'Data Options'!$R$1:$S$100,2,FALSE), " ")</f>
        <v xml:space="preserve"> </v>
      </c>
      <c r="BA175" s="55"/>
      <c r="BB175" s="32"/>
      <c r="BC175" s="32"/>
      <c r="BD175" s="55"/>
      <c r="BE175" s="32"/>
      <c r="BF175" s="54"/>
      <c r="BG175" s="21" t="str">
        <f>IFERROR(VLOOKUP(May[[#This Row],[Drug Name6]],'Data Options'!$R$1:$S$100,2,FALSE), " ")</f>
        <v xml:space="preserve"> </v>
      </c>
      <c r="BH175" s="55"/>
      <c r="BI175" s="32"/>
      <c r="BJ175" s="32"/>
      <c r="BK175" s="55"/>
      <c r="BL175" s="32"/>
      <c r="BM175" s="32"/>
      <c r="BN175" s="32"/>
      <c r="BO175" s="32"/>
      <c r="BP175" s="32"/>
      <c r="BQ175" s="31"/>
      <c r="BR175" s="31"/>
      <c r="BS175" s="54"/>
      <c r="BT175" s="21" t="str">
        <f>IFERROR(VLOOKUP(May[[#This Row],[Drug Name7]],'Data Options'!$R$1:$S$100,2,FALSE), " ")</f>
        <v xml:space="preserve"> </v>
      </c>
      <c r="BU175" s="55"/>
      <c r="BV175" s="32"/>
      <c r="BW175" s="32"/>
      <c r="BX175" s="55"/>
      <c r="BY175" s="32"/>
      <c r="BZ175" s="54"/>
      <c r="CA175" s="21" t="str">
        <f>IFERROR(VLOOKUP(May[[#This Row],[Drug Name8]],'Data Options'!$R$1:$S$100,2,FALSE), " ")</f>
        <v xml:space="preserve"> </v>
      </c>
      <c r="CB175" s="55"/>
      <c r="CC175" s="32"/>
      <c r="CD175" s="32"/>
      <c r="CE175" s="55"/>
      <c r="CF175" s="32"/>
      <c r="CG175" s="54"/>
      <c r="CH175" s="21" t="str">
        <f>IFERROR(VLOOKUP(May[[#This Row],[Drug Name9]],'Data Options'!$R$1:$S$100,2,FALSE), " ")</f>
        <v xml:space="preserve"> </v>
      </c>
      <c r="CI175" s="55"/>
      <c r="CJ175" s="32"/>
      <c r="CK175" s="32"/>
      <c r="CL175" s="55"/>
      <c r="CM175" s="32"/>
    </row>
    <row r="176" spans="1:91">
      <c r="A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1"/>
      <c r="P176" s="31"/>
      <c r="Q176" s="54"/>
      <c r="R176" s="21" t="str">
        <f>IFERROR(VLOOKUP(May[[#This Row],[Drug Name]],'Data Options'!$R$1:$S$100,2,FALSE), " ")</f>
        <v xml:space="preserve"> </v>
      </c>
      <c r="S176" s="55"/>
      <c r="T176" s="32"/>
      <c r="U176" s="32"/>
      <c r="V176" s="55"/>
      <c r="W176" s="32"/>
      <c r="X176" s="54"/>
      <c r="Y176" s="21" t="str">
        <f>IFERROR(VLOOKUP(May[[#This Row],[Drug Name2]],'Data Options'!$R$1:$S$100,2,FALSE), " ")</f>
        <v xml:space="preserve"> </v>
      </c>
      <c r="Z176" s="55"/>
      <c r="AA176" s="32"/>
      <c r="AB176" s="32"/>
      <c r="AC176" s="55"/>
      <c r="AD176" s="32"/>
      <c r="AE176" s="54"/>
      <c r="AF176" s="21" t="str">
        <f>IFERROR(VLOOKUP(May[[#This Row],[Drug Name3]],'Data Options'!$R$1:$S$100,2,FALSE), " ")</f>
        <v xml:space="preserve"> </v>
      </c>
      <c r="AG176" s="55"/>
      <c r="AH176" s="32"/>
      <c r="AI176" s="32"/>
      <c r="AJ176" s="55"/>
      <c r="AK176" s="32"/>
      <c r="AL176" s="32"/>
      <c r="AM176" s="32"/>
      <c r="AN176" s="32"/>
      <c r="AO176" s="32"/>
      <c r="AP176" s="31"/>
      <c r="AQ176" s="31"/>
      <c r="AR176" s="54"/>
      <c r="AS176" s="21" t="str">
        <f>IFERROR(VLOOKUP(May[[#This Row],[Drug Name4]],'Data Options'!$R$1:$S$100,2,FALSE), " ")</f>
        <v xml:space="preserve"> </v>
      </c>
      <c r="AT176" s="55"/>
      <c r="AU176" s="32"/>
      <c r="AV176" s="32"/>
      <c r="AW176" s="55"/>
      <c r="AX176" s="32"/>
      <c r="AY176" s="54"/>
      <c r="AZ176" s="21" t="str">
        <f>IFERROR(VLOOKUP(May[[#This Row],[Drug Name5]],'Data Options'!$R$1:$S$100,2,FALSE), " ")</f>
        <v xml:space="preserve"> </v>
      </c>
      <c r="BA176" s="55"/>
      <c r="BB176" s="32"/>
      <c r="BC176" s="32"/>
      <c r="BD176" s="55"/>
      <c r="BE176" s="32"/>
      <c r="BF176" s="54"/>
      <c r="BG176" s="21" t="str">
        <f>IFERROR(VLOOKUP(May[[#This Row],[Drug Name6]],'Data Options'!$R$1:$S$100,2,FALSE), " ")</f>
        <v xml:space="preserve"> </v>
      </c>
      <c r="BH176" s="55"/>
      <c r="BI176" s="32"/>
      <c r="BJ176" s="32"/>
      <c r="BK176" s="55"/>
      <c r="BL176" s="32"/>
      <c r="BM176" s="32"/>
      <c r="BN176" s="32"/>
      <c r="BO176" s="32"/>
      <c r="BP176" s="32"/>
      <c r="BQ176" s="31"/>
      <c r="BR176" s="31"/>
      <c r="BS176" s="54"/>
      <c r="BT176" s="21" t="str">
        <f>IFERROR(VLOOKUP(May[[#This Row],[Drug Name7]],'Data Options'!$R$1:$S$100,2,FALSE), " ")</f>
        <v xml:space="preserve"> </v>
      </c>
      <c r="BU176" s="55"/>
      <c r="BV176" s="32"/>
      <c r="BW176" s="32"/>
      <c r="BX176" s="55"/>
      <c r="BY176" s="32"/>
      <c r="BZ176" s="54"/>
      <c r="CA176" s="21" t="str">
        <f>IFERROR(VLOOKUP(May[[#This Row],[Drug Name8]],'Data Options'!$R$1:$S$100,2,FALSE), " ")</f>
        <v xml:space="preserve"> </v>
      </c>
      <c r="CB176" s="55"/>
      <c r="CC176" s="32"/>
      <c r="CD176" s="32"/>
      <c r="CE176" s="55"/>
      <c r="CF176" s="32"/>
      <c r="CG176" s="54"/>
      <c r="CH176" s="21" t="str">
        <f>IFERROR(VLOOKUP(May[[#This Row],[Drug Name9]],'Data Options'!$R$1:$S$100,2,FALSE), " ")</f>
        <v xml:space="preserve"> </v>
      </c>
      <c r="CI176" s="55"/>
      <c r="CJ176" s="32"/>
      <c r="CK176" s="32"/>
      <c r="CL176" s="55"/>
      <c r="CM176" s="32"/>
    </row>
    <row r="177" spans="1:91">
      <c r="A177" s="5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1"/>
      <c r="P177" s="31"/>
      <c r="Q177" s="54"/>
      <c r="R177" s="21" t="str">
        <f>IFERROR(VLOOKUP(May[[#This Row],[Drug Name]],'Data Options'!$R$1:$S$100,2,FALSE), " ")</f>
        <v xml:space="preserve"> </v>
      </c>
      <c r="S177" s="55"/>
      <c r="T177" s="32"/>
      <c r="U177" s="32"/>
      <c r="V177" s="55"/>
      <c r="W177" s="32"/>
      <c r="X177" s="54"/>
      <c r="Y177" s="21" t="str">
        <f>IFERROR(VLOOKUP(May[[#This Row],[Drug Name2]],'Data Options'!$R$1:$S$100,2,FALSE), " ")</f>
        <v xml:space="preserve"> </v>
      </c>
      <c r="Z177" s="55"/>
      <c r="AA177" s="32"/>
      <c r="AB177" s="32"/>
      <c r="AC177" s="55"/>
      <c r="AD177" s="32"/>
      <c r="AE177" s="54"/>
      <c r="AF177" s="21" t="str">
        <f>IFERROR(VLOOKUP(May[[#This Row],[Drug Name3]],'Data Options'!$R$1:$S$100,2,FALSE), " ")</f>
        <v xml:space="preserve"> </v>
      </c>
      <c r="AG177" s="55"/>
      <c r="AH177" s="32"/>
      <c r="AI177" s="32"/>
      <c r="AJ177" s="55"/>
      <c r="AK177" s="32"/>
      <c r="AL177" s="32"/>
      <c r="AM177" s="32"/>
      <c r="AN177" s="32"/>
      <c r="AO177" s="32"/>
      <c r="AP177" s="31"/>
      <c r="AQ177" s="31"/>
      <c r="AR177" s="54"/>
      <c r="AS177" s="21" t="str">
        <f>IFERROR(VLOOKUP(May[[#This Row],[Drug Name4]],'Data Options'!$R$1:$S$100,2,FALSE), " ")</f>
        <v xml:space="preserve"> </v>
      </c>
      <c r="AT177" s="55"/>
      <c r="AU177" s="32"/>
      <c r="AV177" s="32"/>
      <c r="AW177" s="55"/>
      <c r="AX177" s="32"/>
      <c r="AY177" s="54"/>
      <c r="AZ177" s="21" t="str">
        <f>IFERROR(VLOOKUP(May[[#This Row],[Drug Name5]],'Data Options'!$R$1:$S$100,2,FALSE), " ")</f>
        <v xml:space="preserve"> </v>
      </c>
      <c r="BA177" s="55"/>
      <c r="BB177" s="32"/>
      <c r="BC177" s="32"/>
      <c r="BD177" s="55"/>
      <c r="BE177" s="32"/>
      <c r="BF177" s="54"/>
      <c r="BG177" s="21" t="str">
        <f>IFERROR(VLOOKUP(May[[#This Row],[Drug Name6]],'Data Options'!$R$1:$S$100,2,FALSE), " ")</f>
        <v xml:space="preserve"> </v>
      </c>
      <c r="BH177" s="55"/>
      <c r="BI177" s="32"/>
      <c r="BJ177" s="32"/>
      <c r="BK177" s="55"/>
      <c r="BL177" s="32"/>
      <c r="BM177" s="32"/>
      <c r="BN177" s="32"/>
      <c r="BO177" s="32"/>
      <c r="BP177" s="32"/>
      <c r="BQ177" s="31"/>
      <c r="BR177" s="31"/>
      <c r="BS177" s="54"/>
      <c r="BT177" s="21" t="str">
        <f>IFERROR(VLOOKUP(May[[#This Row],[Drug Name7]],'Data Options'!$R$1:$S$100,2,FALSE), " ")</f>
        <v xml:space="preserve"> </v>
      </c>
      <c r="BU177" s="55"/>
      <c r="BV177" s="32"/>
      <c r="BW177" s="32"/>
      <c r="BX177" s="55"/>
      <c r="BY177" s="32"/>
      <c r="BZ177" s="54"/>
      <c r="CA177" s="21" t="str">
        <f>IFERROR(VLOOKUP(May[[#This Row],[Drug Name8]],'Data Options'!$R$1:$S$100,2,FALSE), " ")</f>
        <v xml:space="preserve"> </v>
      </c>
      <c r="CB177" s="55"/>
      <c r="CC177" s="32"/>
      <c r="CD177" s="32"/>
      <c r="CE177" s="55"/>
      <c r="CF177" s="32"/>
      <c r="CG177" s="54"/>
      <c r="CH177" s="21" t="str">
        <f>IFERROR(VLOOKUP(May[[#This Row],[Drug Name9]],'Data Options'!$R$1:$S$100,2,FALSE), " ")</f>
        <v xml:space="preserve"> </v>
      </c>
      <c r="CI177" s="55"/>
      <c r="CJ177" s="32"/>
      <c r="CK177" s="32"/>
      <c r="CL177" s="55"/>
      <c r="CM177" s="32"/>
    </row>
    <row r="178" spans="1:91">
      <c r="A178" s="5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1"/>
      <c r="P178" s="31"/>
      <c r="Q178" s="54"/>
      <c r="R178" s="21" t="str">
        <f>IFERROR(VLOOKUP(May[[#This Row],[Drug Name]],'Data Options'!$R$1:$S$100,2,FALSE), " ")</f>
        <v xml:space="preserve"> </v>
      </c>
      <c r="S178" s="55"/>
      <c r="T178" s="32"/>
      <c r="U178" s="32"/>
      <c r="V178" s="55"/>
      <c r="W178" s="32"/>
      <c r="X178" s="54"/>
      <c r="Y178" s="21" t="str">
        <f>IFERROR(VLOOKUP(May[[#This Row],[Drug Name2]],'Data Options'!$R$1:$S$100,2,FALSE), " ")</f>
        <v xml:space="preserve"> </v>
      </c>
      <c r="Z178" s="55"/>
      <c r="AA178" s="32"/>
      <c r="AB178" s="32"/>
      <c r="AC178" s="55"/>
      <c r="AD178" s="32"/>
      <c r="AE178" s="54"/>
      <c r="AF178" s="21" t="str">
        <f>IFERROR(VLOOKUP(May[[#This Row],[Drug Name3]],'Data Options'!$R$1:$S$100,2,FALSE), " ")</f>
        <v xml:space="preserve"> </v>
      </c>
      <c r="AG178" s="55"/>
      <c r="AH178" s="32"/>
      <c r="AI178" s="32"/>
      <c r="AJ178" s="55"/>
      <c r="AK178" s="32"/>
      <c r="AL178" s="32"/>
      <c r="AM178" s="32"/>
      <c r="AN178" s="32"/>
      <c r="AO178" s="32"/>
      <c r="AP178" s="31"/>
      <c r="AQ178" s="31"/>
      <c r="AR178" s="54"/>
      <c r="AS178" s="21" t="str">
        <f>IFERROR(VLOOKUP(May[[#This Row],[Drug Name4]],'Data Options'!$R$1:$S$100,2,FALSE), " ")</f>
        <v xml:space="preserve"> </v>
      </c>
      <c r="AT178" s="55"/>
      <c r="AU178" s="32"/>
      <c r="AV178" s="32"/>
      <c r="AW178" s="55"/>
      <c r="AX178" s="32"/>
      <c r="AY178" s="54"/>
      <c r="AZ178" s="21" t="str">
        <f>IFERROR(VLOOKUP(May[[#This Row],[Drug Name5]],'Data Options'!$R$1:$S$100,2,FALSE), " ")</f>
        <v xml:space="preserve"> </v>
      </c>
      <c r="BA178" s="55"/>
      <c r="BB178" s="32"/>
      <c r="BC178" s="32"/>
      <c r="BD178" s="55"/>
      <c r="BE178" s="32"/>
      <c r="BF178" s="54"/>
      <c r="BG178" s="21" t="str">
        <f>IFERROR(VLOOKUP(May[[#This Row],[Drug Name6]],'Data Options'!$R$1:$S$100,2,FALSE), " ")</f>
        <v xml:space="preserve"> </v>
      </c>
      <c r="BH178" s="55"/>
      <c r="BI178" s="32"/>
      <c r="BJ178" s="32"/>
      <c r="BK178" s="55"/>
      <c r="BL178" s="32"/>
      <c r="BM178" s="32"/>
      <c r="BN178" s="32"/>
      <c r="BO178" s="32"/>
      <c r="BP178" s="32"/>
      <c r="BQ178" s="31"/>
      <c r="BR178" s="31"/>
      <c r="BS178" s="54"/>
      <c r="BT178" s="21" t="str">
        <f>IFERROR(VLOOKUP(May[[#This Row],[Drug Name7]],'Data Options'!$R$1:$S$100,2,FALSE), " ")</f>
        <v xml:space="preserve"> </v>
      </c>
      <c r="BU178" s="55"/>
      <c r="BV178" s="32"/>
      <c r="BW178" s="32"/>
      <c r="BX178" s="55"/>
      <c r="BY178" s="32"/>
      <c r="BZ178" s="54"/>
      <c r="CA178" s="21" t="str">
        <f>IFERROR(VLOOKUP(May[[#This Row],[Drug Name8]],'Data Options'!$R$1:$S$100,2,FALSE), " ")</f>
        <v xml:space="preserve"> </v>
      </c>
      <c r="CB178" s="55"/>
      <c r="CC178" s="32"/>
      <c r="CD178" s="32"/>
      <c r="CE178" s="55"/>
      <c r="CF178" s="32"/>
      <c r="CG178" s="54"/>
      <c r="CH178" s="21" t="str">
        <f>IFERROR(VLOOKUP(May[[#This Row],[Drug Name9]],'Data Options'!$R$1:$S$100,2,FALSE), " ")</f>
        <v xml:space="preserve"> </v>
      </c>
      <c r="CI178" s="55"/>
      <c r="CJ178" s="32"/>
      <c r="CK178" s="32"/>
      <c r="CL178" s="55"/>
      <c r="CM178" s="32"/>
    </row>
    <row r="179" spans="1:91">
      <c r="A179" s="5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1"/>
      <c r="P179" s="31"/>
      <c r="Q179" s="54"/>
      <c r="R179" s="21" t="str">
        <f>IFERROR(VLOOKUP(May[[#This Row],[Drug Name]],'Data Options'!$R$1:$S$100,2,FALSE), " ")</f>
        <v xml:space="preserve"> </v>
      </c>
      <c r="S179" s="55"/>
      <c r="T179" s="32"/>
      <c r="U179" s="32"/>
      <c r="V179" s="55"/>
      <c r="W179" s="32"/>
      <c r="X179" s="54"/>
      <c r="Y179" s="21" t="str">
        <f>IFERROR(VLOOKUP(May[[#This Row],[Drug Name2]],'Data Options'!$R$1:$S$100,2,FALSE), " ")</f>
        <v xml:space="preserve"> </v>
      </c>
      <c r="Z179" s="55"/>
      <c r="AA179" s="32"/>
      <c r="AB179" s="32"/>
      <c r="AC179" s="55"/>
      <c r="AD179" s="32"/>
      <c r="AE179" s="54"/>
      <c r="AF179" s="21" t="str">
        <f>IFERROR(VLOOKUP(May[[#This Row],[Drug Name3]],'Data Options'!$R$1:$S$100,2,FALSE), " ")</f>
        <v xml:space="preserve"> </v>
      </c>
      <c r="AG179" s="55"/>
      <c r="AH179" s="32"/>
      <c r="AI179" s="32"/>
      <c r="AJ179" s="55"/>
      <c r="AK179" s="32"/>
      <c r="AL179" s="32"/>
      <c r="AM179" s="32"/>
      <c r="AN179" s="32"/>
      <c r="AO179" s="32"/>
      <c r="AP179" s="31"/>
      <c r="AQ179" s="31"/>
      <c r="AR179" s="54"/>
      <c r="AS179" s="21" t="str">
        <f>IFERROR(VLOOKUP(May[[#This Row],[Drug Name4]],'Data Options'!$R$1:$S$100,2,FALSE), " ")</f>
        <v xml:space="preserve"> </v>
      </c>
      <c r="AT179" s="55"/>
      <c r="AU179" s="32"/>
      <c r="AV179" s="32"/>
      <c r="AW179" s="55"/>
      <c r="AX179" s="32"/>
      <c r="AY179" s="54"/>
      <c r="AZ179" s="21" t="str">
        <f>IFERROR(VLOOKUP(May[[#This Row],[Drug Name5]],'Data Options'!$R$1:$S$100,2,FALSE), " ")</f>
        <v xml:space="preserve"> </v>
      </c>
      <c r="BA179" s="55"/>
      <c r="BB179" s="32"/>
      <c r="BC179" s="32"/>
      <c r="BD179" s="55"/>
      <c r="BE179" s="32"/>
      <c r="BF179" s="54"/>
      <c r="BG179" s="21" t="str">
        <f>IFERROR(VLOOKUP(May[[#This Row],[Drug Name6]],'Data Options'!$R$1:$S$100,2,FALSE), " ")</f>
        <v xml:space="preserve"> </v>
      </c>
      <c r="BH179" s="55"/>
      <c r="BI179" s="32"/>
      <c r="BJ179" s="32"/>
      <c r="BK179" s="55"/>
      <c r="BL179" s="32"/>
      <c r="BM179" s="32"/>
      <c r="BN179" s="32"/>
      <c r="BO179" s="32"/>
      <c r="BP179" s="32"/>
      <c r="BQ179" s="31"/>
      <c r="BR179" s="31"/>
      <c r="BS179" s="54"/>
      <c r="BT179" s="21" t="str">
        <f>IFERROR(VLOOKUP(May[[#This Row],[Drug Name7]],'Data Options'!$R$1:$S$100,2,FALSE), " ")</f>
        <v xml:space="preserve"> </v>
      </c>
      <c r="BU179" s="55"/>
      <c r="BV179" s="32"/>
      <c r="BW179" s="32"/>
      <c r="BX179" s="55"/>
      <c r="BY179" s="32"/>
      <c r="BZ179" s="54"/>
      <c r="CA179" s="21" t="str">
        <f>IFERROR(VLOOKUP(May[[#This Row],[Drug Name8]],'Data Options'!$R$1:$S$100,2,FALSE), " ")</f>
        <v xml:space="preserve"> </v>
      </c>
      <c r="CB179" s="55"/>
      <c r="CC179" s="32"/>
      <c r="CD179" s="32"/>
      <c r="CE179" s="55"/>
      <c r="CF179" s="32"/>
      <c r="CG179" s="54"/>
      <c r="CH179" s="21" t="str">
        <f>IFERROR(VLOOKUP(May[[#This Row],[Drug Name9]],'Data Options'!$R$1:$S$100,2,FALSE), " ")</f>
        <v xml:space="preserve"> </v>
      </c>
      <c r="CI179" s="55"/>
      <c r="CJ179" s="32"/>
      <c r="CK179" s="32"/>
      <c r="CL179" s="55"/>
      <c r="CM179" s="32"/>
    </row>
    <row r="180" spans="1:91">
      <c r="A180" s="5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1"/>
      <c r="P180" s="31"/>
      <c r="Q180" s="54"/>
      <c r="R180" s="21" t="str">
        <f>IFERROR(VLOOKUP(May[[#This Row],[Drug Name]],'Data Options'!$R$1:$S$100,2,FALSE), " ")</f>
        <v xml:space="preserve"> </v>
      </c>
      <c r="S180" s="55"/>
      <c r="T180" s="32"/>
      <c r="U180" s="32"/>
      <c r="V180" s="55"/>
      <c r="W180" s="32"/>
      <c r="X180" s="54"/>
      <c r="Y180" s="21" t="str">
        <f>IFERROR(VLOOKUP(May[[#This Row],[Drug Name2]],'Data Options'!$R$1:$S$100,2,FALSE), " ")</f>
        <v xml:space="preserve"> </v>
      </c>
      <c r="Z180" s="55"/>
      <c r="AA180" s="32"/>
      <c r="AB180" s="32"/>
      <c r="AC180" s="55"/>
      <c r="AD180" s="32"/>
      <c r="AE180" s="54"/>
      <c r="AF180" s="21" t="str">
        <f>IFERROR(VLOOKUP(May[[#This Row],[Drug Name3]],'Data Options'!$R$1:$S$100,2,FALSE), " ")</f>
        <v xml:space="preserve"> </v>
      </c>
      <c r="AG180" s="55"/>
      <c r="AH180" s="32"/>
      <c r="AI180" s="32"/>
      <c r="AJ180" s="55"/>
      <c r="AK180" s="32"/>
      <c r="AL180" s="32"/>
      <c r="AM180" s="32"/>
      <c r="AN180" s="32"/>
      <c r="AO180" s="32"/>
      <c r="AP180" s="31"/>
      <c r="AQ180" s="31"/>
      <c r="AR180" s="54"/>
      <c r="AS180" s="21" t="str">
        <f>IFERROR(VLOOKUP(May[[#This Row],[Drug Name4]],'Data Options'!$R$1:$S$100,2,FALSE), " ")</f>
        <v xml:space="preserve"> </v>
      </c>
      <c r="AT180" s="55"/>
      <c r="AU180" s="32"/>
      <c r="AV180" s="32"/>
      <c r="AW180" s="55"/>
      <c r="AX180" s="32"/>
      <c r="AY180" s="54"/>
      <c r="AZ180" s="21" t="str">
        <f>IFERROR(VLOOKUP(May[[#This Row],[Drug Name5]],'Data Options'!$R$1:$S$100,2,FALSE), " ")</f>
        <v xml:space="preserve"> </v>
      </c>
      <c r="BA180" s="55"/>
      <c r="BB180" s="32"/>
      <c r="BC180" s="32"/>
      <c r="BD180" s="55"/>
      <c r="BE180" s="32"/>
      <c r="BF180" s="54"/>
      <c r="BG180" s="21" t="str">
        <f>IFERROR(VLOOKUP(May[[#This Row],[Drug Name6]],'Data Options'!$R$1:$S$100,2,FALSE), " ")</f>
        <v xml:space="preserve"> </v>
      </c>
      <c r="BH180" s="55"/>
      <c r="BI180" s="32"/>
      <c r="BJ180" s="32"/>
      <c r="BK180" s="55"/>
      <c r="BL180" s="32"/>
      <c r="BM180" s="32"/>
      <c r="BN180" s="32"/>
      <c r="BO180" s="32"/>
      <c r="BP180" s="32"/>
      <c r="BQ180" s="31"/>
      <c r="BR180" s="31"/>
      <c r="BS180" s="54"/>
      <c r="BT180" s="21" t="str">
        <f>IFERROR(VLOOKUP(May[[#This Row],[Drug Name7]],'Data Options'!$R$1:$S$100,2,FALSE), " ")</f>
        <v xml:space="preserve"> </v>
      </c>
      <c r="BU180" s="55"/>
      <c r="BV180" s="32"/>
      <c r="BW180" s="32"/>
      <c r="BX180" s="55"/>
      <c r="BY180" s="32"/>
      <c r="BZ180" s="54"/>
      <c r="CA180" s="21" t="str">
        <f>IFERROR(VLOOKUP(May[[#This Row],[Drug Name8]],'Data Options'!$R$1:$S$100,2,FALSE), " ")</f>
        <v xml:space="preserve"> </v>
      </c>
      <c r="CB180" s="55"/>
      <c r="CC180" s="32"/>
      <c r="CD180" s="32"/>
      <c r="CE180" s="55"/>
      <c r="CF180" s="32"/>
      <c r="CG180" s="54"/>
      <c r="CH180" s="21" t="str">
        <f>IFERROR(VLOOKUP(May[[#This Row],[Drug Name9]],'Data Options'!$R$1:$S$100,2,FALSE), " ")</f>
        <v xml:space="preserve"> </v>
      </c>
      <c r="CI180" s="55"/>
      <c r="CJ180" s="32"/>
      <c r="CK180" s="32"/>
      <c r="CL180" s="55"/>
      <c r="CM180" s="32"/>
    </row>
    <row r="181" spans="1:91">
      <c r="A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1"/>
      <c r="P181" s="31"/>
      <c r="Q181" s="54"/>
      <c r="R181" s="21" t="str">
        <f>IFERROR(VLOOKUP(May[[#This Row],[Drug Name]],'Data Options'!$R$1:$S$100,2,FALSE), " ")</f>
        <v xml:space="preserve"> </v>
      </c>
      <c r="S181" s="55"/>
      <c r="T181" s="32"/>
      <c r="U181" s="32"/>
      <c r="V181" s="55"/>
      <c r="W181" s="32"/>
      <c r="X181" s="54"/>
      <c r="Y181" s="21" t="str">
        <f>IFERROR(VLOOKUP(May[[#This Row],[Drug Name2]],'Data Options'!$R$1:$S$100,2,FALSE), " ")</f>
        <v xml:space="preserve"> </v>
      </c>
      <c r="Z181" s="55"/>
      <c r="AA181" s="32"/>
      <c r="AB181" s="32"/>
      <c r="AC181" s="55"/>
      <c r="AD181" s="32"/>
      <c r="AE181" s="54"/>
      <c r="AF181" s="21" t="str">
        <f>IFERROR(VLOOKUP(May[[#This Row],[Drug Name3]],'Data Options'!$R$1:$S$100,2,FALSE), " ")</f>
        <v xml:space="preserve"> </v>
      </c>
      <c r="AG181" s="55"/>
      <c r="AH181" s="32"/>
      <c r="AI181" s="32"/>
      <c r="AJ181" s="55"/>
      <c r="AK181" s="32"/>
      <c r="AL181" s="32"/>
      <c r="AM181" s="32"/>
      <c r="AN181" s="32"/>
      <c r="AO181" s="32"/>
      <c r="AP181" s="31"/>
      <c r="AQ181" s="31"/>
      <c r="AR181" s="54"/>
      <c r="AS181" s="21" t="str">
        <f>IFERROR(VLOOKUP(May[[#This Row],[Drug Name4]],'Data Options'!$R$1:$S$100,2,FALSE), " ")</f>
        <v xml:space="preserve"> </v>
      </c>
      <c r="AT181" s="55"/>
      <c r="AU181" s="32"/>
      <c r="AV181" s="32"/>
      <c r="AW181" s="55"/>
      <c r="AX181" s="32"/>
      <c r="AY181" s="54"/>
      <c r="AZ181" s="21" t="str">
        <f>IFERROR(VLOOKUP(May[[#This Row],[Drug Name5]],'Data Options'!$R$1:$S$100,2,FALSE), " ")</f>
        <v xml:space="preserve"> </v>
      </c>
      <c r="BA181" s="55"/>
      <c r="BB181" s="32"/>
      <c r="BC181" s="32"/>
      <c r="BD181" s="55"/>
      <c r="BE181" s="32"/>
      <c r="BF181" s="54"/>
      <c r="BG181" s="21" t="str">
        <f>IFERROR(VLOOKUP(May[[#This Row],[Drug Name6]],'Data Options'!$R$1:$S$100,2,FALSE), " ")</f>
        <v xml:space="preserve"> </v>
      </c>
      <c r="BH181" s="55"/>
      <c r="BI181" s="32"/>
      <c r="BJ181" s="32"/>
      <c r="BK181" s="55"/>
      <c r="BL181" s="32"/>
      <c r="BM181" s="32"/>
      <c r="BN181" s="32"/>
      <c r="BO181" s="32"/>
      <c r="BP181" s="32"/>
      <c r="BQ181" s="31"/>
      <c r="BR181" s="31"/>
      <c r="BS181" s="54"/>
      <c r="BT181" s="21" t="str">
        <f>IFERROR(VLOOKUP(May[[#This Row],[Drug Name7]],'Data Options'!$R$1:$S$100,2,FALSE), " ")</f>
        <v xml:space="preserve"> </v>
      </c>
      <c r="BU181" s="55"/>
      <c r="BV181" s="32"/>
      <c r="BW181" s="32"/>
      <c r="BX181" s="55"/>
      <c r="BY181" s="32"/>
      <c r="BZ181" s="54"/>
      <c r="CA181" s="21" t="str">
        <f>IFERROR(VLOOKUP(May[[#This Row],[Drug Name8]],'Data Options'!$R$1:$S$100,2,FALSE), " ")</f>
        <v xml:space="preserve"> </v>
      </c>
      <c r="CB181" s="55"/>
      <c r="CC181" s="32"/>
      <c r="CD181" s="32"/>
      <c r="CE181" s="55"/>
      <c r="CF181" s="32"/>
      <c r="CG181" s="54"/>
      <c r="CH181" s="21" t="str">
        <f>IFERROR(VLOOKUP(May[[#This Row],[Drug Name9]],'Data Options'!$R$1:$S$100,2,FALSE), " ")</f>
        <v xml:space="preserve"> </v>
      </c>
      <c r="CI181" s="55"/>
      <c r="CJ181" s="32"/>
      <c r="CK181" s="32"/>
      <c r="CL181" s="55"/>
      <c r="CM181" s="32"/>
    </row>
    <row r="182" spans="1:91">
      <c r="A182" s="5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1"/>
      <c r="P182" s="31"/>
      <c r="Q182" s="54"/>
      <c r="R182" s="21" t="str">
        <f>IFERROR(VLOOKUP(May[[#This Row],[Drug Name]],'Data Options'!$R$1:$S$100,2,FALSE), " ")</f>
        <v xml:space="preserve"> </v>
      </c>
      <c r="S182" s="55"/>
      <c r="T182" s="32"/>
      <c r="U182" s="32"/>
      <c r="V182" s="55"/>
      <c r="W182" s="32"/>
      <c r="X182" s="54"/>
      <c r="Y182" s="21" t="str">
        <f>IFERROR(VLOOKUP(May[[#This Row],[Drug Name2]],'Data Options'!$R$1:$S$100,2,FALSE), " ")</f>
        <v xml:space="preserve"> </v>
      </c>
      <c r="Z182" s="55"/>
      <c r="AA182" s="32"/>
      <c r="AB182" s="32"/>
      <c r="AC182" s="55"/>
      <c r="AD182" s="32"/>
      <c r="AE182" s="54"/>
      <c r="AF182" s="21" t="str">
        <f>IFERROR(VLOOKUP(May[[#This Row],[Drug Name3]],'Data Options'!$R$1:$S$100,2,FALSE), " ")</f>
        <v xml:space="preserve"> </v>
      </c>
      <c r="AG182" s="55"/>
      <c r="AH182" s="32"/>
      <c r="AI182" s="32"/>
      <c r="AJ182" s="55"/>
      <c r="AK182" s="32"/>
      <c r="AL182" s="32"/>
      <c r="AM182" s="32"/>
      <c r="AN182" s="32"/>
      <c r="AO182" s="32"/>
      <c r="AP182" s="31"/>
      <c r="AQ182" s="31"/>
      <c r="AR182" s="54"/>
      <c r="AS182" s="21" t="str">
        <f>IFERROR(VLOOKUP(May[[#This Row],[Drug Name4]],'Data Options'!$R$1:$S$100,2,FALSE), " ")</f>
        <v xml:space="preserve"> </v>
      </c>
      <c r="AT182" s="55"/>
      <c r="AU182" s="32"/>
      <c r="AV182" s="32"/>
      <c r="AW182" s="55"/>
      <c r="AX182" s="32"/>
      <c r="AY182" s="54"/>
      <c r="AZ182" s="21" t="str">
        <f>IFERROR(VLOOKUP(May[[#This Row],[Drug Name5]],'Data Options'!$R$1:$S$100,2,FALSE), " ")</f>
        <v xml:space="preserve"> </v>
      </c>
      <c r="BA182" s="55"/>
      <c r="BB182" s="32"/>
      <c r="BC182" s="32"/>
      <c r="BD182" s="55"/>
      <c r="BE182" s="32"/>
      <c r="BF182" s="54"/>
      <c r="BG182" s="21" t="str">
        <f>IFERROR(VLOOKUP(May[[#This Row],[Drug Name6]],'Data Options'!$R$1:$S$100,2,FALSE), " ")</f>
        <v xml:space="preserve"> </v>
      </c>
      <c r="BH182" s="55"/>
      <c r="BI182" s="32"/>
      <c r="BJ182" s="32"/>
      <c r="BK182" s="55"/>
      <c r="BL182" s="32"/>
      <c r="BM182" s="32"/>
      <c r="BN182" s="32"/>
      <c r="BO182" s="32"/>
      <c r="BP182" s="32"/>
      <c r="BQ182" s="31"/>
      <c r="BR182" s="31"/>
      <c r="BS182" s="54"/>
      <c r="BT182" s="21" t="str">
        <f>IFERROR(VLOOKUP(May[[#This Row],[Drug Name7]],'Data Options'!$R$1:$S$100,2,FALSE), " ")</f>
        <v xml:space="preserve"> </v>
      </c>
      <c r="BU182" s="55"/>
      <c r="BV182" s="32"/>
      <c r="BW182" s="32"/>
      <c r="BX182" s="55"/>
      <c r="BY182" s="32"/>
      <c r="BZ182" s="54"/>
      <c r="CA182" s="21" t="str">
        <f>IFERROR(VLOOKUP(May[[#This Row],[Drug Name8]],'Data Options'!$R$1:$S$100,2,FALSE), " ")</f>
        <v xml:space="preserve"> </v>
      </c>
      <c r="CB182" s="55"/>
      <c r="CC182" s="32"/>
      <c r="CD182" s="32"/>
      <c r="CE182" s="55"/>
      <c r="CF182" s="32"/>
      <c r="CG182" s="54"/>
      <c r="CH182" s="21" t="str">
        <f>IFERROR(VLOOKUP(May[[#This Row],[Drug Name9]],'Data Options'!$R$1:$S$100,2,FALSE), " ")</f>
        <v xml:space="preserve"> </v>
      </c>
      <c r="CI182" s="55"/>
      <c r="CJ182" s="32"/>
      <c r="CK182" s="32"/>
      <c r="CL182" s="55"/>
      <c r="CM182" s="32"/>
    </row>
    <row r="183" spans="1:91">
      <c r="A183" s="5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1"/>
      <c r="P183" s="31"/>
      <c r="Q183" s="54"/>
      <c r="R183" s="21" t="str">
        <f>IFERROR(VLOOKUP(May[[#This Row],[Drug Name]],'Data Options'!$R$1:$S$100,2,FALSE), " ")</f>
        <v xml:space="preserve"> </v>
      </c>
      <c r="S183" s="55"/>
      <c r="T183" s="32"/>
      <c r="U183" s="32"/>
      <c r="V183" s="55"/>
      <c r="W183" s="32"/>
      <c r="X183" s="54"/>
      <c r="Y183" s="21" t="str">
        <f>IFERROR(VLOOKUP(May[[#This Row],[Drug Name2]],'Data Options'!$R$1:$S$100,2,FALSE), " ")</f>
        <v xml:space="preserve"> </v>
      </c>
      <c r="Z183" s="55"/>
      <c r="AA183" s="32"/>
      <c r="AB183" s="32"/>
      <c r="AC183" s="55"/>
      <c r="AD183" s="32"/>
      <c r="AE183" s="54"/>
      <c r="AF183" s="21" t="str">
        <f>IFERROR(VLOOKUP(May[[#This Row],[Drug Name3]],'Data Options'!$R$1:$S$100,2,FALSE), " ")</f>
        <v xml:space="preserve"> </v>
      </c>
      <c r="AG183" s="55"/>
      <c r="AH183" s="32"/>
      <c r="AI183" s="32"/>
      <c r="AJ183" s="55"/>
      <c r="AK183" s="32"/>
      <c r="AL183" s="32"/>
      <c r="AM183" s="32"/>
      <c r="AN183" s="32"/>
      <c r="AO183" s="32"/>
      <c r="AP183" s="31"/>
      <c r="AQ183" s="31"/>
      <c r="AR183" s="54"/>
      <c r="AS183" s="21" t="str">
        <f>IFERROR(VLOOKUP(May[[#This Row],[Drug Name4]],'Data Options'!$R$1:$S$100,2,FALSE), " ")</f>
        <v xml:space="preserve"> </v>
      </c>
      <c r="AT183" s="55"/>
      <c r="AU183" s="32"/>
      <c r="AV183" s="32"/>
      <c r="AW183" s="55"/>
      <c r="AX183" s="32"/>
      <c r="AY183" s="54"/>
      <c r="AZ183" s="21" t="str">
        <f>IFERROR(VLOOKUP(May[[#This Row],[Drug Name5]],'Data Options'!$R$1:$S$100,2,FALSE), " ")</f>
        <v xml:space="preserve"> </v>
      </c>
      <c r="BA183" s="55"/>
      <c r="BB183" s="32"/>
      <c r="BC183" s="32"/>
      <c r="BD183" s="55"/>
      <c r="BE183" s="32"/>
      <c r="BF183" s="54"/>
      <c r="BG183" s="21" t="str">
        <f>IFERROR(VLOOKUP(May[[#This Row],[Drug Name6]],'Data Options'!$R$1:$S$100,2,FALSE), " ")</f>
        <v xml:space="preserve"> </v>
      </c>
      <c r="BH183" s="55"/>
      <c r="BI183" s="32"/>
      <c r="BJ183" s="32"/>
      <c r="BK183" s="55"/>
      <c r="BL183" s="32"/>
      <c r="BM183" s="32"/>
      <c r="BN183" s="32"/>
      <c r="BO183" s="32"/>
      <c r="BP183" s="32"/>
      <c r="BQ183" s="31"/>
      <c r="BR183" s="31"/>
      <c r="BS183" s="54"/>
      <c r="BT183" s="21" t="str">
        <f>IFERROR(VLOOKUP(May[[#This Row],[Drug Name7]],'Data Options'!$R$1:$S$100,2,FALSE), " ")</f>
        <v xml:space="preserve"> </v>
      </c>
      <c r="BU183" s="55"/>
      <c r="BV183" s="32"/>
      <c r="BW183" s="32"/>
      <c r="BX183" s="55"/>
      <c r="BY183" s="32"/>
      <c r="BZ183" s="54"/>
      <c r="CA183" s="21" t="str">
        <f>IFERROR(VLOOKUP(May[[#This Row],[Drug Name8]],'Data Options'!$R$1:$S$100,2,FALSE), " ")</f>
        <v xml:space="preserve"> </v>
      </c>
      <c r="CB183" s="55"/>
      <c r="CC183" s="32"/>
      <c r="CD183" s="32"/>
      <c r="CE183" s="55"/>
      <c r="CF183" s="32"/>
      <c r="CG183" s="54"/>
      <c r="CH183" s="21" t="str">
        <f>IFERROR(VLOOKUP(May[[#This Row],[Drug Name9]],'Data Options'!$R$1:$S$100,2,FALSE), " ")</f>
        <v xml:space="preserve"> </v>
      </c>
      <c r="CI183" s="55"/>
      <c r="CJ183" s="32"/>
      <c r="CK183" s="32"/>
      <c r="CL183" s="55"/>
      <c r="CM183" s="32"/>
    </row>
    <row r="184" spans="1:91">
      <c r="A184" s="5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1"/>
      <c r="P184" s="31"/>
      <c r="Q184" s="54"/>
      <c r="R184" s="21" t="str">
        <f>IFERROR(VLOOKUP(May[[#This Row],[Drug Name]],'Data Options'!$R$1:$S$100,2,FALSE), " ")</f>
        <v xml:space="preserve"> </v>
      </c>
      <c r="S184" s="55"/>
      <c r="T184" s="32"/>
      <c r="U184" s="32"/>
      <c r="V184" s="55"/>
      <c r="W184" s="32"/>
      <c r="X184" s="54"/>
      <c r="Y184" s="21" t="str">
        <f>IFERROR(VLOOKUP(May[[#This Row],[Drug Name2]],'Data Options'!$R$1:$S$100,2,FALSE), " ")</f>
        <v xml:space="preserve"> </v>
      </c>
      <c r="Z184" s="55"/>
      <c r="AA184" s="32"/>
      <c r="AB184" s="32"/>
      <c r="AC184" s="55"/>
      <c r="AD184" s="32"/>
      <c r="AE184" s="54"/>
      <c r="AF184" s="21" t="str">
        <f>IFERROR(VLOOKUP(May[[#This Row],[Drug Name3]],'Data Options'!$R$1:$S$100,2,FALSE), " ")</f>
        <v xml:space="preserve"> </v>
      </c>
      <c r="AG184" s="55"/>
      <c r="AH184" s="32"/>
      <c r="AI184" s="32"/>
      <c r="AJ184" s="55"/>
      <c r="AK184" s="32"/>
      <c r="AL184" s="32"/>
      <c r="AM184" s="32"/>
      <c r="AN184" s="32"/>
      <c r="AO184" s="32"/>
      <c r="AP184" s="31"/>
      <c r="AQ184" s="31"/>
      <c r="AR184" s="54"/>
      <c r="AS184" s="21" t="str">
        <f>IFERROR(VLOOKUP(May[[#This Row],[Drug Name4]],'Data Options'!$R$1:$S$100,2,FALSE), " ")</f>
        <v xml:space="preserve"> </v>
      </c>
      <c r="AT184" s="55"/>
      <c r="AU184" s="32"/>
      <c r="AV184" s="32"/>
      <c r="AW184" s="55"/>
      <c r="AX184" s="32"/>
      <c r="AY184" s="54"/>
      <c r="AZ184" s="21" t="str">
        <f>IFERROR(VLOOKUP(May[[#This Row],[Drug Name5]],'Data Options'!$R$1:$S$100,2,FALSE), " ")</f>
        <v xml:space="preserve"> </v>
      </c>
      <c r="BA184" s="55"/>
      <c r="BB184" s="32"/>
      <c r="BC184" s="32"/>
      <c r="BD184" s="55"/>
      <c r="BE184" s="32"/>
      <c r="BF184" s="54"/>
      <c r="BG184" s="21" t="str">
        <f>IFERROR(VLOOKUP(May[[#This Row],[Drug Name6]],'Data Options'!$R$1:$S$100,2,FALSE), " ")</f>
        <v xml:space="preserve"> </v>
      </c>
      <c r="BH184" s="55"/>
      <c r="BI184" s="32"/>
      <c r="BJ184" s="32"/>
      <c r="BK184" s="55"/>
      <c r="BL184" s="32"/>
      <c r="BM184" s="32"/>
      <c r="BN184" s="32"/>
      <c r="BO184" s="32"/>
      <c r="BP184" s="32"/>
      <c r="BQ184" s="31"/>
      <c r="BR184" s="31"/>
      <c r="BS184" s="54"/>
      <c r="BT184" s="21" t="str">
        <f>IFERROR(VLOOKUP(May[[#This Row],[Drug Name7]],'Data Options'!$R$1:$S$100,2,FALSE), " ")</f>
        <v xml:space="preserve"> </v>
      </c>
      <c r="BU184" s="55"/>
      <c r="BV184" s="32"/>
      <c r="BW184" s="32"/>
      <c r="BX184" s="55"/>
      <c r="BY184" s="32"/>
      <c r="BZ184" s="54"/>
      <c r="CA184" s="21" t="str">
        <f>IFERROR(VLOOKUP(May[[#This Row],[Drug Name8]],'Data Options'!$R$1:$S$100,2,FALSE), " ")</f>
        <v xml:space="preserve"> </v>
      </c>
      <c r="CB184" s="55"/>
      <c r="CC184" s="32"/>
      <c r="CD184" s="32"/>
      <c r="CE184" s="55"/>
      <c r="CF184" s="32"/>
      <c r="CG184" s="54"/>
      <c r="CH184" s="21" t="str">
        <f>IFERROR(VLOOKUP(May[[#This Row],[Drug Name9]],'Data Options'!$R$1:$S$100,2,FALSE), " ")</f>
        <v xml:space="preserve"> </v>
      </c>
      <c r="CI184" s="55"/>
      <c r="CJ184" s="32"/>
      <c r="CK184" s="32"/>
      <c r="CL184" s="55"/>
      <c r="CM184" s="32"/>
    </row>
    <row r="185" spans="1:91">
      <c r="A185" s="5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1"/>
      <c r="P185" s="31"/>
      <c r="Q185" s="54"/>
      <c r="R185" s="21" t="str">
        <f>IFERROR(VLOOKUP(May[[#This Row],[Drug Name]],'Data Options'!$R$1:$S$100,2,FALSE), " ")</f>
        <v xml:space="preserve"> </v>
      </c>
      <c r="S185" s="55"/>
      <c r="T185" s="32"/>
      <c r="U185" s="32"/>
      <c r="V185" s="55"/>
      <c r="W185" s="32"/>
      <c r="X185" s="54"/>
      <c r="Y185" s="21" t="str">
        <f>IFERROR(VLOOKUP(May[[#This Row],[Drug Name2]],'Data Options'!$R$1:$S$100,2,FALSE), " ")</f>
        <v xml:space="preserve"> </v>
      </c>
      <c r="Z185" s="55"/>
      <c r="AA185" s="32"/>
      <c r="AB185" s="32"/>
      <c r="AC185" s="55"/>
      <c r="AD185" s="32"/>
      <c r="AE185" s="54"/>
      <c r="AF185" s="21" t="str">
        <f>IFERROR(VLOOKUP(May[[#This Row],[Drug Name3]],'Data Options'!$R$1:$S$100,2,FALSE), " ")</f>
        <v xml:space="preserve"> </v>
      </c>
      <c r="AG185" s="55"/>
      <c r="AH185" s="32"/>
      <c r="AI185" s="32"/>
      <c r="AJ185" s="55"/>
      <c r="AK185" s="32"/>
      <c r="AL185" s="32"/>
      <c r="AM185" s="32"/>
      <c r="AN185" s="32"/>
      <c r="AO185" s="32"/>
      <c r="AP185" s="31"/>
      <c r="AQ185" s="31"/>
      <c r="AR185" s="54"/>
      <c r="AS185" s="21" t="str">
        <f>IFERROR(VLOOKUP(May[[#This Row],[Drug Name4]],'Data Options'!$R$1:$S$100,2,FALSE), " ")</f>
        <v xml:space="preserve"> </v>
      </c>
      <c r="AT185" s="55"/>
      <c r="AU185" s="32"/>
      <c r="AV185" s="32"/>
      <c r="AW185" s="55"/>
      <c r="AX185" s="32"/>
      <c r="AY185" s="54"/>
      <c r="AZ185" s="21" t="str">
        <f>IFERROR(VLOOKUP(May[[#This Row],[Drug Name5]],'Data Options'!$R$1:$S$100,2,FALSE), " ")</f>
        <v xml:space="preserve"> </v>
      </c>
      <c r="BA185" s="55"/>
      <c r="BB185" s="32"/>
      <c r="BC185" s="32"/>
      <c r="BD185" s="55"/>
      <c r="BE185" s="32"/>
      <c r="BF185" s="54"/>
      <c r="BG185" s="21" t="str">
        <f>IFERROR(VLOOKUP(May[[#This Row],[Drug Name6]],'Data Options'!$R$1:$S$100,2,FALSE), " ")</f>
        <v xml:space="preserve"> </v>
      </c>
      <c r="BH185" s="55"/>
      <c r="BI185" s="32"/>
      <c r="BJ185" s="32"/>
      <c r="BK185" s="55"/>
      <c r="BL185" s="32"/>
      <c r="BM185" s="32"/>
      <c r="BN185" s="32"/>
      <c r="BO185" s="32"/>
      <c r="BP185" s="32"/>
      <c r="BQ185" s="31"/>
      <c r="BR185" s="31"/>
      <c r="BS185" s="54"/>
      <c r="BT185" s="21" t="str">
        <f>IFERROR(VLOOKUP(May[[#This Row],[Drug Name7]],'Data Options'!$R$1:$S$100,2,FALSE), " ")</f>
        <v xml:space="preserve"> </v>
      </c>
      <c r="BU185" s="55"/>
      <c r="BV185" s="32"/>
      <c r="BW185" s="32"/>
      <c r="BX185" s="55"/>
      <c r="BY185" s="32"/>
      <c r="BZ185" s="54"/>
      <c r="CA185" s="21" t="str">
        <f>IFERROR(VLOOKUP(May[[#This Row],[Drug Name8]],'Data Options'!$R$1:$S$100,2,FALSE), " ")</f>
        <v xml:space="preserve"> </v>
      </c>
      <c r="CB185" s="55"/>
      <c r="CC185" s="32"/>
      <c r="CD185" s="32"/>
      <c r="CE185" s="55"/>
      <c r="CF185" s="32"/>
      <c r="CG185" s="54"/>
      <c r="CH185" s="21" t="str">
        <f>IFERROR(VLOOKUP(May[[#This Row],[Drug Name9]],'Data Options'!$R$1:$S$100,2,FALSE), " ")</f>
        <v xml:space="preserve"> </v>
      </c>
      <c r="CI185" s="55"/>
      <c r="CJ185" s="32"/>
      <c r="CK185" s="32"/>
      <c r="CL185" s="55"/>
      <c r="CM185" s="32"/>
    </row>
    <row r="186" spans="1:91">
      <c r="A186" s="5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1"/>
      <c r="P186" s="31"/>
      <c r="Q186" s="54"/>
      <c r="R186" s="21" t="str">
        <f>IFERROR(VLOOKUP(May[[#This Row],[Drug Name]],'Data Options'!$R$1:$S$100,2,FALSE), " ")</f>
        <v xml:space="preserve"> </v>
      </c>
      <c r="S186" s="55"/>
      <c r="T186" s="32"/>
      <c r="U186" s="32"/>
      <c r="V186" s="55"/>
      <c r="W186" s="32"/>
      <c r="X186" s="54"/>
      <c r="Y186" s="21" t="str">
        <f>IFERROR(VLOOKUP(May[[#This Row],[Drug Name2]],'Data Options'!$R$1:$S$100,2,FALSE), " ")</f>
        <v xml:space="preserve"> </v>
      </c>
      <c r="Z186" s="55"/>
      <c r="AA186" s="32"/>
      <c r="AB186" s="32"/>
      <c r="AC186" s="55"/>
      <c r="AD186" s="32"/>
      <c r="AE186" s="54"/>
      <c r="AF186" s="21" t="str">
        <f>IFERROR(VLOOKUP(May[[#This Row],[Drug Name3]],'Data Options'!$R$1:$S$100,2,FALSE), " ")</f>
        <v xml:space="preserve"> </v>
      </c>
      <c r="AG186" s="55"/>
      <c r="AH186" s="32"/>
      <c r="AI186" s="32"/>
      <c r="AJ186" s="55"/>
      <c r="AK186" s="32"/>
      <c r="AL186" s="32"/>
      <c r="AM186" s="32"/>
      <c r="AN186" s="32"/>
      <c r="AO186" s="32"/>
      <c r="AP186" s="31"/>
      <c r="AQ186" s="31"/>
      <c r="AR186" s="54"/>
      <c r="AS186" s="21" t="str">
        <f>IFERROR(VLOOKUP(May[[#This Row],[Drug Name4]],'Data Options'!$R$1:$S$100,2,FALSE), " ")</f>
        <v xml:space="preserve"> </v>
      </c>
      <c r="AT186" s="55"/>
      <c r="AU186" s="32"/>
      <c r="AV186" s="32"/>
      <c r="AW186" s="55"/>
      <c r="AX186" s="32"/>
      <c r="AY186" s="54"/>
      <c r="AZ186" s="21" t="str">
        <f>IFERROR(VLOOKUP(May[[#This Row],[Drug Name5]],'Data Options'!$R$1:$S$100,2,FALSE), " ")</f>
        <v xml:space="preserve"> </v>
      </c>
      <c r="BA186" s="55"/>
      <c r="BB186" s="32"/>
      <c r="BC186" s="32"/>
      <c r="BD186" s="55"/>
      <c r="BE186" s="32"/>
      <c r="BF186" s="54"/>
      <c r="BG186" s="21" t="str">
        <f>IFERROR(VLOOKUP(May[[#This Row],[Drug Name6]],'Data Options'!$R$1:$S$100,2,FALSE), " ")</f>
        <v xml:space="preserve"> </v>
      </c>
      <c r="BH186" s="55"/>
      <c r="BI186" s="32"/>
      <c r="BJ186" s="32"/>
      <c r="BK186" s="55"/>
      <c r="BL186" s="32"/>
      <c r="BM186" s="32"/>
      <c r="BN186" s="32"/>
      <c r="BO186" s="32"/>
      <c r="BP186" s="32"/>
      <c r="BQ186" s="31"/>
      <c r="BR186" s="31"/>
      <c r="BS186" s="54"/>
      <c r="BT186" s="21" t="str">
        <f>IFERROR(VLOOKUP(May[[#This Row],[Drug Name7]],'Data Options'!$R$1:$S$100,2,FALSE), " ")</f>
        <v xml:space="preserve"> </v>
      </c>
      <c r="BU186" s="55"/>
      <c r="BV186" s="32"/>
      <c r="BW186" s="32"/>
      <c r="BX186" s="55"/>
      <c r="BY186" s="32"/>
      <c r="BZ186" s="54"/>
      <c r="CA186" s="21" t="str">
        <f>IFERROR(VLOOKUP(May[[#This Row],[Drug Name8]],'Data Options'!$R$1:$S$100,2,FALSE), " ")</f>
        <v xml:space="preserve"> </v>
      </c>
      <c r="CB186" s="55"/>
      <c r="CC186" s="32"/>
      <c r="CD186" s="32"/>
      <c r="CE186" s="55"/>
      <c r="CF186" s="32"/>
      <c r="CG186" s="54"/>
      <c r="CH186" s="21" t="str">
        <f>IFERROR(VLOOKUP(May[[#This Row],[Drug Name9]],'Data Options'!$R$1:$S$100,2,FALSE), " ")</f>
        <v xml:space="preserve"> </v>
      </c>
      <c r="CI186" s="55"/>
      <c r="CJ186" s="32"/>
      <c r="CK186" s="32"/>
      <c r="CL186" s="55"/>
      <c r="CM186" s="32"/>
    </row>
    <row r="187" spans="1:91">
      <c r="A187" s="5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1"/>
      <c r="P187" s="31"/>
      <c r="Q187" s="54"/>
      <c r="R187" s="21" t="str">
        <f>IFERROR(VLOOKUP(May[[#This Row],[Drug Name]],'Data Options'!$R$1:$S$100,2,FALSE), " ")</f>
        <v xml:space="preserve"> </v>
      </c>
      <c r="S187" s="55"/>
      <c r="T187" s="32"/>
      <c r="U187" s="32"/>
      <c r="V187" s="55"/>
      <c r="W187" s="32"/>
      <c r="X187" s="54"/>
      <c r="Y187" s="21" t="str">
        <f>IFERROR(VLOOKUP(May[[#This Row],[Drug Name2]],'Data Options'!$R$1:$S$100,2,FALSE), " ")</f>
        <v xml:space="preserve"> </v>
      </c>
      <c r="Z187" s="55"/>
      <c r="AA187" s="32"/>
      <c r="AB187" s="32"/>
      <c r="AC187" s="55"/>
      <c r="AD187" s="32"/>
      <c r="AE187" s="54"/>
      <c r="AF187" s="21" t="str">
        <f>IFERROR(VLOOKUP(May[[#This Row],[Drug Name3]],'Data Options'!$R$1:$S$100,2,FALSE), " ")</f>
        <v xml:space="preserve"> </v>
      </c>
      <c r="AG187" s="55"/>
      <c r="AH187" s="32"/>
      <c r="AI187" s="32"/>
      <c r="AJ187" s="55"/>
      <c r="AK187" s="32"/>
      <c r="AL187" s="32"/>
      <c r="AM187" s="32"/>
      <c r="AN187" s="32"/>
      <c r="AO187" s="32"/>
      <c r="AP187" s="31"/>
      <c r="AQ187" s="31"/>
      <c r="AR187" s="54"/>
      <c r="AS187" s="21" t="str">
        <f>IFERROR(VLOOKUP(May[[#This Row],[Drug Name4]],'Data Options'!$R$1:$S$100,2,FALSE), " ")</f>
        <v xml:space="preserve"> </v>
      </c>
      <c r="AT187" s="55"/>
      <c r="AU187" s="32"/>
      <c r="AV187" s="32"/>
      <c r="AW187" s="55"/>
      <c r="AX187" s="32"/>
      <c r="AY187" s="54"/>
      <c r="AZ187" s="21" t="str">
        <f>IFERROR(VLOOKUP(May[[#This Row],[Drug Name5]],'Data Options'!$R$1:$S$100,2,FALSE), " ")</f>
        <v xml:space="preserve"> </v>
      </c>
      <c r="BA187" s="55"/>
      <c r="BB187" s="32"/>
      <c r="BC187" s="32"/>
      <c r="BD187" s="55"/>
      <c r="BE187" s="32"/>
      <c r="BF187" s="54"/>
      <c r="BG187" s="21" t="str">
        <f>IFERROR(VLOOKUP(May[[#This Row],[Drug Name6]],'Data Options'!$R$1:$S$100,2,FALSE), " ")</f>
        <v xml:space="preserve"> </v>
      </c>
      <c r="BH187" s="55"/>
      <c r="BI187" s="32"/>
      <c r="BJ187" s="32"/>
      <c r="BK187" s="55"/>
      <c r="BL187" s="32"/>
      <c r="BM187" s="32"/>
      <c r="BN187" s="32"/>
      <c r="BO187" s="32"/>
      <c r="BP187" s="32"/>
      <c r="BQ187" s="31"/>
      <c r="BR187" s="31"/>
      <c r="BS187" s="54"/>
      <c r="BT187" s="21" t="str">
        <f>IFERROR(VLOOKUP(May[[#This Row],[Drug Name7]],'Data Options'!$R$1:$S$100,2,FALSE), " ")</f>
        <v xml:space="preserve"> </v>
      </c>
      <c r="BU187" s="55"/>
      <c r="BV187" s="32"/>
      <c r="BW187" s="32"/>
      <c r="BX187" s="55"/>
      <c r="BY187" s="32"/>
      <c r="BZ187" s="54"/>
      <c r="CA187" s="21" t="str">
        <f>IFERROR(VLOOKUP(May[[#This Row],[Drug Name8]],'Data Options'!$R$1:$S$100,2,FALSE), " ")</f>
        <v xml:space="preserve"> </v>
      </c>
      <c r="CB187" s="55"/>
      <c r="CC187" s="32"/>
      <c r="CD187" s="32"/>
      <c r="CE187" s="55"/>
      <c r="CF187" s="32"/>
      <c r="CG187" s="54"/>
      <c r="CH187" s="21" t="str">
        <f>IFERROR(VLOOKUP(May[[#This Row],[Drug Name9]],'Data Options'!$R$1:$S$100,2,FALSE), " ")</f>
        <v xml:space="preserve"> </v>
      </c>
      <c r="CI187" s="55"/>
      <c r="CJ187" s="32"/>
      <c r="CK187" s="32"/>
      <c r="CL187" s="55"/>
      <c r="CM187" s="32"/>
    </row>
    <row r="188" spans="1:91">
      <c r="A188" s="5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1"/>
      <c r="P188" s="31"/>
      <c r="Q188" s="54"/>
      <c r="R188" s="21" t="str">
        <f>IFERROR(VLOOKUP(May[[#This Row],[Drug Name]],'Data Options'!$R$1:$S$100,2,FALSE), " ")</f>
        <v xml:space="preserve"> </v>
      </c>
      <c r="S188" s="55"/>
      <c r="T188" s="32"/>
      <c r="U188" s="32"/>
      <c r="V188" s="55"/>
      <c r="W188" s="32"/>
      <c r="X188" s="54"/>
      <c r="Y188" s="21" t="str">
        <f>IFERROR(VLOOKUP(May[[#This Row],[Drug Name2]],'Data Options'!$R$1:$S$100,2,FALSE), " ")</f>
        <v xml:space="preserve"> </v>
      </c>
      <c r="Z188" s="55"/>
      <c r="AA188" s="32"/>
      <c r="AB188" s="32"/>
      <c r="AC188" s="55"/>
      <c r="AD188" s="32"/>
      <c r="AE188" s="54"/>
      <c r="AF188" s="21" t="str">
        <f>IFERROR(VLOOKUP(May[[#This Row],[Drug Name3]],'Data Options'!$R$1:$S$100,2,FALSE), " ")</f>
        <v xml:space="preserve"> </v>
      </c>
      <c r="AG188" s="55"/>
      <c r="AH188" s="32"/>
      <c r="AI188" s="32"/>
      <c r="AJ188" s="55"/>
      <c r="AK188" s="32"/>
      <c r="AL188" s="32"/>
      <c r="AM188" s="32"/>
      <c r="AN188" s="32"/>
      <c r="AO188" s="32"/>
      <c r="AP188" s="31"/>
      <c r="AQ188" s="31"/>
      <c r="AR188" s="54"/>
      <c r="AS188" s="21" t="str">
        <f>IFERROR(VLOOKUP(May[[#This Row],[Drug Name4]],'Data Options'!$R$1:$S$100,2,FALSE), " ")</f>
        <v xml:space="preserve"> </v>
      </c>
      <c r="AT188" s="55"/>
      <c r="AU188" s="32"/>
      <c r="AV188" s="32"/>
      <c r="AW188" s="55"/>
      <c r="AX188" s="32"/>
      <c r="AY188" s="54"/>
      <c r="AZ188" s="21" t="str">
        <f>IFERROR(VLOOKUP(May[[#This Row],[Drug Name5]],'Data Options'!$R$1:$S$100,2,FALSE), " ")</f>
        <v xml:space="preserve"> </v>
      </c>
      <c r="BA188" s="55"/>
      <c r="BB188" s="32"/>
      <c r="BC188" s="32"/>
      <c r="BD188" s="55"/>
      <c r="BE188" s="32"/>
      <c r="BF188" s="54"/>
      <c r="BG188" s="21" t="str">
        <f>IFERROR(VLOOKUP(May[[#This Row],[Drug Name6]],'Data Options'!$R$1:$S$100,2,FALSE), " ")</f>
        <v xml:space="preserve"> </v>
      </c>
      <c r="BH188" s="55"/>
      <c r="BI188" s="32"/>
      <c r="BJ188" s="32"/>
      <c r="BK188" s="55"/>
      <c r="BL188" s="32"/>
      <c r="BM188" s="32"/>
      <c r="BN188" s="32"/>
      <c r="BO188" s="32"/>
      <c r="BP188" s="32"/>
      <c r="BQ188" s="31"/>
      <c r="BR188" s="31"/>
      <c r="BS188" s="54"/>
      <c r="BT188" s="21" t="str">
        <f>IFERROR(VLOOKUP(May[[#This Row],[Drug Name7]],'Data Options'!$R$1:$S$100,2,FALSE), " ")</f>
        <v xml:space="preserve"> </v>
      </c>
      <c r="BU188" s="55"/>
      <c r="BV188" s="32"/>
      <c r="BW188" s="32"/>
      <c r="BX188" s="55"/>
      <c r="BY188" s="32"/>
      <c r="BZ188" s="54"/>
      <c r="CA188" s="21" t="str">
        <f>IFERROR(VLOOKUP(May[[#This Row],[Drug Name8]],'Data Options'!$R$1:$S$100,2,FALSE), " ")</f>
        <v xml:space="preserve"> </v>
      </c>
      <c r="CB188" s="55"/>
      <c r="CC188" s="32"/>
      <c r="CD188" s="32"/>
      <c r="CE188" s="55"/>
      <c r="CF188" s="32"/>
      <c r="CG188" s="54"/>
      <c r="CH188" s="21" t="str">
        <f>IFERROR(VLOOKUP(May[[#This Row],[Drug Name9]],'Data Options'!$R$1:$S$100,2,FALSE), " ")</f>
        <v xml:space="preserve"> </v>
      </c>
      <c r="CI188" s="55"/>
      <c r="CJ188" s="32"/>
      <c r="CK188" s="32"/>
      <c r="CL188" s="55"/>
      <c r="CM188" s="32"/>
    </row>
    <row r="189" spans="1:91">
      <c r="A189" s="5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/>
      <c r="P189" s="31"/>
      <c r="Q189" s="54"/>
      <c r="R189" s="21" t="str">
        <f>IFERROR(VLOOKUP(May[[#This Row],[Drug Name]],'Data Options'!$R$1:$S$100,2,FALSE), " ")</f>
        <v xml:space="preserve"> </v>
      </c>
      <c r="S189" s="55"/>
      <c r="T189" s="32"/>
      <c r="U189" s="32"/>
      <c r="V189" s="55"/>
      <c r="W189" s="32"/>
      <c r="X189" s="54"/>
      <c r="Y189" s="21" t="str">
        <f>IFERROR(VLOOKUP(May[[#This Row],[Drug Name2]],'Data Options'!$R$1:$S$100,2,FALSE), " ")</f>
        <v xml:space="preserve"> </v>
      </c>
      <c r="Z189" s="55"/>
      <c r="AA189" s="32"/>
      <c r="AB189" s="32"/>
      <c r="AC189" s="55"/>
      <c r="AD189" s="32"/>
      <c r="AE189" s="54"/>
      <c r="AF189" s="21" t="str">
        <f>IFERROR(VLOOKUP(May[[#This Row],[Drug Name3]],'Data Options'!$R$1:$S$100,2,FALSE), " ")</f>
        <v xml:space="preserve"> </v>
      </c>
      <c r="AG189" s="55"/>
      <c r="AH189" s="32"/>
      <c r="AI189" s="32"/>
      <c r="AJ189" s="55"/>
      <c r="AK189" s="32"/>
      <c r="AL189" s="32"/>
      <c r="AM189" s="32"/>
      <c r="AN189" s="32"/>
      <c r="AO189" s="32"/>
      <c r="AP189" s="31"/>
      <c r="AQ189" s="31"/>
      <c r="AR189" s="54"/>
      <c r="AS189" s="21" t="str">
        <f>IFERROR(VLOOKUP(May[[#This Row],[Drug Name4]],'Data Options'!$R$1:$S$100,2,FALSE), " ")</f>
        <v xml:space="preserve"> </v>
      </c>
      <c r="AT189" s="55"/>
      <c r="AU189" s="32"/>
      <c r="AV189" s="32"/>
      <c r="AW189" s="55"/>
      <c r="AX189" s="32"/>
      <c r="AY189" s="54"/>
      <c r="AZ189" s="21" t="str">
        <f>IFERROR(VLOOKUP(May[[#This Row],[Drug Name5]],'Data Options'!$R$1:$S$100,2,FALSE), " ")</f>
        <v xml:space="preserve"> </v>
      </c>
      <c r="BA189" s="55"/>
      <c r="BB189" s="32"/>
      <c r="BC189" s="32"/>
      <c r="BD189" s="55"/>
      <c r="BE189" s="32"/>
      <c r="BF189" s="54"/>
      <c r="BG189" s="21" t="str">
        <f>IFERROR(VLOOKUP(May[[#This Row],[Drug Name6]],'Data Options'!$R$1:$S$100,2,FALSE), " ")</f>
        <v xml:space="preserve"> </v>
      </c>
      <c r="BH189" s="55"/>
      <c r="BI189" s="32"/>
      <c r="BJ189" s="32"/>
      <c r="BK189" s="55"/>
      <c r="BL189" s="32"/>
      <c r="BM189" s="32"/>
      <c r="BN189" s="32"/>
      <c r="BO189" s="32"/>
      <c r="BP189" s="32"/>
      <c r="BQ189" s="31"/>
      <c r="BR189" s="31"/>
      <c r="BS189" s="54"/>
      <c r="BT189" s="21" t="str">
        <f>IFERROR(VLOOKUP(May[[#This Row],[Drug Name7]],'Data Options'!$R$1:$S$100,2,FALSE), " ")</f>
        <v xml:space="preserve"> </v>
      </c>
      <c r="BU189" s="55"/>
      <c r="BV189" s="32"/>
      <c r="BW189" s="32"/>
      <c r="BX189" s="55"/>
      <c r="BY189" s="32"/>
      <c r="BZ189" s="54"/>
      <c r="CA189" s="21" t="str">
        <f>IFERROR(VLOOKUP(May[[#This Row],[Drug Name8]],'Data Options'!$R$1:$S$100,2,FALSE), " ")</f>
        <v xml:space="preserve"> </v>
      </c>
      <c r="CB189" s="55"/>
      <c r="CC189" s="32"/>
      <c r="CD189" s="32"/>
      <c r="CE189" s="55"/>
      <c r="CF189" s="32"/>
      <c r="CG189" s="54"/>
      <c r="CH189" s="21" t="str">
        <f>IFERROR(VLOOKUP(May[[#This Row],[Drug Name9]],'Data Options'!$R$1:$S$100,2,FALSE), " ")</f>
        <v xml:space="preserve"> </v>
      </c>
      <c r="CI189" s="55"/>
      <c r="CJ189" s="32"/>
      <c r="CK189" s="32"/>
      <c r="CL189" s="55"/>
      <c r="CM189" s="32"/>
    </row>
    <row r="190" spans="1:91">
      <c r="A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54"/>
      <c r="R190" s="21" t="str">
        <f>IFERROR(VLOOKUP(May[[#This Row],[Drug Name]],'Data Options'!$R$1:$S$100,2,FALSE), " ")</f>
        <v xml:space="preserve"> </v>
      </c>
      <c r="S190" s="55"/>
      <c r="T190" s="32"/>
      <c r="U190" s="32"/>
      <c r="V190" s="55"/>
      <c r="W190" s="32"/>
      <c r="X190" s="54"/>
      <c r="Y190" s="21" t="str">
        <f>IFERROR(VLOOKUP(May[[#This Row],[Drug Name2]],'Data Options'!$R$1:$S$100,2,FALSE), " ")</f>
        <v xml:space="preserve"> </v>
      </c>
      <c r="Z190" s="55"/>
      <c r="AA190" s="32"/>
      <c r="AB190" s="32"/>
      <c r="AC190" s="55"/>
      <c r="AD190" s="32"/>
      <c r="AE190" s="54"/>
      <c r="AF190" s="21" t="str">
        <f>IFERROR(VLOOKUP(May[[#This Row],[Drug Name3]],'Data Options'!$R$1:$S$100,2,FALSE), " ")</f>
        <v xml:space="preserve"> </v>
      </c>
      <c r="AG190" s="55"/>
      <c r="AH190" s="32"/>
      <c r="AI190" s="32"/>
      <c r="AJ190" s="55"/>
      <c r="AK190" s="32"/>
      <c r="AL190" s="32"/>
      <c r="AM190" s="32"/>
      <c r="AN190" s="32"/>
      <c r="AO190" s="32"/>
      <c r="AP190" s="31"/>
      <c r="AQ190" s="31"/>
      <c r="AR190" s="54"/>
      <c r="AS190" s="21" t="str">
        <f>IFERROR(VLOOKUP(May[[#This Row],[Drug Name4]],'Data Options'!$R$1:$S$100,2,FALSE), " ")</f>
        <v xml:space="preserve"> </v>
      </c>
      <c r="AT190" s="55"/>
      <c r="AU190" s="32"/>
      <c r="AV190" s="32"/>
      <c r="AW190" s="55"/>
      <c r="AX190" s="32"/>
      <c r="AY190" s="54"/>
      <c r="AZ190" s="21" t="str">
        <f>IFERROR(VLOOKUP(May[[#This Row],[Drug Name5]],'Data Options'!$R$1:$S$100,2,FALSE), " ")</f>
        <v xml:space="preserve"> </v>
      </c>
      <c r="BA190" s="55"/>
      <c r="BB190" s="32"/>
      <c r="BC190" s="32"/>
      <c r="BD190" s="55"/>
      <c r="BE190" s="32"/>
      <c r="BF190" s="54"/>
      <c r="BG190" s="21" t="str">
        <f>IFERROR(VLOOKUP(May[[#This Row],[Drug Name6]],'Data Options'!$R$1:$S$100,2,FALSE), " ")</f>
        <v xml:space="preserve"> </v>
      </c>
      <c r="BH190" s="55"/>
      <c r="BI190" s="32"/>
      <c r="BJ190" s="32"/>
      <c r="BK190" s="55"/>
      <c r="BL190" s="32"/>
      <c r="BM190" s="32"/>
      <c r="BN190" s="32"/>
      <c r="BO190" s="32"/>
      <c r="BP190" s="32"/>
      <c r="BQ190" s="31"/>
      <c r="BR190" s="31"/>
      <c r="BS190" s="54"/>
      <c r="BT190" s="21" t="str">
        <f>IFERROR(VLOOKUP(May[[#This Row],[Drug Name7]],'Data Options'!$R$1:$S$100,2,FALSE), " ")</f>
        <v xml:space="preserve"> </v>
      </c>
      <c r="BU190" s="55"/>
      <c r="BV190" s="32"/>
      <c r="BW190" s="32"/>
      <c r="BX190" s="55"/>
      <c r="BY190" s="32"/>
      <c r="BZ190" s="54"/>
      <c r="CA190" s="21" t="str">
        <f>IFERROR(VLOOKUP(May[[#This Row],[Drug Name8]],'Data Options'!$R$1:$S$100,2,FALSE), " ")</f>
        <v xml:space="preserve"> </v>
      </c>
      <c r="CB190" s="55"/>
      <c r="CC190" s="32"/>
      <c r="CD190" s="32"/>
      <c r="CE190" s="55"/>
      <c r="CF190" s="32"/>
      <c r="CG190" s="54"/>
      <c r="CH190" s="21" t="str">
        <f>IFERROR(VLOOKUP(May[[#This Row],[Drug Name9]],'Data Options'!$R$1:$S$100,2,FALSE), " ")</f>
        <v xml:space="preserve"> </v>
      </c>
      <c r="CI190" s="55"/>
      <c r="CJ190" s="32"/>
      <c r="CK190" s="32"/>
      <c r="CL190" s="55"/>
      <c r="CM190" s="32"/>
    </row>
    <row r="191" spans="1:91">
      <c r="A191" s="5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1"/>
      <c r="P191" s="31"/>
      <c r="Q191" s="54"/>
      <c r="R191" s="21" t="str">
        <f>IFERROR(VLOOKUP(May[[#This Row],[Drug Name]],'Data Options'!$R$1:$S$100,2,FALSE), " ")</f>
        <v xml:space="preserve"> </v>
      </c>
      <c r="S191" s="55"/>
      <c r="T191" s="32"/>
      <c r="U191" s="32"/>
      <c r="V191" s="55"/>
      <c r="W191" s="32"/>
      <c r="X191" s="54"/>
      <c r="Y191" s="21" t="str">
        <f>IFERROR(VLOOKUP(May[[#This Row],[Drug Name2]],'Data Options'!$R$1:$S$100,2,FALSE), " ")</f>
        <v xml:space="preserve"> </v>
      </c>
      <c r="Z191" s="55"/>
      <c r="AA191" s="32"/>
      <c r="AB191" s="32"/>
      <c r="AC191" s="55"/>
      <c r="AD191" s="32"/>
      <c r="AE191" s="54"/>
      <c r="AF191" s="21" t="str">
        <f>IFERROR(VLOOKUP(May[[#This Row],[Drug Name3]],'Data Options'!$R$1:$S$100,2,FALSE), " ")</f>
        <v xml:space="preserve"> </v>
      </c>
      <c r="AG191" s="55"/>
      <c r="AH191" s="32"/>
      <c r="AI191" s="32"/>
      <c r="AJ191" s="55"/>
      <c r="AK191" s="32"/>
      <c r="AL191" s="32"/>
      <c r="AM191" s="32"/>
      <c r="AN191" s="32"/>
      <c r="AO191" s="32"/>
      <c r="AP191" s="31"/>
      <c r="AQ191" s="31"/>
      <c r="AR191" s="54"/>
      <c r="AS191" s="21" t="str">
        <f>IFERROR(VLOOKUP(May[[#This Row],[Drug Name4]],'Data Options'!$R$1:$S$100,2,FALSE), " ")</f>
        <v xml:space="preserve"> </v>
      </c>
      <c r="AT191" s="55"/>
      <c r="AU191" s="32"/>
      <c r="AV191" s="32"/>
      <c r="AW191" s="55"/>
      <c r="AX191" s="32"/>
      <c r="AY191" s="54"/>
      <c r="AZ191" s="21" t="str">
        <f>IFERROR(VLOOKUP(May[[#This Row],[Drug Name5]],'Data Options'!$R$1:$S$100,2,FALSE), " ")</f>
        <v xml:space="preserve"> </v>
      </c>
      <c r="BA191" s="55"/>
      <c r="BB191" s="32"/>
      <c r="BC191" s="32"/>
      <c r="BD191" s="55"/>
      <c r="BE191" s="32"/>
      <c r="BF191" s="54"/>
      <c r="BG191" s="21" t="str">
        <f>IFERROR(VLOOKUP(May[[#This Row],[Drug Name6]],'Data Options'!$R$1:$S$100,2,FALSE), " ")</f>
        <v xml:space="preserve"> </v>
      </c>
      <c r="BH191" s="55"/>
      <c r="BI191" s="32"/>
      <c r="BJ191" s="32"/>
      <c r="BK191" s="55"/>
      <c r="BL191" s="32"/>
      <c r="BM191" s="32"/>
      <c r="BN191" s="32"/>
      <c r="BO191" s="32"/>
      <c r="BP191" s="32"/>
      <c r="BQ191" s="31"/>
      <c r="BR191" s="31"/>
      <c r="BS191" s="54"/>
      <c r="BT191" s="21" t="str">
        <f>IFERROR(VLOOKUP(May[[#This Row],[Drug Name7]],'Data Options'!$R$1:$S$100,2,FALSE), " ")</f>
        <v xml:space="preserve"> </v>
      </c>
      <c r="BU191" s="55"/>
      <c r="BV191" s="32"/>
      <c r="BW191" s="32"/>
      <c r="BX191" s="55"/>
      <c r="BY191" s="32"/>
      <c r="BZ191" s="54"/>
      <c r="CA191" s="21" t="str">
        <f>IFERROR(VLOOKUP(May[[#This Row],[Drug Name8]],'Data Options'!$R$1:$S$100,2,FALSE), " ")</f>
        <v xml:space="preserve"> </v>
      </c>
      <c r="CB191" s="55"/>
      <c r="CC191" s="32"/>
      <c r="CD191" s="32"/>
      <c r="CE191" s="55"/>
      <c r="CF191" s="32"/>
      <c r="CG191" s="54"/>
      <c r="CH191" s="21" t="str">
        <f>IFERROR(VLOOKUP(May[[#This Row],[Drug Name9]],'Data Options'!$R$1:$S$100,2,FALSE), " ")</f>
        <v xml:space="preserve"> </v>
      </c>
      <c r="CI191" s="55"/>
      <c r="CJ191" s="32"/>
      <c r="CK191" s="32"/>
      <c r="CL191" s="55"/>
      <c r="CM191" s="32"/>
    </row>
    <row r="192" spans="1:91">
      <c r="A192" s="5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1"/>
      <c r="P192" s="31"/>
      <c r="Q192" s="54"/>
      <c r="R192" s="21" t="str">
        <f>IFERROR(VLOOKUP(May[[#This Row],[Drug Name]],'Data Options'!$R$1:$S$100,2,FALSE), " ")</f>
        <v xml:space="preserve"> </v>
      </c>
      <c r="S192" s="55"/>
      <c r="T192" s="32"/>
      <c r="U192" s="32"/>
      <c r="V192" s="55"/>
      <c r="W192" s="32"/>
      <c r="X192" s="54"/>
      <c r="Y192" s="21" t="str">
        <f>IFERROR(VLOOKUP(May[[#This Row],[Drug Name2]],'Data Options'!$R$1:$S$100,2,FALSE), " ")</f>
        <v xml:space="preserve"> </v>
      </c>
      <c r="Z192" s="55"/>
      <c r="AA192" s="32"/>
      <c r="AB192" s="32"/>
      <c r="AC192" s="55"/>
      <c r="AD192" s="32"/>
      <c r="AE192" s="54"/>
      <c r="AF192" s="21" t="str">
        <f>IFERROR(VLOOKUP(May[[#This Row],[Drug Name3]],'Data Options'!$R$1:$S$100,2,FALSE), " ")</f>
        <v xml:space="preserve"> </v>
      </c>
      <c r="AG192" s="55"/>
      <c r="AH192" s="32"/>
      <c r="AI192" s="32"/>
      <c r="AJ192" s="55"/>
      <c r="AK192" s="32"/>
      <c r="AL192" s="32"/>
      <c r="AM192" s="32"/>
      <c r="AN192" s="32"/>
      <c r="AO192" s="32"/>
      <c r="AP192" s="31"/>
      <c r="AQ192" s="31"/>
      <c r="AR192" s="54"/>
      <c r="AS192" s="21" t="str">
        <f>IFERROR(VLOOKUP(May[[#This Row],[Drug Name4]],'Data Options'!$R$1:$S$100,2,FALSE), " ")</f>
        <v xml:space="preserve"> </v>
      </c>
      <c r="AT192" s="55"/>
      <c r="AU192" s="32"/>
      <c r="AV192" s="32"/>
      <c r="AW192" s="55"/>
      <c r="AX192" s="32"/>
      <c r="AY192" s="54"/>
      <c r="AZ192" s="21" t="str">
        <f>IFERROR(VLOOKUP(May[[#This Row],[Drug Name5]],'Data Options'!$R$1:$S$100,2,FALSE), " ")</f>
        <v xml:space="preserve"> </v>
      </c>
      <c r="BA192" s="55"/>
      <c r="BB192" s="32"/>
      <c r="BC192" s="32"/>
      <c r="BD192" s="55"/>
      <c r="BE192" s="32"/>
      <c r="BF192" s="54"/>
      <c r="BG192" s="21" t="str">
        <f>IFERROR(VLOOKUP(May[[#This Row],[Drug Name6]],'Data Options'!$R$1:$S$100,2,FALSE), " ")</f>
        <v xml:space="preserve"> </v>
      </c>
      <c r="BH192" s="55"/>
      <c r="BI192" s="32"/>
      <c r="BJ192" s="32"/>
      <c r="BK192" s="55"/>
      <c r="BL192" s="32"/>
      <c r="BM192" s="32"/>
      <c r="BN192" s="32"/>
      <c r="BO192" s="32"/>
      <c r="BP192" s="32"/>
      <c r="BQ192" s="31"/>
      <c r="BR192" s="31"/>
      <c r="BS192" s="54"/>
      <c r="BT192" s="21" t="str">
        <f>IFERROR(VLOOKUP(May[[#This Row],[Drug Name7]],'Data Options'!$R$1:$S$100,2,FALSE), " ")</f>
        <v xml:space="preserve"> </v>
      </c>
      <c r="BU192" s="55"/>
      <c r="BV192" s="32"/>
      <c r="BW192" s="32"/>
      <c r="BX192" s="55"/>
      <c r="BY192" s="32"/>
      <c r="BZ192" s="54"/>
      <c r="CA192" s="21" t="str">
        <f>IFERROR(VLOOKUP(May[[#This Row],[Drug Name8]],'Data Options'!$R$1:$S$100,2,FALSE), " ")</f>
        <v xml:space="preserve"> </v>
      </c>
      <c r="CB192" s="55"/>
      <c r="CC192" s="32"/>
      <c r="CD192" s="32"/>
      <c r="CE192" s="55"/>
      <c r="CF192" s="32"/>
      <c r="CG192" s="54"/>
      <c r="CH192" s="21" t="str">
        <f>IFERROR(VLOOKUP(May[[#This Row],[Drug Name9]],'Data Options'!$R$1:$S$100,2,FALSE), " ")</f>
        <v xml:space="preserve"> </v>
      </c>
      <c r="CI192" s="55"/>
      <c r="CJ192" s="32"/>
      <c r="CK192" s="32"/>
      <c r="CL192" s="55"/>
      <c r="CM192" s="32"/>
    </row>
    <row r="193" spans="1:91">
      <c r="A193" s="5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1"/>
      <c r="P193" s="31"/>
      <c r="Q193" s="54"/>
      <c r="R193" s="21" t="str">
        <f>IFERROR(VLOOKUP(May[[#This Row],[Drug Name]],'Data Options'!$R$1:$S$100,2,FALSE), " ")</f>
        <v xml:space="preserve"> </v>
      </c>
      <c r="S193" s="55"/>
      <c r="T193" s="32"/>
      <c r="U193" s="32"/>
      <c r="V193" s="55"/>
      <c r="W193" s="32"/>
      <c r="X193" s="54"/>
      <c r="Y193" s="21" t="str">
        <f>IFERROR(VLOOKUP(May[[#This Row],[Drug Name2]],'Data Options'!$R$1:$S$100,2,FALSE), " ")</f>
        <v xml:space="preserve"> </v>
      </c>
      <c r="Z193" s="55"/>
      <c r="AA193" s="32"/>
      <c r="AB193" s="32"/>
      <c r="AC193" s="55"/>
      <c r="AD193" s="32"/>
      <c r="AE193" s="54"/>
      <c r="AF193" s="21" t="str">
        <f>IFERROR(VLOOKUP(May[[#This Row],[Drug Name3]],'Data Options'!$R$1:$S$100,2,FALSE), " ")</f>
        <v xml:space="preserve"> </v>
      </c>
      <c r="AG193" s="55"/>
      <c r="AH193" s="32"/>
      <c r="AI193" s="32"/>
      <c r="AJ193" s="55"/>
      <c r="AK193" s="32"/>
      <c r="AL193" s="32"/>
      <c r="AM193" s="32"/>
      <c r="AN193" s="32"/>
      <c r="AO193" s="32"/>
      <c r="AP193" s="31"/>
      <c r="AQ193" s="31"/>
      <c r="AR193" s="54"/>
      <c r="AS193" s="21" t="str">
        <f>IFERROR(VLOOKUP(May[[#This Row],[Drug Name4]],'Data Options'!$R$1:$S$100,2,FALSE), " ")</f>
        <v xml:space="preserve"> </v>
      </c>
      <c r="AT193" s="55"/>
      <c r="AU193" s="32"/>
      <c r="AV193" s="32"/>
      <c r="AW193" s="55"/>
      <c r="AX193" s="32"/>
      <c r="AY193" s="54"/>
      <c r="AZ193" s="21" t="str">
        <f>IFERROR(VLOOKUP(May[[#This Row],[Drug Name5]],'Data Options'!$R$1:$S$100,2,FALSE), " ")</f>
        <v xml:space="preserve"> </v>
      </c>
      <c r="BA193" s="55"/>
      <c r="BB193" s="32"/>
      <c r="BC193" s="32"/>
      <c r="BD193" s="55"/>
      <c r="BE193" s="32"/>
      <c r="BF193" s="54"/>
      <c r="BG193" s="21" t="str">
        <f>IFERROR(VLOOKUP(May[[#This Row],[Drug Name6]],'Data Options'!$R$1:$S$100,2,FALSE), " ")</f>
        <v xml:space="preserve"> </v>
      </c>
      <c r="BH193" s="55"/>
      <c r="BI193" s="32"/>
      <c r="BJ193" s="32"/>
      <c r="BK193" s="55"/>
      <c r="BL193" s="32"/>
      <c r="BM193" s="32"/>
      <c r="BN193" s="32"/>
      <c r="BO193" s="32"/>
      <c r="BP193" s="32"/>
      <c r="BQ193" s="31"/>
      <c r="BR193" s="31"/>
      <c r="BS193" s="54"/>
      <c r="BT193" s="21" t="str">
        <f>IFERROR(VLOOKUP(May[[#This Row],[Drug Name7]],'Data Options'!$R$1:$S$100,2,FALSE), " ")</f>
        <v xml:space="preserve"> </v>
      </c>
      <c r="BU193" s="55"/>
      <c r="BV193" s="32"/>
      <c r="BW193" s="32"/>
      <c r="BX193" s="55"/>
      <c r="BY193" s="32"/>
      <c r="BZ193" s="54"/>
      <c r="CA193" s="21" t="str">
        <f>IFERROR(VLOOKUP(May[[#This Row],[Drug Name8]],'Data Options'!$R$1:$S$100,2,FALSE), " ")</f>
        <v xml:space="preserve"> </v>
      </c>
      <c r="CB193" s="55"/>
      <c r="CC193" s="32"/>
      <c r="CD193" s="32"/>
      <c r="CE193" s="55"/>
      <c r="CF193" s="32"/>
      <c r="CG193" s="54"/>
      <c r="CH193" s="21" t="str">
        <f>IFERROR(VLOOKUP(May[[#This Row],[Drug Name9]],'Data Options'!$R$1:$S$100,2,FALSE), " ")</f>
        <v xml:space="preserve"> </v>
      </c>
      <c r="CI193" s="55"/>
      <c r="CJ193" s="32"/>
      <c r="CK193" s="32"/>
      <c r="CL193" s="55"/>
      <c r="CM193" s="32"/>
    </row>
    <row r="194" spans="1:91">
      <c r="A194" s="5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1"/>
      <c r="P194" s="31"/>
      <c r="Q194" s="54"/>
      <c r="R194" s="21" t="str">
        <f>IFERROR(VLOOKUP(May[[#This Row],[Drug Name]],'Data Options'!$R$1:$S$100,2,FALSE), " ")</f>
        <v xml:space="preserve"> </v>
      </c>
      <c r="S194" s="55"/>
      <c r="T194" s="32"/>
      <c r="U194" s="32"/>
      <c r="V194" s="55"/>
      <c r="W194" s="32"/>
      <c r="X194" s="54"/>
      <c r="Y194" s="21" t="str">
        <f>IFERROR(VLOOKUP(May[[#This Row],[Drug Name2]],'Data Options'!$R$1:$S$100,2,FALSE), " ")</f>
        <v xml:space="preserve"> </v>
      </c>
      <c r="Z194" s="55"/>
      <c r="AA194" s="32"/>
      <c r="AB194" s="32"/>
      <c r="AC194" s="55"/>
      <c r="AD194" s="32"/>
      <c r="AE194" s="54"/>
      <c r="AF194" s="21" t="str">
        <f>IFERROR(VLOOKUP(May[[#This Row],[Drug Name3]],'Data Options'!$R$1:$S$100,2,FALSE), " ")</f>
        <v xml:space="preserve"> </v>
      </c>
      <c r="AG194" s="55"/>
      <c r="AH194" s="32"/>
      <c r="AI194" s="32"/>
      <c r="AJ194" s="55"/>
      <c r="AK194" s="32"/>
      <c r="AL194" s="32"/>
      <c r="AM194" s="32"/>
      <c r="AN194" s="32"/>
      <c r="AO194" s="32"/>
      <c r="AP194" s="31"/>
      <c r="AQ194" s="31"/>
      <c r="AR194" s="54"/>
      <c r="AS194" s="21" t="str">
        <f>IFERROR(VLOOKUP(May[[#This Row],[Drug Name4]],'Data Options'!$R$1:$S$100,2,FALSE), " ")</f>
        <v xml:space="preserve"> </v>
      </c>
      <c r="AT194" s="55"/>
      <c r="AU194" s="32"/>
      <c r="AV194" s="32"/>
      <c r="AW194" s="55"/>
      <c r="AX194" s="32"/>
      <c r="AY194" s="54"/>
      <c r="AZ194" s="21" t="str">
        <f>IFERROR(VLOOKUP(May[[#This Row],[Drug Name5]],'Data Options'!$R$1:$S$100,2,FALSE), " ")</f>
        <v xml:space="preserve"> </v>
      </c>
      <c r="BA194" s="55"/>
      <c r="BB194" s="32"/>
      <c r="BC194" s="32"/>
      <c r="BD194" s="55"/>
      <c r="BE194" s="32"/>
      <c r="BF194" s="54"/>
      <c r="BG194" s="21" t="str">
        <f>IFERROR(VLOOKUP(May[[#This Row],[Drug Name6]],'Data Options'!$R$1:$S$100,2,FALSE), " ")</f>
        <v xml:space="preserve"> </v>
      </c>
      <c r="BH194" s="55"/>
      <c r="BI194" s="32"/>
      <c r="BJ194" s="32"/>
      <c r="BK194" s="55"/>
      <c r="BL194" s="32"/>
      <c r="BM194" s="32"/>
      <c r="BN194" s="32"/>
      <c r="BO194" s="32"/>
      <c r="BP194" s="32"/>
      <c r="BQ194" s="31"/>
      <c r="BR194" s="31"/>
      <c r="BS194" s="54"/>
      <c r="BT194" s="21" t="str">
        <f>IFERROR(VLOOKUP(May[[#This Row],[Drug Name7]],'Data Options'!$R$1:$S$100,2,FALSE), " ")</f>
        <v xml:space="preserve"> </v>
      </c>
      <c r="BU194" s="55"/>
      <c r="BV194" s="32"/>
      <c r="BW194" s="32"/>
      <c r="BX194" s="55"/>
      <c r="BY194" s="32"/>
      <c r="BZ194" s="54"/>
      <c r="CA194" s="21" t="str">
        <f>IFERROR(VLOOKUP(May[[#This Row],[Drug Name8]],'Data Options'!$R$1:$S$100,2,FALSE), " ")</f>
        <v xml:space="preserve"> </v>
      </c>
      <c r="CB194" s="55"/>
      <c r="CC194" s="32"/>
      <c r="CD194" s="32"/>
      <c r="CE194" s="55"/>
      <c r="CF194" s="32"/>
      <c r="CG194" s="54"/>
      <c r="CH194" s="21" t="str">
        <f>IFERROR(VLOOKUP(May[[#This Row],[Drug Name9]],'Data Options'!$R$1:$S$100,2,FALSE), " ")</f>
        <v xml:space="preserve"> </v>
      </c>
      <c r="CI194" s="55"/>
      <c r="CJ194" s="32"/>
      <c r="CK194" s="32"/>
      <c r="CL194" s="55"/>
      <c r="CM194" s="32"/>
    </row>
    <row r="195" spans="1:91">
      <c r="A195" s="5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1"/>
      <c r="P195" s="31"/>
      <c r="Q195" s="54"/>
      <c r="R195" s="21" t="str">
        <f>IFERROR(VLOOKUP(May[[#This Row],[Drug Name]],'Data Options'!$R$1:$S$100,2,FALSE), " ")</f>
        <v xml:space="preserve"> </v>
      </c>
      <c r="S195" s="55"/>
      <c r="T195" s="32"/>
      <c r="U195" s="32"/>
      <c r="V195" s="55"/>
      <c r="W195" s="32"/>
      <c r="X195" s="54"/>
      <c r="Y195" s="21" t="str">
        <f>IFERROR(VLOOKUP(May[[#This Row],[Drug Name2]],'Data Options'!$R$1:$S$100,2,FALSE), " ")</f>
        <v xml:space="preserve"> </v>
      </c>
      <c r="Z195" s="55"/>
      <c r="AA195" s="32"/>
      <c r="AB195" s="32"/>
      <c r="AC195" s="55"/>
      <c r="AD195" s="32"/>
      <c r="AE195" s="54"/>
      <c r="AF195" s="21" t="str">
        <f>IFERROR(VLOOKUP(May[[#This Row],[Drug Name3]],'Data Options'!$R$1:$S$100,2,FALSE), " ")</f>
        <v xml:space="preserve"> </v>
      </c>
      <c r="AG195" s="55"/>
      <c r="AH195" s="32"/>
      <c r="AI195" s="32"/>
      <c r="AJ195" s="55"/>
      <c r="AK195" s="32"/>
      <c r="AL195" s="32"/>
      <c r="AM195" s="32"/>
      <c r="AN195" s="32"/>
      <c r="AO195" s="32"/>
      <c r="AP195" s="31"/>
      <c r="AQ195" s="31"/>
      <c r="AR195" s="54"/>
      <c r="AS195" s="21" t="str">
        <f>IFERROR(VLOOKUP(May[[#This Row],[Drug Name4]],'Data Options'!$R$1:$S$100,2,FALSE), " ")</f>
        <v xml:space="preserve"> </v>
      </c>
      <c r="AT195" s="55"/>
      <c r="AU195" s="32"/>
      <c r="AV195" s="32"/>
      <c r="AW195" s="55"/>
      <c r="AX195" s="32"/>
      <c r="AY195" s="54"/>
      <c r="AZ195" s="21" t="str">
        <f>IFERROR(VLOOKUP(May[[#This Row],[Drug Name5]],'Data Options'!$R$1:$S$100,2,FALSE), " ")</f>
        <v xml:space="preserve"> </v>
      </c>
      <c r="BA195" s="55"/>
      <c r="BB195" s="32"/>
      <c r="BC195" s="32"/>
      <c r="BD195" s="55"/>
      <c r="BE195" s="32"/>
      <c r="BF195" s="54"/>
      <c r="BG195" s="21" t="str">
        <f>IFERROR(VLOOKUP(May[[#This Row],[Drug Name6]],'Data Options'!$R$1:$S$100,2,FALSE), " ")</f>
        <v xml:space="preserve"> </v>
      </c>
      <c r="BH195" s="55"/>
      <c r="BI195" s="32"/>
      <c r="BJ195" s="32"/>
      <c r="BK195" s="55"/>
      <c r="BL195" s="32"/>
      <c r="BM195" s="32"/>
      <c r="BN195" s="32"/>
      <c r="BO195" s="32"/>
      <c r="BP195" s="32"/>
      <c r="BQ195" s="31"/>
      <c r="BR195" s="31"/>
      <c r="BS195" s="54"/>
      <c r="BT195" s="21" t="str">
        <f>IFERROR(VLOOKUP(May[[#This Row],[Drug Name7]],'Data Options'!$R$1:$S$100,2,FALSE), " ")</f>
        <v xml:space="preserve"> </v>
      </c>
      <c r="BU195" s="55"/>
      <c r="BV195" s="32"/>
      <c r="BW195" s="32"/>
      <c r="BX195" s="55"/>
      <c r="BY195" s="32"/>
      <c r="BZ195" s="54"/>
      <c r="CA195" s="21" t="str">
        <f>IFERROR(VLOOKUP(May[[#This Row],[Drug Name8]],'Data Options'!$R$1:$S$100,2,FALSE), " ")</f>
        <v xml:space="preserve"> </v>
      </c>
      <c r="CB195" s="55"/>
      <c r="CC195" s="32"/>
      <c r="CD195" s="32"/>
      <c r="CE195" s="55"/>
      <c r="CF195" s="32"/>
      <c r="CG195" s="54"/>
      <c r="CH195" s="21" t="str">
        <f>IFERROR(VLOOKUP(May[[#This Row],[Drug Name9]],'Data Options'!$R$1:$S$100,2,FALSE), " ")</f>
        <v xml:space="preserve"> </v>
      </c>
      <c r="CI195" s="55"/>
      <c r="CJ195" s="32"/>
      <c r="CK195" s="32"/>
      <c r="CL195" s="55"/>
      <c r="CM195" s="32"/>
    </row>
    <row r="196" spans="1:91">
      <c r="A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1"/>
      <c r="P196" s="31"/>
      <c r="Q196" s="54"/>
      <c r="R196" s="21" t="str">
        <f>IFERROR(VLOOKUP(May[[#This Row],[Drug Name]],'Data Options'!$R$1:$S$100,2,FALSE), " ")</f>
        <v xml:space="preserve"> </v>
      </c>
      <c r="S196" s="55"/>
      <c r="T196" s="32"/>
      <c r="U196" s="32"/>
      <c r="V196" s="55"/>
      <c r="W196" s="32"/>
      <c r="X196" s="54"/>
      <c r="Y196" s="21" t="str">
        <f>IFERROR(VLOOKUP(May[[#This Row],[Drug Name2]],'Data Options'!$R$1:$S$100,2,FALSE), " ")</f>
        <v xml:space="preserve"> </v>
      </c>
      <c r="Z196" s="55"/>
      <c r="AA196" s="32"/>
      <c r="AB196" s="32"/>
      <c r="AC196" s="55"/>
      <c r="AD196" s="32"/>
      <c r="AE196" s="54"/>
      <c r="AF196" s="21" t="str">
        <f>IFERROR(VLOOKUP(May[[#This Row],[Drug Name3]],'Data Options'!$R$1:$S$100,2,FALSE), " ")</f>
        <v xml:space="preserve"> </v>
      </c>
      <c r="AG196" s="55"/>
      <c r="AH196" s="32"/>
      <c r="AI196" s="32"/>
      <c r="AJ196" s="55"/>
      <c r="AK196" s="32"/>
      <c r="AL196" s="32"/>
      <c r="AM196" s="32"/>
      <c r="AN196" s="32"/>
      <c r="AO196" s="32"/>
      <c r="AP196" s="31"/>
      <c r="AQ196" s="31"/>
      <c r="AR196" s="54"/>
      <c r="AS196" s="21" t="str">
        <f>IFERROR(VLOOKUP(May[[#This Row],[Drug Name4]],'Data Options'!$R$1:$S$100,2,FALSE), " ")</f>
        <v xml:space="preserve"> </v>
      </c>
      <c r="AT196" s="55"/>
      <c r="AU196" s="32"/>
      <c r="AV196" s="32"/>
      <c r="AW196" s="55"/>
      <c r="AX196" s="32"/>
      <c r="AY196" s="54"/>
      <c r="AZ196" s="21" t="str">
        <f>IFERROR(VLOOKUP(May[[#This Row],[Drug Name5]],'Data Options'!$R$1:$S$100,2,FALSE), " ")</f>
        <v xml:space="preserve"> </v>
      </c>
      <c r="BA196" s="55"/>
      <c r="BB196" s="32"/>
      <c r="BC196" s="32"/>
      <c r="BD196" s="55"/>
      <c r="BE196" s="32"/>
      <c r="BF196" s="54"/>
      <c r="BG196" s="21" t="str">
        <f>IFERROR(VLOOKUP(May[[#This Row],[Drug Name6]],'Data Options'!$R$1:$S$100,2,FALSE), " ")</f>
        <v xml:space="preserve"> </v>
      </c>
      <c r="BH196" s="55"/>
      <c r="BI196" s="32"/>
      <c r="BJ196" s="32"/>
      <c r="BK196" s="55"/>
      <c r="BL196" s="32"/>
      <c r="BM196" s="32"/>
      <c r="BN196" s="32"/>
      <c r="BO196" s="32"/>
      <c r="BP196" s="32"/>
      <c r="BQ196" s="31"/>
      <c r="BR196" s="31"/>
      <c r="BS196" s="54"/>
      <c r="BT196" s="21" t="str">
        <f>IFERROR(VLOOKUP(May[[#This Row],[Drug Name7]],'Data Options'!$R$1:$S$100,2,FALSE), " ")</f>
        <v xml:space="preserve"> </v>
      </c>
      <c r="BU196" s="55"/>
      <c r="BV196" s="32"/>
      <c r="BW196" s="32"/>
      <c r="BX196" s="55"/>
      <c r="BY196" s="32"/>
      <c r="BZ196" s="54"/>
      <c r="CA196" s="21" t="str">
        <f>IFERROR(VLOOKUP(May[[#This Row],[Drug Name8]],'Data Options'!$R$1:$S$100,2,FALSE), " ")</f>
        <v xml:space="preserve"> </v>
      </c>
      <c r="CB196" s="55"/>
      <c r="CC196" s="32"/>
      <c r="CD196" s="32"/>
      <c r="CE196" s="55"/>
      <c r="CF196" s="32"/>
      <c r="CG196" s="54"/>
      <c r="CH196" s="21" t="str">
        <f>IFERROR(VLOOKUP(May[[#This Row],[Drug Name9]],'Data Options'!$R$1:$S$100,2,FALSE), " ")</f>
        <v xml:space="preserve"> </v>
      </c>
      <c r="CI196" s="55"/>
      <c r="CJ196" s="32"/>
      <c r="CK196" s="32"/>
      <c r="CL196" s="55"/>
      <c r="CM196" s="32"/>
    </row>
    <row r="197" spans="1:91">
      <c r="A197" s="5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1"/>
      <c r="P197" s="31"/>
      <c r="Q197" s="54"/>
      <c r="R197" s="21" t="str">
        <f>IFERROR(VLOOKUP(May[[#This Row],[Drug Name]],'Data Options'!$R$1:$S$100,2,FALSE), " ")</f>
        <v xml:space="preserve"> </v>
      </c>
      <c r="S197" s="55"/>
      <c r="T197" s="32"/>
      <c r="U197" s="32"/>
      <c r="V197" s="55"/>
      <c r="W197" s="32"/>
      <c r="X197" s="54"/>
      <c r="Y197" s="21" t="str">
        <f>IFERROR(VLOOKUP(May[[#This Row],[Drug Name2]],'Data Options'!$R$1:$S$100,2,FALSE), " ")</f>
        <v xml:space="preserve"> </v>
      </c>
      <c r="Z197" s="55"/>
      <c r="AA197" s="32"/>
      <c r="AB197" s="32"/>
      <c r="AC197" s="55"/>
      <c r="AD197" s="32"/>
      <c r="AE197" s="54"/>
      <c r="AF197" s="21" t="str">
        <f>IFERROR(VLOOKUP(May[[#This Row],[Drug Name3]],'Data Options'!$R$1:$S$100,2,FALSE), " ")</f>
        <v xml:space="preserve"> </v>
      </c>
      <c r="AG197" s="55"/>
      <c r="AH197" s="32"/>
      <c r="AI197" s="32"/>
      <c r="AJ197" s="55"/>
      <c r="AK197" s="32"/>
      <c r="AL197" s="32"/>
      <c r="AM197" s="32"/>
      <c r="AN197" s="32"/>
      <c r="AO197" s="32"/>
      <c r="AP197" s="31"/>
      <c r="AQ197" s="31"/>
      <c r="AR197" s="54"/>
      <c r="AS197" s="21" t="str">
        <f>IFERROR(VLOOKUP(May[[#This Row],[Drug Name4]],'Data Options'!$R$1:$S$100,2,FALSE), " ")</f>
        <v xml:space="preserve"> </v>
      </c>
      <c r="AT197" s="55"/>
      <c r="AU197" s="32"/>
      <c r="AV197" s="32"/>
      <c r="AW197" s="55"/>
      <c r="AX197" s="32"/>
      <c r="AY197" s="54"/>
      <c r="AZ197" s="21" t="str">
        <f>IFERROR(VLOOKUP(May[[#This Row],[Drug Name5]],'Data Options'!$R$1:$S$100,2,FALSE), " ")</f>
        <v xml:space="preserve"> </v>
      </c>
      <c r="BA197" s="55"/>
      <c r="BB197" s="32"/>
      <c r="BC197" s="32"/>
      <c r="BD197" s="55"/>
      <c r="BE197" s="32"/>
      <c r="BF197" s="54"/>
      <c r="BG197" s="21" t="str">
        <f>IFERROR(VLOOKUP(May[[#This Row],[Drug Name6]],'Data Options'!$R$1:$S$100,2,FALSE), " ")</f>
        <v xml:space="preserve"> </v>
      </c>
      <c r="BH197" s="55"/>
      <c r="BI197" s="32"/>
      <c r="BJ197" s="32"/>
      <c r="BK197" s="55"/>
      <c r="BL197" s="32"/>
      <c r="BM197" s="32"/>
      <c r="BN197" s="32"/>
      <c r="BO197" s="32"/>
      <c r="BP197" s="32"/>
      <c r="BQ197" s="31"/>
      <c r="BR197" s="31"/>
      <c r="BS197" s="54"/>
      <c r="BT197" s="21" t="str">
        <f>IFERROR(VLOOKUP(May[[#This Row],[Drug Name7]],'Data Options'!$R$1:$S$100,2,FALSE), " ")</f>
        <v xml:space="preserve"> </v>
      </c>
      <c r="BU197" s="55"/>
      <c r="BV197" s="32"/>
      <c r="BW197" s="32"/>
      <c r="BX197" s="55"/>
      <c r="BY197" s="32"/>
      <c r="BZ197" s="54"/>
      <c r="CA197" s="21" t="str">
        <f>IFERROR(VLOOKUP(May[[#This Row],[Drug Name8]],'Data Options'!$R$1:$S$100,2,FALSE), " ")</f>
        <v xml:space="preserve"> </v>
      </c>
      <c r="CB197" s="55"/>
      <c r="CC197" s="32"/>
      <c r="CD197" s="32"/>
      <c r="CE197" s="55"/>
      <c r="CF197" s="32"/>
      <c r="CG197" s="54"/>
      <c r="CH197" s="21" t="str">
        <f>IFERROR(VLOOKUP(May[[#This Row],[Drug Name9]],'Data Options'!$R$1:$S$100,2,FALSE), " ")</f>
        <v xml:space="preserve"> </v>
      </c>
      <c r="CI197" s="55"/>
      <c r="CJ197" s="32"/>
      <c r="CK197" s="32"/>
      <c r="CL197" s="55"/>
      <c r="CM197" s="32"/>
    </row>
    <row r="198" spans="1:91">
      <c r="A198" s="5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1"/>
      <c r="P198" s="31"/>
      <c r="Q198" s="54"/>
      <c r="R198" s="21" t="str">
        <f>IFERROR(VLOOKUP(May[[#This Row],[Drug Name]],'Data Options'!$R$1:$S$100,2,FALSE), " ")</f>
        <v xml:space="preserve"> </v>
      </c>
      <c r="S198" s="55"/>
      <c r="T198" s="32"/>
      <c r="U198" s="32"/>
      <c r="V198" s="55"/>
      <c r="W198" s="32"/>
      <c r="X198" s="54"/>
      <c r="Y198" s="21" t="str">
        <f>IFERROR(VLOOKUP(May[[#This Row],[Drug Name2]],'Data Options'!$R$1:$S$100,2,FALSE), " ")</f>
        <v xml:space="preserve"> </v>
      </c>
      <c r="Z198" s="55"/>
      <c r="AA198" s="32"/>
      <c r="AB198" s="32"/>
      <c r="AC198" s="55"/>
      <c r="AD198" s="32"/>
      <c r="AE198" s="54"/>
      <c r="AF198" s="21" t="str">
        <f>IFERROR(VLOOKUP(May[[#This Row],[Drug Name3]],'Data Options'!$R$1:$S$100,2,FALSE), " ")</f>
        <v xml:space="preserve"> </v>
      </c>
      <c r="AG198" s="55"/>
      <c r="AH198" s="32"/>
      <c r="AI198" s="32"/>
      <c r="AJ198" s="55"/>
      <c r="AK198" s="32"/>
      <c r="AL198" s="32"/>
      <c r="AM198" s="32"/>
      <c r="AN198" s="32"/>
      <c r="AO198" s="32"/>
      <c r="AP198" s="31"/>
      <c r="AQ198" s="31"/>
      <c r="AR198" s="54"/>
      <c r="AS198" s="21" t="str">
        <f>IFERROR(VLOOKUP(May[[#This Row],[Drug Name4]],'Data Options'!$R$1:$S$100,2,FALSE), " ")</f>
        <v xml:space="preserve"> </v>
      </c>
      <c r="AT198" s="55"/>
      <c r="AU198" s="32"/>
      <c r="AV198" s="32"/>
      <c r="AW198" s="55"/>
      <c r="AX198" s="32"/>
      <c r="AY198" s="54"/>
      <c r="AZ198" s="21" t="str">
        <f>IFERROR(VLOOKUP(May[[#This Row],[Drug Name5]],'Data Options'!$R$1:$S$100,2,FALSE), " ")</f>
        <v xml:space="preserve"> </v>
      </c>
      <c r="BA198" s="55"/>
      <c r="BB198" s="32"/>
      <c r="BC198" s="32"/>
      <c r="BD198" s="55"/>
      <c r="BE198" s="32"/>
      <c r="BF198" s="54"/>
      <c r="BG198" s="21" t="str">
        <f>IFERROR(VLOOKUP(May[[#This Row],[Drug Name6]],'Data Options'!$R$1:$S$100,2,FALSE), " ")</f>
        <v xml:space="preserve"> </v>
      </c>
      <c r="BH198" s="55"/>
      <c r="BI198" s="32"/>
      <c r="BJ198" s="32"/>
      <c r="BK198" s="55"/>
      <c r="BL198" s="32"/>
      <c r="BM198" s="32"/>
      <c r="BN198" s="32"/>
      <c r="BO198" s="32"/>
      <c r="BP198" s="32"/>
      <c r="BQ198" s="31"/>
      <c r="BR198" s="31"/>
      <c r="BS198" s="54"/>
      <c r="BT198" s="21" t="str">
        <f>IFERROR(VLOOKUP(May[[#This Row],[Drug Name7]],'Data Options'!$R$1:$S$100,2,FALSE), " ")</f>
        <v xml:space="preserve"> </v>
      </c>
      <c r="BU198" s="55"/>
      <c r="BV198" s="32"/>
      <c r="BW198" s="32"/>
      <c r="BX198" s="55"/>
      <c r="BY198" s="32"/>
      <c r="BZ198" s="54"/>
      <c r="CA198" s="21" t="str">
        <f>IFERROR(VLOOKUP(May[[#This Row],[Drug Name8]],'Data Options'!$R$1:$S$100,2,FALSE), " ")</f>
        <v xml:space="preserve"> </v>
      </c>
      <c r="CB198" s="55"/>
      <c r="CC198" s="32"/>
      <c r="CD198" s="32"/>
      <c r="CE198" s="55"/>
      <c r="CF198" s="32"/>
      <c r="CG198" s="54"/>
      <c r="CH198" s="21" t="str">
        <f>IFERROR(VLOOKUP(May[[#This Row],[Drug Name9]],'Data Options'!$R$1:$S$100,2,FALSE), " ")</f>
        <v xml:space="preserve"> </v>
      </c>
      <c r="CI198" s="55"/>
      <c r="CJ198" s="32"/>
      <c r="CK198" s="32"/>
      <c r="CL198" s="55"/>
      <c r="CM198" s="32"/>
    </row>
    <row r="199" spans="1:91">
      <c r="A199" s="5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1"/>
      <c r="P199" s="31"/>
      <c r="Q199" s="54"/>
      <c r="R199" s="21" t="str">
        <f>IFERROR(VLOOKUP(May[[#This Row],[Drug Name]],'Data Options'!$R$1:$S$100,2,FALSE), " ")</f>
        <v xml:space="preserve"> </v>
      </c>
      <c r="S199" s="55"/>
      <c r="T199" s="32"/>
      <c r="U199" s="32"/>
      <c r="V199" s="55"/>
      <c r="W199" s="32"/>
      <c r="X199" s="54"/>
      <c r="Y199" s="21" t="str">
        <f>IFERROR(VLOOKUP(May[[#This Row],[Drug Name2]],'Data Options'!$R$1:$S$100,2,FALSE), " ")</f>
        <v xml:space="preserve"> </v>
      </c>
      <c r="Z199" s="55"/>
      <c r="AA199" s="32"/>
      <c r="AB199" s="32"/>
      <c r="AC199" s="55"/>
      <c r="AD199" s="32"/>
      <c r="AE199" s="54"/>
      <c r="AF199" s="21" t="str">
        <f>IFERROR(VLOOKUP(May[[#This Row],[Drug Name3]],'Data Options'!$R$1:$S$100,2,FALSE), " ")</f>
        <v xml:space="preserve"> </v>
      </c>
      <c r="AG199" s="55"/>
      <c r="AH199" s="32"/>
      <c r="AI199" s="32"/>
      <c r="AJ199" s="55"/>
      <c r="AK199" s="32"/>
      <c r="AL199" s="32"/>
      <c r="AM199" s="32"/>
      <c r="AN199" s="32"/>
      <c r="AO199" s="32"/>
      <c r="AP199" s="31"/>
      <c r="AQ199" s="31"/>
      <c r="AR199" s="54"/>
      <c r="AS199" s="21" t="str">
        <f>IFERROR(VLOOKUP(May[[#This Row],[Drug Name4]],'Data Options'!$R$1:$S$100,2,FALSE), " ")</f>
        <v xml:space="preserve"> </v>
      </c>
      <c r="AT199" s="55"/>
      <c r="AU199" s="32"/>
      <c r="AV199" s="32"/>
      <c r="AW199" s="55"/>
      <c r="AX199" s="32"/>
      <c r="AY199" s="54"/>
      <c r="AZ199" s="21" t="str">
        <f>IFERROR(VLOOKUP(May[[#This Row],[Drug Name5]],'Data Options'!$R$1:$S$100,2,FALSE), " ")</f>
        <v xml:space="preserve"> </v>
      </c>
      <c r="BA199" s="55"/>
      <c r="BB199" s="32"/>
      <c r="BC199" s="32"/>
      <c r="BD199" s="55"/>
      <c r="BE199" s="32"/>
      <c r="BF199" s="54"/>
      <c r="BG199" s="21" t="str">
        <f>IFERROR(VLOOKUP(May[[#This Row],[Drug Name6]],'Data Options'!$R$1:$S$100,2,FALSE), " ")</f>
        <v xml:space="preserve"> </v>
      </c>
      <c r="BH199" s="55"/>
      <c r="BI199" s="32"/>
      <c r="BJ199" s="32"/>
      <c r="BK199" s="55"/>
      <c r="BL199" s="32"/>
      <c r="BM199" s="32"/>
      <c r="BN199" s="32"/>
      <c r="BO199" s="32"/>
      <c r="BP199" s="32"/>
      <c r="BQ199" s="31"/>
      <c r="BR199" s="31"/>
      <c r="BS199" s="54"/>
      <c r="BT199" s="21" t="str">
        <f>IFERROR(VLOOKUP(May[[#This Row],[Drug Name7]],'Data Options'!$R$1:$S$100,2,FALSE), " ")</f>
        <v xml:space="preserve"> </v>
      </c>
      <c r="BU199" s="55"/>
      <c r="BV199" s="32"/>
      <c r="BW199" s="32"/>
      <c r="BX199" s="55"/>
      <c r="BY199" s="32"/>
      <c r="BZ199" s="54"/>
      <c r="CA199" s="21" t="str">
        <f>IFERROR(VLOOKUP(May[[#This Row],[Drug Name8]],'Data Options'!$R$1:$S$100,2,FALSE), " ")</f>
        <v xml:space="preserve"> </v>
      </c>
      <c r="CB199" s="55"/>
      <c r="CC199" s="32"/>
      <c r="CD199" s="32"/>
      <c r="CE199" s="55"/>
      <c r="CF199" s="32"/>
      <c r="CG199" s="54"/>
      <c r="CH199" s="21" t="str">
        <f>IFERROR(VLOOKUP(May[[#This Row],[Drug Name9]],'Data Options'!$R$1:$S$100,2,FALSE), " ")</f>
        <v xml:space="preserve"> </v>
      </c>
      <c r="CI199" s="55"/>
      <c r="CJ199" s="32"/>
      <c r="CK199" s="32"/>
      <c r="CL199" s="55"/>
      <c r="CM199" s="32"/>
    </row>
    <row r="200" spans="1:91">
      <c r="A200" s="5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1"/>
      <c r="P200" s="31"/>
      <c r="Q200" s="54"/>
      <c r="R200" s="21" t="str">
        <f>IFERROR(VLOOKUP(May[[#This Row],[Drug Name]],'Data Options'!$R$1:$S$100,2,FALSE), " ")</f>
        <v xml:space="preserve"> </v>
      </c>
      <c r="S200" s="55"/>
      <c r="T200" s="32"/>
      <c r="U200" s="32"/>
      <c r="V200" s="55"/>
      <c r="W200" s="32"/>
      <c r="X200" s="54"/>
      <c r="Y200" s="21" t="str">
        <f>IFERROR(VLOOKUP(May[[#This Row],[Drug Name2]],'Data Options'!$R$1:$S$100,2,FALSE), " ")</f>
        <v xml:space="preserve"> </v>
      </c>
      <c r="Z200" s="55"/>
      <c r="AA200" s="32"/>
      <c r="AB200" s="32"/>
      <c r="AC200" s="55"/>
      <c r="AD200" s="32"/>
      <c r="AE200" s="54"/>
      <c r="AF200" s="21" t="str">
        <f>IFERROR(VLOOKUP(May[[#This Row],[Drug Name3]],'Data Options'!$R$1:$S$100,2,FALSE), " ")</f>
        <v xml:space="preserve"> </v>
      </c>
      <c r="AG200" s="55"/>
      <c r="AH200" s="32"/>
      <c r="AI200" s="32"/>
      <c r="AJ200" s="55"/>
      <c r="AK200" s="32"/>
      <c r="AL200" s="32"/>
      <c r="AM200" s="32"/>
      <c r="AN200" s="32"/>
      <c r="AO200" s="32"/>
      <c r="AP200" s="31"/>
      <c r="AQ200" s="31"/>
      <c r="AR200" s="54"/>
      <c r="AS200" s="21" t="str">
        <f>IFERROR(VLOOKUP(May[[#This Row],[Drug Name4]],'Data Options'!$R$1:$S$100,2,FALSE), " ")</f>
        <v xml:space="preserve"> </v>
      </c>
      <c r="AT200" s="55"/>
      <c r="AU200" s="32"/>
      <c r="AV200" s="32"/>
      <c r="AW200" s="55"/>
      <c r="AX200" s="32"/>
      <c r="AY200" s="54"/>
      <c r="AZ200" s="21" t="str">
        <f>IFERROR(VLOOKUP(May[[#This Row],[Drug Name5]],'Data Options'!$R$1:$S$100,2,FALSE), " ")</f>
        <v xml:space="preserve"> </v>
      </c>
      <c r="BA200" s="55"/>
      <c r="BB200" s="32"/>
      <c r="BC200" s="32"/>
      <c r="BD200" s="55"/>
      <c r="BE200" s="32"/>
      <c r="BF200" s="54"/>
      <c r="BG200" s="21" t="str">
        <f>IFERROR(VLOOKUP(May[[#This Row],[Drug Name6]],'Data Options'!$R$1:$S$100,2,FALSE), " ")</f>
        <v xml:space="preserve"> </v>
      </c>
      <c r="BH200" s="55"/>
      <c r="BI200" s="32"/>
      <c r="BJ200" s="32"/>
      <c r="BK200" s="55"/>
      <c r="BL200" s="32"/>
      <c r="BM200" s="32"/>
      <c r="BN200" s="32"/>
      <c r="BO200" s="32"/>
      <c r="BP200" s="32"/>
      <c r="BQ200" s="31"/>
      <c r="BR200" s="31"/>
      <c r="BS200" s="54"/>
      <c r="BT200" s="21" t="str">
        <f>IFERROR(VLOOKUP(May[[#This Row],[Drug Name7]],'Data Options'!$R$1:$S$100,2,FALSE), " ")</f>
        <v xml:space="preserve"> </v>
      </c>
      <c r="BU200" s="55"/>
      <c r="BV200" s="32"/>
      <c r="BW200" s="32"/>
      <c r="BX200" s="55"/>
      <c r="BY200" s="32"/>
      <c r="BZ200" s="54"/>
      <c r="CA200" s="21" t="str">
        <f>IFERROR(VLOOKUP(May[[#This Row],[Drug Name8]],'Data Options'!$R$1:$S$100,2,FALSE), " ")</f>
        <v xml:space="preserve"> </v>
      </c>
      <c r="CB200" s="55"/>
      <c r="CC200" s="32"/>
      <c r="CD200" s="32"/>
      <c r="CE200" s="55"/>
      <c r="CF200" s="32"/>
      <c r="CG200" s="54"/>
      <c r="CH200" s="21" t="str">
        <f>IFERROR(VLOOKUP(May[[#This Row],[Drug Name9]],'Data Options'!$R$1:$S$100,2,FALSE), " ")</f>
        <v xml:space="preserve"> </v>
      </c>
      <c r="CI200" s="55"/>
      <c r="CJ200" s="32"/>
      <c r="CK200" s="32"/>
      <c r="CL200" s="55"/>
      <c r="CM200" s="32"/>
    </row>
    <row r="201" spans="1:91">
      <c r="A201" s="5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1"/>
      <c r="P201" s="31"/>
      <c r="Q201" s="54"/>
      <c r="R201" s="21" t="str">
        <f>IFERROR(VLOOKUP(May[[#This Row],[Drug Name]],'Data Options'!$R$1:$S$100,2,FALSE), " ")</f>
        <v xml:space="preserve"> </v>
      </c>
      <c r="S201" s="55"/>
      <c r="T201" s="32"/>
      <c r="U201" s="32"/>
      <c r="V201" s="55"/>
      <c r="W201" s="32"/>
      <c r="X201" s="54"/>
      <c r="Y201" s="21" t="str">
        <f>IFERROR(VLOOKUP(May[[#This Row],[Drug Name2]],'Data Options'!$R$1:$S$100,2,FALSE), " ")</f>
        <v xml:space="preserve"> </v>
      </c>
      <c r="Z201" s="55"/>
      <c r="AA201" s="32"/>
      <c r="AB201" s="32"/>
      <c r="AC201" s="55"/>
      <c r="AD201" s="32"/>
      <c r="AE201" s="54"/>
      <c r="AF201" s="21" t="str">
        <f>IFERROR(VLOOKUP(May[[#This Row],[Drug Name3]],'Data Options'!$R$1:$S$100,2,FALSE), " ")</f>
        <v xml:space="preserve"> </v>
      </c>
      <c r="AG201" s="55"/>
      <c r="AH201" s="32"/>
      <c r="AI201" s="32"/>
      <c r="AJ201" s="55"/>
      <c r="AK201" s="32"/>
      <c r="AL201" s="32"/>
      <c r="AM201" s="32"/>
      <c r="AN201" s="32"/>
      <c r="AO201" s="32"/>
      <c r="AP201" s="31"/>
      <c r="AQ201" s="31"/>
      <c r="AR201" s="54"/>
      <c r="AS201" s="21" t="str">
        <f>IFERROR(VLOOKUP(May[[#This Row],[Drug Name4]],'Data Options'!$R$1:$S$100,2,FALSE), " ")</f>
        <v xml:space="preserve"> </v>
      </c>
      <c r="AT201" s="55"/>
      <c r="AU201" s="32"/>
      <c r="AV201" s="32"/>
      <c r="AW201" s="55"/>
      <c r="AX201" s="32"/>
      <c r="AY201" s="54"/>
      <c r="AZ201" s="21" t="str">
        <f>IFERROR(VLOOKUP(May[[#This Row],[Drug Name5]],'Data Options'!$R$1:$S$100,2,FALSE), " ")</f>
        <v xml:space="preserve"> </v>
      </c>
      <c r="BA201" s="55"/>
      <c r="BB201" s="32"/>
      <c r="BC201" s="32"/>
      <c r="BD201" s="55"/>
      <c r="BE201" s="32"/>
      <c r="BF201" s="54"/>
      <c r="BG201" s="21" t="str">
        <f>IFERROR(VLOOKUP(May[[#This Row],[Drug Name6]],'Data Options'!$R$1:$S$100,2,FALSE), " ")</f>
        <v xml:space="preserve"> </v>
      </c>
      <c r="BH201" s="55"/>
      <c r="BI201" s="32"/>
      <c r="BJ201" s="32"/>
      <c r="BK201" s="55"/>
      <c r="BL201" s="32"/>
      <c r="BM201" s="32"/>
      <c r="BN201" s="32"/>
      <c r="BO201" s="32"/>
      <c r="BP201" s="32"/>
      <c r="BQ201" s="31"/>
      <c r="BR201" s="31"/>
      <c r="BS201" s="54"/>
      <c r="BT201" s="21" t="str">
        <f>IFERROR(VLOOKUP(May[[#This Row],[Drug Name7]],'Data Options'!$R$1:$S$100,2,FALSE), " ")</f>
        <v xml:space="preserve"> </v>
      </c>
      <c r="BU201" s="55"/>
      <c r="BV201" s="32"/>
      <c r="BW201" s="32"/>
      <c r="BX201" s="55"/>
      <c r="BY201" s="32"/>
      <c r="BZ201" s="54"/>
      <c r="CA201" s="21" t="str">
        <f>IFERROR(VLOOKUP(May[[#This Row],[Drug Name8]],'Data Options'!$R$1:$S$100,2,FALSE), " ")</f>
        <v xml:space="preserve"> </v>
      </c>
      <c r="CB201" s="55"/>
      <c r="CC201" s="32"/>
      <c r="CD201" s="32"/>
      <c r="CE201" s="55"/>
      <c r="CF201" s="32"/>
      <c r="CG201" s="54"/>
      <c r="CH201" s="21" t="str">
        <f>IFERROR(VLOOKUP(May[[#This Row],[Drug Name9]],'Data Options'!$R$1:$S$100,2,FALSE), " ")</f>
        <v xml:space="preserve"> </v>
      </c>
      <c r="CI201" s="55"/>
      <c r="CJ201" s="32"/>
      <c r="CK201" s="32"/>
      <c r="CL201" s="55"/>
      <c r="CM201" s="32"/>
    </row>
    <row r="202" spans="1:91">
      <c r="A202" s="24" t="s">
        <v>239</v>
      </c>
      <c r="X202" s="54"/>
      <c r="Z202" s="32"/>
      <c r="AA202" s="32"/>
      <c r="AB202" s="32"/>
      <c r="AC202" s="32"/>
      <c r="AD202" s="32"/>
      <c r="AE202" s="54"/>
      <c r="AG202" s="32"/>
      <c r="AH202" s="32"/>
      <c r="AI202" s="32"/>
      <c r="AJ202" s="32"/>
      <c r="AK202" s="32"/>
      <c r="AL202" s="32"/>
      <c r="AN202" s="32"/>
      <c r="AO202" s="32"/>
      <c r="AP202" s="31"/>
      <c r="AQ202" s="31"/>
      <c r="AR202" s="54"/>
      <c r="AT202" s="32"/>
      <c r="AU202" s="32"/>
      <c r="AV202" s="32"/>
      <c r="AW202" s="32"/>
      <c r="AX202" s="32"/>
      <c r="AY202" s="54"/>
      <c r="BA202" s="32"/>
      <c r="BB202" s="32"/>
      <c r="BC202" s="32"/>
      <c r="BD202" s="32"/>
      <c r="BE202" s="32"/>
      <c r="BF202" s="54"/>
      <c r="BH202" s="32"/>
      <c r="BI202" s="32"/>
      <c r="BJ202" s="32"/>
      <c r="BK202" s="32"/>
      <c r="BL202" s="32"/>
      <c r="BM202" s="32"/>
      <c r="BO202" s="32"/>
      <c r="BP202" s="32"/>
      <c r="BQ202" s="31"/>
      <c r="BR202" s="31"/>
      <c r="BS202" s="54"/>
      <c r="BU202" s="32"/>
      <c r="BV202" s="32"/>
      <c r="BW202" s="32"/>
      <c r="BX202" s="32"/>
      <c r="BY202" s="32"/>
      <c r="BZ202" s="54"/>
      <c r="CB202" s="32"/>
      <c r="CC202" s="32"/>
      <c r="CD202" s="32"/>
      <c r="CE202" s="32"/>
      <c r="CF202" s="32"/>
      <c r="CG202" s="54"/>
      <c r="CI202" s="32"/>
      <c r="CJ202" s="32"/>
      <c r="CK202" s="32"/>
      <c r="CL202" s="32"/>
      <c r="CM202" s="40">
        <f>SUBTOTAL(103,May[Location Filled9])</f>
        <v>0</v>
      </c>
    </row>
  </sheetData>
  <sheetProtection algorithmName="SHA-512" hashValue="JbxrQkM2e8N/vl034wEJpuPR/lKCunrD0s1iVBnn6c0RJN5BBB4FmMvXkudwIYaMU3ymmlb2Gqz3c2uUfZnBSA==" saltValue="SBvUUCRwjqGHrExg6Y5BOQ==" spinCount="100000" sheet="1" objects="1" scenarios="1"/>
  <mergeCells count="13">
    <mergeCell ref="AR2:AX2"/>
    <mergeCell ref="BS2:BY2"/>
    <mergeCell ref="BZ2:CF2"/>
    <mergeCell ref="CG2:CM2"/>
    <mergeCell ref="AL1:AQ2"/>
    <mergeCell ref="BM1:BR2"/>
    <mergeCell ref="BF2:BL2"/>
    <mergeCell ref="A1:J2"/>
    <mergeCell ref="K1:AF1"/>
    <mergeCell ref="K2:P2"/>
    <mergeCell ref="Q2:V2"/>
    <mergeCell ref="X2:AD2"/>
    <mergeCell ref="AE2:AK2"/>
  </mergeCells>
  <dataValidations count="19">
    <dataValidation type="list" allowBlank="1" showInputMessage="1" showErrorMessage="1" sqref="D4:D201">
      <formula1>INDIRECT("Species")</formula1>
    </dataValidation>
    <dataValidation type="list" allowBlank="1" showInputMessage="1" showErrorMessage="1" sqref="E4:E201">
      <formula1>INDIRECT("Sex")</formula1>
    </dataValidation>
    <dataValidation type="list" allowBlank="1" showInputMessage="1" showErrorMessage="1" sqref="F4:F201">
      <formula1>INDIRECT("Age")</formula1>
    </dataValidation>
    <dataValidation type="list" allowBlank="1" showInputMessage="1" showErrorMessage="1" sqref="G4:G201">
      <formula1>INDIRECT("Visit_Reason")</formula1>
    </dataValidation>
    <dataValidation type="list" allowBlank="1" showInputMessage="1" showErrorMessage="1" sqref="I4:I201">
      <formula1>INDIRECT("ABX_YN")</formula1>
    </dataValidation>
    <dataValidation type="list" allowBlank="1" showInputMessage="1" showErrorMessage="1" sqref="K4:K201 AL4:AL201 BM4:BM201">
      <formula1>INDIRECT("Disease_Type")</formula1>
    </dataValidation>
    <dataValidation type="list" allowBlank="1" showInputMessage="1" showErrorMessage="1" sqref="M4:M201 AN4:AN201 BO4:BO201">
      <formula1>INDIRECT("Disease_Descrip")</formula1>
    </dataValidation>
    <dataValidation type="list" allowBlank="1" showInputMessage="1" showErrorMessage="1" sqref="N4:N201 AO4:AO201 BP4:BP201">
      <formula1>INDIRECT("Dz_Abx_Num")</formula1>
    </dataValidation>
    <dataValidation type="list" allowBlank="1" showInputMessage="1" showErrorMessage="1" sqref="O4:O201 AP4:AP201 BQ4:BQ201">
      <formula1>INDIRECT("Diagnostics_Offer_YN")</formula1>
    </dataValidation>
    <dataValidation type="list" allowBlank="1" showInputMessage="1" showErrorMessage="1" sqref="P4:P201 AQ4:AQ201 BR4:BR201">
      <formula1>INDIRECT("Diagnostics_Performed_YN")</formula1>
    </dataValidation>
    <dataValidation type="list" allowBlank="1" showInputMessage="1" showErrorMessage="1" sqref="Q4:Q201 X4:X201 AE4:AE201 AR4:AR201 AY4:AY201 BF4:BF201 BS4:BS201 BZ4:BZ201 CG4:CG201">
      <formula1>INDIRECT("Drug_Name")</formula1>
    </dataValidation>
    <dataValidation type="list" allowBlank="1" showInputMessage="1" showErrorMessage="1" sqref="T4:T201 AA4:AA201 AH4:AH201 AU4:AU201 BB4:BB201 BI4:BI201 BV4:BV201 CC4:CC201 CJ4:CJ201">
      <formula1>INDIRECT("Abx_Freq")</formula1>
    </dataValidation>
    <dataValidation type="list" allowBlank="1" showInputMessage="1" showErrorMessage="1" sqref="U4:U201 AB4:AB201 AI4:AI201 AV4:AV201 BC4:BC201 BJ4:BJ201 BW4:BW201 CD4:CD201 CK4:CK201">
      <formula1>INDIRECT("Abx_Route")</formula1>
    </dataValidation>
    <dataValidation type="list" allowBlank="1" showInputMessage="1" showErrorMessage="1" sqref="W4:W201 AD4:AD201 AK4:AK201 AX4:AX201 BE4:BE201 BL4:BL201 BY4:BY201 CF4:CF201 CM4:CM201">
      <formula1>INDIRECT("Prescription_Type")</formula1>
    </dataValidation>
    <dataValidation allowBlank="1" showInputMessage="1" showErrorMessage="1" prompt="Only type here IF Reason for Visit is Other " sqref="H5:H201"/>
    <dataValidation type="whole" allowBlank="1" showInputMessage="1" showErrorMessage="1" promptTitle="Total Number of Antibiotics" prompt="This should include ALL antibiotics prescribed to this patient during this visit for ALL conditions. " sqref="J4:J201">
      <formula1>0</formula1>
      <formula2>9</formula2>
    </dataValidation>
    <dataValidation allowBlank="1" showInputMessage="1" showErrorMessage="1" prompt="Only type in this column IF Disease/Infection Type is Other" sqref="L4:L201 AM4:AM201 BN4:BN201"/>
    <dataValidation allowBlank="1" showInputMessage="1" showErrorMessage="1" prompt="Only type in this column IF Reason for Visit is Other " sqref="H4"/>
    <dataValidation type="decimal" allowBlank="1" showInputMessage="1" showErrorMessage="1" sqref="S4:S201 Z4:Z201 V4:V201 AC4:AC201 AG4:AG201 AJ4:AJ201 AT4:AT201 AW4:AW201 BD4:BD201 BA4:BA201 BH4:BH201 BK4:BK201 BU4:BU201 BX4:BX201 CB4:CB201 CE4:CE201 CI4:CI201 CL4:CL201">
      <formula1>0</formula1>
      <formula2>5000</formula2>
    </dataValidation>
  </dataValidation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02"/>
  <sheetViews>
    <sheetView workbookViewId="0">
      <pane ySplit="3" topLeftCell="A4" activePane="bottomLeft" state="frozen"/>
      <selection pane="bottomLeft" activeCell="A4" sqref="A4"/>
    </sheetView>
  </sheetViews>
  <sheetFormatPr defaultColWidth="10.83203125" defaultRowHeight="15.5"/>
  <cols>
    <col min="1" max="16384" width="10.83203125" style="24"/>
  </cols>
  <sheetData>
    <row r="1" spans="1:91" ht="21">
      <c r="A1" s="60" t="s">
        <v>103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43"/>
      <c r="AH1" s="43"/>
      <c r="AI1" s="43"/>
      <c r="AJ1" s="43"/>
      <c r="AK1" s="43"/>
      <c r="AL1" s="70" t="s">
        <v>154</v>
      </c>
      <c r="AM1" s="70"/>
      <c r="AN1" s="70"/>
      <c r="AO1" s="70"/>
      <c r="AP1" s="70"/>
      <c r="AQ1" s="70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5"/>
      <c r="BI1" s="45"/>
      <c r="BJ1" s="45"/>
      <c r="BK1" s="45"/>
      <c r="BL1" s="45"/>
      <c r="BM1" s="71" t="s">
        <v>156</v>
      </c>
      <c r="BN1" s="71"/>
      <c r="BO1" s="71"/>
      <c r="BP1" s="71"/>
      <c r="BQ1" s="71"/>
      <c r="BR1" s="71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7"/>
      <c r="CJ1" s="47"/>
      <c r="CK1" s="47"/>
      <c r="CL1" s="47"/>
      <c r="CM1" s="47"/>
    </row>
    <row r="2" spans="1:91" ht="21">
      <c r="A2" s="60"/>
      <c r="B2" s="60"/>
      <c r="C2" s="60"/>
      <c r="D2" s="60"/>
      <c r="E2" s="60"/>
      <c r="F2" s="60"/>
      <c r="G2" s="60"/>
      <c r="H2" s="60"/>
      <c r="I2" s="60"/>
      <c r="J2" s="60"/>
      <c r="K2" s="62" t="s">
        <v>153</v>
      </c>
      <c r="L2" s="62"/>
      <c r="M2" s="62"/>
      <c r="N2" s="62"/>
      <c r="O2" s="62"/>
      <c r="P2" s="62"/>
      <c r="Q2" s="63" t="s">
        <v>104</v>
      </c>
      <c r="R2" s="63"/>
      <c r="S2" s="63"/>
      <c r="T2" s="63"/>
      <c r="U2" s="63"/>
      <c r="V2" s="63"/>
      <c r="W2" s="48"/>
      <c r="X2" s="64" t="s">
        <v>105</v>
      </c>
      <c r="Y2" s="64"/>
      <c r="Z2" s="64"/>
      <c r="AA2" s="64"/>
      <c r="AB2" s="64"/>
      <c r="AC2" s="64"/>
      <c r="AD2" s="64"/>
      <c r="AE2" s="65" t="s">
        <v>106</v>
      </c>
      <c r="AF2" s="65"/>
      <c r="AG2" s="65"/>
      <c r="AH2" s="65"/>
      <c r="AI2" s="65"/>
      <c r="AJ2" s="65"/>
      <c r="AK2" s="65"/>
      <c r="AL2" s="70"/>
      <c r="AM2" s="70"/>
      <c r="AN2" s="70"/>
      <c r="AO2" s="70"/>
      <c r="AP2" s="70"/>
      <c r="AQ2" s="70"/>
      <c r="AR2" s="66" t="s">
        <v>107</v>
      </c>
      <c r="AS2" s="66"/>
      <c r="AT2" s="66"/>
      <c r="AU2" s="66"/>
      <c r="AV2" s="66"/>
      <c r="AW2" s="66"/>
      <c r="AX2" s="66"/>
      <c r="AY2" s="49" t="s">
        <v>216</v>
      </c>
      <c r="AZ2" s="49"/>
      <c r="BA2" s="49"/>
      <c r="BB2" s="49"/>
      <c r="BC2" s="49"/>
      <c r="BD2" s="49"/>
      <c r="BE2" s="49"/>
      <c r="BF2" s="69" t="s">
        <v>155</v>
      </c>
      <c r="BG2" s="69"/>
      <c r="BH2" s="69"/>
      <c r="BI2" s="69"/>
      <c r="BJ2" s="69"/>
      <c r="BK2" s="69"/>
      <c r="BL2" s="69"/>
      <c r="BM2" s="71"/>
      <c r="BN2" s="71"/>
      <c r="BO2" s="71"/>
      <c r="BP2" s="71"/>
      <c r="BQ2" s="71"/>
      <c r="BR2" s="71"/>
      <c r="BS2" s="67" t="s">
        <v>109</v>
      </c>
      <c r="BT2" s="67"/>
      <c r="BU2" s="67"/>
      <c r="BV2" s="67"/>
      <c r="BW2" s="67"/>
      <c r="BX2" s="67"/>
      <c r="BY2" s="67"/>
      <c r="BZ2" s="68" t="s">
        <v>110</v>
      </c>
      <c r="CA2" s="68"/>
      <c r="CB2" s="68"/>
      <c r="CC2" s="68"/>
      <c r="CD2" s="68"/>
      <c r="CE2" s="68"/>
      <c r="CF2" s="68"/>
      <c r="CG2" s="69" t="s">
        <v>108</v>
      </c>
      <c r="CH2" s="69"/>
      <c r="CI2" s="69"/>
      <c r="CJ2" s="69"/>
      <c r="CK2" s="69"/>
      <c r="CL2" s="69"/>
      <c r="CM2" s="69"/>
    </row>
    <row r="3" spans="1:91" ht="93.5" thickBot="1">
      <c r="A3" s="50" t="s">
        <v>4</v>
      </c>
      <c r="B3" s="50" t="s">
        <v>217</v>
      </c>
      <c r="C3" s="50" t="s">
        <v>5</v>
      </c>
      <c r="D3" s="50" t="s">
        <v>6</v>
      </c>
      <c r="E3" s="50" t="s">
        <v>0</v>
      </c>
      <c r="F3" s="50" t="s">
        <v>111</v>
      </c>
      <c r="G3" s="50" t="s">
        <v>1</v>
      </c>
      <c r="H3" s="50" t="s">
        <v>150</v>
      </c>
      <c r="I3" s="50" t="s">
        <v>218</v>
      </c>
      <c r="J3" s="50" t="s">
        <v>214</v>
      </c>
      <c r="K3" s="50" t="s">
        <v>82</v>
      </c>
      <c r="L3" s="50" t="s">
        <v>215</v>
      </c>
      <c r="M3" s="50" t="s">
        <v>83</v>
      </c>
      <c r="N3" s="50" t="s">
        <v>211</v>
      </c>
      <c r="O3" s="50" t="s">
        <v>212</v>
      </c>
      <c r="P3" s="50" t="s">
        <v>213</v>
      </c>
      <c r="Q3" s="51" t="s">
        <v>8</v>
      </c>
      <c r="R3" s="51" t="s">
        <v>3</v>
      </c>
      <c r="S3" s="50" t="s">
        <v>84</v>
      </c>
      <c r="T3" s="50" t="s">
        <v>65</v>
      </c>
      <c r="U3" s="50" t="s">
        <v>85</v>
      </c>
      <c r="V3" s="50" t="s">
        <v>9</v>
      </c>
      <c r="W3" s="50" t="s">
        <v>219</v>
      </c>
      <c r="X3" s="51" t="s">
        <v>157</v>
      </c>
      <c r="Y3" s="51" t="s">
        <v>164</v>
      </c>
      <c r="Z3" s="50" t="s">
        <v>163</v>
      </c>
      <c r="AA3" s="50" t="s">
        <v>166</v>
      </c>
      <c r="AB3" s="50" t="s">
        <v>167</v>
      </c>
      <c r="AC3" s="50" t="s">
        <v>171</v>
      </c>
      <c r="AD3" s="50" t="s">
        <v>220</v>
      </c>
      <c r="AE3" s="51" t="s">
        <v>168</v>
      </c>
      <c r="AF3" s="51" t="s">
        <v>158</v>
      </c>
      <c r="AG3" s="50" t="s">
        <v>169</v>
      </c>
      <c r="AH3" s="50" t="s">
        <v>165</v>
      </c>
      <c r="AI3" s="50" t="s">
        <v>170</v>
      </c>
      <c r="AJ3" s="50" t="s">
        <v>172</v>
      </c>
      <c r="AK3" s="50" t="s">
        <v>221</v>
      </c>
      <c r="AL3" s="50" t="s">
        <v>173</v>
      </c>
      <c r="AM3" s="50" t="s">
        <v>222</v>
      </c>
      <c r="AN3" s="50" t="s">
        <v>174</v>
      </c>
      <c r="AO3" s="50" t="s">
        <v>175</v>
      </c>
      <c r="AP3" s="50" t="s">
        <v>223</v>
      </c>
      <c r="AQ3" s="50" t="s">
        <v>224</v>
      </c>
      <c r="AR3" s="51" t="s">
        <v>176</v>
      </c>
      <c r="AS3" s="51" t="s">
        <v>177</v>
      </c>
      <c r="AT3" s="50" t="s">
        <v>159</v>
      </c>
      <c r="AU3" s="50" t="s">
        <v>178</v>
      </c>
      <c r="AV3" s="50" t="s">
        <v>179</v>
      </c>
      <c r="AW3" s="50" t="s">
        <v>180</v>
      </c>
      <c r="AX3" s="50" t="s">
        <v>225</v>
      </c>
      <c r="AY3" s="51" t="s">
        <v>181</v>
      </c>
      <c r="AZ3" s="51" t="s">
        <v>182</v>
      </c>
      <c r="BA3" s="50" t="s">
        <v>183</v>
      </c>
      <c r="BB3" s="50" t="s">
        <v>160</v>
      </c>
      <c r="BC3" s="50" t="s">
        <v>184</v>
      </c>
      <c r="BD3" s="50" t="s">
        <v>185</v>
      </c>
      <c r="BE3" s="50" t="s">
        <v>226</v>
      </c>
      <c r="BF3" s="51" t="s">
        <v>186</v>
      </c>
      <c r="BG3" s="51" t="s">
        <v>187</v>
      </c>
      <c r="BH3" s="50" t="s">
        <v>188</v>
      </c>
      <c r="BI3" s="50" t="s">
        <v>189</v>
      </c>
      <c r="BJ3" s="50" t="s">
        <v>161</v>
      </c>
      <c r="BK3" s="50" t="s">
        <v>190</v>
      </c>
      <c r="BL3" s="50" t="s">
        <v>227</v>
      </c>
      <c r="BM3" s="50" t="s">
        <v>191</v>
      </c>
      <c r="BN3" s="50" t="s">
        <v>233</v>
      </c>
      <c r="BO3" s="50" t="s">
        <v>192</v>
      </c>
      <c r="BP3" s="50" t="s">
        <v>193</v>
      </c>
      <c r="BQ3" s="50" t="s">
        <v>228</v>
      </c>
      <c r="BR3" s="50" t="s">
        <v>229</v>
      </c>
      <c r="BS3" s="50" t="s">
        <v>194</v>
      </c>
      <c r="BT3" s="50" t="s">
        <v>195</v>
      </c>
      <c r="BU3" s="50" t="s">
        <v>196</v>
      </c>
      <c r="BV3" s="50" t="s">
        <v>197</v>
      </c>
      <c r="BW3" s="50" t="s">
        <v>198</v>
      </c>
      <c r="BX3" s="50" t="s">
        <v>162</v>
      </c>
      <c r="BY3" s="50" t="s">
        <v>230</v>
      </c>
      <c r="BZ3" s="50" t="s">
        <v>199</v>
      </c>
      <c r="CA3" s="50" t="s">
        <v>200</v>
      </c>
      <c r="CB3" s="50" t="s">
        <v>201</v>
      </c>
      <c r="CC3" s="50" t="s">
        <v>202</v>
      </c>
      <c r="CD3" s="50" t="s">
        <v>203</v>
      </c>
      <c r="CE3" s="50" t="s">
        <v>204</v>
      </c>
      <c r="CF3" s="50" t="s">
        <v>231</v>
      </c>
      <c r="CG3" s="50" t="s">
        <v>205</v>
      </c>
      <c r="CH3" s="50" t="s">
        <v>206</v>
      </c>
      <c r="CI3" s="50" t="s">
        <v>207</v>
      </c>
      <c r="CJ3" s="50" t="s">
        <v>208</v>
      </c>
      <c r="CK3" s="50" t="s">
        <v>209</v>
      </c>
      <c r="CL3" s="50" t="s">
        <v>210</v>
      </c>
      <c r="CM3" s="50" t="s">
        <v>232</v>
      </c>
    </row>
    <row r="4" spans="1:91">
      <c r="A4" s="52"/>
      <c r="B4" s="5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1"/>
      <c r="P4" s="31"/>
      <c r="Q4" s="54"/>
      <c r="R4" s="56" t="str">
        <f>IFERROR(VLOOKUP(June[[#This Row],[Drug Name]],'Data Options'!$R$1:$S$100,2,FALSE), " ")</f>
        <v xml:space="preserve"> </v>
      </c>
      <c r="S4" s="55"/>
      <c r="T4" s="32"/>
      <c r="U4" s="32"/>
      <c r="V4" s="55"/>
      <c r="W4" s="32"/>
      <c r="X4" s="54"/>
      <c r="Y4" s="56" t="str">
        <f>IFERROR(VLOOKUP(June[[#This Row],[Drug Name2]],'Data Options'!$R$1:$S$100,2,FALSE), " ")</f>
        <v xml:space="preserve"> </v>
      </c>
      <c r="Z4" s="55"/>
      <c r="AA4" s="32"/>
      <c r="AB4" s="32"/>
      <c r="AC4" s="55"/>
      <c r="AD4" s="32"/>
      <c r="AE4" s="54"/>
      <c r="AF4" s="56" t="str">
        <f>IFERROR(VLOOKUP(June[[#This Row],[Drug Name3]],'Data Options'!$R$1:$S$100,2,FALSE), " ")</f>
        <v xml:space="preserve"> </v>
      </c>
      <c r="AG4" s="55"/>
      <c r="AH4" s="32"/>
      <c r="AI4" s="32"/>
      <c r="AJ4" s="55"/>
      <c r="AK4" s="32"/>
      <c r="AL4" s="32"/>
      <c r="AM4" s="32"/>
      <c r="AN4" s="32"/>
      <c r="AO4" s="32"/>
      <c r="AP4" s="31"/>
      <c r="AQ4" s="31"/>
      <c r="AR4" s="54"/>
      <c r="AS4" s="56" t="str">
        <f>IFERROR(VLOOKUP(June[[#This Row],[Drug Name4]],'Data Options'!$R$1:$S$100,2,FALSE), " ")</f>
        <v xml:space="preserve"> </v>
      </c>
      <c r="AT4" s="55"/>
      <c r="AU4" s="32"/>
      <c r="AV4" s="32"/>
      <c r="AW4" s="55"/>
      <c r="AX4" s="32"/>
      <c r="AY4" s="54"/>
      <c r="AZ4" s="56" t="str">
        <f>IFERROR(VLOOKUP(June[[#This Row],[Drug Name5]],'Data Options'!$R$1:$S$100,2,FALSE), " ")</f>
        <v xml:space="preserve"> </v>
      </c>
      <c r="BA4" s="55"/>
      <c r="BB4" s="32"/>
      <c r="BC4" s="32"/>
      <c r="BD4" s="55"/>
      <c r="BE4" s="32"/>
      <c r="BF4" s="54"/>
      <c r="BG4" s="56" t="str">
        <f>IFERROR(VLOOKUP(June[[#This Row],[Drug Name6]],'Data Options'!$R$1:$S$100,2,FALSE), " ")</f>
        <v xml:space="preserve"> </v>
      </c>
      <c r="BH4" s="55"/>
      <c r="BI4" s="32"/>
      <c r="BJ4" s="32"/>
      <c r="BK4" s="55"/>
      <c r="BL4" s="32"/>
      <c r="BM4" s="32"/>
      <c r="BN4" s="32"/>
      <c r="BO4" s="32"/>
      <c r="BP4" s="32"/>
      <c r="BQ4" s="31"/>
      <c r="BR4" s="31"/>
      <c r="BS4" s="54"/>
      <c r="BT4" s="56" t="str">
        <f>IFERROR(VLOOKUP(June[[#This Row],[Drug Name7]],'Data Options'!$R$1:$S$100,2,FALSE), " ")</f>
        <v xml:space="preserve"> </v>
      </c>
      <c r="BU4" s="55"/>
      <c r="BV4" s="32"/>
      <c r="BW4" s="32"/>
      <c r="BX4" s="55"/>
      <c r="BY4" s="32"/>
      <c r="BZ4" s="54"/>
      <c r="CA4" s="56" t="str">
        <f>IFERROR(VLOOKUP(June[[#This Row],[Drug Name8]],'Data Options'!$R$1:$S$100,2,FALSE), " ")</f>
        <v xml:space="preserve"> </v>
      </c>
      <c r="CB4" s="55"/>
      <c r="CC4" s="32"/>
      <c r="CD4" s="32"/>
      <c r="CE4" s="55"/>
      <c r="CF4" s="32"/>
      <c r="CG4" s="54"/>
      <c r="CH4" s="56" t="str">
        <f>IFERROR(VLOOKUP(June[[#This Row],[Drug Name9]],'Data Options'!$R$1:$S$100,2,FALSE), " ")</f>
        <v xml:space="preserve"> </v>
      </c>
      <c r="CI4" s="55"/>
      <c r="CJ4" s="32"/>
      <c r="CK4" s="32"/>
      <c r="CL4" s="55"/>
      <c r="CM4" s="32"/>
    </row>
    <row r="5" spans="1:91">
      <c r="A5" s="5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1"/>
      <c r="P5" s="31"/>
      <c r="Q5" s="54"/>
      <c r="R5" s="56" t="str">
        <f>IFERROR(VLOOKUP(June[[#This Row],[Drug Name]],'Data Options'!$R$1:$S$100,2,FALSE), " ")</f>
        <v xml:space="preserve"> </v>
      </c>
      <c r="S5" s="55"/>
      <c r="T5" s="32"/>
      <c r="U5" s="32"/>
      <c r="V5" s="55"/>
      <c r="W5" s="32"/>
      <c r="X5" s="54"/>
      <c r="Y5" s="56" t="str">
        <f>IFERROR(VLOOKUP(June[[#This Row],[Drug Name2]],'Data Options'!$R$1:$S$100,2,FALSE), " ")</f>
        <v xml:space="preserve"> </v>
      </c>
      <c r="Z5" s="55"/>
      <c r="AA5" s="32"/>
      <c r="AB5" s="32"/>
      <c r="AC5" s="55"/>
      <c r="AD5" s="32"/>
      <c r="AE5" s="54"/>
      <c r="AF5" s="56" t="str">
        <f>IFERROR(VLOOKUP(June[[#This Row],[Drug Name3]],'Data Options'!$R$1:$S$100,2,FALSE), " ")</f>
        <v xml:space="preserve"> </v>
      </c>
      <c r="AG5" s="55"/>
      <c r="AH5" s="32"/>
      <c r="AI5" s="32"/>
      <c r="AJ5" s="55"/>
      <c r="AK5" s="32"/>
      <c r="AL5" s="32"/>
      <c r="AM5" s="32"/>
      <c r="AN5" s="32"/>
      <c r="AO5" s="32"/>
      <c r="AP5" s="31"/>
      <c r="AQ5" s="31"/>
      <c r="AR5" s="54"/>
      <c r="AS5" s="56" t="str">
        <f>IFERROR(VLOOKUP(June[[#This Row],[Drug Name4]],'Data Options'!$R$1:$S$100,2,FALSE), " ")</f>
        <v xml:space="preserve"> </v>
      </c>
      <c r="AT5" s="55"/>
      <c r="AU5" s="32"/>
      <c r="AV5" s="32"/>
      <c r="AW5" s="55"/>
      <c r="AX5" s="32"/>
      <c r="AY5" s="54"/>
      <c r="AZ5" s="56" t="str">
        <f>IFERROR(VLOOKUP(June[[#This Row],[Drug Name5]],'Data Options'!$R$1:$S$100,2,FALSE), " ")</f>
        <v xml:space="preserve"> </v>
      </c>
      <c r="BA5" s="55"/>
      <c r="BB5" s="32"/>
      <c r="BC5" s="32"/>
      <c r="BD5" s="55"/>
      <c r="BE5" s="32"/>
      <c r="BF5" s="54"/>
      <c r="BG5" s="56" t="str">
        <f>IFERROR(VLOOKUP(June[[#This Row],[Drug Name6]],'Data Options'!$R$1:$S$100,2,FALSE), " ")</f>
        <v xml:space="preserve"> </v>
      </c>
      <c r="BH5" s="55"/>
      <c r="BI5" s="32"/>
      <c r="BJ5" s="32"/>
      <c r="BK5" s="55"/>
      <c r="BL5" s="32"/>
      <c r="BM5" s="32"/>
      <c r="BN5" s="32"/>
      <c r="BO5" s="32"/>
      <c r="BP5" s="32"/>
      <c r="BQ5" s="31"/>
      <c r="BR5" s="31"/>
      <c r="BS5" s="54"/>
      <c r="BT5" s="56" t="str">
        <f>IFERROR(VLOOKUP(June[[#This Row],[Drug Name7]],'Data Options'!$R$1:$S$100,2,FALSE), " ")</f>
        <v xml:space="preserve"> </v>
      </c>
      <c r="BU5" s="55"/>
      <c r="BV5" s="32"/>
      <c r="BW5" s="32"/>
      <c r="BX5" s="55"/>
      <c r="BY5" s="32"/>
      <c r="BZ5" s="54"/>
      <c r="CA5" s="56" t="str">
        <f>IFERROR(VLOOKUP(June[[#This Row],[Drug Name8]],'Data Options'!$R$1:$S$100,2,FALSE), " ")</f>
        <v xml:space="preserve"> </v>
      </c>
      <c r="CB5" s="55"/>
      <c r="CC5" s="32"/>
      <c r="CD5" s="32"/>
      <c r="CE5" s="55"/>
      <c r="CF5" s="32"/>
      <c r="CG5" s="54"/>
      <c r="CH5" s="56" t="str">
        <f>IFERROR(VLOOKUP(June[[#This Row],[Drug Name9]],'Data Options'!$R$1:$S$100,2,FALSE), " ")</f>
        <v xml:space="preserve"> </v>
      </c>
      <c r="CI5" s="55"/>
      <c r="CJ5" s="32"/>
      <c r="CK5" s="32"/>
      <c r="CL5" s="55"/>
      <c r="CM5" s="32"/>
    </row>
    <row r="6" spans="1:91">
      <c r="A6" s="5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1"/>
      <c r="P6" s="31"/>
      <c r="Q6" s="54"/>
      <c r="R6" s="56" t="str">
        <f>IFERROR(VLOOKUP(June[[#This Row],[Drug Name]],'Data Options'!$R$1:$S$100,2,FALSE), " ")</f>
        <v xml:space="preserve"> </v>
      </c>
      <c r="S6" s="55"/>
      <c r="T6" s="32"/>
      <c r="U6" s="32"/>
      <c r="V6" s="55"/>
      <c r="W6" s="32"/>
      <c r="X6" s="54"/>
      <c r="Y6" s="56" t="str">
        <f>IFERROR(VLOOKUP(June[[#This Row],[Drug Name2]],'Data Options'!$R$1:$S$100,2,FALSE), " ")</f>
        <v xml:space="preserve"> </v>
      </c>
      <c r="Z6" s="55"/>
      <c r="AA6" s="32"/>
      <c r="AB6" s="32"/>
      <c r="AC6" s="55"/>
      <c r="AD6" s="32"/>
      <c r="AE6" s="54"/>
      <c r="AF6" s="56" t="str">
        <f>IFERROR(VLOOKUP(June[[#This Row],[Drug Name3]],'Data Options'!$R$1:$S$100,2,FALSE), " ")</f>
        <v xml:space="preserve"> </v>
      </c>
      <c r="AG6" s="55"/>
      <c r="AH6" s="32"/>
      <c r="AI6" s="32"/>
      <c r="AJ6" s="55"/>
      <c r="AK6" s="32"/>
      <c r="AL6" s="32"/>
      <c r="AM6" s="32"/>
      <c r="AN6" s="32"/>
      <c r="AO6" s="32"/>
      <c r="AP6" s="31"/>
      <c r="AQ6" s="31"/>
      <c r="AR6" s="54"/>
      <c r="AS6" s="56" t="str">
        <f>IFERROR(VLOOKUP(June[[#This Row],[Drug Name4]],'Data Options'!$R$1:$S$100,2,FALSE), " ")</f>
        <v xml:space="preserve"> </v>
      </c>
      <c r="AT6" s="55"/>
      <c r="AU6" s="32"/>
      <c r="AV6" s="32"/>
      <c r="AW6" s="55"/>
      <c r="AX6" s="32"/>
      <c r="AY6" s="54"/>
      <c r="AZ6" s="56" t="str">
        <f>IFERROR(VLOOKUP(June[[#This Row],[Drug Name5]],'Data Options'!$R$1:$S$100,2,FALSE), " ")</f>
        <v xml:space="preserve"> </v>
      </c>
      <c r="BA6" s="55"/>
      <c r="BB6" s="32"/>
      <c r="BC6" s="32"/>
      <c r="BD6" s="55"/>
      <c r="BE6" s="32"/>
      <c r="BF6" s="54"/>
      <c r="BG6" s="56" t="str">
        <f>IFERROR(VLOOKUP(June[[#This Row],[Drug Name6]],'Data Options'!$R$1:$S$100,2,FALSE), " ")</f>
        <v xml:space="preserve"> </v>
      </c>
      <c r="BH6" s="55"/>
      <c r="BI6" s="32"/>
      <c r="BJ6" s="32"/>
      <c r="BK6" s="55"/>
      <c r="BL6" s="32"/>
      <c r="BM6" s="32"/>
      <c r="BN6" s="32"/>
      <c r="BO6" s="32"/>
      <c r="BP6" s="32"/>
      <c r="BQ6" s="31"/>
      <c r="BR6" s="31"/>
      <c r="BS6" s="54"/>
      <c r="BT6" s="56" t="str">
        <f>IFERROR(VLOOKUP(June[[#This Row],[Drug Name7]],'Data Options'!$R$1:$S$100,2,FALSE), " ")</f>
        <v xml:space="preserve"> </v>
      </c>
      <c r="BU6" s="55"/>
      <c r="BV6" s="32"/>
      <c r="BW6" s="32"/>
      <c r="BX6" s="55"/>
      <c r="BY6" s="32"/>
      <c r="BZ6" s="54"/>
      <c r="CA6" s="56" t="str">
        <f>IFERROR(VLOOKUP(June[[#This Row],[Drug Name8]],'Data Options'!$R$1:$S$100,2,FALSE), " ")</f>
        <v xml:space="preserve"> </v>
      </c>
      <c r="CB6" s="55"/>
      <c r="CC6" s="32"/>
      <c r="CD6" s="32"/>
      <c r="CE6" s="55"/>
      <c r="CF6" s="32"/>
      <c r="CG6" s="54"/>
      <c r="CH6" s="56" t="str">
        <f>IFERROR(VLOOKUP(June[[#This Row],[Drug Name9]],'Data Options'!$R$1:$S$100,2,FALSE), " ")</f>
        <v xml:space="preserve"> </v>
      </c>
      <c r="CI6" s="55"/>
      <c r="CJ6" s="32"/>
      <c r="CK6" s="32"/>
      <c r="CL6" s="55"/>
      <c r="CM6" s="32"/>
    </row>
    <row r="7" spans="1:91">
      <c r="A7" s="5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1"/>
      <c r="P7" s="31"/>
      <c r="Q7" s="54"/>
      <c r="R7" s="56" t="str">
        <f>IFERROR(VLOOKUP(June[[#This Row],[Drug Name]],'Data Options'!$R$1:$S$100,2,FALSE), " ")</f>
        <v xml:space="preserve"> </v>
      </c>
      <c r="S7" s="55"/>
      <c r="T7" s="32"/>
      <c r="U7" s="32"/>
      <c r="V7" s="55"/>
      <c r="W7" s="32"/>
      <c r="X7" s="54"/>
      <c r="Y7" s="56" t="str">
        <f>IFERROR(VLOOKUP(June[[#This Row],[Drug Name2]],'Data Options'!$R$1:$S$100,2,FALSE), " ")</f>
        <v xml:space="preserve"> </v>
      </c>
      <c r="Z7" s="55"/>
      <c r="AA7" s="32"/>
      <c r="AB7" s="32"/>
      <c r="AC7" s="55"/>
      <c r="AD7" s="32"/>
      <c r="AE7" s="54"/>
      <c r="AF7" s="56" t="str">
        <f>IFERROR(VLOOKUP(June[[#This Row],[Drug Name3]],'Data Options'!$R$1:$S$100,2,FALSE), " ")</f>
        <v xml:space="preserve"> </v>
      </c>
      <c r="AG7" s="55"/>
      <c r="AH7" s="32"/>
      <c r="AI7" s="32"/>
      <c r="AJ7" s="55"/>
      <c r="AK7" s="32"/>
      <c r="AL7" s="32"/>
      <c r="AM7" s="32"/>
      <c r="AN7" s="32"/>
      <c r="AO7" s="32"/>
      <c r="AP7" s="31"/>
      <c r="AQ7" s="31"/>
      <c r="AR7" s="54"/>
      <c r="AS7" s="56" t="str">
        <f>IFERROR(VLOOKUP(June[[#This Row],[Drug Name4]],'Data Options'!$R$1:$S$100,2,FALSE), " ")</f>
        <v xml:space="preserve"> </v>
      </c>
      <c r="AT7" s="55"/>
      <c r="AU7" s="32"/>
      <c r="AV7" s="32"/>
      <c r="AW7" s="55"/>
      <c r="AX7" s="32"/>
      <c r="AY7" s="54"/>
      <c r="AZ7" s="56" t="str">
        <f>IFERROR(VLOOKUP(June[[#This Row],[Drug Name5]],'Data Options'!$R$1:$S$100,2,FALSE), " ")</f>
        <v xml:space="preserve"> </v>
      </c>
      <c r="BA7" s="55"/>
      <c r="BB7" s="32"/>
      <c r="BC7" s="32"/>
      <c r="BD7" s="55"/>
      <c r="BE7" s="32"/>
      <c r="BF7" s="54"/>
      <c r="BG7" s="56" t="str">
        <f>IFERROR(VLOOKUP(June[[#This Row],[Drug Name6]],'Data Options'!$R$1:$S$100,2,FALSE), " ")</f>
        <v xml:space="preserve"> </v>
      </c>
      <c r="BH7" s="55"/>
      <c r="BI7" s="32"/>
      <c r="BJ7" s="32"/>
      <c r="BK7" s="55"/>
      <c r="BL7" s="32"/>
      <c r="BM7" s="32"/>
      <c r="BN7" s="32"/>
      <c r="BO7" s="32"/>
      <c r="BP7" s="32"/>
      <c r="BQ7" s="31"/>
      <c r="BR7" s="31"/>
      <c r="BS7" s="54"/>
      <c r="BT7" s="56" t="str">
        <f>IFERROR(VLOOKUP(June[[#This Row],[Drug Name7]],'Data Options'!$R$1:$S$100,2,FALSE), " ")</f>
        <v xml:space="preserve"> </v>
      </c>
      <c r="BU7" s="55"/>
      <c r="BV7" s="32"/>
      <c r="BW7" s="32"/>
      <c r="BX7" s="55"/>
      <c r="BY7" s="32"/>
      <c r="BZ7" s="54"/>
      <c r="CA7" s="56" t="str">
        <f>IFERROR(VLOOKUP(June[[#This Row],[Drug Name8]],'Data Options'!$R$1:$S$100,2,FALSE), " ")</f>
        <v xml:space="preserve"> </v>
      </c>
      <c r="CB7" s="55"/>
      <c r="CC7" s="32"/>
      <c r="CD7" s="32"/>
      <c r="CE7" s="55"/>
      <c r="CF7" s="32"/>
      <c r="CG7" s="54"/>
      <c r="CH7" s="56" t="str">
        <f>IFERROR(VLOOKUP(June[[#This Row],[Drug Name9]],'Data Options'!$R$1:$S$100,2,FALSE), " ")</f>
        <v xml:space="preserve"> </v>
      </c>
      <c r="CI7" s="55"/>
      <c r="CJ7" s="32"/>
      <c r="CK7" s="32"/>
      <c r="CL7" s="55"/>
      <c r="CM7" s="32"/>
    </row>
    <row r="8" spans="1:91">
      <c r="A8" s="5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1"/>
      <c r="P8" s="31"/>
      <c r="Q8" s="54"/>
      <c r="R8" s="56" t="str">
        <f>IFERROR(VLOOKUP(June[[#This Row],[Drug Name]],'Data Options'!$R$1:$S$100,2,FALSE), " ")</f>
        <v xml:space="preserve"> </v>
      </c>
      <c r="S8" s="55"/>
      <c r="T8" s="32"/>
      <c r="U8" s="32"/>
      <c r="V8" s="55"/>
      <c r="W8" s="32"/>
      <c r="X8" s="54"/>
      <c r="Y8" s="56" t="str">
        <f>IFERROR(VLOOKUP(June[[#This Row],[Drug Name2]],'Data Options'!$R$1:$S$100,2,FALSE), " ")</f>
        <v xml:space="preserve"> </v>
      </c>
      <c r="Z8" s="55"/>
      <c r="AA8" s="32"/>
      <c r="AB8" s="32"/>
      <c r="AC8" s="55"/>
      <c r="AD8" s="32"/>
      <c r="AE8" s="54"/>
      <c r="AF8" s="56" t="str">
        <f>IFERROR(VLOOKUP(June[[#This Row],[Drug Name3]],'Data Options'!$R$1:$S$100,2,FALSE), " ")</f>
        <v xml:space="preserve"> </v>
      </c>
      <c r="AG8" s="55"/>
      <c r="AH8" s="32"/>
      <c r="AI8" s="32"/>
      <c r="AJ8" s="55"/>
      <c r="AK8" s="32"/>
      <c r="AL8" s="32"/>
      <c r="AM8" s="32"/>
      <c r="AN8" s="32"/>
      <c r="AO8" s="32"/>
      <c r="AP8" s="31"/>
      <c r="AQ8" s="31"/>
      <c r="AR8" s="54"/>
      <c r="AS8" s="56" t="str">
        <f>IFERROR(VLOOKUP(June[[#This Row],[Drug Name4]],'Data Options'!$R$1:$S$100,2,FALSE), " ")</f>
        <v xml:space="preserve"> </v>
      </c>
      <c r="AT8" s="55"/>
      <c r="AU8" s="32"/>
      <c r="AV8" s="32"/>
      <c r="AW8" s="55"/>
      <c r="AX8" s="32"/>
      <c r="AY8" s="54"/>
      <c r="AZ8" s="56" t="str">
        <f>IFERROR(VLOOKUP(June[[#This Row],[Drug Name5]],'Data Options'!$R$1:$S$100,2,FALSE), " ")</f>
        <v xml:space="preserve"> </v>
      </c>
      <c r="BA8" s="55"/>
      <c r="BB8" s="32"/>
      <c r="BC8" s="32"/>
      <c r="BD8" s="55"/>
      <c r="BE8" s="32"/>
      <c r="BF8" s="54"/>
      <c r="BG8" s="56" t="str">
        <f>IFERROR(VLOOKUP(June[[#This Row],[Drug Name6]],'Data Options'!$R$1:$S$100,2,FALSE), " ")</f>
        <v xml:space="preserve"> </v>
      </c>
      <c r="BH8" s="55"/>
      <c r="BI8" s="32"/>
      <c r="BJ8" s="32"/>
      <c r="BK8" s="55"/>
      <c r="BL8" s="32"/>
      <c r="BM8" s="32"/>
      <c r="BN8" s="32"/>
      <c r="BO8" s="32"/>
      <c r="BP8" s="32"/>
      <c r="BQ8" s="31"/>
      <c r="BR8" s="31"/>
      <c r="BS8" s="54"/>
      <c r="BT8" s="56" t="str">
        <f>IFERROR(VLOOKUP(June[[#This Row],[Drug Name7]],'Data Options'!$R$1:$S$100,2,FALSE), " ")</f>
        <v xml:space="preserve"> </v>
      </c>
      <c r="BU8" s="55"/>
      <c r="BV8" s="32"/>
      <c r="BW8" s="32"/>
      <c r="BX8" s="55"/>
      <c r="BY8" s="32"/>
      <c r="BZ8" s="54"/>
      <c r="CA8" s="56" t="str">
        <f>IFERROR(VLOOKUP(June[[#This Row],[Drug Name8]],'Data Options'!$R$1:$S$100,2,FALSE), " ")</f>
        <v xml:space="preserve"> </v>
      </c>
      <c r="CB8" s="55"/>
      <c r="CC8" s="32"/>
      <c r="CD8" s="32"/>
      <c r="CE8" s="55"/>
      <c r="CF8" s="32"/>
      <c r="CG8" s="54"/>
      <c r="CH8" s="56" t="str">
        <f>IFERROR(VLOOKUP(June[[#This Row],[Drug Name9]],'Data Options'!$R$1:$S$100,2,FALSE), " ")</f>
        <v xml:space="preserve"> </v>
      </c>
      <c r="CI8" s="55"/>
      <c r="CJ8" s="32"/>
      <c r="CK8" s="32"/>
      <c r="CL8" s="55"/>
      <c r="CM8" s="32"/>
    </row>
    <row r="9" spans="1:91">
      <c r="A9" s="5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1"/>
      <c r="P9" s="31"/>
      <c r="Q9" s="54"/>
      <c r="R9" s="56" t="str">
        <f>IFERROR(VLOOKUP(June[[#This Row],[Drug Name]],'Data Options'!$R$1:$S$100,2,FALSE), " ")</f>
        <v xml:space="preserve"> </v>
      </c>
      <c r="S9" s="55"/>
      <c r="T9" s="32"/>
      <c r="U9" s="32"/>
      <c r="V9" s="55"/>
      <c r="W9" s="32"/>
      <c r="X9" s="54"/>
      <c r="Y9" s="56" t="str">
        <f>IFERROR(VLOOKUP(June[[#This Row],[Drug Name2]],'Data Options'!$R$1:$S$100,2,FALSE), " ")</f>
        <v xml:space="preserve"> </v>
      </c>
      <c r="Z9" s="55"/>
      <c r="AA9" s="32"/>
      <c r="AB9" s="32"/>
      <c r="AC9" s="55"/>
      <c r="AD9" s="32"/>
      <c r="AE9" s="54"/>
      <c r="AF9" s="56" t="str">
        <f>IFERROR(VLOOKUP(June[[#This Row],[Drug Name3]],'Data Options'!$R$1:$S$100,2,FALSE), " ")</f>
        <v xml:space="preserve"> </v>
      </c>
      <c r="AG9" s="55"/>
      <c r="AH9" s="32"/>
      <c r="AI9" s="32"/>
      <c r="AJ9" s="55"/>
      <c r="AK9" s="32"/>
      <c r="AL9" s="32"/>
      <c r="AM9" s="32"/>
      <c r="AN9" s="32"/>
      <c r="AO9" s="32"/>
      <c r="AP9" s="31"/>
      <c r="AQ9" s="31"/>
      <c r="AR9" s="54"/>
      <c r="AS9" s="56" t="str">
        <f>IFERROR(VLOOKUP(June[[#This Row],[Drug Name4]],'Data Options'!$R$1:$S$100,2,FALSE), " ")</f>
        <v xml:space="preserve"> </v>
      </c>
      <c r="AT9" s="55"/>
      <c r="AU9" s="32"/>
      <c r="AV9" s="32"/>
      <c r="AW9" s="55"/>
      <c r="AX9" s="32"/>
      <c r="AY9" s="54"/>
      <c r="AZ9" s="56" t="str">
        <f>IFERROR(VLOOKUP(June[[#This Row],[Drug Name5]],'Data Options'!$R$1:$S$100,2,FALSE), " ")</f>
        <v xml:space="preserve"> </v>
      </c>
      <c r="BA9" s="55"/>
      <c r="BB9" s="32"/>
      <c r="BC9" s="32"/>
      <c r="BD9" s="55"/>
      <c r="BE9" s="32"/>
      <c r="BF9" s="54"/>
      <c r="BG9" s="56" t="str">
        <f>IFERROR(VLOOKUP(June[[#This Row],[Drug Name6]],'Data Options'!$R$1:$S$100,2,FALSE), " ")</f>
        <v xml:space="preserve"> </v>
      </c>
      <c r="BH9" s="55"/>
      <c r="BI9" s="32"/>
      <c r="BJ9" s="32"/>
      <c r="BK9" s="55"/>
      <c r="BL9" s="32"/>
      <c r="BM9" s="32"/>
      <c r="BN9" s="32"/>
      <c r="BO9" s="32"/>
      <c r="BP9" s="32"/>
      <c r="BQ9" s="31"/>
      <c r="BR9" s="31"/>
      <c r="BS9" s="54"/>
      <c r="BT9" s="56" t="str">
        <f>IFERROR(VLOOKUP(June[[#This Row],[Drug Name7]],'Data Options'!$R$1:$S$100,2,FALSE), " ")</f>
        <v xml:space="preserve"> </v>
      </c>
      <c r="BU9" s="55"/>
      <c r="BV9" s="32"/>
      <c r="BW9" s="32"/>
      <c r="BX9" s="55"/>
      <c r="BY9" s="32"/>
      <c r="BZ9" s="54"/>
      <c r="CA9" s="56" t="str">
        <f>IFERROR(VLOOKUP(June[[#This Row],[Drug Name8]],'Data Options'!$R$1:$S$100,2,FALSE), " ")</f>
        <v xml:space="preserve"> </v>
      </c>
      <c r="CB9" s="55"/>
      <c r="CC9" s="32"/>
      <c r="CD9" s="32"/>
      <c r="CE9" s="55"/>
      <c r="CF9" s="32"/>
      <c r="CG9" s="54"/>
      <c r="CH9" s="56" t="str">
        <f>IFERROR(VLOOKUP(June[[#This Row],[Drug Name9]],'Data Options'!$R$1:$S$100,2,FALSE), " ")</f>
        <v xml:space="preserve"> </v>
      </c>
      <c r="CI9" s="55"/>
      <c r="CJ9" s="32"/>
      <c r="CK9" s="32"/>
      <c r="CL9" s="55"/>
      <c r="CM9" s="32"/>
    </row>
    <row r="10" spans="1:91">
      <c r="A10" s="5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1"/>
      <c r="P10" s="31"/>
      <c r="Q10" s="54"/>
      <c r="R10" s="56" t="str">
        <f>IFERROR(VLOOKUP(June[[#This Row],[Drug Name]],'Data Options'!$R$1:$S$100,2,FALSE), " ")</f>
        <v xml:space="preserve"> </v>
      </c>
      <c r="S10" s="55"/>
      <c r="T10" s="32"/>
      <c r="U10" s="32"/>
      <c r="V10" s="55"/>
      <c r="W10" s="32"/>
      <c r="X10" s="54"/>
      <c r="Y10" s="56" t="str">
        <f>IFERROR(VLOOKUP(June[[#This Row],[Drug Name2]],'Data Options'!$R$1:$S$100,2,FALSE), " ")</f>
        <v xml:space="preserve"> </v>
      </c>
      <c r="Z10" s="55"/>
      <c r="AA10" s="32"/>
      <c r="AB10" s="32"/>
      <c r="AC10" s="55"/>
      <c r="AD10" s="32"/>
      <c r="AE10" s="54"/>
      <c r="AF10" s="56" t="str">
        <f>IFERROR(VLOOKUP(June[[#This Row],[Drug Name3]],'Data Options'!$R$1:$S$100,2,FALSE), " ")</f>
        <v xml:space="preserve"> </v>
      </c>
      <c r="AG10" s="55"/>
      <c r="AH10" s="32"/>
      <c r="AI10" s="32"/>
      <c r="AJ10" s="55"/>
      <c r="AK10" s="32"/>
      <c r="AL10" s="32"/>
      <c r="AM10" s="32"/>
      <c r="AN10" s="32"/>
      <c r="AO10" s="32"/>
      <c r="AP10" s="31"/>
      <c r="AQ10" s="31"/>
      <c r="AR10" s="54"/>
      <c r="AS10" s="56" t="str">
        <f>IFERROR(VLOOKUP(June[[#This Row],[Drug Name4]],'Data Options'!$R$1:$S$100,2,FALSE), " ")</f>
        <v xml:space="preserve"> </v>
      </c>
      <c r="AT10" s="55"/>
      <c r="AU10" s="32"/>
      <c r="AV10" s="32"/>
      <c r="AW10" s="55"/>
      <c r="AX10" s="32"/>
      <c r="AY10" s="54"/>
      <c r="AZ10" s="56" t="str">
        <f>IFERROR(VLOOKUP(June[[#This Row],[Drug Name5]],'Data Options'!$R$1:$S$100,2,FALSE), " ")</f>
        <v xml:space="preserve"> </v>
      </c>
      <c r="BA10" s="55"/>
      <c r="BB10" s="32"/>
      <c r="BC10" s="32"/>
      <c r="BD10" s="55"/>
      <c r="BE10" s="32"/>
      <c r="BF10" s="54"/>
      <c r="BG10" s="56" t="str">
        <f>IFERROR(VLOOKUP(June[[#This Row],[Drug Name6]],'Data Options'!$R$1:$S$100,2,FALSE), " ")</f>
        <v xml:space="preserve"> </v>
      </c>
      <c r="BH10" s="55"/>
      <c r="BI10" s="32"/>
      <c r="BJ10" s="32"/>
      <c r="BK10" s="55"/>
      <c r="BL10" s="32"/>
      <c r="BM10" s="32"/>
      <c r="BN10" s="32"/>
      <c r="BO10" s="32"/>
      <c r="BP10" s="32"/>
      <c r="BQ10" s="31"/>
      <c r="BR10" s="31"/>
      <c r="BS10" s="54"/>
      <c r="BT10" s="56" t="str">
        <f>IFERROR(VLOOKUP(June[[#This Row],[Drug Name7]],'Data Options'!$R$1:$S$100,2,FALSE), " ")</f>
        <v xml:space="preserve"> </v>
      </c>
      <c r="BU10" s="55"/>
      <c r="BV10" s="32"/>
      <c r="BW10" s="32"/>
      <c r="BX10" s="55"/>
      <c r="BY10" s="32"/>
      <c r="BZ10" s="54"/>
      <c r="CA10" s="56" t="str">
        <f>IFERROR(VLOOKUP(June[[#This Row],[Drug Name8]],'Data Options'!$R$1:$S$100,2,FALSE), " ")</f>
        <v xml:space="preserve"> </v>
      </c>
      <c r="CB10" s="55"/>
      <c r="CC10" s="32"/>
      <c r="CD10" s="32"/>
      <c r="CE10" s="55"/>
      <c r="CF10" s="32"/>
      <c r="CG10" s="54"/>
      <c r="CH10" s="56" t="str">
        <f>IFERROR(VLOOKUP(June[[#This Row],[Drug Name9]],'Data Options'!$R$1:$S$100,2,FALSE), " ")</f>
        <v xml:space="preserve"> </v>
      </c>
      <c r="CI10" s="55"/>
      <c r="CJ10" s="32"/>
      <c r="CK10" s="32"/>
      <c r="CL10" s="55"/>
      <c r="CM10" s="32"/>
    </row>
    <row r="11" spans="1:91">
      <c r="A11" s="5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1"/>
      <c r="P11" s="31"/>
      <c r="Q11" s="54"/>
      <c r="R11" s="56" t="str">
        <f>IFERROR(VLOOKUP(June[[#This Row],[Drug Name]],'Data Options'!$R$1:$S$100,2,FALSE), " ")</f>
        <v xml:space="preserve"> </v>
      </c>
      <c r="S11" s="55"/>
      <c r="T11" s="32"/>
      <c r="U11" s="32"/>
      <c r="V11" s="55"/>
      <c r="W11" s="32"/>
      <c r="X11" s="54"/>
      <c r="Y11" s="56" t="str">
        <f>IFERROR(VLOOKUP(June[[#This Row],[Drug Name2]],'Data Options'!$R$1:$S$100,2,FALSE), " ")</f>
        <v xml:space="preserve"> </v>
      </c>
      <c r="Z11" s="55"/>
      <c r="AA11" s="32"/>
      <c r="AB11" s="32"/>
      <c r="AC11" s="55"/>
      <c r="AD11" s="32"/>
      <c r="AE11" s="54"/>
      <c r="AF11" s="56" t="str">
        <f>IFERROR(VLOOKUP(June[[#This Row],[Drug Name3]],'Data Options'!$R$1:$S$100,2,FALSE), " ")</f>
        <v xml:space="preserve"> </v>
      </c>
      <c r="AG11" s="55"/>
      <c r="AH11" s="32"/>
      <c r="AI11" s="32"/>
      <c r="AJ11" s="55"/>
      <c r="AK11" s="32"/>
      <c r="AL11" s="32"/>
      <c r="AM11" s="32"/>
      <c r="AN11" s="32"/>
      <c r="AO11" s="32"/>
      <c r="AP11" s="31"/>
      <c r="AQ11" s="31"/>
      <c r="AR11" s="54"/>
      <c r="AS11" s="56" t="str">
        <f>IFERROR(VLOOKUP(June[[#This Row],[Drug Name4]],'Data Options'!$R$1:$S$100,2,FALSE), " ")</f>
        <v xml:space="preserve"> </v>
      </c>
      <c r="AT11" s="55"/>
      <c r="AU11" s="32"/>
      <c r="AV11" s="32"/>
      <c r="AW11" s="55"/>
      <c r="AX11" s="32"/>
      <c r="AY11" s="54"/>
      <c r="AZ11" s="56" t="str">
        <f>IFERROR(VLOOKUP(June[[#This Row],[Drug Name5]],'Data Options'!$R$1:$S$100,2,FALSE), " ")</f>
        <v xml:space="preserve"> </v>
      </c>
      <c r="BA11" s="55"/>
      <c r="BB11" s="32"/>
      <c r="BC11" s="32"/>
      <c r="BD11" s="55"/>
      <c r="BE11" s="32"/>
      <c r="BF11" s="54"/>
      <c r="BG11" s="56" t="str">
        <f>IFERROR(VLOOKUP(June[[#This Row],[Drug Name6]],'Data Options'!$R$1:$S$100,2,FALSE), " ")</f>
        <v xml:space="preserve"> </v>
      </c>
      <c r="BH11" s="55"/>
      <c r="BI11" s="32"/>
      <c r="BJ11" s="32"/>
      <c r="BK11" s="55"/>
      <c r="BL11" s="32"/>
      <c r="BM11" s="32"/>
      <c r="BN11" s="32"/>
      <c r="BO11" s="32"/>
      <c r="BP11" s="32"/>
      <c r="BQ11" s="31"/>
      <c r="BR11" s="31"/>
      <c r="BS11" s="54"/>
      <c r="BT11" s="56" t="str">
        <f>IFERROR(VLOOKUP(June[[#This Row],[Drug Name7]],'Data Options'!$R$1:$S$100,2,FALSE), " ")</f>
        <v xml:space="preserve"> </v>
      </c>
      <c r="BU11" s="55"/>
      <c r="BV11" s="32"/>
      <c r="BW11" s="32"/>
      <c r="BX11" s="55"/>
      <c r="BY11" s="32"/>
      <c r="BZ11" s="54"/>
      <c r="CA11" s="56" t="str">
        <f>IFERROR(VLOOKUP(June[[#This Row],[Drug Name8]],'Data Options'!$R$1:$S$100,2,FALSE), " ")</f>
        <v xml:space="preserve"> </v>
      </c>
      <c r="CB11" s="55"/>
      <c r="CC11" s="32"/>
      <c r="CD11" s="32"/>
      <c r="CE11" s="55"/>
      <c r="CF11" s="32"/>
      <c r="CG11" s="54"/>
      <c r="CH11" s="56" t="str">
        <f>IFERROR(VLOOKUP(June[[#This Row],[Drug Name9]],'Data Options'!$R$1:$S$100,2,FALSE), " ")</f>
        <v xml:space="preserve"> </v>
      </c>
      <c r="CI11" s="55"/>
      <c r="CJ11" s="32"/>
      <c r="CK11" s="32"/>
      <c r="CL11" s="55"/>
      <c r="CM11" s="32"/>
    </row>
    <row r="12" spans="1:91">
      <c r="A12" s="5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1"/>
      <c r="P12" s="31"/>
      <c r="Q12" s="54"/>
      <c r="R12" s="56" t="str">
        <f>IFERROR(VLOOKUP(June[[#This Row],[Drug Name]],'Data Options'!$R$1:$S$100,2,FALSE), " ")</f>
        <v xml:space="preserve"> </v>
      </c>
      <c r="S12" s="55"/>
      <c r="T12" s="32"/>
      <c r="U12" s="32"/>
      <c r="V12" s="55"/>
      <c r="W12" s="32"/>
      <c r="X12" s="54"/>
      <c r="Y12" s="56" t="str">
        <f>IFERROR(VLOOKUP(June[[#This Row],[Drug Name2]],'Data Options'!$R$1:$S$100,2,FALSE), " ")</f>
        <v xml:space="preserve"> </v>
      </c>
      <c r="Z12" s="55"/>
      <c r="AA12" s="32"/>
      <c r="AB12" s="32"/>
      <c r="AC12" s="55"/>
      <c r="AD12" s="32"/>
      <c r="AE12" s="54"/>
      <c r="AF12" s="56" t="str">
        <f>IFERROR(VLOOKUP(June[[#This Row],[Drug Name3]],'Data Options'!$R$1:$S$100,2,FALSE), " ")</f>
        <v xml:space="preserve"> </v>
      </c>
      <c r="AG12" s="55"/>
      <c r="AH12" s="32"/>
      <c r="AI12" s="32"/>
      <c r="AJ12" s="55"/>
      <c r="AK12" s="32"/>
      <c r="AL12" s="32"/>
      <c r="AM12" s="32"/>
      <c r="AN12" s="32"/>
      <c r="AO12" s="32"/>
      <c r="AP12" s="31"/>
      <c r="AQ12" s="31"/>
      <c r="AR12" s="54"/>
      <c r="AS12" s="56" t="str">
        <f>IFERROR(VLOOKUP(June[[#This Row],[Drug Name4]],'Data Options'!$R$1:$S$100,2,FALSE), " ")</f>
        <v xml:space="preserve"> </v>
      </c>
      <c r="AT12" s="55"/>
      <c r="AU12" s="32"/>
      <c r="AV12" s="32"/>
      <c r="AW12" s="55"/>
      <c r="AX12" s="32"/>
      <c r="AY12" s="54"/>
      <c r="AZ12" s="56" t="str">
        <f>IFERROR(VLOOKUP(June[[#This Row],[Drug Name5]],'Data Options'!$R$1:$S$100,2,FALSE), " ")</f>
        <v xml:space="preserve"> </v>
      </c>
      <c r="BA12" s="55"/>
      <c r="BB12" s="32"/>
      <c r="BC12" s="32"/>
      <c r="BD12" s="55"/>
      <c r="BE12" s="32"/>
      <c r="BF12" s="54"/>
      <c r="BG12" s="56" t="str">
        <f>IFERROR(VLOOKUP(June[[#This Row],[Drug Name6]],'Data Options'!$R$1:$S$100,2,FALSE), " ")</f>
        <v xml:space="preserve"> </v>
      </c>
      <c r="BH12" s="55"/>
      <c r="BI12" s="32"/>
      <c r="BJ12" s="32"/>
      <c r="BK12" s="55"/>
      <c r="BL12" s="32"/>
      <c r="BM12" s="32"/>
      <c r="BN12" s="32"/>
      <c r="BO12" s="32"/>
      <c r="BP12" s="32"/>
      <c r="BQ12" s="31"/>
      <c r="BR12" s="31"/>
      <c r="BS12" s="54"/>
      <c r="BT12" s="56" t="str">
        <f>IFERROR(VLOOKUP(June[[#This Row],[Drug Name7]],'Data Options'!$R$1:$S$100,2,FALSE), " ")</f>
        <v xml:space="preserve"> </v>
      </c>
      <c r="BU12" s="55"/>
      <c r="BV12" s="32"/>
      <c r="BW12" s="32"/>
      <c r="BX12" s="55"/>
      <c r="BY12" s="32"/>
      <c r="BZ12" s="54"/>
      <c r="CA12" s="56" t="str">
        <f>IFERROR(VLOOKUP(June[[#This Row],[Drug Name8]],'Data Options'!$R$1:$S$100,2,FALSE), " ")</f>
        <v xml:space="preserve"> </v>
      </c>
      <c r="CB12" s="55"/>
      <c r="CC12" s="32"/>
      <c r="CD12" s="32"/>
      <c r="CE12" s="55"/>
      <c r="CF12" s="32"/>
      <c r="CG12" s="54"/>
      <c r="CH12" s="56" t="str">
        <f>IFERROR(VLOOKUP(June[[#This Row],[Drug Name9]],'Data Options'!$R$1:$S$100,2,FALSE), " ")</f>
        <v xml:space="preserve"> </v>
      </c>
      <c r="CI12" s="55"/>
      <c r="CJ12" s="32"/>
      <c r="CK12" s="32"/>
      <c r="CL12" s="55"/>
      <c r="CM12" s="32"/>
    </row>
    <row r="13" spans="1:91">
      <c r="A13" s="5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1"/>
      <c r="P13" s="31"/>
      <c r="Q13" s="54"/>
      <c r="R13" s="56" t="str">
        <f>IFERROR(VLOOKUP(June[[#This Row],[Drug Name]],'Data Options'!$R$1:$S$100,2,FALSE), " ")</f>
        <v xml:space="preserve"> </v>
      </c>
      <c r="S13" s="55"/>
      <c r="T13" s="32"/>
      <c r="U13" s="32"/>
      <c r="V13" s="55"/>
      <c r="W13" s="32"/>
      <c r="X13" s="54"/>
      <c r="Y13" s="56" t="str">
        <f>IFERROR(VLOOKUP(June[[#This Row],[Drug Name2]],'Data Options'!$R$1:$S$100,2,FALSE), " ")</f>
        <v xml:space="preserve"> </v>
      </c>
      <c r="Z13" s="55"/>
      <c r="AA13" s="32"/>
      <c r="AB13" s="32"/>
      <c r="AC13" s="55"/>
      <c r="AD13" s="32"/>
      <c r="AE13" s="54"/>
      <c r="AF13" s="56" t="str">
        <f>IFERROR(VLOOKUP(June[[#This Row],[Drug Name3]],'Data Options'!$R$1:$S$100,2,FALSE), " ")</f>
        <v xml:space="preserve"> </v>
      </c>
      <c r="AG13" s="55"/>
      <c r="AH13" s="32"/>
      <c r="AI13" s="32"/>
      <c r="AJ13" s="55"/>
      <c r="AK13" s="32"/>
      <c r="AL13" s="32"/>
      <c r="AM13" s="32"/>
      <c r="AN13" s="32"/>
      <c r="AO13" s="32"/>
      <c r="AP13" s="31"/>
      <c r="AQ13" s="31"/>
      <c r="AR13" s="54"/>
      <c r="AS13" s="56" t="str">
        <f>IFERROR(VLOOKUP(June[[#This Row],[Drug Name4]],'Data Options'!$R$1:$S$100,2,FALSE), " ")</f>
        <v xml:space="preserve"> </v>
      </c>
      <c r="AT13" s="55"/>
      <c r="AU13" s="32"/>
      <c r="AV13" s="32"/>
      <c r="AW13" s="55"/>
      <c r="AX13" s="32"/>
      <c r="AY13" s="54"/>
      <c r="AZ13" s="56" t="str">
        <f>IFERROR(VLOOKUP(June[[#This Row],[Drug Name5]],'Data Options'!$R$1:$S$100,2,FALSE), " ")</f>
        <v xml:space="preserve"> </v>
      </c>
      <c r="BA13" s="55"/>
      <c r="BB13" s="32"/>
      <c r="BC13" s="32"/>
      <c r="BD13" s="55"/>
      <c r="BE13" s="32"/>
      <c r="BF13" s="54"/>
      <c r="BG13" s="56" t="str">
        <f>IFERROR(VLOOKUP(June[[#This Row],[Drug Name6]],'Data Options'!$R$1:$S$100,2,FALSE), " ")</f>
        <v xml:space="preserve"> </v>
      </c>
      <c r="BH13" s="55"/>
      <c r="BI13" s="32"/>
      <c r="BJ13" s="32"/>
      <c r="BK13" s="55"/>
      <c r="BL13" s="32"/>
      <c r="BM13" s="32"/>
      <c r="BN13" s="32"/>
      <c r="BO13" s="32"/>
      <c r="BP13" s="32"/>
      <c r="BQ13" s="31"/>
      <c r="BR13" s="31"/>
      <c r="BS13" s="54"/>
      <c r="BT13" s="56" t="str">
        <f>IFERROR(VLOOKUP(June[[#This Row],[Drug Name7]],'Data Options'!$R$1:$S$100,2,FALSE), " ")</f>
        <v xml:space="preserve"> </v>
      </c>
      <c r="BU13" s="55"/>
      <c r="BV13" s="32"/>
      <c r="BW13" s="32"/>
      <c r="BX13" s="55"/>
      <c r="BY13" s="32"/>
      <c r="BZ13" s="54"/>
      <c r="CA13" s="56" t="str">
        <f>IFERROR(VLOOKUP(June[[#This Row],[Drug Name8]],'Data Options'!$R$1:$S$100,2,FALSE), " ")</f>
        <v xml:space="preserve"> </v>
      </c>
      <c r="CB13" s="55"/>
      <c r="CC13" s="32"/>
      <c r="CD13" s="32"/>
      <c r="CE13" s="55"/>
      <c r="CF13" s="32"/>
      <c r="CG13" s="54"/>
      <c r="CH13" s="56" t="str">
        <f>IFERROR(VLOOKUP(June[[#This Row],[Drug Name9]],'Data Options'!$R$1:$S$100,2,FALSE), " ")</f>
        <v xml:space="preserve"> </v>
      </c>
      <c r="CI13" s="55"/>
      <c r="CJ13" s="32"/>
      <c r="CK13" s="32"/>
      <c r="CL13" s="55"/>
      <c r="CM13" s="32"/>
    </row>
    <row r="14" spans="1:91">
      <c r="A14" s="5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54"/>
      <c r="R14" s="56" t="str">
        <f>IFERROR(VLOOKUP(June[[#This Row],[Drug Name]],'Data Options'!$R$1:$S$100,2,FALSE), " ")</f>
        <v xml:space="preserve"> </v>
      </c>
      <c r="S14" s="55"/>
      <c r="T14" s="32"/>
      <c r="U14" s="32"/>
      <c r="V14" s="55"/>
      <c r="W14" s="32"/>
      <c r="X14" s="54"/>
      <c r="Y14" s="56" t="str">
        <f>IFERROR(VLOOKUP(June[[#This Row],[Drug Name2]],'Data Options'!$R$1:$S$100,2,FALSE), " ")</f>
        <v xml:space="preserve"> </v>
      </c>
      <c r="Z14" s="55"/>
      <c r="AA14" s="32"/>
      <c r="AB14" s="32"/>
      <c r="AC14" s="55"/>
      <c r="AD14" s="32"/>
      <c r="AE14" s="54"/>
      <c r="AF14" s="56" t="str">
        <f>IFERROR(VLOOKUP(June[[#This Row],[Drug Name3]],'Data Options'!$R$1:$S$100,2,FALSE), " ")</f>
        <v xml:space="preserve"> </v>
      </c>
      <c r="AG14" s="55"/>
      <c r="AH14" s="32"/>
      <c r="AI14" s="32"/>
      <c r="AJ14" s="55"/>
      <c r="AK14" s="32"/>
      <c r="AL14" s="32"/>
      <c r="AM14" s="32"/>
      <c r="AN14" s="32"/>
      <c r="AO14" s="32"/>
      <c r="AP14" s="31"/>
      <c r="AQ14" s="31"/>
      <c r="AR14" s="54"/>
      <c r="AS14" s="56" t="str">
        <f>IFERROR(VLOOKUP(June[[#This Row],[Drug Name4]],'Data Options'!$R$1:$S$100,2,FALSE), " ")</f>
        <v xml:space="preserve"> </v>
      </c>
      <c r="AT14" s="55"/>
      <c r="AU14" s="32"/>
      <c r="AV14" s="32"/>
      <c r="AW14" s="55"/>
      <c r="AX14" s="32"/>
      <c r="AY14" s="54"/>
      <c r="AZ14" s="56" t="str">
        <f>IFERROR(VLOOKUP(June[[#This Row],[Drug Name5]],'Data Options'!$R$1:$S$100,2,FALSE), " ")</f>
        <v xml:space="preserve"> </v>
      </c>
      <c r="BA14" s="55"/>
      <c r="BB14" s="32"/>
      <c r="BC14" s="32"/>
      <c r="BD14" s="55"/>
      <c r="BE14" s="32"/>
      <c r="BF14" s="54"/>
      <c r="BG14" s="56" t="str">
        <f>IFERROR(VLOOKUP(June[[#This Row],[Drug Name6]],'Data Options'!$R$1:$S$100,2,FALSE), " ")</f>
        <v xml:space="preserve"> </v>
      </c>
      <c r="BH14" s="55"/>
      <c r="BI14" s="32"/>
      <c r="BJ14" s="32"/>
      <c r="BK14" s="55"/>
      <c r="BL14" s="32"/>
      <c r="BM14" s="32"/>
      <c r="BN14" s="32"/>
      <c r="BO14" s="32"/>
      <c r="BP14" s="32"/>
      <c r="BQ14" s="31"/>
      <c r="BR14" s="31"/>
      <c r="BS14" s="54"/>
      <c r="BT14" s="56" t="str">
        <f>IFERROR(VLOOKUP(June[[#This Row],[Drug Name7]],'Data Options'!$R$1:$S$100,2,FALSE), " ")</f>
        <v xml:space="preserve"> </v>
      </c>
      <c r="BU14" s="55"/>
      <c r="BV14" s="32"/>
      <c r="BW14" s="32"/>
      <c r="BX14" s="55"/>
      <c r="BY14" s="32"/>
      <c r="BZ14" s="54"/>
      <c r="CA14" s="56" t="str">
        <f>IFERROR(VLOOKUP(June[[#This Row],[Drug Name8]],'Data Options'!$R$1:$S$100,2,FALSE), " ")</f>
        <v xml:space="preserve"> </v>
      </c>
      <c r="CB14" s="55"/>
      <c r="CC14" s="32"/>
      <c r="CD14" s="32"/>
      <c r="CE14" s="55"/>
      <c r="CF14" s="32"/>
      <c r="CG14" s="54"/>
      <c r="CH14" s="56" t="str">
        <f>IFERROR(VLOOKUP(June[[#This Row],[Drug Name9]],'Data Options'!$R$1:$S$100,2,FALSE), " ")</f>
        <v xml:space="preserve"> </v>
      </c>
      <c r="CI14" s="55"/>
      <c r="CJ14" s="32"/>
      <c r="CK14" s="32"/>
      <c r="CL14" s="55"/>
      <c r="CM14" s="32"/>
    </row>
    <row r="15" spans="1:91">
      <c r="A15" s="5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54"/>
      <c r="R15" s="56" t="str">
        <f>IFERROR(VLOOKUP(June[[#This Row],[Drug Name]],'Data Options'!$R$1:$S$100,2,FALSE), " ")</f>
        <v xml:space="preserve"> </v>
      </c>
      <c r="S15" s="55"/>
      <c r="T15" s="32"/>
      <c r="U15" s="32"/>
      <c r="V15" s="55"/>
      <c r="W15" s="32"/>
      <c r="X15" s="54"/>
      <c r="Y15" s="56" t="str">
        <f>IFERROR(VLOOKUP(June[[#This Row],[Drug Name2]],'Data Options'!$R$1:$S$100,2,FALSE), " ")</f>
        <v xml:space="preserve"> </v>
      </c>
      <c r="Z15" s="55"/>
      <c r="AA15" s="32"/>
      <c r="AB15" s="32"/>
      <c r="AC15" s="55"/>
      <c r="AD15" s="32"/>
      <c r="AE15" s="54"/>
      <c r="AF15" s="56" t="str">
        <f>IFERROR(VLOOKUP(June[[#This Row],[Drug Name3]],'Data Options'!$R$1:$S$100,2,FALSE), " ")</f>
        <v xml:space="preserve"> </v>
      </c>
      <c r="AG15" s="55"/>
      <c r="AH15" s="32"/>
      <c r="AI15" s="32"/>
      <c r="AJ15" s="55"/>
      <c r="AK15" s="32"/>
      <c r="AL15" s="32"/>
      <c r="AM15" s="32"/>
      <c r="AN15" s="32"/>
      <c r="AO15" s="32"/>
      <c r="AP15" s="31"/>
      <c r="AQ15" s="31"/>
      <c r="AR15" s="54"/>
      <c r="AS15" s="56" t="str">
        <f>IFERROR(VLOOKUP(June[[#This Row],[Drug Name4]],'Data Options'!$R$1:$S$100,2,FALSE), " ")</f>
        <v xml:space="preserve"> </v>
      </c>
      <c r="AT15" s="55"/>
      <c r="AU15" s="32"/>
      <c r="AV15" s="32"/>
      <c r="AW15" s="55"/>
      <c r="AX15" s="32"/>
      <c r="AY15" s="54"/>
      <c r="AZ15" s="56" t="str">
        <f>IFERROR(VLOOKUP(June[[#This Row],[Drug Name5]],'Data Options'!$R$1:$S$100,2,FALSE), " ")</f>
        <v xml:space="preserve"> </v>
      </c>
      <c r="BA15" s="55"/>
      <c r="BB15" s="32"/>
      <c r="BC15" s="32"/>
      <c r="BD15" s="55"/>
      <c r="BE15" s="32"/>
      <c r="BF15" s="54"/>
      <c r="BG15" s="56" t="str">
        <f>IFERROR(VLOOKUP(June[[#This Row],[Drug Name6]],'Data Options'!$R$1:$S$100,2,FALSE), " ")</f>
        <v xml:space="preserve"> </v>
      </c>
      <c r="BH15" s="55"/>
      <c r="BI15" s="32"/>
      <c r="BJ15" s="32"/>
      <c r="BK15" s="55"/>
      <c r="BL15" s="32"/>
      <c r="BM15" s="32"/>
      <c r="BN15" s="32"/>
      <c r="BO15" s="32"/>
      <c r="BP15" s="32"/>
      <c r="BQ15" s="31"/>
      <c r="BR15" s="31"/>
      <c r="BS15" s="54"/>
      <c r="BT15" s="56" t="str">
        <f>IFERROR(VLOOKUP(June[[#This Row],[Drug Name7]],'Data Options'!$R$1:$S$100,2,FALSE), " ")</f>
        <v xml:space="preserve"> </v>
      </c>
      <c r="BU15" s="55"/>
      <c r="BV15" s="32"/>
      <c r="BW15" s="32"/>
      <c r="BX15" s="55"/>
      <c r="BY15" s="32"/>
      <c r="BZ15" s="54"/>
      <c r="CA15" s="56" t="str">
        <f>IFERROR(VLOOKUP(June[[#This Row],[Drug Name8]],'Data Options'!$R$1:$S$100,2,FALSE), " ")</f>
        <v xml:space="preserve"> </v>
      </c>
      <c r="CB15" s="55"/>
      <c r="CC15" s="32"/>
      <c r="CD15" s="32"/>
      <c r="CE15" s="55"/>
      <c r="CF15" s="32"/>
      <c r="CG15" s="54"/>
      <c r="CH15" s="56" t="str">
        <f>IFERROR(VLOOKUP(June[[#This Row],[Drug Name9]],'Data Options'!$R$1:$S$100,2,FALSE), " ")</f>
        <v xml:space="preserve"> </v>
      </c>
      <c r="CI15" s="55"/>
      <c r="CJ15" s="32"/>
      <c r="CK15" s="32"/>
      <c r="CL15" s="55"/>
      <c r="CM15" s="32"/>
    </row>
    <row r="16" spans="1:91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1"/>
      <c r="Q16" s="54"/>
      <c r="R16" s="56" t="str">
        <f>IFERROR(VLOOKUP(June[[#This Row],[Drug Name]],'Data Options'!$R$1:$S$100,2,FALSE), " ")</f>
        <v xml:space="preserve"> </v>
      </c>
      <c r="S16" s="55"/>
      <c r="T16" s="32"/>
      <c r="U16" s="32"/>
      <c r="V16" s="55"/>
      <c r="W16" s="32"/>
      <c r="X16" s="54"/>
      <c r="Y16" s="56" t="str">
        <f>IFERROR(VLOOKUP(June[[#This Row],[Drug Name2]],'Data Options'!$R$1:$S$100,2,FALSE), " ")</f>
        <v xml:space="preserve"> </v>
      </c>
      <c r="Z16" s="55"/>
      <c r="AA16" s="32"/>
      <c r="AB16" s="32"/>
      <c r="AC16" s="55"/>
      <c r="AD16" s="32"/>
      <c r="AE16" s="54"/>
      <c r="AF16" s="56" t="str">
        <f>IFERROR(VLOOKUP(June[[#This Row],[Drug Name3]],'Data Options'!$R$1:$S$100,2,FALSE), " ")</f>
        <v xml:space="preserve"> </v>
      </c>
      <c r="AG16" s="55"/>
      <c r="AH16" s="32"/>
      <c r="AI16" s="32"/>
      <c r="AJ16" s="55"/>
      <c r="AK16" s="32"/>
      <c r="AL16" s="32"/>
      <c r="AM16" s="32"/>
      <c r="AN16" s="32"/>
      <c r="AO16" s="32"/>
      <c r="AP16" s="31"/>
      <c r="AQ16" s="31"/>
      <c r="AR16" s="54"/>
      <c r="AS16" s="56" t="str">
        <f>IFERROR(VLOOKUP(June[[#This Row],[Drug Name4]],'Data Options'!$R$1:$S$100,2,FALSE), " ")</f>
        <v xml:space="preserve"> </v>
      </c>
      <c r="AT16" s="55"/>
      <c r="AU16" s="32"/>
      <c r="AV16" s="32"/>
      <c r="AW16" s="55"/>
      <c r="AX16" s="32"/>
      <c r="AY16" s="54"/>
      <c r="AZ16" s="56" t="str">
        <f>IFERROR(VLOOKUP(June[[#This Row],[Drug Name5]],'Data Options'!$R$1:$S$100,2,FALSE), " ")</f>
        <v xml:space="preserve"> </v>
      </c>
      <c r="BA16" s="55"/>
      <c r="BB16" s="32"/>
      <c r="BC16" s="32"/>
      <c r="BD16" s="55"/>
      <c r="BE16" s="32"/>
      <c r="BF16" s="54"/>
      <c r="BG16" s="56" t="str">
        <f>IFERROR(VLOOKUP(June[[#This Row],[Drug Name6]],'Data Options'!$R$1:$S$100,2,FALSE), " ")</f>
        <v xml:space="preserve"> </v>
      </c>
      <c r="BH16" s="55"/>
      <c r="BI16" s="32"/>
      <c r="BJ16" s="32"/>
      <c r="BK16" s="55"/>
      <c r="BL16" s="32"/>
      <c r="BM16" s="32"/>
      <c r="BN16" s="32"/>
      <c r="BO16" s="32"/>
      <c r="BP16" s="32"/>
      <c r="BQ16" s="31"/>
      <c r="BR16" s="31"/>
      <c r="BS16" s="54"/>
      <c r="BT16" s="56" t="str">
        <f>IFERROR(VLOOKUP(June[[#This Row],[Drug Name7]],'Data Options'!$R$1:$S$100,2,FALSE), " ")</f>
        <v xml:space="preserve"> </v>
      </c>
      <c r="BU16" s="55"/>
      <c r="BV16" s="32"/>
      <c r="BW16" s="32"/>
      <c r="BX16" s="55"/>
      <c r="BY16" s="32"/>
      <c r="BZ16" s="54"/>
      <c r="CA16" s="56" t="str">
        <f>IFERROR(VLOOKUP(June[[#This Row],[Drug Name8]],'Data Options'!$R$1:$S$100,2,FALSE), " ")</f>
        <v xml:space="preserve"> </v>
      </c>
      <c r="CB16" s="55"/>
      <c r="CC16" s="32"/>
      <c r="CD16" s="32"/>
      <c r="CE16" s="55"/>
      <c r="CF16" s="32"/>
      <c r="CG16" s="54"/>
      <c r="CH16" s="56" t="str">
        <f>IFERROR(VLOOKUP(June[[#This Row],[Drug Name9]],'Data Options'!$R$1:$S$100,2,FALSE), " ")</f>
        <v xml:space="preserve"> </v>
      </c>
      <c r="CI16" s="55"/>
      <c r="CJ16" s="32"/>
      <c r="CK16" s="32"/>
      <c r="CL16" s="55"/>
      <c r="CM16" s="32"/>
    </row>
    <row r="17" spans="1:91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1"/>
      <c r="Q17" s="54"/>
      <c r="R17" s="56" t="str">
        <f>IFERROR(VLOOKUP(June[[#This Row],[Drug Name]],'Data Options'!$R$1:$S$100,2,FALSE), " ")</f>
        <v xml:space="preserve"> </v>
      </c>
      <c r="S17" s="55"/>
      <c r="T17" s="32"/>
      <c r="U17" s="32"/>
      <c r="V17" s="55"/>
      <c r="W17" s="32"/>
      <c r="X17" s="54"/>
      <c r="Y17" s="56" t="str">
        <f>IFERROR(VLOOKUP(June[[#This Row],[Drug Name2]],'Data Options'!$R$1:$S$100,2,FALSE), " ")</f>
        <v xml:space="preserve"> </v>
      </c>
      <c r="Z17" s="55"/>
      <c r="AA17" s="32"/>
      <c r="AB17" s="32"/>
      <c r="AC17" s="55"/>
      <c r="AD17" s="32"/>
      <c r="AE17" s="54"/>
      <c r="AF17" s="56" t="str">
        <f>IFERROR(VLOOKUP(June[[#This Row],[Drug Name3]],'Data Options'!$R$1:$S$100,2,FALSE), " ")</f>
        <v xml:space="preserve"> </v>
      </c>
      <c r="AG17" s="55"/>
      <c r="AH17" s="32"/>
      <c r="AI17" s="32"/>
      <c r="AJ17" s="55"/>
      <c r="AK17" s="32"/>
      <c r="AL17" s="32"/>
      <c r="AM17" s="32"/>
      <c r="AN17" s="32"/>
      <c r="AO17" s="32"/>
      <c r="AP17" s="31"/>
      <c r="AQ17" s="31"/>
      <c r="AR17" s="54"/>
      <c r="AS17" s="56" t="str">
        <f>IFERROR(VLOOKUP(June[[#This Row],[Drug Name4]],'Data Options'!$R$1:$S$100,2,FALSE), " ")</f>
        <v xml:space="preserve"> </v>
      </c>
      <c r="AT17" s="55"/>
      <c r="AU17" s="32"/>
      <c r="AV17" s="32"/>
      <c r="AW17" s="55"/>
      <c r="AX17" s="32"/>
      <c r="AY17" s="54"/>
      <c r="AZ17" s="56" t="str">
        <f>IFERROR(VLOOKUP(June[[#This Row],[Drug Name5]],'Data Options'!$R$1:$S$100,2,FALSE), " ")</f>
        <v xml:space="preserve"> </v>
      </c>
      <c r="BA17" s="55"/>
      <c r="BB17" s="32"/>
      <c r="BC17" s="32"/>
      <c r="BD17" s="55"/>
      <c r="BE17" s="32"/>
      <c r="BF17" s="54"/>
      <c r="BG17" s="56" t="str">
        <f>IFERROR(VLOOKUP(June[[#This Row],[Drug Name6]],'Data Options'!$R$1:$S$100,2,FALSE), " ")</f>
        <v xml:space="preserve"> </v>
      </c>
      <c r="BH17" s="55"/>
      <c r="BI17" s="32"/>
      <c r="BJ17" s="32"/>
      <c r="BK17" s="55"/>
      <c r="BL17" s="32"/>
      <c r="BM17" s="32"/>
      <c r="BN17" s="32"/>
      <c r="BO17" s="32"/>
      <c r="BP17" s="32"/>
      <c r="BQ17" s="31"/>
      <c r="BR17" s="31"/>
      <c r="BS17" s="54"/>
      <c r="BT17" s="56" t="str">
        <f>IFERROR(VLOOKUP(June[[#This Row],[Drug Name7]],'Data Options'!$R$1:$S$100,2,FALSE), " ")</f>
        <v xml:space="preserve"> </v>
      </c>
      <c r="BU17" s="55"/>
      <c r="BV17" s="32"/>
      <c r="BW17" s="32"/>
      <c r="BX17" s="55"/>
      <c r="BY17" s="32"/>
      <c r="BZ17" s="54"/>
      <c r="CA17" s="56" t="str">
        <f>IFERROR(VLOOKUP(June[[#This Row],[Drug Name8]],'Data Options'!$R$1:$S$100,2,FALSE), " ")</f>
        <v xml:space="preserve"> </v>
      </c>
      <c r="CB17" s="55"/>
      <c r="CC17" s="32"/>
      <c r="CD17" s="32"/>
      <c r="CE17" s="55"/>
      <c r="CF17" s="32"/>
      <c r="CG17" s="54"/>
      <c r="CH17" s="56" t="str">
        <f>IFERROR(VLOOKUP(June[[#This Row],[Drug Name9]],'Data Options'!$R$1:$S$100,2,FALSE), " ")</f>
        <v xml:space="preserve"> </v>
      </c>
      <c r="CI17" s="55"/>
      <c r="CJ17" s="32"/>
      <c r="CK17" s="32"/>
      <c r="CL17" s="55"/>
      <c r="CM17" s="32"/>
    </row>
    <row r="18" spans="1:9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1"/>
      <c r="Q18" s="54"/>
      <c r="R18" s="56" t="str">
        <f>IFERROR(VLOOKUP(June[[#This Row],[Drug Name]],'Data Options'!$R$1:$S$100,2,FALSE), " ")</f>
        <v xml:space="preserve"> </v>
      </c>
      <c r="S18" s="55"/>
      <c r="T18" s="32"/>
      <c r="U18" s="32"/>
      <c r="V18" s="55"/>
      <c r="W18" s="32"/>
      <c r="X18" s="54"/>
      <c r="Y18" s="56" t="str">
        <f>IFERROR(VLOOKUP(June[[#This Row],[Drug Name2]],'Data Options'!$R$1:$S$100,2,FALSE), " ")</f>
        <v xml:space="preserve"> </v>
      </c>
      <c r="Z18" s="55"/>
      <c r="AA18" s="32"/>
      <c r="AB18" s="32"/>
      <c r="AC18" s="55"/>
      <c r="AD18" s="32"/>
      <c r="AE18" s="54"/>
      <c r="AF18" s="56" t="str">
        <f>IFERROR(VLOOKUP(June[[#This Row],[Drug Name3]],'Data Options'!$R$1:$S$100,2,FALSE), " ")</f>
        <v xml:space="preserve"> </v>
      </c>
      <c r="AG18" s="55"/>
      <c r="AH18" s="32"/>
      <c r="AI18" s="32"/>
      <c r="AJ18" s="55"/>
      <c r="AK18" s="32"/>
      <c r="AL18" s="32"/>
      <c r="AM18" s="32"/>
      <c r="AN18" s="32"/>
      <c r="AO18" s="32"/>
      <c r="AP18" s="31"/>
      <c r="AQ18" s="31"/>
      <c r="AR18" s="54"/>
      <c r="AS18" s="56" t="str">
        <f>IFERROR(VLOOKUP(June[[#This Row],[Drug Name4]],'Data Options'!$R$1:$S$100,2,FALSE), " ")</f>
        <v xml:space="preserve"> </v>
      </c>
      <c r="AT18" s="55"/>
      <c r="AU18" s="32"/>
      <c r="AV18" s="32"/>
      <c r="AW18" s="55"/>
      <c r="AX18" s="32"/>
      <c r="AY18" s="54"/>
      <c r="AZ18" s="56" t="str">
        <f>IFERROR(VLOOKUP(June[[#This Row],[Drug Name5]],'Data Options'!$R$1:$S$100,2,FALSE), " ")</f>
        <v xml:space="preserve"> </v>
      </c>
      <c r="BA18" s="55"/>
      <c r="BB18" s="32"/>
      <c r="BC18" s="32"/>
      <c r="BD18" s="55"/>
      <c r="BE18" s="32"/>
      <c r="BF18" s="54"/>
      <c r="BG18" s="56" t="str">
        <f>IFERROR(VLOOKUP(June[[#This Row],[Drug Name6]],'Data Options'!$R$1:$S$100,2,FALSE), " ")</f>
        <v xml:space="preserve"> </v>
      </c>
      <c r="BH18" s="55"/>
      <c r="BI18" s="32"/>
      <c r="BJ18" s="32"/>
      <c r="BK18" s="55"/>
      <c r="BL18" s="32"/>
      <c r="BM18" s="32"/>
      <c r="BN18" s="32"/>
      <c r="BO18" s="32"/>
      <c r="BP18" s="32"/>
      <c r="BQ18" s="31"/>
      <c r="BR18" s="31"/>
      <c r="BS18" s="54"/>
      <c r="BT18" s="56" t="str">
        <f>IFERROR(VLOOKUP(June[[#This Row],[Drug Name7]],'Data Options'!$R$1:$S$100,2,FALSE), " ")</f>
        <v xml:space="preserve"> </v>
      </c>
      <c r="BU18" s="55"/>
      <c r="BV18" s="32"/>
      <c r="BW18" s="32"/>
      <c r="BX18" s="55"/>
      <c r="BY18" s="32"/>
      <c r="BZ18" s="54"/>
      <c r="CA18" s="56" t="str">
        <f>IFERROR(VLOOKUP(June[[#This Row],[Drug Name8]],'Data Options'!$R$1:$S$100,2,FALSE), " ")</f>
        <v xml:space="preserve"> </v>
      </c>
      <c r="CB18" s="55"/>
      <c r="CC18" s="32"/>
      <c r="CD18" s="32"/>
      <c r="CE18" s="55"/>
      <c r="CF18" s="32"/>
      <c r="CG18" s="54"/>
      <c r="CH18" s="56" t="str">
        <f>IFERROR(VLOOKUP(June[[#This Row],[Drug Name9]],'Data Options'!$R$1:$S$100,2,FALSE), " ")</f>
        <v xml:space="preserve"> </v>
      </c>
      <c r="CI18" s="55"/>
      <c r="CJ18" s="32"/>
      <c r="CK18" s="32"/>
      <c r="CL18" s="55"/>
      <c r="CM18" s="32"/>
    </row>
    <row r="19" spans="1:9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54"/>
      <c r="R19" s="56" t="str">
        <f>IFERROR(VLOOKUP(June[[#This Row],[Drug Name]],'Data Options'!$R$1:$S$100,2,FALSE), " ")</f>
        <v xml:space="preserve"> </v>
      </c>
      <c r="S19" s="55"/>
      <c r="T19" s="32"/>
      <c r="U19" s="32"/>
      <c r="V19" s="55"/>
      <c r="W19" s="32"/>
      <c r="X19" s="54"/>
      <c r="Y19" s="56" t="str">
        <f>IFERROR(VLOOKUP(June[[#This Row],[Drug Name2]],'Data Options'!$R$1:$S$100,2,FALSE), " ")</f>
        <v xml:space="preserve"> </v>
      </c>
      <c r="Z19" s="55"/>
      <c r="AA19" s="32"/>
      <c r="AB19" s="32"/>
      <c r="AC19" s="55"/>
      <c r="AD19" s="32"/>
      <c r="AE19" s="54"/>
      <c r="AF19" s="56" t="str">
        <f>IFERROR(VLOOKUP(June[[#This Row],[Drug Name3]],'Data Options'!$R$1:$S$100,2,FALSE), " ")</f>
        <v xml:space="preserve"> </v>
      </c>
      <c r="AG19" s="55"/>
      <c r="AH19" s="32"/>
      <c r="AI19" s="32"/>
      <c r="AJ19" s="55"/>
      <c r="AK19" s="32"/>
      <c r="AL19" s="32"/>
      <c r="AM19" s="32"/>
      <c r="AN19" s="32"/>
      <c r="AO19" s="32"/>
      <c r="AP19" s="31"/>
      <c r="AQ19" s="31"/>
      <c r="AR19" s="54"/>
      <c r="AS19" s="56" t="str">
        <f>IFERROR(VLOOKUP(June[[#This Row],[Drug Name4]],'Data Options'!$R$1:$S$100,2,FALSE), " ")</f>
        <v xml:space="preserve"> </v>
      </c>
      <c r="AT19" s="55"/>
      <c r="AU19" s="32"/>
      <c r="AV19" s="32"/>
      <c r="AW19" s="55"/>
      <c r="AX19" s="32"/>
      <c r="AY19" s="54"/>
      <c r="AZ19" s="56" t="str">
        <f>IFERROR(VLOOKUP(June[[#This Row],[Drug Name5]],'Data Options'!$R$1:$S$100,2,FALSE), " ")</f>
        <v xml:space="preserve"> </v>
      </c>
      <c r="BA19" s="55"/>
      <c r="BB19" s="32"/>
      <c r="BC19" s="32"/>
      <c r="BD19" s="55"/>
      <c r="BE19" s="32"/>
      <c r="BF19" s="54"/>
      <c r="BG19" s="56" t="str">
        <f>IFERROR(VLOOKUP(June[[#This Row],[Drug Name6]],'Data Options'!$R$1:$S$100,2,FALSE), " ")</f>
        <v xml:space="preserve"> </v>
      </c>
      <c r="BH19" s="55"/>
      <c r="BI19" s="32"/>
      <c r="BJ19" s="32"/>
      <c r="BK19" s="55"/>
      <c r="BL19" s="32"/>
      <c r="BM19" s="32"/>
      <c r="BN19" s="32"/>
      <c r="BO19" s="32"/>
      <c r="BP19" s="32"/>
      <c r="BQ19" s="31"/>
      <c r="BR19" s="31"/>
      <c r="BS19" s="54"/>
      <c r="BT19" s="56" t="str">
        <f>IFERROR(VLOOKUP(June[[#This Row],[Drug Name7]],'Data Options'!$R$1:$S$100,2,FALSE), " ")</f>
        <v xml:space="preserve"> </v>
      </c>
      <c r="BU19" s="55"/>
      <c r="BV19" s="32"/>
      <c r="BW19" s="32"/>
      <c r="BX19" s="55"/>
      <c r="BY19" s="32"/>
      <c r="BZ19" s="54"/>
      <c r="CA19" s="56" t="str">
        <f>IFERROR(VLOOKUP(June[[#This Row],[Drug Name8]],'Data Options'!$R$1:$S$100,2,FALSE), " ")</f>
        <v xml:space="preserve"> </v>
      </c>
      <c r="CB19" s="55"/>
      <c r="CC19" s="32"/>
      <c r="CD19" s="32"/>
      <c r="CE19" s="55"/>
      <c r="CF19" s="32"/>
      <c r="CG19" s="54"/>
      <c r="CH19" s="56" t="str">
        <f>IFERROR(VLOOKUP(June[[#This Row],[Drug Name9]],'Data Options'!$R$1:$S$100,2,FALSE), " ")</f>
        <v xml:space="preserve"> </v>
      </c>
      <c r="CI19" s="55"/>
      <c r="CJ19" s="32"/>
      <c r="CK19" s="32"/>
      <c r="CL19" s="55"/>
      <c r="CM19" s="32"/>
    </row>
    <row r="20" spans="1:9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1"/>
      <c r="Q20" s="54"/>
      <c r="R20" s="56" t="str">
        <f>IFERROR(VLOOKUP(June[[#This Row],[Drug Name]],'Data Options'!$R$1:$S$100,2,FALSE), " ")</f>
        <v xml:space="preserve"> </v>
      </c>
      <c r="S20" s="55"/>
      <c r="T20" s="32"/>
      <c r="U20" s="32"/>
      <c r="V20" s="55"/>
      <c r="W20" s="32"/>
      <c r="X20" s="54"/>
      <c r="Y20" s="56" t="str">
        <f>IFERROR(VLOOKUP(June[[#This Row],[Drug Name2]],'Data Options'!$R$1:$S$100,2,FALSE), " ")</f>
        <v xml:space="preserve"> </v>
      </c>
      <c r="Z20" s="55"/>
      <c r="AA20" s="32"/>
      <c r="AB20" s="32"/>
      <c r="AC20" s="55"/>
      <c r="AD20" s="32"/>
      <c r="AE20" s="54"/>
      <c r="AF20" s="56" t="str">
        <f>IFERROR(VLOOKUP(June[[#This Row],[Drug Name3]],'Data Options'!$R$1:$S$100,2,FALSE), " ")</f>
        <v xml:space="preserve"> </v>
      </c>
      <c r="AG20" s="55"/>
      <c r="AH20" s="32"/>
      <c r="AI20" s="32"/>
      <c r="AJ20" s="55"/>
      <c r="AK20" s="32"/>
      <c r="AL20" s="32"/>
      <c r="AM20" s="32"/>
      <c r="AN20" s="32"/>
      <c r="AO20" s="32"/>
      <c r="AP20" s="31"/>
      <c r="AQ20" s="31"/>
      <c r="AR20" s="54"/>
      <c r="AS20" s="56" t="str">
        <f>IFERROR(VLOOKUP(June[[#This Row],[Drug Name4]],'Data Options'!$R$1:$S$100,2,FALSE), " ")</f>
        <v xml:space="preserve"> </v>
      </c>
      <c r="AT20" s="55"/>
      <c r="AU20" s="32"/>
      <c r="AV20" s="32"/>
      <c r="AW20" s="55"/>
      <c r="AX20" s="32"/>
      <c r="AY20" s="54"/>
      <c r="AZ20" s="56" t="str">
        <f>IFERROR(VLOOKUP(June[[#This Row],[Drug Name5]],'Data Options'!$R$1:$S$100,2,FALSE), " ")</f>
        <v xml:space="preserve"> </v>
      </c>
      <c r="BA20" s="55"/>
      <c r="BB20" s="32"/>
      <c r="BC20" s="32"/>
      <c r="BD20" s="55"/>
      <c r="BE20" s="32"/>
      <c r="BF20" s="54"/>
      <c r="BG20" s="56" t="str">
        <f>IFERROR(VLOOKUP(June[[#This Row],[Drug Name6]],'Data Options'!$R$1:$S$100,2,FALSE), " ")</f>
        <v xml:space="preserve"> </v>
      </c>
      <c r="BH20" s="55"/>
      <c r="BI20" s="32"/>
      <c r="BJ20" s="32"/>
      <c r="BK20" s="55"/>
      <c r="BL20" s="32"/>
      <c r="BM20" s="32"/>
      <c r="BN20" s="32"/>
      <c r="BO20" s="32"/>
      <c r="BP20" s="32"/>
      <c r="BQ20" s="31"/>
      <c r="BR20" s="31"/>
      <c r="BS20" s="54"/>
      <c r="BT20" s="56" t="str">
        <f>IFERROR(VLOOKUP(June[[#This Row],[Drug Name7]],'Data Options'!$R$1:$S$100,2,FALSE), " ")</f>
        <v xml:space="preserve"> </v>
      </c>
      <c r="BU20" s="55"/>
      <c r="BV20" s="32"/>
      <c r="BW20" s="32"/>
      <c r="BX20" s="55"/>
      <c r="BY20" s="32"/>
      <c r="BZ20" s="54"/>
      <c r="CA20" s="56" t="str">
        <f>IFERROR(VLOOKUP(June[[#This Row],[Drug Name8]],'Data Options'!$R$1:$S$100,2,FALSE), " ")</f>
        <v xml:space="preserve"> </v>
      </c>
      <c r="CB20" s="55"/>
      <c r="CC20" s="32"/>
      <c r="CD20" s="32"/>
      <c r="CE20" s="55"/>
      <c r="CF20" s="32"/>
      <c r="CG20" s="54"/>
      <c r="CH20" s="56" t="str">
        <f>IFERROR(VLOOKUP(June[[#This Row],[Drug Name9]],'Data Options'!$R$1:$S$100,2,FALSE), " ")</f>
        <v xml:space="preserve"> </v>
      </c>
      <c r="CI20" s="55"/>
      <c r="CJ20" s="32"/>
      <c r="CK20" s="32"/>
      <c r="CL20" s="55"/>
      <c r="CM20" s="32"/>
    </row>
    <row r="21" spans="1:91">
      <c r="A21" s="5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1"/>
      <c r="Q21" s="54"/>
      <c r="R21" s="56" t="str">
        <f>IFERROR(VLOOKUP(June[[#This Row],[Drug Name]],'Data Options'!$R$1:$S$100,2,FALSE), " ")</f>
        <v xml:space="preserve"> </v>
      </c>
      <c r="S21" s="55"/>
      <c r="T21" s="32"/>
      <c r="U21" s="32"/>
      <c r="V21" s="55"/>
      <c r="W21" s="32"/>
      <c r="X21" s="54"/>
      <c r="Y21" s="56" t="str">
        <f>IFERROR(VLOOKUP(June[[#This Row],[Drug Name2]],'Data Options'!$R$1:$S$100,2,FALSE), " ")</f>
        <v xml:space="preserve"> </v>
      </c>
      <c r="Z21" s="55"/>
      <c r="AA21" s="32"/>
      <c r="AB21" s="32"/>
      <c r="AC21" s="55"/>
      <c r="AD21" s="32"/>
      <c r="AE21" s="54"/>
      <c r="AF21" s="56" t="str">
        <f>IFERROR(VLOOKUP(June[[#This Row],[Drug Name3]],'Data Options'!$R$1:$S$100,2,FALSE), " ")</f>
        <v xml:space="preserve"> </v>
      </c>
      <c r="AG21" s="55"/>
      <c r="AH21" s="32"/>
      <c r="AI21" s="32"/>
      <c r="AJ21" s="55"/>
      <c r="AK21" s="32"/>
      <c r="AL21" s="32"/>
      <c r="AM21" s="32"/>
      <c r="AN21" s="32"/>
      <c r="AO21" s="32"/>
      <c r="AP21" s="31"/>
      <c r="AQ21" s="31"/>
      <c r="AR21" s="54"/>
      <c r="AS21" s="56" t="str">
        <f>IFERROR(VLOOKUP(June[[#This Row],[Drug Name4]],'Data Options'!$R$1:$S$100,2,FALSE), " ")</f>
        <v xml:space="preserve"> </v>
      </c>
      <c r="AT21" s="55"/>
      <c r="AU21" s="32"/>
      <c r="AV21" s="32"/>
      <c r="AW21" s="55"/>
      <c r="AX21" s="32"/>
      <c r="AY21" s="54"/>
      <c r="AZ21" s="56" t="str">
        <f>IFERROR(VLOOKUP(June[[#This Row],[Drug Name5]],'Data Options'!$R$1:$S$100,2,FALSE), " ")</f>
        <v xml:space="preserve"> </v>
      </c>
      <c r="BA21" s="55"/>
      <c r="BB21" s="32"/>
      <c r="BC21" s="32"/>
      <c r="BD21" s="55"/>
      <c r="BE21" s="32"/>
      <c r="BF21" s="54"/>
      <c r="BG21" s="56" t="str">
        <f>IFERROR(VLOOKUP(June[[#This Row],[Drug Name6]],'Data Options'!$R$1:$S$100,2,FALSE), " ")</f>
        <v xml:space="preserve"> </v>
      </c>
      <c r="BH21" s="55"/>
      <c r="BI21" s="32"/>
      <c r="BJ21" s="32"/>
      <c r="BK21" s="55"/>
      <c r="BL21" s="32"/>
      <c r="BM21" s="32"/>
      <c r="BN21" s="32"/>
      <c r="BO21" s="32"/>
      <c r="BP21" s="32"/>
      <c r="BQ21" s="31"/>
      <c r="BR21" s="31"/>
      <c r="BS21" s="54"/>
      <c r="BT21" s="56" t="str">
        <f>IFERROR(VLOOKUP(June[[#This Row],[Drug Name7]],'Data Options'!$R$1:$S$100,2,FALSE), " ")</f>
        <v xml:space="preserve"> </v>
      </c>
      <c r="BU21" s="55"/>
      <c r="BV21" s="32"/>
      <c r="BW21" s="32"/>
      <c r="BX21" s="55"/>
      <c r="BY21" s="32"/>
      <c r="BZ21" s="54"/>
      <c r="CA21" s="56" t="str">
        <f>IFERROR(VLOOKUP(June[[#This Row],[Drug Name8]],'Data Options'!$R$1:$S$100,2,FALSE), " ")</f>
        <v xml:space="preserve"> </v>
      </c>
      <c r="CB21" s="55"/>
      <c r="CC21" s="32"/>
      <c r="CD21" s="32"/>
      <c r="CE21" s="55"/>
      <c r="CF21" s="32"/>
      <c r="CG21" s="54"/>
      <c r="CH21" s="56" t="str">
        <f>IFERROR(VLOOKUP(June[[#This Row],[Drug Name9]],'Data Options'!$R$1:$S$100,2,FALSE), " ")</f>
        <v xml:space="preserve"> </v>
      </c>
      <c r="CI21" s="55"/>
      <c r="CJ21" s="32"/>
      <c r="CK21" s="32"/>
      <c r="CL21" s="55"/>
      <c r="CM21" s="32"/>
    </row>
    <row r="22" spans="1:91">
      <c r="A22" s="5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1"/>
      <c r="Q22" s="54"/>
      <c r="R22" s="56" t="str">
        <f>IFERROR(VLOOKUP(June[[#This Row],[Drug Name]],'Data Options'!$R$1:$S$100,2,FALSE), " ")</f>
        <v xml:space="preserve"> </v>
      </c>
      <c r="S22" s="55"/>
      <c r="T22" s="32"/>
      <c r="U22" s="32"/>
      <c r="V22" s="55"/>
      <c r="W22" s="32"/>
      <c r="X22" s="54"/>
      <c r="Y22" s="56" t="str">
        <f>IFERROR(VLOOKUP(June[[#This Row],[Drug Name2]],'Data Options'!$R$1:$S$100,2,FALSE), " ")</f>
        <v xml:space="preserve"> </v>
      </c>
      <c r="Z22" s="55"/>
      <c r="AA22" s="32"/>
      <c r="AB22" s="32"/>
      <c r="AC22" s="55"/>
      <c r="AD22" s="32"/>
      <c r="AE22" s="54"/>
      <c r="AF22" s="56" t="str">
        <f>IFERROR(VLOOKUP(June[[#This Row],[Drug Name3]],'Data Options'!$R$1:$S$100,2,FALSE), " ")</f>
        <v xml:space="preserve"> </v>
      </c>
      <c r="AG22" s="55"/>
      <c r="AH22" s="32"/>
      <c r="AI22" s="32"/>
      <c r="AJ22" s="55"/>
      <c r="AK22" s="32"/>
      <c r="AL22" s="32"/>
      <c r="AM22" s="32"/>
      <c r="AN22" s="32"/>
      <c r="AO22" s="32"/>
      <c r="AP22" s="31"/>
      <c r="AQ22" s="31"/>
      <c r="AR22" s="54"/>
      <c r="AS22" s="56" t="str">
        <f>IFERROR(VLOOKUP(June[[#This Row],[Drug Name4]],'Data Options'!$R$1:$S$100,2,FALSE), " ")</f>
        <v xml:space="preserve"> </v>
      </c>
      <c r="AT22" s="55"/>
      <c r="AU22" s="32"/>
      <c r="AV22" s="32"/>
      <c r="AW22" s="55"/>
      <c r="AX22" s="32"/>
      <c r="AY22" s="54"/>
      <c r="AZ22" s="56" t="str">
        <f>IFERROR(VLOOKUP(June[[#This Row],[Drug Name5]],'Data Options'!$R$1:$S$100,2,FALSE), " ")</f>
        <v xml:space="preserve"> </v>
      </c>
      <c r="BA22" s="55"/>
      <c r="BB22" s="32"/>
      <c r="BC22" s="32"/>
      <c r="BD22" s="55"/>
      <c r="BE22" s="32"/>
      <c r="BF22" s="54"/>
      <c r="BG22" s="56" t="str">
        <f>IFERROR(VLOOKUP(June[[#This Row],[Drug Name6]],'Data Options'!$R$1:$S$100,2,FALSE), " ")</f>
        <v xml:space="preserve"> </v>
      </c>
      <c r="BH22" s="55"/>
      <c r="BI22" s="32"/>
      <c r="BJ22" s="32"/>
      <c r="BK22" s="55"/>
      <c r="BL22" s="32"/>
      <c r="BM22" s="32"/>
      <c r="BN22" s="32"/>
      <c r="BO22" s="32"/>
      <c r="BP22" s="32"/>
      <c r="BQ22" s="31"/>
      <c r="BR22" s="31"/>
      <c r="BS22" s="54"/>
      <c r="BT22" s="56" t="str">
        <f>IFERROR(VLOOKUP(June[[#This Row],[Drug Name7]],'Data Options'!$R$1:$S$100,2,FALSE), " ")</f>
        <v xml:space="preserve"> </v>
      </c>
      <c r="BU22" s="55"/>
      <c r="BV22" s="32"/>
      <c r="BW22" s="32"/>
      <c r="BX22" s="55"/>
      <c r="BY22" s="32"/>
      <c r="BZ22" s="54"/>
      <c r="CA22" s="56" t="str">
        <f>IFERROR(VLOOKUP(June[[#This Row],[Drug Name8]],'Data Options'!$R$1:$S$100,2,FALSE), " ")</f>
        <v xml:space="preserve"> </v>
      </c>
      <c r="CB22" s="55"/>
      <c r="CC22" s="32"/>
      <c r="CD22" s="32"/>
      <c r="CE22" s="55"/>
      <c r="CF22" s="32"/>
      <c r="CG22" s="54"/>
      <c r="CH22" s="56" t="str">
        <f>IFERROR(VLOOKUP(June[[#This Row],[Drug Name9]],'Data Options'!$R$1:$S$100,2,FALSE), " ")</f>
        <v xml:space="preserve"> </v>
      </c>
      <c r="CI22" s="55"/>
      <c r="CJ22" s="32"/>
      <c r="CK22" s="32"/>
      <c r="CL22" s="55"/>
      <c r="CM22" s="32"/>
    </row>
    <row r="23" spans="1:9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54"/>
      <c r="R23" s="56" t="str">
        <f>IFERROR(VLOOKUP(June[[#This Row],[Drug Name]],'Data Options'!$R$1:$S$100,2,FALSE), " ")</f>
        <v xml:space="preserve"> </v>
      </c>
      <c r="S23" s="55"/>
      <c r="T23" s="32"/>
      <c r="U23" s="32"/>
      <c r="V23" s="55"/>
      <c r="W23" s="32"/>
      <c r="X23" s="54"/>
      <c r="Y23" s="56" t="str">
        <f>IFERROR(VLOOKUP(June[[#This Row],[Drug Name2]],'Data Options'!$R$1:$S$100,2,FALSE), " ")</f>
        <v xml:space="preserve"> </v>
      </c>
      <c r="Z23" s="55"/>
      <c r="AA23" s="32"/>
      <c r="AB23" s="32"/>
      <c r="AC23" s="55"/>
      <c r="AD23" s="32"/>
      <c r="AE23" s="54"/>
      <c r="AF23" s="56" t="str">
        <f>IFERROR(VLOOKUP(June[[#This Row],[Drug Name3]],'Data Options'!$R$1:$S$100,2,FALSE), " ")</f>
        <v xml:space="preserve"> </v>
      </c>
      <c r="AG23" s="55"/>
      <c r="AH23" s="32"/>
      <c r="AI23" s="32"/>
      <c r="AJ23" s="55"/>
      <c r="AK23" s="32"/>
      <c r="AL23" s="32"/>
      <c r="AM23" s="32"/>
      <c r="AN23" s="32"/>
      <c r="AO23" s="32"/>
      <c r="AP23" s="31"/>
      <c r="AQ23" s="31"/>
      <c r="AR23" s="54"/>
      <c r="AS23" s="56" t="str">
        <f>IFERROR(VLOOKUP(June[[#This Row],[Drug Name4]],'Data Options'!$R$1:$S$100,2,FALSE), " ")</f>
        <v xml:space="preserve"> </v>
      </c>
      <c r="AT23" s="55"/>
      <c r="AU23" s="32"/>
      <c r="AV23" s="32"/>
      <c r="AW23" s="55"/>
      <c r="AX23" s="32"/>
      <c r="AY23" s="54"/>
      <c r="AZ23" s="56" t="str">
        <f>IFERROR(VLOOKUP(June[[#This Row],[Drug Name5]],'Data Options'!$R$1:$S$100,2,FALSE), " ")</f>
        <v xml:space="preserve"> </v>
      </c>
      <c r="BA23" s="55"/>
      <c r="BB23" s="32"/>
      <c r="BC23" s="32"/>
      <c r="BD23" s="55"/>
      <c r="BE23" s="32"/>
      <c r="BF23" s="54"/>
      <c r="BG23" s="56" t="str">
        <f>IFERROR(VLOOKUP(June[[#This Row],[Drug Name6]],'Data Options'!$R$1:$S$100,2,FALSE), " ")</f>
        <v xml:space="preserve"> </v>
      </c>
      <c r="BH23" s="55"/>
      <c r="BI23" s="32"/>
      <c r="BJ23" s="32"/>
      <c r="BK23" s="55"/>
      <c r="BL23" s="32"/>
      <c r="BM23" s="32"/>
      <c r="BN23" s="32"/>
      <c r="BO23" s="32"/>
      <c r="BP23" s="32"/>
      <c r="BQ23" s="31"/>
      <c r="BR23" s="31"/>
      <c r="BS23" s="54"/>
      <c r="BT23" s="56" t="str">
        <f>IFERROR(VLOOKUP(June[[#This Row],[Drug Name7]],'Data Options'!$R$1:$S$100,2,FALSE), " ")</f>
        <v xml:space="preserve"> </v>
      </c>
      <c r="BU23" s="55"/>
      <c r="BV23" s="32"/>
      <c r="BW23" s="32"/>
      <c r="BX23" s="55"/>
      <c r="BY23" s="32"/>
      <c r="BZ23" s="54"/>
      <c r="CA23" s="56" t="str">
        <f>IFERROR(VLOOKUP(June[[#This Row],[Drug Name8]],'Data Options'!$R$1:$S$100,2,FALSE), " ")</f>
        <v xml:space="preserve"> </v>
      </c>
      <c r="CB23" s="55"/>
      <c r="CC23" s="32"/>
      <c r="CD23" s="32"/>
      <c r="CE23" s="55"/>
      <c r="CF23" s="32"/>
      <c r="CG23" s="54"/>
      <c r="CH23" s="56" t="str">
        <f>IFERROR(VLOOKUP(June[[#This Row],[Drug Name9]],'Data Options'!$R$1:$S$100,2,FALSE), " ")</f>
        <v xml:space="preserve"> </v>
      </c>
      <c r="CI23" s="55"/>
      <c r="CJ23" s="32"/>
      <c r="CK23" s="32"/>
      <c r="CL23" s="55"/>
      <c r="CM23" s="32"/>
    </row>
    <row r="24" spans="1:91">
      <c r="A24" s="5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54"/>
      <c r="R24" s="56" t="str">
        <f>IFERROR(VLOOKUP(June[[#This Row],[Drug Name]],'Data Options'!$R$1:$S$100,2,FALSE), " ")</f>
        <v xml:space="preserve"> </v>
      </c>
      <c r="S24" s="55"/>
      <c r="T24" s="32"/>
      <c r="U24" s="32"/>
      <c r="V24" s="55"/>
      <c r="W24" s="32"/>
      <c r="X24" s="54"/>
      <c r="Y24" s="56" t="str">
        <f>IFERROR(VLOOKUP(June[[#This Row],[Drug Name2]],'Data Options'!$R$1:$S$100,2,FALSE), " ")</f>
        <v xml:space="preserve"> </v>
      </c>
      <c r="Z24" s="55"/>
      <c r="AA24" s="32"/>
      <c r="AB24" s="32"/>
      <c r="AC24" s="55"/>
      <c r="AD24" s="32"/>
      <c r="AE24" s="54"/>
      <c r="AF24" s="56" t="str">
        <f>IFERROR(VLOOKUP(June[[#This Row],[Drug Name3]],'Data Options'!$R$1:$S$100,2,FALSE), " ")</f>
        <v xml:space="preserve"> </v>
      </c>
      <c r="AG24" s="55"/>
      <c r="AH24" s="32"/>
      <c r="AI24" s="32"/>
      <c r="AJ24" s="55"/>
      <c r="AK24" s="32"/>
      <c r="AL24" s="32"/>
      <c r="AM24" s="32"/>
      <c r="AN24" s="32"/>
      <c r="AO24" s="32"/>
      <c r="AP24" s="31"/>
      <c r="AQ24" s="31"/>
      <c r="AR24" s="54"/>
      <c r="AS24" s="56" t="str">
        <f>IFERROR(VLOOKUP(June[[#This Row],[Drug Name4]],'Data Options'!$R$1:$S$100,2,FALSE), " ")</f>
        <v xml:space="preserve"> </v>
      </c>
      <c r="AT24" s="55"/>
      <c r="AU24" s="32"/>
      <c r="AV24" s="32"/>
      <c r="AW24" s="55"/>
      <c r="AX24" s="32"/>
      <c r="AY24" s="54"/>
      <c r="AZ24" s="56" t="str">
        <f>IFERROR(VLOOKUP(June[[#This Row],[Drug Name5]],'Data Options'!$R$1:$S$100,2,FALSE), " ")</f>
        <v xml:space="preserve"> </v>
      </c>
      <c r="BA24" s="55"/>
      <c r="BB24" s="32"/>
      <c r="BC24" s="32"/>
      <c r="BD24" s="55"/>
      <c r="BE24" s="32"/>
      <c r="BF24" s="54"/>
      <c r="BG24" s="56" t="str">
        <f>IFERROR(VLOOKUP(June[[#This Row],[Drug Name6]],'Data Options'!$R$1:$S$100,2,FALSE), " ")</f>
        <v xml:space="preserve"> </v>
      </c>
      <c r="BH24" s="55"/>
      <c r="BI24" s="32"/>
      <c r="BJ24" s="32"/>
      <c r="BK24" s="55"/>
      <c r="BL24" s="32"/>
      <c r="BM24" s="32"/>
      <c r="BN24" s="32"/>
      <c r="BO24" s="32"/>
      <c r="BP24" s="32"/>
      <c r="BQ24" s="31"/>
      <c r="BR24" s="31"/>
      <c r="BS24" s="54"/>
      <c r="BT24" s="56" t="str">
        <f>IFERROR(VLOOKUP(June[[#This Row],[Drug Name7]],'Data Options'!$R$1:$S$100,2,FALSE), " ")</f>
        <v xml:space="preserve"> </v>
      </c>
      <c r="BU24" s="55"/>
      <c r="BV24" s="32"/>
      <c r="BW24" s="32"/>
      <c r="BX24" s="55"/>
      <c r="BY24" s="32"/>
      <c r="BZ24" s="54"/>
      <c r="CA24" s="56" t="str">
        <f>IFERROR(VLOOKUP(June[[#This Row],[Drug Name8]],'Data Options'!$R$1:$S$100,2,FALSE), " ")</f>
        <v xml:space="preserve"> </v>
      </c>
      <c r="CB24" s="55"/>
      <c r="CC24" s="32"/>
      <c r="CD24" s="32"/>
      <c r="CE24" s="55"/>
      <c r="CF24" s="32"/>
      <c r="CG24" s="54"/>
      <c r="CH24" s="56" t="str">
        <f>IFERROR(VLOOKUP(June[[#This Row],[Drug Name9]],'Data Options'!$R$1:$S$100,2,FALSE), " ")</f>
        <v xml:space="preserve"> </v>
      </c>
      <c r="CI24" s="55"/>
      <c r="CJ24" s="32"/>
      <c r="CK24" s="32"/>
      <c r="CL24" s="55"/>
      <c r="CM24" s="32"/>
    </row>
    <row r="25" spans="1:9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54"/>
      <c r="R25" s="56" t="str">
        <f>IFERROR(VLOOKUP(June[[#This Row],[Drug Name]],'Data Options'!$R$1:$S$100,2,FALSE), " ")</f>
        <v xml:space="preserve"> </v>
      </c>
      <c r="S25" s="55"/>
      <c r="T25" s="32"/>
      <c r="U25" s="32"/>
      <c r="V25" s="55"/>
      <c r="W25" s="32"/>
      <c r="X25" s="54"/>
      <c r="Y25" s="56" t="str">
        <f>IFERROR(VLOOKUP(June[[#This Row],[Drug Name2]],'Data Options'!$R$1:$S$100,2,FALSE), " ")</f>
        <v xml:space="preserve"> </v>
      </c>
      <c r="Z25" s="55"/>
      <c r="AA25" s="32"/>
      <c r="AB25" s="32"/>
      <c r="AC25" s="55"/>
      <c r="AD25" s="32"/>
      <c r="AE25" s="54"/>
      <c r="AF25" s="56" t="str">
        <f>IFERROR(VLOOKUP(June[[#This Row],[Drug Name3]],'Data Options'!$R$1:$S$100,2,FALSE), " ")</f>
        <v xml:space="preserve"> </v>
      </c>
      <c r="AG25" s="55"/>
      <c r="AH25" s="32"/>
      <c r="AI25" s="32"/>
      <c r="AJ25" s="55"/>
      <c r="AK25" s="32"/>
      <c r="AL25" s="32"/>
      <c r="AM25" s="32"/>
      <c r="AN25" s="32"/>
      <c r="AO25" s="32"/>
      <c r="AP25" s="31"/>
      <c r="AQ25" s="31"/>
      <c r="AR25" s="54"/>
      <c r="AS25" s="56" t="str">
        <f>IFERROR(VLOOKUP(June[[#This Row],[Drug Name4]],'Data Options'!$R$1:$S$100,2,FALSE), " ")</f>
        <v xml:space="preserve"> </v>
      </c>
      <c r="AT25" s="55"/>
      <c r="AU25" s="32"/>
      <c r="AV25" s="32"/>
      <c r="AW25" s="55"/>
      <c r="AX25" s="32"/>
      <c r="AY25" s="54"/>
      <c r="AZ25" s="56" t="str">
        <f>IFERROR(VLOOKUP(June[[#This Row],[Drug Name5]],'Data Options'!$R$1:$S$100,2,FALSE), " ")</f>
        <v xml:space="preserve"> </v>
      </c>
      <c r="BA25" s="55"/>
      <c r="BB25" s="32"/>
      <c r="BC25" s="32"/>
      <c r="BD25" s="55"/>
      <c r="BE25" s="32"/>
      <c r="BF25" s="54"/>
      <c r="BG25" s="56" t="str">
        <f>IFERROR(VLOOKUP(June[[#This Row],[Drug Name6]],'Data Options'!$R$1:$S$100,2,FALSE), " ")</f>
        <v xml:space="preserve"> </v>
      </c>
      <c r="BH25" s="55"/>
      <c r="BI25" s="32"/>
      <c r="BJ25" s="32"/>
      <c r="BK25" s="55"/>
      <c r="BL25" s="32"/>
      <c r="BM25" s="32"/>
      <c r="BN25" s="32"/>
      <c r="BO25" s="32"/>
      <c r="BP25" s="32"/>
      <c r="BQ25" s="31"/>
      <c r="BR25" s="31"/>
      <c r="BS25" s="54"/>
      <c r="BT25" s="56" t="str">
        <f>IFERROR(VLOOKUP(June[[#This Row],[Drug Name7]],'Data Options'!$R$1:$S$100,2,FALSE), " ")</f>
        <v xml:space="preserve"> </v>
      </c>
      <c r="BU25" s="55"/>
      <c r="BV25" s="32"/>
      <c r="BW25" s="32"/>
      <c r="BX25" s="55"/>
      <c r="BY25" s="32"/>
      <c r="BZ25" s="54"/>
      <c r="CA25" s="56" t="str">
        <f>IFERROR(VLOOKUP(June[[#This Row],[Drug Name8]],'Data Options'!$R$1:$S$100,2,FALSE), " ")</f>
        <v xml:space="preserve"> </v>
      </c>
      <c r="CB25" s="55"/>
      <c r="CC25" s="32"/>
      <c r="CD25" s="32"/>
      <c r="CE25" s="55"/>
      <c r="CF25" s="32"/>
      <c r="CG25" s="54"/>
      <c r="CH25" s="56" t="str">
        <f>IFERROR(VLOOKUP(June[[#This Row],[Drug Name9]],'Data Options'!$R$1:$S$100,2,FALSE), " ")</f>
        <v xml:space="preserve"> </v>
      </c>
      <c r="CI25" s="55"/>
      <c r="CJ25" s="32"/>
      <c r="CK25" s="32"/>
      <c r="CL25" s="55"/>
      <c r="CM25" s="32"/>
    </row>
    <row r="26" spans="1:91">
      <c r="A26" s="5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54"/>
      <c r="R26" s="56" t="str">
        <f>IFERROR(VLOOKUP(June[[#This Row],[Drug Name]],'Data Options'!$R$1:$S$100,2,FALSE), " ")</f>
        <v xml:space="preserve"> </v>
      </c>
      <c r="S26" s="55"/>
      <c r="T26" s="32"/>
      <c r="U26" s="32"/>
      <c r="V26" s="55"/>
      <c r="W26" s="32"/>
      <c r="X26" s="54"/>
      <c r="Y26" s="56" t="str">
        <f>IFERROR(VLOOKUP(June[[#This Row],[Drug Name2]],'Data Options'!$R$1:$S$100,2,FALSE), " ")</f>
        <v xml:space="preserve"> </v>
      </c>
      <c r="Z26" s="55"/>
      <c r="AA26" s="32"/>
      <c r="AB26" s="32"/>
      <c r="AC26" s="55"/>
      <c r="AD26" s="32"/>
      <c r="AE26" s="54"/>
      <c r="AF26" s="56" t="str">
        <f>IFERROR(VLOOKUP(June[[#This Row],[Drug Name3]],'Data Options'!$R$1:$S$100,2,FALSE), " ")</f>
        <v xml:space="preserve"> </v>
      </c>
      <c r="AG26" s="55"/>
      <c r="AH26" s="32"/>
      <c r="AI26" s="32"/>
      <c r="AJ26" s="55"/>
      <c r="AK26" s="32"/>
      <c r="AL26" s="32"/>
      <c r="AM26" s="32"/>
      <c r="AN26" s="32"/>
      <c r="AO26" s="32"/>
      <c r="AP26" s="31"/>
      <c r="AQ26" s="31"/>
      <c r="AR26" s="54"/>
      <c r="AS26" s="56" t="str">
        <f>IFERROR(VLOOKUP(June[[#This Row],[Drug Name4]],'Data Options'!$R$1:$S$100,2,FALSE), " ")</f>
        <v xml:space="preserve"> </v>
      </c>
      <c r="AT26" s="55"/>
      <c r="AU26" s="32"/>
      <c r="AV26" s="32"/>
      <c r="AW26" s="55"/>
      <c r="AX26" s="32"/>
      <c r="AY26" s="54"/>
      <c r="AZ26" s="56" t="str">
        <f>IFERROR(VLOOKUP(June[[#This Row],[Drug Name5]],'Data Options'!$R$1:$S$100,2,FALSE), " ")</f>
        <v xml:space="preserve"> </v>
      </c>
      <c r="BA26" s="55"/>
      <c r="BB26" s="32"/>
      <c r="BC26" s="32"/>
      <c r="BD26" s="55"/>
      <c r="BE26" s="32"/>
      <c r="BF26" s="54"/>
      <c r="BG26" s="56" t="str">
        <f>IFERROR(VLOOKUP(June[[#This Row],[Drug Name6]],'Data Options'!$R$1:$S$100,2,FALSE), " ")</f>
        <v xml:space="preserve"> </v>
      </c>
      <c r="BH26" s="55"/>
      <c r="BI26" s="32"/>
      <c r="BJ26" s="32"/>
      <c r="BK26" s="55"/>
      <c r="BL26" s="32"/>
      <c r="BM26" s="32"/>
      <c r="BN26" s="32"/>
      <c r="BO26" s="32"/>
      <c r="BP26" s="32"/>
      <c r="BQ26" s="31"/>
      <c r="BR26" s="31"/>
      <c r="BS26" s="54"/>
      <c r="BT26" s="56" t="str">
        <f>IFERROR(VLOOKUP(June[[#This Row],[Drug Name7]],'Data Options'!$R$1:$S$100,2,FALSE), " ")</f>
        <v xml:space="preserve"> </v>
      </c>
      <c r="BU26" s="55"/>
      <c r="BV26" s="32"/>
      <c r="BW26" s="32"/>
      <c r="BX26" s="55"/>
      <c r="BY26" s="32"/>
      <c r="BZ26" s="54"/>
      <c r="CA26" s="56" t="str">
        <f>IFERROR(VLOOKUP(June[[#This Row],[Drug Name8]],'Data Options'!$R$1:$S$100,2,FALSE), " ")</f>
        <v xml:space="preserve"> </v>
      </c>
      <c r="CB26" s="55"/>
      <c r="CC26" s="32"/>
      <c r="CD26" s="32"/>
      <c r="CE26" s="55"/>
      <c r="CF26" s="32"/>
      <c r="CG26" s="54"/>
      <c r="CH26" s="56" t="str">
        <f>IFERROR(VLOOKUP(June[[#This Row],[Drug Name9]],'Data Options'!$R$1:$S$100,2,FALSE), " ")</f>
        <v xml:space="preserve"> </v>
      </c>
      <c r="CI26" s="55"/>
      <c r="CJ26" s="32"/>
      <c r="CK26" s="32"/>
      <c r="CL26" s="55"/>
      <c r="CM26" s="32"/>
    </row>
    <row r="27" spans="1:91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54"/>
      <c r="R27" s="56" t="str">
        <f>IFERROR(VLOOKUP(June[[#This Row],[Drug Name]],'Data Options'!$R$1:$S$100,2,FALSE), " ")</f>
        <v xml:space="preserve"> </v>
      </c>
      <c r="S27" s="55"/>
      <c r="T27" s="32"/>
      <c r="U27" s="32"/>
      <c r="V27" s="55"/>
      <c r="W27" s="32"/>
      <c r="X27" s="54"/>
      <c r="Y27" s="56" t="str">
        <f>IFERROR(VLOOKUP(June[[#This Row],[Drug Name2]],'Data Options'!$R$1:$S$100,2,FALSE), " ")</f>
        <v xml:space="preserve"> </v>
      </c>
      <c r="Z27" s="55"/>
      <c r="AA27" s="32"/>
      <c r="AB27" s="32"/>
      <c r="AC27" s="55"/>
      <c r="AD27" s="32"/>
      <c r="AE27" s="54"/>
      <c r="AF27" s="56" t="str">
        <f>IFERROR(VLOOKUP(June[[#This Row],[Drug Name3]],'Data Options'!$R$1:$S$100,2,FALSE), " ")</f>
        <v xml:space="preserve"> </v>
      </c>
      <c r="AG27" s="55"/>
      <c r="AH27" s="32"/>
      <c r="AI27" s="32"/>
      <c r="AJ27" s="55"/>
      <c r="AK27" s="32"/>
      <c r="AL27" s="32"/>
      <c r="AM27" s="32"/>
      <c r="AN27" s="32"/>
      <c r="AO27" s="32"/>
      <c r="AP27" s="31"/>
      <c r="AQ27" s="31"/>
      <c r="AR27" s="54"/>
      <c r="AS27" s="56" t="str">
        <f>IFERROR(VLOOKUP(June[[#This Row],[Drug Name4]],'Data Options'!$R$1:$S$100,2,FALSE), " ")</f>
        <v xml:space="preserve"> </v>
      </c>
      <c r="AT27" s="55"/>
      <c r="AU27" s="32"/>
      <c r="AV27" s="32"/>
      <c r="AW27" s="55"/>
      <c r="AX27" s="32"/>
      <c r="AY27" s="54"/>
      <c r="AZ27" s="56" t="str">
        <f>IFERROR(VLOOKUP(June[[#This Row],[Drug Name5]],'Data Options'!$R$1:$S$100,2,FALSE), " ")</f>
        <v xml:space="preserve"> </v>
      </c>
      <c r="BA27" s="55"/>
      <c r="BB27" s="32"/>
      <c r="BC27" s="32"/>
      <c r="BD27" s="55"/>
      <c r="BE27" s="32"/>
      <c r="BF27" s="54"/>
      <c r="BG27" s="56" t="str">
        <f>IFERROR(VLOOKUP(June[[#This Row],[Drug Name6]],'Data Options'!$R$1:$S$100,2,FALSE), " ")</f>
        <v xml:space="preserve"> </v>
      </c>
      <c r="BH27" s="55"/>
      <c r="BI27" s="32"/>
      <c r="BJ27" s="32"/>
      <c r="BK27" s="55"/>
      <c r="BL27" s="32"/>
      <c r="BM27" s="32"/>
      <c r="BN27" s="32"/>
      <c r="BO27" s="32"/>
      <c r="BP27" s="32"/>
      <c r="BQ27" s="31"/>
      <c r="BR27" s="31"/>
      <c r="BS27" s="54"/>
      <c r="BT27" s="56" t="str">
        <f>IFERROR(VLOOKUP(June[[#This Row],[Drug Name7]],'Data Options'!$R$1:$S$100,2,FALSE), " ")</f>
        <v xml:space="preserve"> </v>
      </c>
      <c r="BU27" s="55"/>
      <c r="BV27" s="32"/>
      <c r="BW27" s="32"/>
      <c r="BX27" s="55"/>
      <c r="BY27" s="32"/>
      <c r="BZ27" s="54"/>
      <c r="CA27" s="56" t="str">
        <f>IFERROR(VLOOKUP(June[[#This Row],[Drug Name8]],'Data Options'!$R$1:$S$100,2,FALSE), " ")</f>
        <v xml:space="preserve"> </v>
      </c>
      <c r="CB27" s="55"/>
      <c r="CC27" s="32"/>
      <c r="CD27" s="32"/>
      <c r="CE27" s="55"/>
      <c r="CF27" s="32"/>
      <c r="CG27" s="54"/>
      <c r="CH27" s="56" t="str">
        <f>IFERROR(VLOOKUP(June[[#This Row],[Drug Name9]],'Data Options'!$R$1:$S$100,2,FALSE), " ")</f>
        <v xml:space="preserve"> </v>
      </c>
      <c r="CI27" s="55"/>
      <c r="CJ27" s="32"/>
      <c r="CK27" s="32"/>
      <c r="CL27" s="55"/>
      <c r="CM27" s="32"/>
    </row>
    <row r="28" spans="1:91">
      <c r="A28" s="5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54"/>
      <c r="R28" s="56" t="str">
        <f>IFERROR(VLOOKUP(June[[#This Row],[Drug Name]],'Data Options'!$R$1:$S$100,2,FALSE), " ")</f>
        <v xml:space="preserve"> </v>
      </c>
      <c r="S28" s="55"/>
      <c r="T28" s="32"/>
      <c r="U28" s="32"/>
      <c r="V28" s="55"/>
      <c r="W28" s="32"/>
      <c r="X28" s="54"/>
      <c r="Y28" s="56" t="str">
        <f>IFERROR(VLOOKUP(June[[#This Row],[Drug Name2]],'Data Options'!$R$1:$S$100,2,FALSE), " ")</f>
        <v xml:space="preserve"> </v>
      </c>
      <c r="Z28" s="55"/>
      <c r="AA28" s="32"/>
      <c r="AB28" s="32"/>
      <c r="AC28" s="55"/>
      <c r="AD28" s="32"/>
      <c r="AE28" s="54"/>
      <c r="AF28" s="56" t="str">
        <f>IFERROR(VLOOKUP(June[[#This Row],[Drug Name3]],'Data Options'!$R$1:$S$100,2,FALSE), " ")</f>
        <v xml:space="preserve"> </v>
      </c>
      <c r="AG28" s="55"/>
      <c r="AH28" s="32"/>
      <c r="AI28" s="32"/>
      <c r="AJ28" s="55"/>
      <c r="AK28" s="32"/>
      <c r="AL28" s="32"/>
      <c r="AM28" s="32"/>
      <c r="AN28" s="32"/>
      <c r="AO28" s="32"/>
      <c r="AP28" s="31"/>
      <c r="AQ28" s="31"/>
      <c r="AR28" s="54"/>
      <c r="AS28" s="56" t="str">
        <f>IFERROR(VLOOKUP(June[[#This Row],[Drug Name4]],'Data Options'!$R$1:$S$100,2,FALSE), " ")</f>
        <v xml:space="preserve"> </v>
      </c>
      <c r="AT28" s="55"/>
      <c r="AU28" s="32"/>
      <c r="AV28" s="32"/>
      <c r="AW28" s="55"/>
      <c r="AX28" s="32"/>
      <c r="AY28" s="54"/>
      <c r="AZ28" s="56" t="str">
        <f>IFERROR(VLOOKUP(June[[#This Row],[Drug Name5]],'Data Options'!$R$1:$S$100,2,FALSE), " ")</f>
        <v xml:space="preserve"> </v>
      </c>
      <c r="BA28" s="55"/>
      <c r="BB28" s="32"/>
      <c r="BC28" s="32"/>
      <c r="BD28" s="55"/>
      <c r="BE28" s="32"/>
      <c r="BF28" s="54"/>
      <c r="BG28" s="56" t="str">
        <f>IFERROR(VLOOKUP(June[[#This Row],[Drug Name6]],'Data Options'!$R$1:$S$100,2,FALSE), " ")</f>
        <v xml:space="preserve"> </v>
      </c>
      <c r="BH28" s="55"/>
      <c r="BI28" s="32"/>
      <c r="BJ28" s="32"/>
      <c r="BK28" s="55"/>
      <c r="BL28" s="32"/>
      <c r="BM28" s="32"/>
      <c r="BN28" s="32"/>
      <c r="BO28" s="32"/>
      <c r="BP28" s="32"/>
      <c r="BQ28" s="31"/>
      <c r="BR28" s="31"/>
      <c r="BS28" s="54"/>
      <c r="BT28" s="56" t="str">
        <f>IFERROR(VLOOKUP(June[[#This Row],[Drug Name7]],'Data Options'!$R$1:$S$100,2,FALSE), " ")</f>
        <v xml:space="preserve"> </v>
      </c>
      <c r="BU28" s="55"/>
      <c r="BV28" s="32"/>
      <c r="BW28" s="32"/>
      <c r="BX28" s="55"/>
      <c r="BY28" s="32"/>
      <c r="BZ28" s="54"/>
      <c r="CA28" s="56" t="str">
        <f>IFERROR(VLOOKUP(June[[#This Row],[Drug Name8]],'Data Options'!$R$1:$S$100,2,FALSE), " ")</f>
        <v xml:space="preserve"> </v>
      </c>
      <c r="CB28" s="55"/>
      <c r="CC28" s="32"/>
      <c r="CD28" s="32"/>
      <c r="CE28" s="55"/>
      <c r="CF28" s="32"/>
      <c r="CG28" s="54"/>
      <c r="CH28" s="56" t="str">
        <f>IFERROR(VLOOKUP(June[[#This Row],[Drug Name9]],'Data Options'!$R$1:$S$100,2,FALSE), " ")</f>
        <v xml:space="preserve"> </v>
      </c>
      <c r="CI28" s="55"/>
      <c r="CJ28" s="32"/>
      <c r="CK28" s="32"/>
      <c r="CL28" s="55"/>
      <c r="CM28" s="32"/>
    </row>
    <row r="29" spans="1:91">
      <c r="A29" s="5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54"/>
      <c r="R29" s="56" t="str">
        <f>IFERROR(VLOOKUP(June[[#This Row],[Drug Name]],'Data Options'!$R$1:$S$100,2,FALSE), " ")</f>
        <v xml:space="preserve"> </v>
      </c>
      <c r="S29" s="55"/>
      <c r="T29" s="32"/>
      <c r="U29" s="32"/>
      <c r="V29" s="55"/>
      <c r="W29" s="32"/>
      <c r="X29" s="54"/>
      <c r="Y29" s="56" t="str">
        <f>IFERROR(VLOOKUP(June[[#This Row],[Drug Name2]],'Data Options'!$R$1:$S$100,2,FALSE), " ")</f>
        <v xml:space="preserve"> </v>
      </c>
      <c r="Z29" s="55"/>
      <c r="AA29" s="32"/>
      <c r="AB29" s="32"/>
      <c r="AC29" s="55"/>
      <c r="AD29" s="32"/>
      <c r="AE29" s="54"/>
      <c r="AF29" s="56" t="str">
        <f>IFERROR(VLOOKUP(June[[#This Row],[Drug Name3]],'Data Options'!$R$1:$S$100,2,FALSE), " ")</f>
        <v xml:space="preserve"> </v>
      </c>
      <c r="AG29" s="55"/>
      <c r="AH29" s="32"/>
      <c r="AI29" s="32"/>
      <c r="AJ29" s="55"/>
      <c r="AK29" s="32"/>
      <c r="AL29" s="32"/>
      <c r="AM29" s="32"/>
      <c r="AN29" s="32"/>
      <c r="AO29" s="32"/>
      <c r="AP29" s="31"/>
      <c r="AQ29" s="31"/>
      <c r="AR29" s="54"/>
      <c r="AS29" s="56" t="str">
        <f>IFERROR(VLOOKUP(June[[#This Row],[Drug Name4]],'Data Options'!$R$1:$S$100,2,FALSE), " ")</f>
        <v xml:space="preserve"> </v>
      </c>
      <c r="AT29" s="55"/>
      <c r="AU29" s="32"/>
      <c r="AV29" s="32"/>
      <c r="AW29" s="55"/>
      <c r="AX29" s="32"/>
      <c r="AY29" s="54"/>
      <c r="AZ29" s="56" t="str">
        <f>IFERROR(VLOOKUP(June[[#This Row],[Drug Name5]],'Data Options'!$R$1:$S$100,2,FALSE), " ")</f>
        <v xml:space="preserve"> </v>
      </c>
      <c r="BA29" s="55"/>
      <c r="BB29" s="32"/>
      <c r="BC29" s="32"/>
      <c r="BD29" s="55"/>
      <c r="BE29" s="32"/>
      <c r="BF29" s="54"/>
      <c r="BG29" s="56" t="str">
        <f>IFERROR(VLOOKUP(June[[#This Row],[Drug Name6]],'Data Options'!$R$1:$S$100,2,FALSE), " ")</f>
        <v xml:space="preserve"> </v>
      </c>
      <c r="BH29" s="55"/>
      <c r="BI29" s="32"/>
      <c r="BJ29" s="32"/>
      <c r="BK29" s="55"/>
      <c r="BL29" s="32"/>
      <c r="BM29" s="32"/>
      <c r="BN29" s="32"/>
      <c r="BO29" s="32"/>
      <c r="BP29" s="32"/>
      <c r="BQ29" s="31"/>
      <c r="BR29" s="31"/>
      <c r="BS29" s="54"/>
      <c r="BT29" s="56" t="str">
        <f>IFERROR(VLOOKUP(June[[#This Row],[Drug Name7]],'Data Options'!$R$1:$S$100,2,FALSE), " ")</f>
        <v xml:space="preserve"> </v>
      </c>
      <c r="BU29" s="55"/>
      <c r="BV29" s="32"/>
      <c r="BW29" s="32"/>
      <c r="BX29" s="55"/>
      <c r="BY29" s="32"/>
      <c r="BZ29" s="54"/>
      <c r="CA29" s="56" t="str">
        <f>IFERROR(VLOOKUP(June[[#This Row],[Drug Name8]],'Data Options'!$R$1:$S$100,2,FALSE), " ")</f>
        <v xml:space="preserve"> </v>
      </c>
      <c r="CB29" s="55"/>
      <c r="CC29" s="32"/>
      <c r="CD29" s="32"/>
      <c r="CE29" s="55"/>
      <c r="CF29" s="32"/>
      <c r="CG29" s="54"/>
      <c r="CH29" s="56" t="str">
        <f>IFERROR(VLOOKUP(June[[#This Row],[Drug Name9]],'Data Options'!$R$1:$S$100,2,FALSE), " ")</f>
        <v xml:space="preserve"> </v>
      </c>
      <c r="CI29" s="55"/>
      <c r="CJ29" s="32"/>
      <c r="CK29" s="32"/>
      <c r="CL29" s="55"/>
      <c r="CM29" s="32"/>
    </row>
    <row r="30" spans="1:91">
      <c r="A30" s="5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54"/>
      <c r="R30" s="56" t="str">
        <f>IFERROR(VLOOKUP(June[[#This Row],[Drug Name]],'Data Options'!$R$1:$S$100,2,FALSE), " ")</f>
        <v xml:space="preserve"> </v>
      </c>
      <c r="S30" s="55"/>
      <c r="T30" s="32"/>
      <c r="U30" s="32"/>
      <c r="V30" s="55"/>
      <c r="W30" s="32"/>
      <c r="X30" s="54"/>
      <c r="Y30" s="56" t="str">
        <f>IFERROR(VLOOKUP(June[[#This Row],[Drug Name2]],'Data Options'!$R$1:$S$100,2,FALSE), " ")</f>
        <v xml:space="preserve"> </v>
      </c>
      <c r="Z30" s="55"/>
      <c r="AA30" s="32"/>
      <c r="AB30" s="32"/>
      <c r="AC30" s="55"/>
      <c r="AD30" s="32"/>
      <c r="AE30" s="54"/>
      <c r="AF30" s="56" t="str">
        <f>IFERROR(VLOOKUP(June[[#This Row],[Drug Name3]],'Data Options'!$R$1:$S$100,2,FALSE), " ")</f>
        <v xml:space="preserve"> </v>
      </c>
      <c r="AG30" s="55"/>
      <c r="AH30" s="32"/>
      <c r="AI30" s="32"/>
      <c r="AJ30" s="55"/>
      <c r="AK30" s="32"/>
      <c r="AL30" s="32"/>
      <c r="AM30" s="32"/>
      <c r="AN30" s="32"/>
      <c r="AO30" s="32"/>
      <c r="AP30" s="31"/>
      <c r="AQ30" s="31"/>
      <c r="AR30" s="54"/>
      <c r="AS30" s="56" t="str">
        <f>IFERROR(VLOOKUP(June[[#This Row],[Drug Name4]],'Data Options'!$R$1:$S$100,2,FALSE), " ")</f>
        <v xml:space="preserve"> </v>
      </c>
      <c r="AT30" s="55"/>
      <c r="AU30" s="32"/>
      <c r="AV30" s="32"/>
      <c r="AW30" s="55"/>
      <c r="AX30" s="32"/>
      <c r="AY30" s="54"/>
      <c r="AZ30" s="56" t="str">
        <f>IFERROR(VLOOKUP(June[[#This Row],[Drug Name5]],'Data Options'!$R$1:$S$100,2,FALSE), " ")</f>
        <v xml:space="preserve"> </v>
      </c>
      <c r="BA30" s="55"/>
      <c r="BB30" s="32"/>
      <c r="BC30" s="32"/>
      <c r="BD30" s="55"/>
      <c r="BE30" s="32"/>
      <c r="BF30" s="54"/>
      <c r="BG30" s="56" t="str">
        <f>IFERROR(VLOOKUP(June[[#This Row],[Drug Name6]],'Data Options'!$R$1:$S$100,2,FALSE), " ")</f>
        <v xml:space="preserve"> </v>
      </c>
      <c r="BH30" s="55"/>
      <c r="BI30" s="32"/>
      <c r="BJ30" s="32"/>
      <c r="BK30" s="55"/>
      <c r="BL30" s="32"/>
      <c r="BM30" s="32"/>
      <c r="BN30" s="32"/>
      <c r="BO30" s="32"/>
      <c r="BP30" s="32"/>
      <c r="BQ30" s="31"/>
      <c r="BR30" s="31"/>
      <c r="BS30" s="54"/>
      <c r="BT30" s="56" t="str">
        <f>IFERROR(VLOOKUP(June[[#This Row],[Drug Name7]],'Data Options'!$R$1:$S$100,2,FALSE), " ")</f>
        <v xml:space="preserve"> </v>
      </c>
      <c r="BU30" s="55"/>
      <c r="BV30" s="32"/>
      <c r="BW30" s="32"/>
      <c r="BX30" s="55"/>
      <c r="BY30" s="32"/>
      <c r="BZ30" s="54"/>
      <c r="CA30" s="56" t="str">
        <f>IFERROR(VLOOKUP(June[[#This Row],[Drug Name8]],'Data Options'!$R$1:$S$100,2,FALSE), " ")</f>
        <v xml:space="preserve"> </v>
      </c>
      <c r="CB30" s="55"/>
      <c r="CC30" s="32"/>
      <c r="CD30" s="32"/>
      <c r="CE30" s="55"/>
      <c r="CF30" s="32"/>
      <c r="CG30" s="54"/>
      <c r="CH30" s="56" t="str">
        <f>IFERROR(VLOOKUP(June[[#This Row],[Drug Name9]],'Data Options'!$R$1:$S$100,2,FALSE), " ")</f>
        <v xml:space="preserve"> </v>
      </c>
      <c r="CI30" s="55"/>
      <c r="CJ30" s="32"/>
      <c r="CK30" s="32"/>
      <c r="CL30" s="55"/>
      <c r="CM30" s="32"/>
    </row>
    <row r="31" spans="1:9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54"/>
      <c r="R31" s="56" t="str">
        <f>IFERROR(VLOOKUP(June[[#This Row],[Drug Name]],'Data Options'!$R$1:$S$100,2,FALSE), " ")</f>
        <v xml:space="preserve"> </v>
      </c>
      <c r="S31" s="55"/>
      <c r="T31" s="32"/>
      <c r="U31" s="32"/>
      <c r="V31" s="55"/>
      <c r="W31" s="32"/>
      <c r="X31" s="54"/>
      <c r="Y31" s="56" t="str">
        <f>IFERROR(VLOOKUP(June[[#This Row],[Drug Name2]],'Data Options'!$R$1:$S$100,2,FALSE), " ")</f>
        <v xml:space="preserve"> </v>
      </c>
      <c r="Z31" s="55"/>
      <c r="AA31" s="32"/>
      <c r="AB31" s="32"/>
      <c r="AC31" s="55"/>
      <c r="AD31" s="32"/>
      <c r="AE31" s="54"/>
      <c r="AF31" s="56" t="str">
        <f>IFERROR(VLOOKUP(June[[#This Row],[Drug Name3]],'Data Options'!$R$1:$S$100,2,FALSE), " ")</f>
        <v xml:space="preserve"> </v>
      </c>
      <c r="AG31" s="55"/>
      <c r="AH31" s="32"/>
      <c r="AI31" s="32"/>
      <c r="AJ31" s="55"/>
      <c r="AK31" s="32"/>
      <c r="AL31" s="32"/>
      <c r="AM31" s="32"/>
      <c r="AN31" s="32"/>
      <c r="AO31" s="32"/>
      <c r="AP31" s="31"/>
      <c r="AQ31" s="31"/>
      <c r="AR31" s="54"/>
      <c r="AS31" s="56" t="str">
        <f>IFERROR(VLOOKUP(June[[#This Row],[Drug Name4]],'Data Options'!$R$1:$S$100,2,FALSE), " ")</f>
        <v xml:space="preserve"> </v>
      </c>
      <c r="AT31" s="55"/>
      <c r="AU31" s="32"/>
      <c r="AV31" s="32"/>
      <c r="AW31" s="55"/>
      <c r="AX31" s="32"/>
      <c r="AY31" s="54"/>
      <c r="AZ31" s="56" t="str">
        <f>IFERROR(VLOOKUP(June[[#This Row],[Drug Name5]],'Data Options'!$R$1:$S$100,2,FALSE), " ")</f>
        <v xml:space="preserve"> </v>
      </c>
      <c r="BA31" s="55"/>
      <c r="BB31" s="32"/>
      <c r="BC31" s="32"/>
      <c r="BD31" s="55"/>
      <c r="BE31" s="32"/>
      <c r="BF31" s="54"/>
      <c r="BG31" s="56" t="str">
        <f>IFERROR(VLOOKUP(June[[#This Row],[Drug Name6]],'Data Options'!$R$1:$S$100,2,FALSE), " ")</f>
        <v xml:space="preserve"> </v>
      </c>
      <c r="BH31" s="55"/>
      <c r="BI31" s="32"/>
      <c r="BJ31" s="32"/>
      <c r="BK31" s="55"/>
      <c r="BL31" s="32"/>
      <c r="BM31" s="32"/>
      <c r="BN31" s="32"/>
      <c r="BO31" s="32"/>
      <c r="BP31" s="32"/>
      <c r="BQ31" s="31"/>
      <c r="BR31" s="31"/>
      <c r="BS31" s="54"/>
      <c r="BT31" s="56" t="str">
        <f>IFERROR(VLOOKUP(June[[#This Row],[Drug Name7]],'Data Options'!$R$1:$S$100,2,FALSE), " ")</f>
        <v xml:space="preserve"> </v>
      </c>
      <c r="BU31" s="55"/>
      <c r="BV31" s="32"/>
      <c r="BW31" s="32"/>
      <c r="BX31" s="55"/>
      <c r="BY31" s="32"/>
      <c r="BZ31" s="54"/>
      <c r="CA31" s="56" t="str">
        <f>IFERROR(VLOOKUP(June[[#This Row],[Drug Name8]],'Data Options'!$R$1:$S$100,2,FALSE), " ")</f>
        <v xml:space="preserve"> </v>
      </c>
      <c r="CB31" s="55"/>
      <c r="CC31" s="32"/>
      <c r="CD31" s="32"/>
      <c r="CE31" s="55"/>
      <c r="CF31" s="32"/>
      <c r="CG31" s="54"/>
      <c r="CH31" s="56" t="str">
        <f>IFERROR(VLOOKUP(June[[#This Row],[Drug Name9]],'Data Options'!$R$1:$S$100,2,FALSE), " ")</f>
        <v xml:space="preserve"> </v>
      </c>
      <c r="CI31" s="55"/>
      <c r="CJ31" s="32"/>
      <c r="CK31" s="32"/>
      <c r="CL31" s="55"/>
      <c r="CM31" s="32"/>
    </row>
    <row r="32" spans="1:91">
      <c r="A32" s="5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54"/>
      <c r="R32" s="56" t="str">
        <f>IFERROR(VLOOKUP(June[[#This Row],[Drug Name]],'Data Options'!$R$1:$S$100,2,FALSE), " ")</f>
        <v xml:space="preserve"> </v>
      </c>
      <c r="S32" s="55"/>
      <c r="T32" s="32"/>
      <c r="U32" s="32"/>
      <c r="V32" s="55"/>
      <c r="W32" s="32"/>
      <c r="X32" s="54"/>
      <c r="Y32" s="56" t="str">
        <f>IFERROR(VLOOKUP(June[[#This Row],[Drug Name2]],'Data Options'!$R$1:$S$100,2,FALSE), " ")</f>
        <v xml:space="preserve"> </v>
      </c>
      <c r="Z32" s="55"/>
      <c r="AA32" s="32"/>
      <c r="AB32" s="32"/>
      <c r="AC32" s="55"/>
      <c r="AD32" s="32"/>
      <c r="AE32" s="54"/>
      <c r="AF32" s="56" t="str">
        <f>IFERROR(VLOOKUP(June[[#This Row],[Drug Name3]],'Data Options'!$R$1:$S$100,2,FALSE), " ")</f>
        <v xml:space="preserve"> </v>
      </c>
      <c r="AG32" s="55"/>
      <c r="AH32" s="32"/>
      <c r="AI32" s="32"/>
      <c r="AJ32" s="55"/>
      <c r="AK32" s="32"/>
      <c r="AL32" s="32"/>
      <c r="AM32" s="32"/>
      <c r="AN32" s="32"/>
      <c r="AO32" s="32"/>
      <c r="AP32" s="31"/>
      <c r="AQ32" s="31"/>
      <c r="AR32" s="54"/>
      <c r="AS32" s="56" t="str">
        <f>IFERROR(VLOOKUP(June[[#This Row],[Drug Name4]],'Data Options'!$R$1:$S$100,2,FALSE), " ")</f>
        <v xml:space="preserve"> </v>
      </c>
      <c r="AT32" s="55"/>
      <c r="AU32" s="32"/>
      <c r="AV32" s="32"/>
      <c r="AW32" s="55"/>
      <c r="AX32" s="32"/>
      <c r="AY32" s="54"/>
      <c r="AZ32" s="56" t="str">
        <f>IFERROR(VLOOKUP(June[[#This Row],[Drug Name5]],'Data Options'!$R$1:$S$100,2,FALSE), " ")</f>
        <v xml:space="preserve"> </v>
      </c>
      <c r="BA32" s="55"/>
      <c r="BB32" s="32"/>
      <c r="BC32" s="32"/>
      <c r="BD32" s="55"/>
      <c r="BE32" s="32"/>
      <c r="BF32" s="54"/>
      <c r="BG32" s="56" t="str">
        <f>IFERROR(VLOOKUP(June[[#This Row],[Drug Name6]],'Data Options'!$R$1:$S$100,2,FALSE), " ")</f>
        <v xml:space="preserve"> </v>
      </c>
      <c r="BH32" s="55"/>
      <c r="BI32" s="32"/>
      <c r="BJ32" s="32"/>
      <c r="BK32" s="55"/>
      <c r="BL32" s="32"/>
      <c r="BM32" s="32"/>
      <c r="BN32" s="32"/>
      <c r="BO32" s="32"/>
      <c r="BP32" s="32"/>
      <c r="BQ32" s="31"/>
      <c r="BR32" s="31"/>
      <c r="BS32" s="54"/>
      <c r="BT32" s="56" t="str">
        <f>IFERROR(VLOOKUP(June[[#This Row],[Drug Name7]],'Data Options'!$R$1:$S$100,2,FALSE), " ")</f>
        <v xml:space="preserve"> </v>
      </c>
      <c r="BU32" s="55"/>
      <c r="BV32" s="32"/>
      <c r="BW32" s="32"/>
      <c r="BX32" s="55"/>
      <c r="BY32" s="32"/>
      <c r="BZ32" s="54"/>
      <c r="CA32" s="56" t="str">
        <f>IFERROR(VLOOKUP(June[[#This Row],[Drug Name8]],'Data Options'!$R$1:$S$100,2,FALSE), " ")</f>
        <v xml:space="preserve"> </v>
      </c>
      <c r="CB32" s="55"/>
      <c r="CC32" s="32"/>
      <c r="CD32" s="32"/>
      <c r="CE32" s="55"/>
      <c r="CF32" s="32"/>
      <c r="CG32" s="54"/>
      <c r="CH32" s="56" t="str">
        <f>IFERROR(VLOOKUP(June[[#This Row],[Drug Name9]],'Data Options'!$R$1:$S$100,2,FALSE), " ")</f>
        <v xml:space="preserve"> </v>
      </c>
      <c r="CI32" s="55"/>
      <c r="CJ32" s="32"/>
      <c r="CK32" s="32"/>
      <c r="CL32" s="55"/>
      <c r="CM32" s="32"/>
    </row>
    <row r="33" spans="1:9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54"/>
      <c r="R33" s="56" t="str">
        <f>IFERROR(VLOOKUP(June[[#This Row],[Drug Name]],'Data Options'!$R$1:$S$100,2,FALSE), " ")</f>
        <v xml:space="preserve"> </v>
      </c>
      <c r="S33" s="55"/>
      <c r="T33" s="32"/>
      <c r="U33" s="32"/>
      <c r="V33" s="55"/>
      <c r="W33" s="32"/>
      <c r="X33" s="54"/>
      <c r="Y33" s="56" t="str">
        <f>IFERROR(VLOOKUP(June[[#This Row],[Drug Name2]],'Data Options'!$R$1:$S$100,2,FALSE), " ")</f>
        <v xml:space="preserve"> </v>
      </c>
      <c r="Z33" s="55"/>
      <c r="AA33" s="32"/>
      <c r="AB33" s="32"/>
      <c r="AC33" s="55"/>
      <c r="AD33" s="32"/>
      <c r="AE33" s="54"/>
      <c r="AF33" s="56" t="str">
        <f>IFERROR(VLOOKUP(June[[#This Row],[Drug Name3]],'Data Options'!$R$1:$S$100,2,FALSE), " ")</f>
        <v xml:space="preserve"> </v>
      </c>
      <c r="AG33" s="55"/>
      <c r="AH33" s="32"/>
      <c r="AI33" s="32"/>
      <c r="AJ33" s="55"/>
      <c r="AK33" s="32"/>
      <c r="AL33" s="32"/>
      <c r="AM33" s="32"/>
      <c r="AN33" s="32"/>
      <c r="AO33" s="32"/>
      <c r="AP33" s="31"/>
      <c r="AQ33" s="31"/>
      <c r="AR33" s="54"/>
      <c r="AS33" s="56" t="str">
        <f>IFERROR(VLOOKUP(June[[#This Row],[Drug Name4]],'Data Options'!$R$1:$S$100,2,FALSE), " ")</f>
        <v xml:space="preserve"> </v>
      </c>
      <c r="AT33" s="55"/>
      <c r="AU33" s="32"/>
      <c r="AV33" s="32"/>
      <c r="AW33" s="55"/>
      <c r="AX33" s="32"/>
      <c r="AY33" s="54"/>
      <c r="AZ33" s="56" t="str">
        <f>IFERROR(VLOOKUP(June[[#This Row],[Drug Name5]],'Data Options'!$R$1:$S$100,2,FALSE), " ")</f>
        <v xml:space="preserve"> </v>
      </c>
      <c r="BA33" s="55"/>
      <c r="BB33" s="32"/>
      <c r="BC33" s="32"/>
      <c r="BD33" s="55"/>
      <c r="BE33" s="32"/>
      <c r="BF33" s="54"/>
      <c r="BG33" s="56" t="str">
        <f>IFERROR(VLOOKUP(June[[#This Row],[Drug Name6]],'Data Options'!$R$1:$S$100,2,FALSE), " ")</f>
        <v xml:space="preserve"> </v>
      </c>
      <c r="BH33" s="55"/>
      <c r="BI33" s="32"/>
      <c r="BJ33" s="32"/>
      <c r="BK33" s="55"/>
      <c r="BL33" s="32"/>
      <c r="BM33" s="32"/>
      <c r="BN33" s="32"/>
      <c r="BO33" s="32"/>
      <c r="BP33" s="32"/>
      <c r="BQ33" s="31"/>
      <c r="BR33" s="31"/>
      <c r="BS33" s="54"/>
      <c r="BT33" s="56" t="str">
        <f>IFERROR(VLOOKUP(June[[#This Row],[Drug Name7]],'Data Options'!$R$1:$S$100,2,FALSE), " ")</f>
        <v xml:space="preserve"> </v>
      </c>
      <c r="BU33" s="55"/>
      <c r="BV33" s="32"/>
      <c r="BW33" s="32"/>
      <c r="BX33" s="55"/>
      <c r="BY33" s="32"/>
      <c r="BZ33" s="54"/>
      <c r="CA33" s="56" t="str">
        <f>IFERROR(VLOOKUP(June[[#This Row],[Drug Name8]],'Data Options'!$R$1:$S$100,2,FALSE), " ")</f>
        <v xml:space="preserve"> </v>
      </c>
      <c r="CB33" s="55"/>
      <c r="CC33" s="32"/>
      <c r="CD33" s="32"/>
      <c r="CE33" s="55"/>
      <c r="CF33" s="32"/>
      <c r="CG33" s="54"/>
      <c r="CH33" s="56" t="str">
        <f>IFERROR(VLOOKUP(June[[#This Row],[Drug Name9]],'Data Options'!$R$1:$S$100,2,FALSE), " ")</f>
        <v xml:space="preserve"> </v>
      </c>
      <c r="CI33" s="55"/>
      <c r="CJ33" s="32"/>
      <c r="CK33" s="32"/>
      <c r="CL33" s="55"/>
      <c r="CM33" s="32"/>
    </row>
    <row r="34" spans="1:9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54"/>
      <c r="R34" s="56" t="str">
        <f>IFERROR(VLOOKUP(June[[#This Row],[Drug Name]],'Data Options'!$R$1:$S$100,2,FALSE), " ")</f>
        <v xml:space="preserve"> </v>
      </c>
      <c r="S34" s="55"/>
      <c r="T34" s="32"/>
      <c r="U34" s="32"/>
      <c r="V34" s="55"/>
      <c r="W34" s="32"/>
      <c r="X34" s="54"/>
      <c r="Y34" s="56" t="str">
        <f>IFERROR(VLOOKUP(June[[#This Row],[Drug Name2]],'Data Options'!$R$1:$S$100,2,FALSE), " ")</f>
        <v xml:space="preserve"> </v>
      </c>
      <c r="Z34" s="55"/>
      <c r="AA34" s="32"/>
      <c r="AB34" s="32"/>
      <c r="AC34" s="55"/>
      <c r="AD34" s="32"/>
      <c r="AE34" s="54"/>
      <c r="AF34" s="56" t="str">
        <f>IFERROR(VLOOKUP(June[[#This Row],[Drug Name3]],'Data Options'!$R$1:$S$100,2,FALSE), " ")</f>
        <v xml:space="preserve"> </v>
      </c>
      <c r="AG34" s="55"/>
      <c r="AH34" s="32"/>
      <c r="AI34" s="32"/>
      <c r="AJ34" s="55"/>
      <c r="AK34" s="32"/>
      <c r="AL34" s="32"/>
      <c r="AM34" s="32"/>
      <c r="AN34" s="32"/>
      <c r="AO34" s="32"/>
      <c r="AP34" s="31"/>
      <c r="AQ34" s="31"/>
      <c r="AR34" s="54"/>
      <c r="AS34" s="56" t="str">
        <f>IFERROR(VLOOKUP(June[[#This Row],[Drug Name4]],'Data Options'!$R$1:$S$100,2,FALSE), " ")</f>
        <v xml:space="preserve"> </v>
      </c>
      <c r="AT34" s="55"/>
      <c r="AU34" s="32"/>
      <c r="AV34" s="32"/>
      <c r="AW34" s="55"/>
      <c r="AX34" s="32"/>
      <c r="AY34" s="54"/>
      <c r="AZ34" s="56" t="str">
        <f>IFERROR(VLOOKUP(June[[#This Row],[Drug Name5]],'Data Options'!$R$1:$S$100,2,FALSE), " ")</f>
        <v xml:space="preserve"> </v>
      </c>
      <c r="BA34" s="55"/>
      <c r="BB34" s="32"/>
      <c r="BC34" s="32"/>
      <c r="BD34" s="55"/>
      <c r="BE34" s="32"/>
      <c r="BF34" s="54"/>
      <c r="BG34" s="56" t="str">
        <f>IFERROR(VLOOKUP(June[[#This Row],[Drug Name6]],'Data Options'!$R$1:$S$100,2,FALSE), " ")</f>
        <v xml:space="preserve"> </v>
      </c>
      <c r="BH34" s="55"/>
      <c r="BI34" s="32"/>
      <c r="BJ34" s="32"/>
      <c r="BK34" s="55"/>
      <c r="BL34" s="32"/>
      <c r="BM34" s="32"/>
      <c r="BN34" s="32"/>
      <c r="BO34" s="32"/>
      <c r="BP34" s="32"/>
      <c r="BQ34" s="31"/>
      <c r="BR34" s="31"/>
      <c r="BS34" s="54"/>
      <c r="BT34" s="56" t="str">
        <f>IFERROR(VLOOKUP(June[[#This Row],[Drug Name7]],'Data Options'!$R$1:$S$100,2,FALSE), " ")</f>
        <v xml:space="preserve"> </v>
      </c>
      <c r="BU34" s="55"/>
      <c r="BV34" s="32"/>
      <c r="BW34" s="32"/>
      <c r="BX34" s="55"/>
      <c r="BY34" s="32"/>
      <c r="BZ34" s="54"/>
      <c r="CA34" s="56" t="str">
        <f>IFERROR(VLOOKUP(June[[#This Row],[Drug Name8]],'Data Options'!$R$1:$S$100,2,FALSE), " ")</f>
        <v xml:space="preserve"> </v>
      </c>
      <c r="CB34" s="55"/>
      <c r="CC34" s="32"/>
      <c r="CD34" s="32"/>
      <c r="CE34" s="55"/>
      <c r="CF34" s="32"/>
      <c r="CG34" s="54"/>
      <c r="CH34" s="56" t="str">
        <f>IFERROR(VLOOKUP(June[[#This Row],[Drug Name9]],'Data Options'!$R$1:$S$100,2,FALSE), " ")</f>
        <v xml:space="preserve"> </v>
      </c>
      <c r="CI34" s="55"/>
      <c r="CJ34" s="32"/>
      <c r="CK34" s="32"/>
      <c r="CL34" s="55"/>
      <c r="CM34" s="32"/>
    </row>
    <row r="35" spans="1:9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54"/>
      <c r="R35" s="56" t="str">
        <f>IFERROR(VLOOKUP(June[[#This Row],[Drug Name]],'Data Options'!$R$1:$S$100,2,FALSE), " ")</f>
        <v xml:space="preserve"> </v>
      </c>
      <c r="S35" s="55"/>
      <c r="T35" s="32"/>
      <c r="U35" s="32"/>
      <c r="V35" s="55"/>
      <c r="W35" s="32"/>
      <c r="X35" s="54"/>
      <c r="Y35" s="56" t="str">
        <f>IFERROR(VLOOKUP(June[[#This Row],[Drug Name2]],'Data Options'!$R$1:$S$100,2,FALSE), " ")</f>
        <v xml:space="preserve"> </v>
      </c>
      <c r="Z35" s="55"/>
      <c r="AA35" s="32"/>
      <c r="AB35" s="32"/>
      <c r="AC35" s="55"/>
      <c r="AD35" s="32"/>
      <c r="AE35" s="54"/>
      <c r="AF35" s="56" t="str">
        <f>IFERROR(VLOOKUP(June[[#This Row],[Drug Name3]],'Data Options'!$R$1:$S$100,2,FALSE), " ")</f>
        <v xml:space="preserve"> </v>
      </c>
      <c r="AG35" s="55"/>
      <c r="AH35" s="32"/>
      <c r="AI35" s="32"/>
      <c r="AJ35" s="55"/>
      <c r="AK35" s="32"/>
      <c r="AL35" s="32"/>
      <c r="AM35" s="32"/>
      <c r="AN35" s="32"/>
      <c r="AO35" s="32"/>
      <c r="AP35" s="31"/>
      <c r="AQ35" s="31"/>
      <c r="AR35" s="54"/>
      <c r="AS35" s="56" t="str">
        <f>IFERROR(VLOOKUP(June[[#This Row],[Drug Name4]],'Data Options'!$R$1:$S$100,2,FALSE), " ")</f>
        <v xml:space="preserve"> </v>
      </c>
      <c r="AT35" s="55"/>
      <c r="AU35" s="32"/>
      <c r="AV35" s="32"/>
      <c r="AW35" s="55"/>
      <c r="AX35" s="32"/>
      <c r="AY35" s="54"/>
      <c r="AZ35" s="56" t="str">
        <f>IFERROR(VLOOKUP(June[[#This Row],[Drug Name5]],'Data Options'!$R$1:$S$100,2,FALSE), " ")</f>
        <v xml:space="preserve"> </v>
      </c>
      <c r="BA35" s="55"/>
      <c r="BB35" s="32"/>
      <c r="BC35" s="32"/>
      <c r="BD35" s="55"/>
      <c r="BE35" s="32"/>
      <c r="BF35" s="54"/>
      <c r="BG35" s="56" t="str">
        <f>IFERROR(VLOOKUP(June[[#This Row],[Drug Name6]],'Data Options'!$R$1:$S$100,2,FALSE), " ")</f>
        <v xml:space="preserve"> </v>
      </c>
      <c r="BH35" s="55"/>
      <c r="BI35" s="32"/>
      <c r="BJ35" s="32"/>
      <c r="BK35" s="55"/>
      <c r="BL35" s="32"/>
      <c r="BM35" s="32"/>
      <c r="BN35" s="32"/>
      <c r="BO35" s="32"/>
      <c r="BP35" s="32"/>
      <c r="BQ35" s="31"/>
      <c r="BR35" s="31"/>
      <c r="BS35" s="54"/>
      <c r="BT35" s="56" t="str">
        <f>IFERROR(VLOOKUP(June[[#This Row],[Drug Name7]],'Data Options'!$R$1:$S$100,2,FALSE), " ")</f>
        <v xml:space="preserve"> </v>
      </c>
      <c r="BU35" s="55"/>
      <c r="BV35" s="32"/>
      <c r="BW35" s="32"/>
      <c r="BX35" s="55"/>
      <c r="BY35" s="32"/>
      <c r="BZ35" s="54"/>
      <c r="CA35" s="56" t="str">
        <f>IFERROR(VLOOKUP(June[[#This Row],[Drug Name8]],'Data Options'!$R$1:$S$100,2,FALSE), " ")</f>
        <v xml:space="preserve"> </v>
      </c>
      <c r="CB35" s="55"/>
      <c r="CC35" s="32"/>
      <c r="CD35" s="32"/>
      <c r="CE35" s="55"/>
      <c r="CF35" s="32"/>
      <c r="CG35" s="54"/>
      <c r="CH35" s="56" t="str">
        <f>IFERROR(VLOOKUP(June[[#This Row],[Drug Name9]],'Data Options'!$R$1:$S$100,2,FALSE), " ")</f>
        <v xml:space="preserve"> </v>
      </c>
      <c r="CI35" s="55"/>
      <c r="CJ35" s="32"/>
      <c r="CK35" s="32"/>
      <c r="CL35" s="55"/>
      <c r="CM35" s="32"/>
    </row>
    <row r="36" spans="1:91">
      <c r="A36" s="5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54"/>
      <c r="R36" s="56" t="str">
        <f>IFERROR(VLOOKUP(June[[#This Row],[Drug Name]],'Data Options'!$R$1:$S$100,2,FALSE), " ")</f>
        <v xml:space="preserve"> </v>
      </c>
      <c r="S36" s="55"/>
      <c r="T36" s="32"/>
      <c r="U36" s="32"/>
      <c r="V36" s="55"/>
      <c r="W36" s="32"/>
      <c r="X36" s="54"/>
      <c r="Y36" s="56" t="str">
        <f>IFERROR(VLOOKUP(June[[#This Row],[Drug Name2]],'Data Options'!$R$1:$S$100,2,FALSE), " ")</f>
        <v xml:space="preserve"> </v>
      </c>
      <c r="Z36" s="55"/>
      <c r="AA36" s="32"/>
      <c r="AB36" s="32"/>
      <c r="AC36" s="55"/>
      <c r="AD36" s="32"/>
      <c r="AE36" s="54"/>
      <c r="AF36" s="56" t="str">
        <f>IFERROR(VLOOKUP(June[[#This Row],[Drug Name3]],'Data Options'!$R$1:$S$100,2,FALSE), " ")</f>
        <v xml:space="preserve"> </v>
      </c>
      <c r="AG36" s="55"/>
      <c r="AH36" s="32"/>
      <c r="AI36" s="32"/>
      <c r="AJ36" s="55"/>
      <c r="AK36" s="32"/>
      <c r="AL36" s="32"/>
      <c r="AM36" s="32"/>
      <c r="AN36" s="32"/>
      <c r="AO36" s="32"/>
      <c r="AP36" s="31"/>
      <c r="AQ36" s="31"/>
      <c r="AR36" s="54"/>
      <c r="AS36" s="56" t="str">
        <f>IFERROR(VLOOKUP(June[[#This Row],[Drug Name4]],'Data Options'!$R$1:$S$100,2,FALSE), " ")</f>
        <v xml:space="preserve"> </v>
      </c>
      <c r="AT36" s="55"/>
      <c r="AU36" s="32"/>
      <c r="AV36" s="32"/>
      <c r="AW36" s="55"/>
      <c r="AX36" s="32"/>
      <c r="AY36" s="54"/>
      <c r="AZ36" s="56" t="str">
        <f>IFERROR(VLOOKUP(June[[#This Row],[Drug Name5]],'Data Options'!$R$1:$S$100,2,FALSE), " ")</f>
        <v xml:space="preserve"> </v>
      </c>
      <c r="BA36" s="55"/>
      <c r="BB36" s="32"/>
      <c r="BC36" s="32"/>
      <c r="BD36" s="55"/>
      <c r="BE36" s="32"/>
      <c r="BF36" s="54"/>
      <c r="BG36" s="56" t="str">
        <f>IFERROR(VLOOKUP(June[[#This Row],[Drug Name6]],'Data Options'!$R$1:$S$100,2,FALSE), " ")</f>
        <v xml:space="preserve"> </v>
      </c>
      <c r="BH36" s="55"/>
      <c r="BI36" s="32"/>
      <c r="BJ36" s="32"/>
      <c r="BK36" s="55"/>
      <c r="BL36" s="32"/>
      <c r="BM36" s="32"/>
      <c r="BN36" s="32"/>
      <c r="BO36" s="32"/>
      <c r="BP36" s="32"/>
      <c r="BQ36" s="31"/>
      <c r="BR36" s="31"/>
      <c r="BS36" s="54"/>
      <c r="BT36" s="56" t="str">
        <f>IFERROR(VLOOKUP(June[[#This Row],[Drug Name7]],'Data Options'!$R$1:$S$100,2,FALSE), " ")</f>
        <v xml:space="preserve"> </v>
      </c>
      <c r="BU36" s="55"/>
      <c r="BV36" s="32"/>
      <c r="BW36" s="32"/>
      <c r="BX36" s="55"/>
      <c r="BY36" s="32"/>
      <c r="BZ36" s="54"/>
      <c r="CA36" s="56" t="str">
        <f>IFERROR(VLOOKUP(June[[#This Row],[Drug Name8]],'Data Options'!$R$1:$S$100,2,FALSE), " ")</f>
        <v xml:space="preserve"> </v>
      </c>
      <c r="CB36" s="55"/>
      <c r="CC36" s="32"/>
      <c r="CD36" s="32"/>
      <c r="CE36" s="55"/>
      <c r="CF36" s="32"/>
      <c r="CG36" s="54"/>
      <c r="CH36" s="56" t="str">
        <f>IFERROR(VLOOKUP(June[[#This Row],[Drug Name9]],'Data Options'!$R$1:$S$100,2,FALSE), " ")</f>
        <v xml:space="preserve"> </v>
      </c>
      <c r="CI36" s="55"/>
      <c r="CJ36" s="32"/>
      <c r="CK36" s="32"/>
      <c r="CL36" s="55"/>
      <c r="CM36" s="32"/>
    </row>
    <row r="37" spans="1:9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54"/>
      <c r="R37" s="56" t="str">
        <f>IFERROR(VLOOKUP(June[[#This Row],[Drug Name]],'Data Options'!$R$1:$S$100,2,FALSE), " ")</f>
        <v xml:space="preserve"> </v>
      </c>
      <c r="S37" s="55"/>
      <c r="T37" s="32"/>
      <c r="U37" s="32"/>
      <c r="V37" s="55"/>
      <c r="W37" s="32"/>
      <c r="X37" s="54"/>
      <c r="Y37" s="56" t="str">
        <f>IFERROR(VLOOKUP(June[[#This Row],[Drug Name2]],'Data Options'!$R$1:$S$100,2,FALSE), " ")</f>
        <v xml:space="preserve"> </v>
      </c>
      <c r="Z37" s="55"/>
      <c r="AA37" s="32"/>
      <c r="AB37" s="32"/>
      <c r="AC37" s="55"/>
      <c r="AD37" s="32"/>
      <c r="AE37" s="54"/>
      <c r="AF37" s="56" t="str">
        <f>IFERROR(VLOOKUP(June[[#This Row],[Drug Name3]],'Data Options'!$R$1:$S$100,2,FALSE), " ")</f>
        <v xml:space="preserve"> </v>
      </c>
      <c r="AG37" s="55"/>
      <c r="AH37" s="32"/>
      <c r="AI37" s="32"/>
      <c r="AJ37" s="55"/>
      <c r="AK37" s="32"/>
      <c r="AL37" s="32"/>
      <c r="AM37" s="32"/>
      <c r="AN37" s="32"/>
      <c r="AO37" s="32"/>
      <c r="AP37" s="31"/>
      <c r="AQ37" s="31"/>
      <c r="AR37" s="54"/>
      <c r="AS37" s="56" t="str">
        <f>IFERROR(VLOOKUP(June[[#This Row],[Drug Name4]],'Data Options'!$R$1:$S$100,2,FALSE), " ")</f>
        <v xml:space="preserve"> </v>
      </c>
      <c r="AT37" s="55"/>
      <c r="AU37" s="32"/>
      <c r="AV37" s="32"/>
      <c r="AW37" s="55"/>
      <c r="AX37" s="32"/>
      <c r="AY37" s="54"/>
      <c r="AZ37" s="56" t="str">
        <f>IFERROR(VLOOKUP(June[[#This Row],[Drug Name5]],'Data Options'!$R$1:$S$100,2,FALSE), " ")</f>
        <v xml:space="preserve"> </v>
      </c>
      <c r="BA37" s="55"/>
      <c r="BB37" s="32"/>
      <c r="BC37" s="32"/>
      <c r="BD37" s="55"/>
      <c r="BE37" s="32"/>
      <c r="BF37" s="54"/>
      <c r="BG37" s="56" t="str">
        <f>IFERROR(VLOOKUP(June[[#This Row],[Drug Name6]],'Data Options'!$R$1:$S$100,2,FALSE), " ")</f>
        <v xml:space="preserve"> </v>
      </c>
      <c r="BH37" s="55"/>
      <c r="BI37" s="32"/>
      <c r="BJ37" s="32"/>
      <c r="BK37" s="55"/>
      <c r="BL37" s="32"/>
      <c r="BM37" s="32"/>
      <c r="BN37" s="32"/>
      <c r="BO37" s="32"/>
      <c r="BP37" s="32"/>
      <c r="BQ37" s="31"/>
      <c r="BR37" s="31"/>
      <c r="BS37" s="54"/>
      <c r="BT37" s="56" t="str">
        <f>IFERROR(VLOOKUP(June[[#This Row],[Drug Name7]],'Data Options'!$R$1:$S$100,2,FALSE), " ")</f>
        <v xml:space="preserve"> </v>
      </c>
      <c r="BU37" s="55"/>
      <c r="BV37" s="32"/>
      <c r="BW37" s="32"/>
      <c r="BX37" s="55"/>
      <c r="BY37" s="32"/>
      <c r="BZ37" s="54"/>
      <c r="CA37" s="56" t="str">
        <f>IFERROR(VLOOKUP(June[[#This Row],[Drug Name8]],'Data Options'!$R$1:$S$100,2,FALSE), " ")</f>
        <v xml:space="preserve"> </v>
      </c>
      <c r="CB37" s="55"/>
      <c r="CC37" s="32"/>
      <c r="CD37" s="32"/>
      <c r="CE37" s="55"/>
      <c r="CF37" s="32"/>
      <c r="CG37" s="54"/>
      <c r="CH37" s="56" t="str">
        <f>IFERROR(VLOOKUP(June[[#This Row],[Drug Name9]],'Data Options'!$R$1:$S$100,2,FALSE), " ")</f>
        <v xml:space="preserve"> </v>
      </c>
      <c r="CI37" s="55"/>
      <c r="CJ37" s="32"/>
      <c r="CK37" s="32"/>
      <c r="CL37" s="55"/>
      <c r="CM37" s="32"/>
    </row>
    <row r="38" spans="1:9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54"/>
      <c r="R38" s="56" t="str">
        <f>IFERROR(VLOOKUP(June[[#This Row],[Drug Name]],'Data Options'!$R$1:$S$100,2,FALSE), " ")</f>
        <v xml:space="preserve"> </v>
      </c>
      <c r="S38" s="55"/>
      <c r="T38" s="32"/>
      <c r="U38" s="32"/>
      <c r="V38" s="55"/>
      <c r="W38" s="32"/>
      <c r="X38" s="54"/>
      <c r="Y38" s="56" t="str">
        <f>IFERROR(VLOOKUP(June[[#This Row],[Drug Name2]],'Data Options'!$R$1:$S$100,2,FALSE), " ")</f>
        <v xml:space="preserve"> </v>
      </c>
      <c r="Z38" s="55"/>
      <c r="AA38" s="32"/>
      <c r="AB38" s="32"/>
      <c r="AC38" s="55"/>
      <c r="AD38" s="32"/>
      <c r="AE38" s="54"/>
      <c r="AF38" s="56" t="str">
        <f>IFERROR(VLOOKUP(June[[#This Row],[Drug Name3]],'Data Options'!$R$1:$S$100,2,FALSE), " ")</f>
        <v xml:space="preserve"> </v>
      </c>
      <c r="AG38" s="55"/>
      <c r="AH38" s="32"/>
      <c r="AI38" s="32"/>
      <c r="AJ38" s="55"/>
      <c r="AK38" s="32"/>
      <c r="AL38" s="32"/>
      <c r="AM38" s="32"/>
      <c r="AN38" s="32"/>
      <c r="AO38" s="32"/>
      <c r="AP38" s="31"/>
      <c r="AQ38" s="31"/>
      <c r="AR38" s="54"/>
      <c r="AS38" s="56" t="str">
        <f>IFERROR(VLOOKUP(June[[#This Row],[Drug Name4]],'Data Options'!$R$1:$S$100,2,FALSE), " ")</f>
        <v xml:space="preserve"> </v>
      </c>
      <c r="AT38" s="55"/>
      <c r="AU38" s="32"/>
      <c r="AV38" s="32"/>
      <c r="AW38" s="55"/>
      <c r="AX38" s="32"/>
      <c r="AY38" s="54"/>
      <c r="AZ38" s="56" t="str">
        <f>IFERROR(VLOOKUP(June[[#This Row],[Drug Name5]],'Data Options'!$R$1:$S$100,2,FALSE), " ")</f>
        <v xml:space="preserve"> </v>
      </c>
      <c r="BA38" s="55"/>
      <c r="BB38" s="32"/>
      <c r="BC38" s="32"/>
      <c r="BD38" s="55"/>
      <c r="BE38" s="32"/>
      <c r="BF38" s="54"/>
      <c r="BG38" s="56" t="str">
        <f>IFERROR(VLOOKUP(June[[#This Row],[Drug Name6]],'Data Options'!$R$1:$S$100,2,FALSE), " ")</f>
        <v xml:space="preserve"> </v>
      </c>
      <c r="BH38" s="55"/>
      <c r="BI38" s="32"/>
      <c r="BJ38" s="32"/>
      <c r="BK38" s="55"/>
      <c r="BL38" s="32"/>
      <c r="BM38" s="32"/>
      <c r="BN38" s="32"/>
      <c r="BO38" s="32"/>
      <c r="BP38" s="32"/>
      <c r="BQ38" s="31"/>
      <c r="BR38" s="31"/>
      <c r="BS38" s="54"/>
      <c r="BT38" s="56" t="str">
        <f>IFERROR(VLOOKUP(June[[#This Row],[Drug Name7]],'Data Options'!$R$1:$S$100,2,FALSE), " ")</f>
        <v xml:space="preserve"> </v>
      </c>
      <c r="BU38" s="55"/>
      <c r="BV38" s="32"/>
      <c r="BW38" s="32"/>
      <c r="BX38" s="55"/>
      <c r="BY38" s="32"/>
      <c r="BZ38" s="54"/>
      <c r="CA38" s="56" t="str">
        <f>IFERROR(VLOOKUP(June[[#This Row],[Drug Name8]],'Data Options'!$R$1:$S$100,2,FALSE), " ")</f>
        <v xml:space="preserve"> </v>
      </c>
      <c r="CB38" s="55"/>
      <c r="CC38" s="32"/>
      <c r="CD38" s="32"/>
      <c r="CE38" s="55"/>
      <c r="CF38" s="32"/>
      <c r="CG38" s="54"/>
      <c r="CH38" s="56" t="str">
        <f>IFERROR(VLOOKUP(June[[#This Row],[Drug Name9]],'Data Options'!$R$1:$S$100,2,FALSE), " ")</f>
        <v xml:space="preserve"> </v>
      </c>
      <c r="CI38" s="55"/>
      <c r="CJ38" s="32"/>
      <c r="CK38" s="32"/>
      <c r="CL38" s="55"/>
      <c r="CM38" s="32"/>
    </row>
    <row r="39" spans="1:9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54"/>
      <c r="R39" s="56" t="str">
        <f>IFERROR(VLOOKUP(June[[#This Row],[Drug Name]],'Data Options'!$R$1:$S$100,2,FALSE), " ")</f>
        <v xml:space="preserve"> </v>
      </c>
      <c r="S39" s="55"/>
      <c r="T39" s="32"/>
      <c r="U39" s="32"/>
      <c r="V39" s="55"/>
      <c r="W39" s="32"/>
      <c r="X39" s="54"/>
      <c r="Y39" s="56" t="str">
        <f>IFERROR(VLOOKUP(June[[#This Row],[Drug Name2]],'Data Options'!$R$1:$S$100,2,FALSE), " ")</f>
        <v xml:space="preserve"> </v>
      </c>
      <c r="Z39" s="55"/>
      <c r="AA39" s="32"/>
      <c r="AB39" s="32"/>
      <c r="AC39" s="55"/>
      <c r="AD39" s="32"/>
      <c r="AE39" s="54"/>
      <c r="AF39" s="56" t="str">
        <f>IFERROR(VLOOKUP(June[[#This Row],[Drug Name3]],'Data Options'!$R$1:$S$100,2,FALSE), " ")</f>
        <v xml:space="preserve"> </v>
      </c>
      <c r="AG39" s="55"/>
      <c r="AH39" s="32"/>
      <c r="AI39" s="32"/>
      <c r="AJ39" s="55"/>
      <c r="AK39" s="32"/>
      <c r="AL39" s="32"/>
      <c r="AM39" s="32"/>
      <c r="AN39" s="32"/>
      <c r="AO39" s="32"/>
      <c r="AP39" s="31"/>
      <c r="AQ39" s="31"/>
      <c r="AR39" s="54"/>
      <c r="AS39" s="56" t="str">
        <f>IFERROR(VLOOKUP(June[[#This Row],[Drug Name4]],'Data Options'!$R$1:$S$100,2,FALSE), " ")</f>
        <v xml:space="preserve"> </v>
      </c>
      <c r="AT39" s="55"/>
      <c r="AU39" s="32"/>
      <c r="AV39" s="32"/>
      <c r="AW39" s="55"/>
      <c r="AX39" s="32"/>
      <c r="AY39" s="54"/>
      <c r="AZ39" s="56" t="str">
        <f>IFERROR(VLOOKUP(June[[#This Row],[Drug Name5]],'Data Options'!$R$1:$S$100,2,FALSE), " ")</f>
        <v xml:space="preserve"> </v>
      </c>
      <c r="BA39" s="55"/>
      <c r="BB39" s="32"/>
      <c r="BC39" s="32"/>
      <c r="BD39" s="55"/>
      <c r="BE39" s="32"/>
      <c r="BF39" s="54"/>
      <c r="BG39" s="56" t="str">
        <f>IFERROR(VLOOKUP(June[[#This Row],[Drug Name6]],'Data Options'!$R$1:$S$100,2,FALSE), " ")</f>
        <v xml:space="preserve"> </v>
      </c>
      <c r="BH39" s="55"/>
      <c r="BI39" s="32"/>
      <c r="BJ39" s="32"/>
      <c r="BK39" s="55"/>
      <c r="BL39" s="32"/>
      <c r="BM39" s="32"/>
      <c r="BN39" s="32"/>
      <c r="BO39" s="32"/>
      <c r="BP39" s="32"/>
      <c r="BQ39" s="31"/>
      <c r="BR39" s="31"/>
      <c r="BS39" s="54"/>
      <c r="BT39" s="56" t="str">
        <f>IFERROR(VLOOKUP(June[[#This Row],[Drug Name7]],'Data Options'!$R$1:$S$100,2,FALSE), " ")</f>
        <v xml:space="preserve"> </v>
      </c>
      <c r="BU39" s="55"/>
      <c r="BV39" s="32"/>
      <c r="BW39" s="32"/>
      <c r="BX39" s="55"/>
      <c r="BY39" s="32"/>
      <c r="BZ39" s="54"/>
      <c r="CA39" s="56" t="str">
        <f>IFERROR(VLOOKUP(June[[#This Row],[Drug Name8]],'Data Options'!$R$1:$S$100,2,FALSE), " ")</f>
        <v xml:space="preserve"> </v>
      </c>
      <c r="CB39" s="55"/>
      <c r="CC39" s="32"/>
      <c r="CD39" s="32"/>
      <c r="CE39" s="55"/>
      <c r="CF39" s="32"/>
      <c r="CG39" s="54"/>
      <c r="CH39" s="56" t="str">
        <f>IFERROR(VLOOKUP(June[[#This Row],[Drug Name9]],'Data Options'!$R$1:$S$100,2,FALSE), " ")</f>
        <v xml:space="preserve"> </v>
      </c>
      <c r="CI39" s="55"/>
      <c r="CJ39" s="32"/>
      <c r="CK39" s="32"/>
      <c r="CL39" s="55"/>
      <c r="CM39" s="32"/>
    </row>
    <row r="40" spans="1:91">
      <c r="A40" s="5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54"/>
      <c r="R40" s="56" t="str">
        <f>IFERROR(VLOOKUP(June[[#This Row],[Drug Name]],'Data Options'!$R$1:$S$100,2,FALSE), " ")</f>
        <v xml:space="preserve"> </v>
      </c>
      <c r="S40" s="55"/>
      <c r="T40" s="32"/>
      <c r="U40" s="32"/>
      <c r="V40" s="55"/>
      <c r="W40" s="32"/>
      <c r="X40" s="54"/>
      <c r="Y40" s="56" t="str">
        <f>IFERROR(VLOOKUP(June[[#This Row],[Drug Name2]],'Data Options'!$R$1:$S$100,2,FALSE), " ")</f>
        <v xml:space="preserve"> </v>
      </c>
      <c r="Z40" s="55"/>
      <c r="AA40" s="32"/>
      <c r="AB40" s="32"/>
      <c r="AC40" s="55"/>
      <c r="AD40" s="32"/>
      <c r="AE40" s="54"/>
      <c r="AF40" s="56" t="str">
        <f>IFERROR(VLOOKUP(June[[#This Row],[Drug Name3]],'Data Options'!$R$1:$S$100,2,FALSE), " ")</f>
        <v xml:space="preserve"> </v>
      </c>
      <c r="AG40" s="55"/>
      <c r="AH40" s="32"/>
      <c r="AI40" s="32"/>
      <c r="AJ40" s="55"/>
      <c r="AK40" s="32"/>
      <c r="AL40" s="32"/>
      <c r="AM40" s="32"/>
      <c r="AN40" s="32"/>
      <c r="AO40" s="32"/>
      <c r="AP40" s="31"/>
      <c r="AQ40" s="31"/>
      <c r="AR40" s="54"/>
      <c r="AS40" s="56" t="str">
        <f>IFERROR(VLOOKUP(June[[#This Row],[Drug Name4]],'Data Options'!$R$1:$S$100,2,FALSE), " ")</f>
        <v xml:space="preserve"> </v>
      </c>
      <c r="AT40" s="55"/>
      <c r="AU40" s="32"/>
      <c r="AV40" s="32"/>
      <c r="AW40" s="55"/>
      <c r="AX40" s="32"/>
      <c r="AY40" s="54"/>
      <c r="AZ40" s="56" t="str">
        <f>IFERROR(VLOOKUP(June[[#This Row],[Drug Name5]],'Data Options'!$R$1:$S$100,2,FALSE), " ")</f>
        <v xml:space="preserve"> </v>
      </c>
      <c r="BA40" s="55"/>
      <c r="BB40" s="32"/>
      <c r="BC40" s="32"/>
      <c r="BD40" s="55"/>
      <c r="BE40" s="32"/>
      <c r="BF40" s="54"/>
      <c r="BG40" s="56" t="str">
        <f>IFERROR(VLOOKUP(June[[#This Row],[Drug Name6]],'Data Options'!$R$1:$S$100,2,FALSE), " ")</f>
        <v xml:space="preserve"> </v>
      </c>
      <c r="BH40" s="55"/>
      <c r="BI40" s="32"/>
      <c r="BJ40" s="32"/>
      <c r="BK40" s="55"/>
      <c r="BL40" s="32"/>
      <c r="BM40" s="32"/>
      <c r="BN40" s="32"/>
      <c r="BO40" s="32"/>
      <c r="BP40" s="32"/>
      <c r="BQ40" s="31"/>
      <c r="BR40" s="31"/>
      <c r="BS40" s="54"/>
      <c r="BT40" s="56" t="str">
        <f>IFERROR(VLOOKUP(June[[#This Row],[Drug Name7]],'Data Options'!$R$1:$S$100,2,FALSE), " ")</f>
        <v xml:space="preserve"> </v>
      </c>
      <c r="BU40" s="55"/>
      <c r="BV40" s="32"/>
      <c r="BW40" s="32"/>
      <c r="BX40" s="55"/>
      <c r="BY40" s="32"/>
      <c r="BZ40" s="54"/>
      <c r="CA40" s="56" t="str">
        <f>IFERROR(VLOOKUP(June[[#This Row],[Drug Name8]],'Data Options'!$R$1:$S$100,2,FALSE), " ")</f>
        <v xml:space="preserve"> </v>
      </c>
      <c r="CB40" s="55"/>
      <c r="CC40" s="32"/>
      <c r="CD40" s="32"/>
      <c r="CE40" s="55"/>
      <c r="CF40" s="32"/>
      <c r="CG40" s="54"/>
      <c r="CH40" s="56" t="str">
        <f>IFERROR(VLOOKUP(June[[#This Row],[Drug Name9]],'Data Options'!$R$1:$S$100,2,FALSE), " ")</f>
        <v xml:space="preserve"> </v>
      </c>
      <c r="CI40" s="55"/>
      <c r="CJ40" s="32"/>
      <c r="CK40" s="32"/>
      <c r="CL40" s="55"/>
      <c r="CM40" s="32"/>
    </row>
    <row r="41" spans="1:91">
      <c r="A41" s="5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54"/>
      <c r="R41" s="56" t="str">
        <f>IFERROR(VLOOKUP(June[[#This Row],[Drug Name]],'Data Options'!$R$1:$S$100,2,FALSE), " ")</f>
        <v xml:space="preserve"> </v>
      </c>
      <c r="S41" s="55"/>
      <c r="T41" s="32"/>
      <c r="U41" s="32"/>
      <c r="V41" s="55"/>
      <c r="W41" s="32"/>
      <c r="X41" s="54"/>
      <c r="Y41" s="56" t="str">
        <f>IFERROR(VLOOKUP(June[[#This Row],[Drug Name2]],'Data Options'!$R$1:$S$100,2,FALSE), " ")</f>
        <v xml:space="preserve"> </v>
      </c>
      <c r="Z41" s="55"/>
      <c r="AA41" s="32"/>
      <c r="AB41" s="32"/>
      <c r="AC41" s="55"/>
      <c r="AD41" s="32"/>
      <c r="AE41" s="54"/>
      <c r="AF41" s="56" t="str">
        <f>IFERROR(VLOOKUP(June[[#This Row],[Drug Name3]],'Data Options'!$R$1:$S$100,2,FALSE), " ")</f>
        <v xml:space="preserve"> </v>
      </c>
      <c r="AG41" s="55"/>
      <c r="AH41" s="32"/>
      <c r="AI41" s="32"/>
      <c r="AJ41" s="55"/>
      <c r="AK41" s="32"/>
      <c r="AL41" s="32"/>
      <c r="AM41" s="32"/>
      <c r="AN41" s="32"/>
      <c r="AO41" s="32"/>
      <c r="AP41" s="31"/>
      <c r="AQ41" s="31"/>
      <c r="AR41" s="54"/>
      <c r="AS41" s="56" t="str">
        <f>IFERROR(VLOOKUP(June[[#This Row],[Drug Name4]],'Data Options'!$R$1:$S$100,2,FALSE), " ")</f>
        <v xml:space="preserve"> </v>
      </c>
      <c r="AT41" s="55"/>
      <c r="AU41" s="32"/>
      <c r="AV41" s="32"/>
      <c r="AW41" s="55"/>
      <c r="AX41" s="32"/>
      <c r="AY41" s="54"/>
      <c r="AZ41" s="56" t="str">
        <f>IFERROR(VLOOKUP(June[[#This Row],[Drug Name5]],'Data Options'!$R$1:$S$100,2,FALSE), " ")</f>
        <v xml:space="preserve"> </v>
      </c>
      <c r="BA41" s="55"/>
      <c r="BB41" s="32"/>
      <c r="BC41" s="32"/>
      <c r="BD41" s="55"/>
      <c r="BE41" s="32"/>
      <c r="BF41" s="54"/>
      <c r="BG41" s="56" t="str">
        <f>IFERROR(VLOOKUP(June[[#This Row],[Drug Name6]],'Data Options'!$R$1:$S$100,2,FALSE), " ")</f>
        <v xml:space="preserve"> </v>
      </c>
      <c r="BH41" s="55"/>
      <c r="BI41" s="32"/>
      <c r="BJ41" s="32"/>
      <c r="BK41" s="55"/>
      <c r="BL41" s="32"/>
      <c r="BM41" s="32"/>
      <c r="BN41" s="32"/>
      <c r="BO41" s="32"/>
      <c r="BP41" s="32"/>
      <c r="BQ41" s="31"/>
      <c r="BR41" s="31"/>
      <c r="BS41" s="54"/>
      <c r="BT41" s="56" t="str">
        <f>IFERROR(VLOOKUP(June[[#This Row],[Drug Name7]],'Data Options'!$R$1:$S$100,2,FALSE), " ")</f>
        <v xml:space="preserve"> </v>
      </c>
      <c r="BU41" s="55"/>
      <c r="BV41" s="32"/>
      <c r="BW41" s="32"/>
      <c r="BX41" s="55"/>
      <c r="BY41" s="32"/>
      <c r="BZ41" s="54"/>
      <c r="CA41" s="56" t="str">
        <f>IFERROR(VLOOKUP(June[[#This Row],[Drug Name8]],'Data Options'!$R$1:$S$100,2,FALSE), " ")</f>
        <v xml:space="preserve"> </v>
      </c>
      <c r="CB41" s="55"/>
      <c r="CC41" s="32"/>
      <c r="CD41" s="32"/>
      <c r="CE41" s="55"/>
      <c r="CF41" s="32"/>
      <c r="CG41" s="54"/>
      <c r="CH41" s="56" t="str">
        <f>IFERROR(VLOOKUP(June[[#This Row],[Drug Name9]],'Data Options'!$R$1:$S$100,2,FALSE), " ")</f>
        <v xml:space="preserve"> </v>
      </c>
      <c r="CI41" s="55"/>
      <c r="CJ41" s="32"/>
      <c r="CK41" s="32"/>
      <c r="CL41" s="55"/>
      <c r="CM41" s="32"/>
    </row>
    <row r="42" spans="1:91">
      <c r="A42" s="5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54"/>
      <c r="R42" s="56" t="str">
        <f>IFERROR(VLOOKUP(June[[#This Row],[Drug Name]],'Data Options'!$R$1:$S$100,2,FALSE), " ")</f>
        <v xml:space="preserve"> </v>
      </c>
      <c r="S42" s="55"/>
      <c r="T42" s="32"/>
      <c r="U42" s="32"/>
      <c r="V42" s="55"/>
      <c r="W42" s="32"/>
      <c r="X42" s="54"/>
      <c r="Y42" s="56" t="str">
        <f>IFERROR(VLOOKUP(June[[#This Row],[Drug Name2]],'Data Options'!$R$1:$S$100,2,FALSE), " ")</f>
        <v xml:space="preserve"> </v>
      </c>
      <c r="Z42" s="55"/>
      <c r="AA42" s="32"/>
      <c r="AB42" s="32"/>
      <c r="AC42" s="55"/>
      <c r="AD42" s="32"/>
      <c r="AE42" s="54"/>
      <c r="AF42" s="56" t="str">
        <f>IFERROR(VLOOKUP(June[[#This Row],[Drug Name3]],'Data Options'!$R$1:$S$100,2,FALSE), " ")</f>
        <v xml:space="preserve"> </v>
      </c>
      <c r="AG42" s="55"/>
      <c r="AH42" s="32"/>
      <c r="AI42" s="32"/>
      <c r="AJ42" s="55"/>
      <c r="AK42" s="32"/>
      <c r="AL42" s="32"/>
      <c r="AM42" s="32"/>
      <c r="AN42" s="32"/>
      <c r="AO42" s="32"/>
      <c r="AP42" s="31"/>
      <c r="AQ42" s="31"/>
      <c r="AR42" s="54"/>
      <c r="AS42" s="56" t="str">
        <f>IFERROR(VLOOKUP(June[[#This Row],[Drug Name4]],'Data Options'!$R$1:$S$100,2,FALSE), " ")</f>
        <v xml:space="preserve"> </v>
      </c>
      <c r="AT42" s="55"/>
      <c r="AU42" s="32"/>
      <c r="AV42" s="32"/>
      <c r="AW42" s="55"/>
      <c r="AX42" s="32"/>
      <c r="AY42" s="54"/>
      <c r="AZ42" s="56" t="str">
        <f>IFERROR(VLOOKUP(June[[#This Row],[Drug Name5]],'Data Options'!$R$1:$S$100,2,FALSE), " ")</f>
        <v xml:space="preserve"> </v>
      </c>
      <c r="BA42" s="55"/>
      <c r="BB42" s="32"/>
      <c r="BC42" s="32"/>
      <c r="BD42" s="55"/>
      <c r="BE42" s="32"/>
      <c r="BF42" s="54"/>
      <c r="BG42" s="56" t="str">
        <f>IFERROR(VLOOKUP(June[[#This Row],[Drug Name6]],'Data Options'!$R$1:$S$100,2,FALSE), " ")</f>
        <v xml:space="preserve"> </v>
      </c>
      <c r="BH42" s="55"/>
      <c r="BI42" s="32"/>
      <c r="BJ42" s="32"/>
      <c r="BK42" s="55"/>
      <c r="BL42" s="32"/>
      <c r="BM42" s="32"/>
      <c r="BN42" s="32"/>
      <c r="BO42" s="32"/>
      <c r="BP42" s="32"/>
      <c r="BQ42" s="31"/>
      <c r="BR42" s="31"/>
      <c r="BS42" s="54"/>
      <c r="BT42" s="56" t="str">
        <f>IFERROR(VLOOKUP(June[[#This Row],[Drug Name7]],'Data Options'!$R$1:$S$100,2,FALSE), " ")</f>
        <v xml:space="preserve"> </v>
      </c>
      <c r="BU42" s="55"/>
      <c r="BV42" s="32"/>
      <c r="BW42" s="32"/>
      <c r="BX42" s="55"/>
      <c r="BY42" s="32"/>
      <c r="BZ42" s="54"/>
      <c r="CA42" s="56" t="str">
        <f>IFERROR(VLOOKUP(June[[#This Row],[Drug Name8]],'Data Options'!$R$1:$S$100,2,FALSE), " ")</f>
        <v xml:space="preserve"> </v>
      </c>
      <c r="CB42" s="55"/>
      <c r="CC42" s="32"/>
      <c r="CD42" s="32"/>
      <c r="CE42" s="55"/>
      <c r="CF42" s="32"/>
      <c r="CG42" s="54"/>
      <c r="CH42" s="56" t="str">
        <f>IFERROR(VLOOKUP(June[[#This Row],[Drug Name9]],'Data Options'!$R$1:$S$100,2,FALSE), " ")</f>
        <v xml:space="preserve"> </v>
      </c>
      <c r="CI42" s="55"/>
      <c r="CJ42" s="32"/>
      <c r="CK42" s="32"/>
      <c r="CL42" s="55"/>
      <c r="CM42" s="32"/>
    </row>
    <row r="43" spans="1:91">
      <c r="A43" s="5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54"/>
      <c r="R43" s="56" t="str">
        <f>IFERROR(VLOOKUP(June[[#This Row],[Drug Name]],'Data Options'!$R$1:$S$100,2,FALSE), " ")</f>
        <v xml:space="preserve"> </v>
      </c>
      <c r="S43" s="55"/>
      <c r="T43" s="32"/>
      <c r="U43" s="32"/>
      <c r="V43" s="55"/>
      <c r="W43" s="32"/>
      <c r="X43" s="54"/>
      <c r="Y43" s="56" t="str">
        <f>IFERROR(VLOOKUP(June[[#This Row],[Drug Name2]],'Data Options'!$R$1:$S$100,2,FALSE), " ")</f>
        <v xml:space="preserve"> </v>
      </c>
      <c r="Z43" s="55"/>
      <c r="AA43" s="32"/>
      <c r="AB43" s="32"/>
      <c r="AC43" s="55"/>
      <c r="AD43" s="32"/>
      <c r="AE43" s="54"/>
      <c r="AF43" s="56" t="str">
        <f>IFERROR(VLOOKUP(June[[#This Row],[Drug Name3]],'Data Options'!$R$1:$S$100,2,FALSE), " ")</f>
        <v xml:space="preserve"> </v>
      </c>
      <c r="AG43" s="55"/>
      <c r="AH43" s="32"/>
      <c r="AI43" s="32"/>
      <c r="AJ43" s="55"/>
      <c r="AK43" s="32"/>
      <c r="AL43" s="32"/>
      <c r="AM43" s="32"/>
      <c r="AN43" s="32"/>
      <c r="AO43" s="32"/>
      <c r="AP43" s="31"/>
      <c r="AQ43" s="31"/>
      <c r="AR43" s="54"/>
      <c r="AS43" s="56" t="str">
        <f>IFERROR(VLOOKUP(June[[#This Row],[Drug Name4]],'Data Options'!$R$1:$S$100,2,FALSE), " ")</f>
        <v xml:space="preserve"> </v>
      </c>
      <c r="AT43" s="55"/>
      <c r="AU43" s="32"/>
      <c r="AV43" s="32"/>
      <c r="AW43" s="55"/>
      <c r="AX43" s="32"/>
      <c r="AY43" s="54"/>
      <c r="AZ43" s="56" t="str">
        <f>IFERROR(VLOOKUP(June[[#This Row],[Drug Name5]],'Data Options'!$R$1:$S$100,2,FALSE), " ")</f>
        <v xml:space="preserve"> </v>
      </c>
      <c r="BA43" s="55"/>
      <c r="BB43" s="32"/>
      <c r="BC43" s="32"/>
      <c r="BD43" s="55"/>
      <c r="BE43" s="32"/>
      <c r="BF43" s="54"/>
      <c r="BG43" s="56" t="str">
        <f>IFERROR(VLOOKUP(June[[#This Row],[Drug Name6]],'Data Options'!$R$1:$S$100,2,FALSE), " ")</f>
        <v xml:space="preserve"> </v>
      </c>
      <c r="BH43" s="55"/>
      <c r="BI43" s="32"/>
      <c r="BJ43" s="32"/>
      <c r="BK43" s="55"/>
      <c r="BL43" s="32"/>
      <c r="BM43" s="32"/>
      <c r="BN43" s="32"/>
      <c r="BO43" s="32"/>
      <c r="BP43" s="32"/>
      <c r="BQ43" s="31"/>
      <c r="BR43" s="31"/>
      <c r="BS43" s="54"/>
      <c r="BT43" s="56" t="str">
        <f>IFERROR(VLOOKUP(June[[#This Row],[Drug Name7]],'Data Options'!$R$1:$S$100,2,FALSE), " ")</f>
        <v xml:space="preserve"> </v>
      </c>
      <c r="BU43" s="55"/>
      <c r="BV43" s="32"/>
      <c r="BW43" s="32"/>
      <c r="BX43" s="55"/>
      <c r="BY43" s="32"/>
      <c r="BZ43" s="54"/>
      <c r="CA43" s="56" t="str">
        <f>IFERROR(VLOOKUP(June[[#This Row],[Drug Name8]],'Data Options'!$R$1:$S$100,2,FALSE), " ")</f>
        <v xml:space="preserve"> </v>
      </c>
      <c r="CB43" s="55"/>
      <c r="CC43" s="32"/>
      <c r="CD43" s="32"/>
      <c r="CE43" s="55"/>
      <c r="CF43" s="32"/>
      <c r="CG43" s="54"/>
      <c r="CH43" s="56" t="str">
        <f>IFERROR(VLOOKUP(June[[#This Row],[Drug Name9]],'Data Options'!$R$1:$S$100,2,FALSE), " ")</f>
        <v xml:space="preserve"> </v>
      </c>
      <c r="CI43" s="55"/>
      <c r="CJ43" s="32"/>
      <c r="CK43" s="32"/>
      <c r="CL43" s="55"/>
      <c r="CM43" s="32"/>
    </row>
    <row r="44" spans="1:9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54"/>
      <c r="R44" s="56" t="str">
        <f>IFERROR(VLOOKUP(June[[#This Row],[Drug Name]],'Data Options'!$R$1:$S$100,2,FALSE), " ")</f>
        <v xml:space="preserve"> </v>
      </c>
      <c r="S44" s="55"/>
      <c r="T44" s="32"/>
      <c r="U44" s="32"/>
      <c r="V44" s="55"/>
      <c r="W44" s="32"/>
      <c r="X44" s="54"/>
      <c r="Y44" s="56" t="str">
        <f>IFERROR(VLOOKUP(June[[#This Row],[Drug Name2]],'Data Options'!$R$1:$S$100,2,FALSE), " ")</f>
        <v xml:space="preserve"> </v>
      </c>
      <c r="Z44" s="55"/>
      <c r="AA44" s="32"/>
      <c r="AB44" s="32"/>
      <c r="AC44" s="55"/>
      <c r="AD44" s="32"/>
      <c r="AE44" s="54"/>
      <c r="AF44" s="56" t="str">
        <f>IFERROR(VLOOKUP(June[[#This Row],[Drug Name3]],'Data Options'!$R$1:$S$100,2,FALSE), " ")</f>
        <v xml:space="preserve"> </v>
      </c>
      <c r="AG44" s="55"/>
      <c r="AH44" s="32"/>
      <c r="AI44" s="32"/>
      <c r="AJ44" s="55"/>
      <c r="AK44" s="32"/>
      <c r="AL44" s="32"/>
      <c r="AM44" s="32"/>
      <c r="AN44" s="32"/>
      <c r="AO44" s="32"/>
      <c r="AP44" s="31"/>
      <c r="AQ44" s="31"/>
      <c r="AR44" s="54"/>
      <c r="AS44" s="56" t="str">
        <f>IFERROR(VLOOKUP(June[[#This Row],[Drug Name4]],'Data Options'!$R$1:$S$100,2,FALSE), " ")</f>
        <v xml:space="preserve"> </v>
      </c>
      <c r="AT44" s="55"/>
      <c r="AU44" s="32"/>
      <c r="AV44" s="32"/>
      <c r="AW44" s="55"/>
      <c r="AX44" s="32"/>
      <c r="AY44" s="54"/>
      <c r="AZ44" s="56" t="str">
        <f>IFERROR(VLOOKUP(June[[#This Row],[Drug Name5]],'Data Options'!$R$1:$S$100,2,FALSE), " ")</f>
        <v xml:space="preserve"> </v>
      </c>
      <c r="BA44" s="55"/>
      <c r="BB44" s="32"/>
      <c r="BC44" s="32"/>
      <c r="BD44" s="55"/>
      <c r="BE44" s="32"/>
      <c r="BF44" s="54"/>
      <c r="BG44" s="56" t="str">
        <f>IFERROR(VLOOKUP(June[[#This Row],[Drug Name6]],'Data Options'!$R$1:$S$100,2,FALSE), " ")</f>
        <v xml:space="preserve"> </v>
      </c>
      <c r="BH44" s="55"/>
      <c r="BI44" s="32"/>
      <c r="BJ44" s="32"/>
      <c r="BK44" s="55"/>
      <c r="BL44" s="32"/>
      <c r="BM44" s="32"/>
      <c r="BN44" s="32"/>
      <c r="BO44" s="32"/>
      <c r="BP44" s="32"/>
      <c r="BQ44" s="31"/>
      <c r="BR44" s="31"/>
      <c r="BS44" s="54"/>
      <c r="BT44" s="56" t="str">
        <f>IFERROR(VLOOKUP(June[[#This Row],[Drug Name7]],'Data Options'!$R$1:$S$100,2,FALSE), " ")</f>
        <v xml:space="preserve"> </v>
      </c>
      <c r="BU44" s="55"/>
      <c r="BV44" s="32"/>
      <c r="BW44" s="32"/>
      <c r="BX44" s="55"/>
      <c r="BY44" s="32"/>
      <c r="BZ44" s="54"/>
      <c r="CA44" s="56" t="str">
        <f>IFERROR(VLOOKUP(June[[#This Row],[Drug Name8]],'Data Options'!$R$1:$S$100,2,FALSE), " ")</f>
        <v xml:space="preserve"> </v>
      </c>
      <c r="CB44" s="55"/>
      <c r="CC44" s="32"/>
      <c r="CD44" s="32"/>
      <c r="CE44" s="55"/>
      <c r="CF44" s="32"/>
      <c r="CG44" s="54"/>
      <c r="CH44" s="56" t="str">
        <f>IFERROR(VLOOKUP(June[[#This Row],[Drug Name9]],'Data Options'!$R$1:$S$100,2,FALSE), " ")</f>
        <v xml:space="preserve"> </v>
      </c>
      <c r="CI44" s="55"/>
      <c r="CJ44" s="32"/>
      <c r="CK44" s="32"/>
      <c r="CL44" s="55"/>
      <c r="CM44" s="32"/>
    </row>
    <row r="45" spans="1:91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54"/>
      <c r="R45" s="56" t="str">
        <f>IFERROR(VLOOKUP(June[[#This Row],[Drug Name]],'Data Options'!$R$1:$S$100,2,FALSE), " ")</f>
        <v xml:space="preserve"> </v>
      </c>
      <c r="S45" s="55"/>
      <c r="T45" s="32"/>
      <c r="U45" s="32"/>
      <c r="V45" s="55"/>
      <c r="W45" s="32"/>
      <c r="X45" s="54"/>
      <c r="Y45" s="56" t="str">
        <f>IFERROR(VLOOKUP(June[[#This Row],[Drug Name2]],'Data Options'!$R$1:$S$100,2,FALSE), " ")</f>
        <v xml:space="preserve"> </v>
      </c>
      <c r="Z45" s="55"/>
      <c r="AA45" s="32"/>
      <c r="AB45" s="32"/>
      <c r="AC45" s="55"/>
      <c r="AD45" s="32"/>
      <c r="AE45" s="54"/>
      <c r="AF45" s="56" t="str">
        <f>IFERROR(VLOOKUP(June[[#This Row],[Drug Name3]],'Data Options'!$R$1:$S$100,2,FALSE), " ")</f>
        <v xml:space="preserve"> </v>
      </c>
      <c r="AG45" s="55"/>
      <c r="AH45" s="32"/>
      <c r="AI45" s="32"/>
      <c r="AJ45" s="55"/>
      <c r="AK45" s="32"/>
      <c r="AL45" s="32"/>
      <c r="AM45" s="32"/>
      <c r="AN45" s="32"/>
      <c r="AO45" s="32"/>
      <c r="AP45" s="31"/>
      <c r="AQ45" s="31"/>
      <c r="AR45" s="54"/>
      <c r="AS45" s="56" t="str">
        <f>IFERROR(VLOOKUP(June[[#This Row],[Drug Name4]],'Data Options'!$R$1:$S$100,2,FALSE), " ")</f>
        <v xml:space="preserve"> </v>
      </c>
      <c r="AT45" s="55"/>
      <c r="AU45" s="32"/>
      <c r="AV45" s="32"/>
      <c r="AW45" s="55"/>
      <c r="AX45" s="32"/>
      <c r="AY45" s="54"/>
      <c r="AZ45" s="56" t="str">
        <f>IFERROR(VLOOKUP(June[[#This Row],[Drug Name5]],'Data Options'!$R$1:$S$100,2,FALSE), " ")</f>
        <v xml:space="preserve"> </v>
      </c>
      <c r="BA45" s="55"/>
      <c r="BB45" s="32"/>
      <c r="BC45" s="32"/>
      <c r="BD45" s="55"/>
      <c r="BE45" s="32"/>
      <c r="BF45" s="54"/>
      <c r="BG45" s="56" t="str">
        <f>IFERROR(VLOOKUP(June[[#This Row],[Drug Name6]],'Data Options'!$R$1:$S$100,2,FALSE), " ")</f>
        <v xml:space="preserve"> </v>
      </c>
      <c r="BH45" s="55"/>
      <c r="BI45" s="32"/>
      <c r="BJ45" s="32"/>
      <c r="BK45" s="55"/>
      <c r="BL45" s="32"/>
      <c r="BM45" s="32"/>
      <c r="BN45" s="32"/>
      <c r="BO45" s="32"/>
      <c r="BP45" s="32"/>
      <c r="BQ45" s="31"/>
      <c r="BR45" s="31"/>
      <c r="BS45" s="54"/>
      <c r="BT45" s="56" t="str">
        <f>IFERROR(VLOOKUP(June[[#This Row],[Drug Name7]],'Data Options'!$R$1:$S$100,2,FALSE), " ")</f>
        <v xml:space="preserve"> </v>
      </c>
      <c r="BU45" s="55"/>
      <c r="BV45" s="32"/>
      <c r="BW45" s="32"/>
      <c r="BX45" s="55"/>
      <c r="BY45" s="32"/>
      <c r="BZ45" s="54"/>
      <c r="CA45" s="56" t="str">
        <f>IFERROR(VLOOKUP(June[[#This Row],[Drug Name8]],'Data Options'!$R$1:$S$100,2,FALSE), " ")</f>
        <v xml:space="preserve"> </v>
      </c>
      <c r="CB45" s="55"/>
      <c r="CC45" s="32"/>
      <c r="CD45" s="32"/>
      <c r="CE45" s="55"/>
      <c r="CF45" s="32"/>
      <c r="CG45" s="54"/>
      <c r="CH45" s="56" t="str">
        <f>IFERROR(VLOOKUP(June[[#This Row],[Drug Name9]],'Data Options'!$R$1:$S$100,2,FALSE), " ")</f>
        <v xml:space="preserve"> </v>
      </c>
      <c r="CI45" s="55"/>
      <c r="CJ45" s="32"/>
      <c r="CK45" s="32"/>
      <c r="CL45" s="55"/>
      <c r="CM45" s="32"/>
    </row>
    <row r="46" spans="1:91">
      <c r="A46" s="5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54"/>
      <c r="R46" s="56" t="str">
        <f>IFERROR(VLOOKUP(June[[#This Row],[Drug Name]],'Data Options'!$R$1:$S$100,2,FALSE), " ")</f>
        <v xml:space="preserve"> </v>
      </c>
      <c r="S46" s="55"/>
      <c r="T46" s="32"/>
      <c r="U46" s="32"/>
      <c r="V46" s="55"/>
      <c r="W46" s="32"/>
      <c r="X46" s="54"/>
      <c r="Y46" s="56" t="str">
        <f>IFERROR(VLOOKUP(June[[#This Row],[Drug Name2]],'Data Options'!$R$1:$S$100,2,FALSE), " ")</f>
        <v xml:space="preserve"> </v>
      </c>
      <c r="Z46" s="55"/>
      <c r="AA46" s="32"/>
      <c r="AB46" s="32"/>
      <c r="AC46" s="55"/>
      <c r="AD46" s="32"/>
      <c r="AE46" s="54"/>
      <c r="AF46" s="56" t="str">
        <f>IFERROR(VLOOKUP(June[[#This Row],[Drug Name3]],'Data Options'!$R$1:$S$100,2,FALSE), " ")</f>
        <v xml:space="preserve"> </v>
      </c>
      <c r="AG46" s="55"/>
      <c r="AH46" s="32"/>
      <c r="AI46" s="32"/>
      <c r="AJ46" s="55"/>
      <c r="AK46" s="32"/>
      <c r="AL46" s="32"/>
      <c r="AM46" s="32"/>
      <c r="AN46" s="32"/>
      <c r="AO46" s="32"/>
      <c r="AP46" s="31"/>
      <c r="AQ46" s="31"/>
      <c r="AR46" s="54"/>
      <c r="AS46" s="56" t="str">
        <f>IFERROR(VLOOKUP(June[[#This Row],[Drug Name4]],'Data Options'!$R$1:$S$100,2,FALSE), " ")</f>
        <v xml:space="preserve"> </v>
      </c>
      <c r="AT46" s="55"/>
      <c r="AU46" s="32"/>
      <c r="AV46" s="32"/>
      <c r="AW46" s="55"/>
      <c r="AX46" s="32"/>
      <c r="AY46" s="54"/>
      <c r="AZ46" s="56" t="str">
        <f>IFERROR(VLOOKUP(June[[#This Row],[Drug Name5]],'Data Options'!$R$1:$S$100,2,FALSE), " ")</f>
        <v xml:space="preserve"> </v>
      </c>
      <c r="BA46" s="55"/>
      <c r="BB46" s="32"/>
      <c r="BC46" s="32"/>
      <c r="BD46" s="55"/>
      <c r="BE46" s="32"/>
      <c r="BF46" s="54"/>
      <c r="BG46" s="56" t="str">
        <f>IFERROR(VLOOKUP(June[[#This Row],[Drug Name6]],'Data Options'!$R$1:$S$100,2,FALSE), " ")</f>
        <v xml:space="preserve"> </v>
      </c>
      <c r="BH46" s="55"/>
      <c r="BI46" s="32"/>
      <c r="BJ46" s="32"/>
      <c r="BK46" s="55"/>
      <c r="BL46" s="32"/>
      <c r="BM46" s="32"/>
      <c r="BN46" s="32"/>
      <c r="BO46" s="32"/>
      <c r="BP46" s="32"/>
      <c r="BQ46" s="31"/>
      <c r="BR46" s="31"/>
      <c r="BS46" s="54"/>
      <c r="BT46" s="56" t="str">
        <f>IFERROR(VLOOKUP(June[[#This Row],[Drug Name7]],'Data Options'!$R$1:$S$100,2,FALSE), " ")</f>
        <v xml:space="preserve"> </v>
      </c>
      <c r="BU46" s="55"/>
      <c r="BV46" s="32"/>
      <c r="BW46" s="32"/>
      <c r="BX46" s="55"/>
      <c r="BY46" s="32"/>
      <c r="BZ46" s="54"/>
      <c r="CA46" s="56" t="str">
        <f>IFERROR(VLOOKUP(June[[#This Row],[Drug Name8]],'Data Options'!$R$1:$S$100,2,FALSE), " ")</f>
        <v xml:space="preserve"> </v>
      </c>
      <c r="CB46" s="55"/>
      <c r="CC46" s="32"/>
      <c r="CD46" s="32"/>
      <c r="CE46" s="55"/>
      <c r="CF46" s="32"/>
      <c r="CG46" s="54"/>
      <c r="CH46" s="56" t="str">
        <f>IFERROR(VLOOKUP(June[[#This Row],[Drug Name9]],'Data Options'!$R$1:$S$100,2,FALSE), " ")</f>
        <v xml:space="preserve"> </v>
      </c>
      <c r="CI46" s="55"/>
      <c r="CJ46" s="32"/>
      <c r="CK46" s="32"/>
      <c r="CL46" s="55"/>
      <c r="CM46" s="32"/>
    </row>
    <row r="47" spans="1:9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54"/>
      <c r="R47" s="56" t="str">
        <f>IFERROR(VLOOKUP(June[[#This Row],[Drug Name]],'Data Options'!$R$1:$S$100,2,FALSE), " ")</f>
        <v xml:space="preserve"> </v>
      </c>
      <c r="S47" s="55"/>
      <c r="T47" s="32"/>
      <c r="U47" s="32"/>
      <c r="V47" s="55"/>
      <c r="W47" s="32"/>
      <c r="X47" s="54"/>
      <c r="Y47" s="56" t="str">
        <f>IFERROR(VLOOKUP(June[[#This Row],[Drug Name2]],'Data Options'!$R$1:$S$100,2,FALSE), " ")</f>
        <v xml:space="preserve"> </v>
      </c>
      <c r="Z47" s="55"/>
      <c r="AA47" s="32"/>
      <c r="AB47" s="32"/>
      <c r="AC47" s="55"/>
      <c r="AD47" s="32"/>
      <c r="AE47" s="54"/>
      <c r="AF47" s="56" t="str">
        <f>IFERROR(VLOOKUP(June[[#This Row],[Drug Name3]],'Data Options'!$R$1:$S$100,2,FALSE), " ")</f>
        <v xml:space="preserve"> </v>
      </c>
      <c r="AG47" s="55"/>
      <c r="AH47" s="32"/>
      <c r="AI47" s="32"/>
      <c r="AJ47" s="55"/>
      <c r="AK47" s="32"/>
      <c r="AL47" s="32"/>
      <c r="AM47" s="32"/>
      <c r="AN47" s="32"/>
      <c r="AO47" s="32"/>
      <c r="AP47" s="31"/>
      <c r="AQ47" s="31"/>
      <c r="AR47" s="54"/>
      <c r="AS47" s="56" t="str">
        <f>IFERROR(VLOOKUP(June[[#This Row],[Drug Name4]],'Data Options'!$R$1:$S$100,2,FALSE), " ")</f>
        <v xml:space="preserve"> </v>
      </c>
      <c r="AT47" s="55"/>
      <c r="AU47" s="32"/>
      <c r="AV47" s="32"/>
      <c r="AW47" s="55"/>
      <c r="AX47" s="32"/>
      <c r="AY47" s="54"/>
      <c r="AZ47" s="56" t="str">
        <f>IFERROR(VLOOKUP(June[[#This Row],[Drug Name5]],'Data Options'!$R$1:$S$100,2,FALSE), " ")</f>
        <v xml:space="preserve"> </v>
      </c>
      <c r="BA47" s="55"/>
      <c r="BB47" s="32"/>
      <c r="BC47" s="32"/>
      <c r="BD47" s="55"/>
      <c r="BE47" s="32"/>
      <c r="BF47" s="54"/>
      <c r="BG47" s="56" t="str">
        <f>IFERROR(VLOOKUP(June[[#This Row],[Drug Name6]],'Data Options'!$R$1:$S$100,2,FALSE), " ")</f>
        <v xml:space="preserve"> </v>
      </c>
      <c r="BH47" s="55"/>
      <c r="BI47" s="32"/>
      <c r="BJ47" s="32"/>
      <c r="BK47" s="55"/>
      <c r="BL47" s="32"/>
      <c r="BM47" s="32"/>
      <c r="BN47" s="32"/>
      <c r="BO47" s="32"/>
      <c r="BP47" s="32"/>
      <c r="BQ47" s="31"/>
      <c r="BR47" s="31"/>
      <c r="BS47" s="54"/>
      <c r="BT47" s="56" t="str">
        <f>IFERROR(VLOOKUP(June[[#This Row],[Drug Name7]],'Data Options'!$R$1:$S$100,2,FALSE), " ")</f>
        <v xml:space="preserve"> </v>
      </c>
      <c r="BU47" s="55"/>
      <c r="BV47" s="32"/>
      <c r="BW47" s="32"/>
      <c r="BX47" s="55"/>
      <c r="BY47" s="32"/>
      <c r="BZ47" s="54"/>
      <c r="CA47" s="56" t="str">
        <f>IFERROR(VLOOKUP(June[[#This Row],[Drug Name8]],'Data Options'!$R$1:$S$100,2,FALSE), " ")</f>
        <v xml:space="preserve"> </v>
      </c>
      <c r="CB47" s="55"/>
      <c r="CC47" s="32"/>
      <c r="CD47" s="32"/>
      <c r="CE47" s="55"/>
      <c r="CF47" s="32"/>
      <c r="CG47" s="54"/>
      <c r="CH47" s="56" t="str">
        <f>IFERROR(VLOOKUP(June[[#This Row],[Drug Name9]],'Data Options'!$R$1:$S$100,2,FALSE), " ")</f>
        <v xml:space="preserve"> </v>
      </c>
      <c r="CI47" s="55"/>
      <c r="CJ47" s="32"/>
      <c r="CK47" s="32"/>
      <c r="CL47" s="55"/>
      <c r="CM47" s="32"/>
    </row>
    <row r="48" spans="1:9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54"/>
      <c r="R48" s="56" t="str">
        <f>IFERROR(VLOOKUP(June[[#This Row],[Drug Name]],'Data Options'!$R$1:$S$100,2,FALSE), " ")</f>
        <v xml:space="preserve"> </v>
      </c>
      <c r="S48" s="55"/>
      <c r="T48" s="32"/>
      <c r="U48" s="32"/>
      <c r="V48" s="55"/>
      <c r="W48" s="32"/>
      <c r="X48" s="54"/>
      <c r="Y48" s="56" t="str">
        <f>IFERROR(VLOOKUP(June[[#This Row],[Drug Name2]],'Data Options'!$R$1:$S$100,2,FALSE), " ")</f>
        <v xml:space="preserve"> </v>
      </c>
      <c r="Z48" s="55"/>
      <c r="AA48" s="32"/>
      <c r="AB48" s="32"/>
      <c r="AC48" s="55"/>
      <c r="AD48" s="32"/>
      <c r="AE48" s="54"/>
      <c r="AF48" s="56" t="str">
        <f>IFERROR(VLOOKUP(June[[#This Row],[Drug Name3]],'Data Options'!$R$1:$S$100,2,FALSE), " ")</f>
        <v xml:space="preserve"> </v>
      </c>
      <c r="AG48" s="55"/>
      <c r="AH48" s="32"/>
      <c r="AI48" s="32"/>
      <c r="AJ48" s="55"/>
      <c r="AK48" s="32"/>
      <c r="AL48" s="32"/>
      <c r="AM48" s="32"/>
      <c r="AN48" s="32"/>
      <c r="AO48" s="32"/>
      <c r="AP48" s="31"/>
      <c r="AQ48" s="31"/>
      <c r="AR48" s="54"/>
      <c r="AS48" s="56" t="str">
        <f>IFERROR(VLOOKUP(June[[#This Row],[Drug Name4]],'Data Options'!$R$1:$S$100,2,FALSE), " ")</f>
        <v xml:space="preserve"> </v>
      </c>
      <c r="AT48" s="55"/>
      <c r="AU48" s="32"/>
      <c r="AV48" s="32"/>
      <c r="AW48" s="55"/>
      <c r="AX48" s="32"/>
      <c r="AY48" s="54"/>
      <c r="AZ48" s="56" t="str">
        <f>IFERROR(VLOOKUP(June[[#This Row],[Drug Name5]],'Data Options'!$R$1:$S$100,2,FALSE), " ")</f>
        <v xml:space="preserve"> </v>
      </c>
      <c r="BA48" s="55"/>
      <c r="BB48" s="32"/>
      <c r="BC48" s="32"/>
      <c r="BD48" s="55"/>
      <c r="BE48" s="32"/>
      <c r="BF48" s="54"/>
      <c r="BG48" s="56" t="str">
        <f>IFERROR(VLOOKUP(June[[#This Row],[Drug Name6]],'Data Options'!$R$1:$S$100,2,FALSE), " ")</f>
        <v xml:space="preserve"> </v>
      </c>
      <c r="BH48" s="55"/>
      <c r="BI48" s="32"/>
      <c r="BJ48" s="32"/>
      <c r="BK48" s="55"/>
      <c r="BL48" s="32"/>
      <c r="BM48" s="32"/>
      <c r="BN48" s="32"/>
      <c r="BO48" s="32"/>
      <c r="BP48" s="32"/>
      <c r="BQ48" s="31"/>
      <c r="BR48" s="31"/>
      <c r="BS48" s="54"/>
      <c r="BT48" s="56" t="str">
        <f>IFERROR(VLOOKUP(June[[#This Row],[Drug Name7]],'Data Options'!$R$1:$S$100,2,FALSE), " ")</f>
        <v xml:space="preserve"> </v>
      </c>
      <c r="BU48" s="55"/>
      <c r="BV48" s="32"/>
      <c r="BW48" s="32"/>
      <c r="BX48" s="55"/>
      <c r="BY48" s="32"/>
      <c r="BZ48" s="54"/>
      <c r="CA48" s="56" t="str">
        <f>IFERROR(VLOOKUP(June[[#This Row],[Drug Name8]],'Data Options'!$R$1:$S$100,2,FALSE), " ")</f>
        <v xml:space="preserve"> </v>
      </c>
      <c r="CB48" s="55"/>
      <c r="CC48" s="32"/>
      <c r="CD48" s="32"/>
      <c r="CE48" s="55"/>
      <c r="CF48" s="32"/>
      <c r="CG48" s="54"/>
      <c r="CH48" s="56" t="str">
        <f>IFERROR(VLOOKUP(June[[#This Row],[Drug Name9]],'Data Options'!$R$1:$S$100,2,FALSE), " ")</f>
        <v xml:space="preserve"> </v>
      </c>
      <c r="CI48" s="55"/>
      <c r="CJ48" s="32"/>
      <c r="CK48" s="32"/>
      <c r="CL48" s="55"/>
      <c r="CM48" s="32"/>
    </row>
    <row r="49" spans="1:9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54"/>
      <c r="R49" s="56" t="str">
        <f>IFERROR(VLOOKUP(June[[#This Row],[Drug Name]],'Data Options'!$R$1:$S$100,2,FALSE), " ")</f>
        <v xml:space="preserve"> </v>
      </c>
      <c r="S49" s="55"/>
      <c r="T49" s="32"/>
      <c r="U49" s="32"/>
      <c r="V49" s="55"/>
      <c r="W49" s="32"/>
      <c r="X49" s="54"/>
      <c r="Y49" s="56" t="str">
        <f>IFERROR(VLOOKUP(June[[#This Row],[Drug Name2]],'Data Options'!$R$1:$S$100,2,FALSE), " ")</f>
        <v xml:space="preserve"> </v>
      </c>
      <c r="Z49" s="55"/>
      <c r="AA49" s="32"/>
      <c r="AB49" s="32"/>
      <c r="AC49" s="55"/>
      <c r="AD49" s="32"/>
      <c r="AE49" s="54"/>
      <c r="AF49" s="56" t="str">
        <f>IFERROR(VLOOKUP(June[[#This Row],[Drug Name3]],'Data Options'!$R$1:$S$100,2,FALSE), " ")</f>
        <v xml:space="preserve"> </v>
      </c>
      <c r="AG49" s="55"/>
      <c r="AH49" s="32"/>
      <c r="AI49" s="32"/>
      <c r="AJ49" s="55"/>
      <c r="AK49" s="32"/>
      <c r="AL49" s="32"/>
      <c r="AM49" s="32"/>
      <c r="AN49" s="32"/>
      <c r="AO49" s="32"/>
      <c r="AP49" s="31"/>
      <c r="AQ49" s="31"/>
      <c r="AR49" s="54"/>
      <c r="AS49" s="56" t="str">
        <f>IFERROR(VLOOKUP(June[[#This Row],[Drug Name4]],'Data Options'!$R$1:$S$100,2,FALSE), " ")</f>
        <v xml:space="preserve"> </v>
      </c>
      <c r="AT49" s="55"/>
      <c r="AU49" s="32"/>
      <c r="AV49" s="32"/>
      <c r="AW49" s="55"/>
      <c r="AX49" s="32"/>
      <c r="AY49" s="54"/>
      <c r="AZ49" s="56" t="str">
        <f>IFERROR(VLOOKUP(June[[#This Row],[Drug Name5]],'Data Options'!$R$1:$S$100,2,FALSE), " ")</f>
        <v xml:space="preserve"> </v>
      </c>
      <c r="BA49" s="55"/>
      <c r="BB49" s="32"/>
      <c r="BC49" s="32"/>
      <c r="BD49" s="55"/>
      <c r="BE49" s="32"/>
      <c r="BF49" s="54"/>
      <c r="BG49" s="56" t="str">
        <f>IFERROR(VLOOKUP(June[[#This Row],[Drug Name6]],'Data Options'!$R$1:$S$100,2,FALSE), " ")</f>
        <v xml:space="preserve"> </v>
      </c>
      <c r="BH49" s="55"/>
      <c r="BI49" s="32"/>
      <c r="BJ49" s="32"/>
      <c r="BK49" s="55"/>
      <c r="BL49" s="32"/>
      <c r="BM49" s="32"/>
      <c r="BN49" s="32"/>
      <c r="BO49" s="32"/>
      <c r="BP49" s="32"/>
      <c r="BQ49" s="31"/>
      <c r="BR49" s="31"/>
      <c r="BS49" s="54"/>
      <c r="BT49" s="56" t="str">
        <f>IFERROR(VLOOKUP(June[[#This Row],[Drug Name7]],'Data Options'!$R$1:$S$100,2,FALSE), " ")</f>
        <v xml:space="preserve"> </v>
      </c>
      <c r="BU49" s="55"/>
      <c r="BV49" s="32"/>
      <c r="BW49" s="32"/>
      <c r="BX49" s="55"/>
      <c r="BY49" s="32"/>
      <c r="BZ49" s="54"/>
      <c r="CA49" s="56" t="str">
        <f>IFERROR(VLOOKUP(June[[#This Row],[Drug Name8]],'Data Options'!$R$1:$S$100,2,FALSE), " ")</f>
        <v xml:space="preserve"> </v>
      </c>
      <c r="CB49" s="55"/>
      <c r="CC49" s="32"/>
      <c r="CD49" s="32"/>
      <c r="CE49" s="55"/>
      <c r="CF49" s="32"/>
      <c r="CG49" s="54"/>
      <c r="CH49" s="56" t="str">
        <f>IFERROR(VLOOKUP(June[[#This Row],[Drug Name9]],'Data Options'!$R$1:$S$100,2,FALSE), " ")</f>
        <v xml:space="preserve"> </v>
      </c>
      <c r="CI49" s="55"/>
      <c r="CJ49" s="32"/>
      <c r="CK49" s="32"/>
      <c r="CL49" s="55"/>
      <c r="CM49" s="32"/>
    </row>
    <row r="50" spans="1:91">
      <c r="A50" s="5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54"/>
      <c r="R50" s="56" t="str">
        <f>IFERROR(VLOOKUP(June[[#This Row],[Drug Name]],'Data Options'!$R$1:$S$100,2,FALSE), " ")</f>
        <v xml:space="preserve"> </v>
      </c>
      <c r="S50" s="55"/>
      <c r="T50" s="32"/>
      <c r="U50" s="32"/>
      <c r="V50" s="55"/>
      <c r="W50" s="32"/>
      <c r="X50" s="54"/>
      <c r="Y50" s="56" t="str">
        <f>IFERROR(VLOOKUP(June[[#This Row],[Drug Name2]],'Data Options'!$R$1:$S$100,2,FALSE), " ")</f>
        <v xml:space="preserve"> </v>
      </c>
      <c r="Z50" s="55"/>
      <c r="AA50" s="32"/>
      <c r="AB50" s="32"/>
      <c r="AC50" s="55"/>
      <c r="AD50" s="32"/>
      <c r="AE50" s="54"/>
      <c r="AF50" s="56" t="str">
        <f>IFERROR(VLOOKUP(June[[#This Row],[Drug Name3]],'Data Options'!$R$1:$S$100,2,FALSE), " ")</f>
        <v xml:space="preserve"> </v>
      </c>
      <c r="AG50" s="55"/>
      <c r="AH50" s="32"/>
      <c r="AI50" s="32"/>
      <c r="AJ50" s="55"/>
      <c r="AK50" s="32"/>
      <c r="AL50" s="32"/>
      <c r="AM50" s="32"/>
      <c r="AN50" s="32"/>
      <c r="AO50" s="32"/>
      <c r="AP50" s="31"/>
      <c r="AQ50" s="31"/>
      <c r="AR50" s="54"/>
      <c r="AS50" s="56" t="str">
        <f>IFERROR(VLOOKUP(June[[#This Row],[Drug Name4]],'Data Options'!$R$1:$S$100,2,FALSE), " ")</f>
        <v xml:space="preserve"> </v>
      </c>
      <c r="AT50" s="55"/>
      <c r="AU50" s="32"/>
      <c r="AV50" s="32"/>
      <c r="AW50" s="55"/>
      <c r="AX50" s="32"/>
      <c r="AY50" s="54"/>
      <c r="AZ50" s="56" t="str">
        <f>IFERROR(VLOOKUP(June[[#This Row],[Drug Name5]],'Data Options'!$R$1:$S$100,2,FALSE), " ")</f>
        <v xml:space="preserve"> </v>
      </c>
      <c r="BA50" s="55"/>
      <c r="BB50" s="32"/>
      <c r="BC50" s="32"/>
      <c r="BD50" s="55"/>
      <c r="BE50" s="32"/>
      <c r="BF50" s="54"/>
      <c r="BG50" s="56" t="str">
        <f>IFERROR(VLOOKUP(June[[#This Row],[Drug Name6]],'Data Options'!$R$1:$S$100,2,FALSE), " ")</f>
        <v xml:space="preserve"> </v>
      </c>
      <c r="BH50" s="55"/>
      <c r="BI50" s="32"/>
      <c r="BJ50" s="32"/>
      <c r="BK50" s="55"/>
      <c r="BL50" s="32"/>
      <c r="BM50" s="32"/>
      <c r="BN50" s="32"/>
      <c r="BO50" s="32"/>
      <c r="BP50" s="32"/>
      <c r="BQ50" s="31"/>
      <c r="BR50" s="31"/>
      <c r="BS50" s="54"/>
      <c r="BT50" s="56" t="str">
        <f>IFERROR(VLOOKUP(June[[#This Row],[Drug Name7]],'Data Options'!$R$1:$S$100,2,FALSE), " ")</f>
        <v xml:space="preserve"> </v>
      </c>
      <c r="BU50" s="55"/>
      <c r="BV50" s="32"/>
      <c r="BW50" s="32"/>
      <c r="BX50" s="55"/>
      <c r="BY50" s="32"/>
      <c r="BZ50" s="54"/>
      <c r="CA50" s="56" t="str">
        <f>IFERROR(VLOOKUP(June[[#This Row],[Drug Name8]],'Data Options'!$R$1:$S$100,2,FALSE), " ")</f>
        <v xml:space="preserve"> </v>
      </c>
      <c r="CB50" s="55"/>
      <c r="CC50" s="32"/>
      <c r="CD50" s="32"/>
      <c r="CE50" s="55"/>
      <c r="CF50" s="32"/>
      <c r="CG50" s="54"/>
      <c r="CH50" s="56" t="str">
        <f>IFERROR(VLOOKUP(June[[#This Row],[Drug Name9]],'Data Options'!$R$1:$S$100,2,FALSE), " ")</f>
        <v xml:space="preserve"> </v>
      </c>
      <c r="CI50" s="55"/>
      <c r="CJ50" s="32"/>
      <c r="CK50" s="32"/>
      <c r="CL50" s="55"/>
      <c r="CM50" s="32"/>
    </row>
    <row r="51" spans="1:9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54"/>
      <c r="R51" s="56" t="str">
        <f>IFERROR(VLOOKUP(June[[#This Row],[Drug Name]],'Data Options'!$R$1:$S$100,2,FALSE), " ")</f>
        <v xml:space="preserve"> </v>
      </c>
      <c r="S51" s="55"/>
      <c r="T51" s="32"/>
      <c r="U51" s="32"/>
      <c r="V51" s="55"/>
      <c r="W51" s="32"/>
      <c r="X51" s="54"/>
      <c r="Y51" s="56" t="str">
        <f>IFERROR(VLOOKUP(June[[#This Row],[Drug Name2]],'Data Options'!$R$1:$S$100,2,FALSE), " ")</f>
        <v xml:space="preserve"> </v>
      </c>
      <c r="Z51" s="55"/>
      <c r="AA51" s="32"/>
      <c r="AB51" s="32"/>
      <c r="AC51" s="55"/>
      <c r="AD51" s="32"/>
      <c r="AE51" s="54"/>
      <c r="AF51" s="56" t="str">
        <f>IFERROR(VLOOKUP(June[[#This Row],[Drug Name3]],'Data Options'!$R$1:$S$100,2,FALSE), " ")</f>
        <v xml:space="preserve"> </v>
      </c>
      <c r="AG51" s="55"/>
      <c r="AH51" s="32"/>
      <c r="AI51" s="32"/>
      <c r="AJ51" s="55"/>
      <c r="AK51" s="32"/>
      <c r="AL51" s="32"/>
      <c r="AM51" s="32"/>
      <c r="AN51" s="32"/>
      <c r="AO51" s="32"/>
      <c r="AP51" s="31"/>
      <c r="AQ51" s="31"/>
      <c r="AR51" s="54"/>
      <c r="AS51" s="56" t="str">
        <f>IFERROR(VLOOKUP(June[[#This Row],[Drug Name4]],'Data Options'!$R$1:$S$100,2,FALSE), " ")</f>
        <v xml:space="preserve"> </v>
      </c>
      <c r="AT51" s="55"/>
      <c r="AU51" s="32"/>
      <c r="AV51" s="32"/>
      <c r="AW51" s="55"/>
      <c r="AX51" s="32"/>
      <c r="AY51" s="54"/>
      <c r="AZ51" s="56" t="str">
        <f>IFERROR(VLOOKUP(June[[#This Row],[Drug Name5]],'Data Options'!$R$1:$S$100,2,FALSE), " ")</f>
        <v xml:space="preserve"> </v>
      </c>
      <c r="BA51" s="55"/>
      <c r="BB51" s="32"/>
      <c r="BC51" s="32"/>
      <c r="BD51" s="55"/>
      <c r="BE51" s="32"/>
      <c r="BF51" s="54"/>
      <c r="BG51" s="56" t="str">
        <f>IFERROR(VLOOKUP(June[[#This Row],[Drug Name6]],'Data Options'!$R$1:$S$100,2,FALSE), " ")</f>
        <v xml:space="preserve"> </v>
      </c>
      <c r="BH51" s="55"/>
      <c r="BI51" s="32"/>
      <c r="BJ51" s="32"/>
      <c r="BK51" s="55"/>
      <c r="BL51" s="32"/>
      <c r="BM51" s="32"/>
      <c r="BN51" s="32"/>
      <c r="BO51" s="32"/>
      <c r="BP51" s="32"/>
      <c r="BQ51" s="31"/>
      <c r="BR51" s="31"/>
      <c r="BS51" s="54"/>
      <c r="BT51" s="56" t="str">
        <f>IFERROR(VLOOKUP(June[[#This Row],[Drug Name7]],'Data Options'!$R$1:$S$100,2,FALSE), " ")</f>
        <v xml:space="preserve"> </v>
      </c>
      <c r="BU51" s="55"/>
      <c r="BV51" s="32"/>
      <c r="BW51" s="32"/>
      <c r="BX51" s="55"/>
      <c r="BY51" s="32"/>
      <c r="BZ51" s="54"/>
      <c r="CA51" s="56" t="str">
        <f>IFERROR(VLOOKUP(June[[#This Row],[Drug Name8]],'Data Options'!$R$1:$S$100,2,FALSE), " ")</f>
        <v xml:space="preserve"> </v>
      </c>
      <c r="CB51" s="55"/>
      <c r="CC51" s="32"/>
      <c r="CD51" s="32"/>
      <c r="CE51" s="55"/>
      <c r="CF51" s="32"/>
      <c r="CG51" s="54"/>
      <c r="CH51" s="56" t="str">
        <f>IFERROR(VLOOKUP(June[[#This Row],[Drug Name9]],'Data Options'!$R$1:$S$100,2,FALSE), " ")</f>
        <v xml:space="preserve"> </v>
      </c>
      <c r="CI51" s="55"/>
      <c r="CJ51" s="32"/>
      <c r="CK51" s="32"/>
      <c r="CL51" s="55"/>
      <c r="CM51" s="32"/>
    </row>
    <row r="52" spans="1:9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54"/>
      <c r="R52" s="56" t="str">
        <f>IFERROR(VLOOKUP(June[[#This Row],[Drug Name]],'Data Options'!$R$1:$S$100,2,FALSE), " ")</f>
        <v xml:space="preserve"> </v>
      </c>
      <c r="S52" s="55"/>
      <c r="T52" s="32"/>
      <c r="U52" s="32"/>
      <c r="V52" s="55"/>
      <c r="W52" s="32"/>
      <c r="X52" s="54"/>
      <c r="Y52" s="56" t="str">
        <f>IFERROR(VLOOKUP(June[[#This Row],[Drug Name2]],'Data Options'!$R$1:$S$100,2,FALSE), " ")</f>
        <v xml:space="preserve"> </v>
      </c>
      <c r="Z52" s="55"/>
      <c r="AA52" s="32"/>
      <c r="AB52" s="32"/>
      <c r="AC52" s="55"/>
      <c r="AD52" s="32"/>
      <c r="AE52" s="54"/>
      <c r="AF52" s="56" t="str">
        <f>IFERROR(VLOOKUP(June[[#This Row],[Drug Name3]],'Data Options'!$R$1:$S$100,2,FALSE), " ")</f>
        <v xml:space="preserve"> </v>
      </c>
      <c r="AG52" s="55"/>
      <c r="AH52" s="32"/>
      <c r="AI52" s="32"/>
      <c r="AJ52" s="55"/>
      <c r="AK52" s="32"/>
      <c r="AL52" s="32"/>
      <c r="AM52" s="32"/>
      <c r="AN52" s="32"/>
      <c r="AO52" s="32"/>
      <c r="AP52" s="31"/>
      <c r="AQ52" s="31"/>
      <c r="AR52" s="54"/>
      <c r="AS52" s="56" t="str">
        <f>IFERROR(VLOOKUP(June[[#This Row],[Drug Name4]],'Data Options'!$R$1:$S$100,2,FALSE), " ")</f>
        <v xml:space="preserve"> </v>
      </c>
      <c r="AT52" s="55"/>
      <c r="AU52" s="32"/>
      <c r="AV52" s="32"/>
      <c r="AW52" s="55"/>
      <c r="AX52" s="32"/>
      <c r="AY52" s="54"/>
      <c r="AZ52" s="56" t="str">
        <f>IFERROR(VLOOKUP(June[[#This Row],[Drug Name5]],'Data Options'!$R$1:$S$100,2,FALSE), " ")</f>
        <v xml:space="preserve"> </v>
      </c>
      <c r="BA52" s="55"/>
      <c r="BB52" s="32"/>
      <c r="BC52" s="32"/>
      <c r="BD52" s="55"/>
      <c r="BE52" s="32"/>
      <c r="BF52" s="54"/>
      <c r="BG52" s="56" t="str">
        <f>IFERROR(VLOOKUP(June[[#This Row],[Drug Name6]],'Data Options'!$R$1:$S$100,2,FALSE), " ")</f>
        <v xml:space="preserve"> </v>
      </c>
      <c r="BH52" s="55"/>
      <c r="BI52" s="32"/>
      <c r="BJ52" s="32"/>
      <c r="BK52" s="55"/>
      <c r="BL52" s="32"/>
      <c r="BM52" s="32"/>
      <c r="BN52" s="32"/>
      <c r="BO52" s="32"/>
      <c r="BP52" s="32"/>
      <c r="BQ52" s="31"/>
      <c r="BR52" s="31"/>
      <c r="BS52" s="54"/>
      <c r="BT52" s="56" t="str">
        <f>IFERROR(VLOOKUP(June[[#This Row],[Drug Name7]],'Data Options'!$R$1:$S$100,2,FALSE), " ")</f>
        <v xml:space="preserve"> </v>
      </c>
      <c r="BU52" s="55"/>
      <c r="BV52" s="32"/>
      <c r="BW52" s="32"/>
      <c r="BX52" s="55"/>
      <c r="BY52" s="32"/>
      <c r="BZ52" s="54"/>
      <c r="CA52" s="56" t="str">
        <f>IFERROR(VLOOKUP(June[[#This Row],[Drug Name8]],'Data Options'!$R$1:$S$100,2,FALSE), " ")</f>
        <v xml:space="preserve"> </v>
      </c>
      <c r="CB52" s="55"/>
      <c r="CC52" s="32"/>
      <c r="CD52" s="32"/>
      <c r="CE52" s="55"/>
      <c r="CF52" s="32"/>
      <c r="CG52" s="54"/>
      <c r="CH52" s="56" t="str">
        <f>IFERROR(VLOOKUP(June[[#This Row],[Drug Name9]],'Data Options'!$R$1:$S$100,2,FALSE), " ")</f>
        <v xml:space="preserve"> </v>
      </c>
      <c r="CI52" s="55"/>
      <c r="CJ52" s="32"/>
      <c r="CK52" s="32"/>
      <c r="CL52" s="55"/>
      <c r="CM52" s="32"/>
    </row>
    <row r="53" spans="1:91">
      <c r="A53" s="5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54"/>
      <c r="R53" s="56" t="str">
        <f>IFERROR(VLOOKUP(June[[#This Row],[Drug Name]],'Data Options'!$R$1:$S$100,2,FALSE), " ")</f>
        <v xml:space="preserve"> </v>
      </c>
      <c r="S53" s="55"/>
      <c r="T53" s="32"/>
      <c r="U53" s="32"/>
      <c r="V53" s="55"/>
      <c r="W53" s="32"/>
      <c r="X53" s="54"/>
      <c r="Y53" s="56" t="str">
        <f>IFERROR(VLOOKUP(June[[#This Row],[Drug Name2]],'Data Options'!$R$1:$S$100,2,FALSE), " ")</f>
        <v xml:space="preserve"> </v>
      </c>
      <c r="Z53" s="55"/>
      <c r="AA53" s="32"/>
      <c r="AB53" s="32"/>
      <c r="AC53" s="55"/>
      <c r="AD53" s="32"/>
      <c r="AE53" s="54"/>
      <c r="AF53" s="56" t="str">
        <f>IFERROR(VLOOKUP(June[[#This Row],[Drug Name3]],'Data Options'!$R$1:$S$100,2,FALSE), " ")</f>
        <v xml:space="preserve"> </v>
      </c>
      <c r="AG53" s="55"/>
      <c r="AH53" s="32"/>
      <c r="AI53" s="32"/>
      <c r="AJ53" s="55"/>
      <c r="AK53" s="32"/>
      <c r="AL53" s="32"/>
      <c r="AM53" s="32"/>
      <c r="AN53" s="32"/>
      <c r="AO53" s="32"/>
      <c r="AP53" s="31"/>
      <c r="AQ53" s="31"/>
      <c r="AR53" s="54"/>
      <c r="AS53" s="56" t="str">
        <f>IFERROR(VLOOKUP(June[[#This Row],[Drug Name4]],'Data Options'!$R$1:$S$100,2,FALSE), " ")</f>
        <v xml:space="preserve"> </v>
      </c>
      <c r="AT53" s="55"/>
      <c r="AU53" s="32"/>
      <c r="AV53" s="32"/>
      <c r="AW53" s="55"/>
      <c r="AX53" s="32"/>
      <c r="AY53" s="54"/>
      <c r="AZ53" s="56" t="str">
        <f>IFERROR(VLOOKUP(June[[#This Row],[Drug Name5]],'Data Options'!$R$1:$S$100,2,FALSE), " ")</f>
        <v xml:space="preserve"> </v>
      </c>
      <c r="BA53" s="55"/>
      <c r="BB53" s="32"/>
      <c r="BC53" s="32"/>
      <c r="BD53" s="55"/>
      <c r="BE53" s="32"/>
      <c r="BF53" s="54"/>
      <c r="BG53" s="56" t="str">
        <f>IFERROR(VLOOKUP(June[[#This Row],[Drug Name6]],'Data Options'!$R$1:$S$100,2,FALSE), " ")</f>
        <v xml:space="preserve"> </v>
      </c>
      <c r="BH53" s="55"/>
      <c r="BI53" s="32"/>
      <c r="BJ53" s="32"/>
      <c r="BK53" s="55"/>
      <c r="BL53" s="32"/>
      <c r="BM53" s="32"/>
      <c r="BN53" s="32"/>
      <c r="BO53" s="32"/>
      <c r="BP53" s="32"/>
      <c r="BQ53" s="31"/>
      <c r="BR53" s="31"/>
      <c r="BS53" s="54"/>
      <c r="BT53" s="56" t="str">
        <f>IFERROR(VLOOKUP(June[[#This Row],[Drug Name7]],'Data Options'!$R$1:$S$100,2,FALSE), " ")</f>
        <v xml:space="preserve"> </v>
      </c>
      <c r="BU53" s="55"/>
      <c r="BV53" s="32"/>
      <c r="BW53" s="32"/>
      <c r="BX53" s="55"/>
      <c r="BY53" s="32"/>
      <c r="BZ53" s="54"/>
      <c r="CA53" s="56" t="str">
        <f>IFERROR(VLOOKUP(June[[#This Row],[Drug Name8]],'Data Options'!$R$1:$S$100,2,FALSE), " ")</f>
        <v xml:space="preserve"> </v>
      </c>
      <c r="CB53" s="55"/>
      <c r="CC53" s="32"/>
      <c r="CD53" s="32"/>
      <c r="CE53" s="55"/>
      <c r="CF53" s="32"/>
      <c r="CG53" s="54"/>
      <c r="CH53" s="56" t="str">
        <f>IFERROR(VLOOKUP(June[[#This Row],[Drug Name9]],'Data Options'!$R$1:$S$100,2,FALSE), " ")</f>
        <v xml:space="preserve"> </v>
      </c>
      <c r="CI53" s="55"/>
      <c r="CJ53" s="32"/>
      <c r="CK53" s="32"/>
      <c r="CL53" s="55"/>
      <c r="CM53" s="32"/>
    </row>
    <row r="54" spans="1:91">
      <c r="A54" s="5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54"/>
      <c r="R54" s="56" t="str">
        <f>IFERROR(VLOOKUP(June[[#This Row],[Drug Name]],'Data Options'!$R$1:$S$100,2,FALSE), " ")</f>
        <v xml:space="preserve"> </v>
      </c>
      <c r="S54" s="55"/>
      <c r="T54" s="32"/>
      <c r="U54" s="32"/>
      <c r="V54" s="55"/>
      <c r="W54" s="32"/>
      <c r="X54" s="54"/>
      <c r="Y54" s="56" t="str">
        <f>IFERROR(VLOOKUP(June[[#This Row],[Drug Name2]],'Data Options'!$R$1:$S$100,2,FALSE), " ")</f>
        <v xml:space="preserve"> </v>
      </c>
      <c r="Z54" s="55"/>
      <c r="AA54" s="32"/>
      <c r="AB54" s="32"/>
      <c r="AC54" s="55"/>
      <c r="AD54" s="32"/>
      <c r="AE54" s="54"/>
      <c r="AF54" s="56" t="str">
        <f>IFERROR(VLOOKUP(June[[#This Row],[Drug Name3]],'Data Options'!$R$1:$S$100,2,FALSE), " ")</f>
        <v xml:space="preserve"> </v>
      </c>
      <c r="AG54" s="55"/>
      <c r="AH54" s="32"/>
      <c r="AI54" s="32"/>
      <c r="AJ54" s="55"/>
      <c r="AK54" s="32"/>
      <c r="AL54" s="32"/>
      <c r="AM54" s="32"/>
      <c r="AN54" s="32"/>
      <c r="AO54" s="32"/>
      <c r="AP54" s="31"/>
      <c r="AQ54" s="31"/>
      <c r="AR54" s="54"/>
      <c r="AS54" s="56" t="str">
        <f>IFERROR(VLOOKUP(June[[#This Row],[Drug Name4]],'Data Options'!$R$1:$S$100,2,FALSE), " ")</f>
        <v xml:space="preserve"> </v>
      </c>
      <c r="AT54" s="55"/>
      <c r="AU54" s="32"/>
      <c r="AV54" s="32"/>
      <c r="AW54" s="55"/>
      <c r="AX54" s="32"/>
      <c r="AY54" s="54"/>
      <c r="AZ54" s="56" t="str">
        <f>IFERROR(VLOOKUP(June[[#This Row],[Drug Name5]],'Data Options'!$R$1:$S$100,2,FALSE), " ")</f>
        <v xml:space="preserve"> </v>
      </c>
      <c r="BA54" s="55"/>
      <c r="BB54" s="32"/>
      <c r="BC54" s="32"/>
      <c r="BD54" s="55"/>
      <c r="BE54" s="32"/>
      <c r="BF54" s="54"/>
      <c r="BG54" s="56" t="str">
        <f>IFERROR(VLOOKUP(June[[#This Row],[Drug Name6]],'Data Options'!$R$1:$S$100,2,FALSE), " ")</f>
        <v xml:space="preserve"> </v>
      </c>
      <c r="BH54" s="55"/>
      <c r="BI54" s="32"/>
      <c r="BJ54" s="32"/>
      <c r="BK54" s="55"/>
      <c r="BL54" s="32"/>
      <c r="BM54" s="32"/>
      <c r="BN54" s="32"/>
      <c r="BO54" s="32"/>
      <c r="BP54" s="32"/>
      <c r="BQ54" s="31"/>
      <c r="BR54" s="31"/>
      <c r="BS54" s="54"/>
      <c r="BT54" s="56" t="str">
        <f>IFERROR(VLOOKUP(June[[#This Row],[Drug Name7]],'Data Options'!$R$1:$S$100,2,FALSE), " ")</f>
        <v xml:space="preserve"> </v>
      </c>
      <c r="BU54" s="55"/>
      <c r="BV54" s="32"/>
      <c r="BW54" s="32"/>
      <c r="BX54" s="55"/>
      <c r="BY54" s="32"/>
      <c r="BZ54" s="54"/>
      <c r="CA54" s="56" t="str">
        <f>IFERROR(VLOOKUP(June[[#This Row],[Drug Name8]],'Data Options'!$R$1:$S$100,2,FALSE), " ")</f>
        <v xml:space="preserve"> </v>
      </c>
      <c r="CB54" s="55"/>
      <c r="CC54" s="32"/>
      <c r="CD54" s="32"/>
      <c r="CE54" s="55"/>
      <c r="CF54" s="32"/>
      <c r="CG54" s="54"/>
      <c r="CH54" s="56" t="str">
        <f>IFERROR(VLOOKUP(June[[#This Row],[Drug Name9]],'Data Options'!$R$1:$S$100,2,FALSE), " ")</f>
        <v xml:space="preserve"> </v>
      </c>
      <c r="CI54" s="55"/>
      <c r="CJ54" s="32"/>
      <c r="CK54" s="32"/>
      <c r="CL54" s="55"/>
      <c r="CM54" s="32"/>
    </row>
    <row r="55" spans="1:91">
      <c r="A55" s="5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54"/>
      <c r="R55" s="56" t="str">
        <f>IFERROR(VLOOKUP(June[[#This Row],[Drug Name]],'Data Options'!$R$1:$S$100,2,FALSE), " ")</f>
        <v xml:space="preserve"> </v>
      </c>
      <c r="S55" s="55"/>
      <c r="T55" s="32"/>
      <c r="U55" s="32"/>
      <c r="V55" s="55"/>
      <c r="W55" s="32"/>
      <c r="X55" s="54"/>
      <c r="Y55" s="56" t="str">
        <f>IFERROR(VLOOKUP(June[[#This Row],[Drug Name2]],'Data Options'!$R$1:$S$100,2,FALSE), " ")</f>
        <v xml:space="preserve"> </v>
      </c>
      <c r="Z55" s="55"/>
      <c r="AA55" s="32"/>
      <c r="AB55" s="32"/>
      <c r="AC55" s="55"/>
      <c r="AD55" s="32"/>
      <c r="AE55" s="54"/>
      <c r="AF55" s="56" t="str">
        <f>IFERROR(VLOOKUP(June[[#This Row],[Drug Name3]],'Data Options'!$R$1:$S$100,2,FALSE), " ")</f>
        <v xml:space="preserve"> </v>
      </c>
      <c r="AG55" s="55"/>
      <c r="AH55" s="32"/>
      <c r="AI55" s="32"/>
      <c r="AJ55" s="55"/>
      <c r="AK55" s="32"/>
      <c r="AL55" s="32"/>
      <c r="AM55" s="32"/>
      <c r="AN55" s="32"/>
      <c r="AO55" s="32"/>
      <c r="AP55" s="31"/>
      <c r="AQ55" s="31"/>
      <c r="AR55" s="54"/>
      <c r="AS55" s="56" t="str">
        <f>IFERROR(VLOOKUP(June[[#This Row],[Drug Name4]],'Data Options'!$R$1:$S$100,2,FALSE), " ")</f>
        <v xml:space="preserve"> </v>
      </c>
      <c r="AT55" s="55"/>
      <c r="AU55" s="32"/>
      <c r="AV55" s="32"/>
      <c r="AW55" s="55"/>
      <c r="AX55" s="32"/>
      <c r="AY55" s="54"/>
      <c r="AZ55" s="56" t="str">
        <f>IFERROR(VLOOKUP(June[[#This Row],[Drug Name5]],'Data Options'!$R$1:$S$100,2,FALSE), " ")</f>
        <v xml:space="preserve"> </v>
      </c>
      <c r="BA55" s="55"/>
      <c r="BB55" s="32"/>
      <c r="BC55" s="32"/>
      <c r="BD55" s="55"/>
      <c r="BE55" s="32"/>
      <c r="BF55" s="54"/>
      <c r="BG55" s="56" t="str">
        <f>IFERROR(VLOOKUP(June[[#This Row],[Drug Name6]],'Data Options'!$R$1:$S$100,2,FALSE), " ")</f>
        <v xml:space="preserve"> </v>
      </c>
      <c r="BH55" s="55"/>
      <c r="BI55" s="32"/>
      <c r="BJ55" s="32"/>
      <c r="BK55" s="55"/>
      <c r="BL55" s="32"/>
      <c r="BM55" s="32"/>
      <c r="BN55" s="32"/>
      <c r="BO55" s="32"/>
      <c r="BP55" s="32"/>
      <c r="BQ55" s="31"/>
      <c r="BR55" s="31"/>
      <c r="BS55" s="54"/>
      <c r="BT55" s="56" t="str">
        <f>IFERROR(VLOOKUP(June[[#This Row],[Drug Name7]],'Data Options'!$R$1:$S$100,2,FALSE), " ")</f>
        <v xml:space="preserve"> </v>
      </c>
      <c r="BU55" s="55"/>
      <c r="BV55" s="32"/>
      <c r="BW55" s="32"/>
      <c r="BX55" s="55"/>
      <c r="BY55" s="32"/>
      <c r="BZ55" s="54"/>
      <c r="CA55" s="56" t="str">
        <f>IFERROR(VLOOKUP(June[[#This Row],[Drug Name8]],'Data Options'!$R$1:$S$100,2,FALSE), " ")</f>
        <v xml:space="preserve"> </v>
      </c>
      <c r="CB55" s="55"/>
      <c r="CC55" s="32"/>
      <c r="CD55" s="32"/>
      <c r="CE55" s="55"/>
      <c r="CF55" s="32"/>
      <c r="CG55" s="54"/>
      <c r="CH55" s="56" t="str">
        <f>IFERROR(VLOOKUP(June[[#This Row],[Drug Name9]],'Data Options'!$R$1:$S$100,2,FALSE), " ")</f>
        <v xml:space="preserve"> </v>
      </c>
      <c r="CI55" s="55"/>
      <c r="CJ55" s="32"/>
      <c r="CK55" s="32"/>
      <c r="CL55" s="55"/>
      <c r="CM55" s="32"/>
    </row>
    <row r="56" spans="1:91">
      <c r="A56" s="5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54"/>
      <c r="R56" s="56" t="str">
        <f>IFERROR(VLOOKUP(June[[#This Row],[Drug Name]],'Data Options'!$R$1:$S$100,2,FALSE), " ")</f>
        <v xml:space="preserve"> </v>
      </c>
      <c r="S56" s="55"/>
      <c r="T56" s="32"/>
      <c r="U56" s="32"/>
      <c r="V56" s="55"/>
      <c r="W56" s="32"/>
      <c r="X56" s="54"/>
      <c r="Y56" s="56" t="str">
        <f>IFERROR(VLOOKUP(June[[#This Row],[Drug Name2]],'Data Options'!$R$1:$S$100,2,FALSE), " ")</f>
        <v xml:space="preserve"> </v>
      </c>
      <c r="Z56" s="55"/>
      <c r="AA56" s="32"/>
      <c r="AB56" s="32"/>
      <c r="AC56" s="55"/>
      <c r="AD56" s="32"/>
      <c r="AE56" s="54"/>
      <c r="AF56" s="56" t="str">
        <f>IFERROR(VLOOKUP(June[[#This Row],[Drug Name3]],'Data Options'!$R$1:$S$100,2,FALSE), " ")</f>
        <v xml:space="preserve"> </v>
      </c>
      <c r="AG56" s="55"/>
      <c r="AH56" s="32"/>
      <c r="AI56" s="32"/>
      <c r="AJ56" s="55"/>
      <c r="AK56" s="32"/>
      <c r="AL56" s="32"/>
      <c r="AM56" s="32"/>
      <c r="AN56" s="32"/>
      <c r="AO56" s="32"/>
      <c r="AP56" s="31"/>
      <c r="AQ56" s="31"/>
      <c r="AR56" s="54"/>
      <c r="AS56" s="56" t="str">
        <f>IFERROR(VLOOKUP(June[[#This Row],[Drug Name4]],'Data Options'!$R$1:$S$100,2,FALSE), " ")</f>
        <v xml:space="preserve"> </v>
      </c>
      <c r="AT56" s="55"/>
      <c r="AU56" s="32"/>
      <c r="AV56" s="32"/>
      <c r="AW56" s="55"/>
      <c r="AX56" s="32"/>
      <c r="AY56" s="54"/>
      <c r="AZ56" s="56" t="str">
        <f>IFERROR(VLOOKUP(June[[#This Row],[Drug Name5]],'Data Options'!$R$1:$S$100,2,FALSE), " ")</f>
        <v xml:space="preserve"> </v>
      </c>
      <c r="BA56" s="55"/>
      <c r="BB56" s="32"/>
      <c r="BC56" s="32"/>
      <c r="BD56" s="55"/>
      <c r="BE56" s="32"/>
      <c r="BF56" s="54"/>
      <c r="BG56" s="56" t="str">
        <f>IFERROR(VLOOKUP(June[[#This Row],[Drug Name6]],'Data Options'!$R$1:$S$100,2,FALSE), " ")</f>
        <v xml:space="preserve"> </v>
      </c>
      <c r="BH56" s="55"/>
      <c r="BI56" s="32"/>
      <c r="BJ56" s="32"/>
      <c r="BK56" s="55"/>
      <c r="BL56" s="32"/>
      <c r="BM56" s="32"/>
      <c r="BN56" s="32"/>
      <c r="BO56" s="32"/>
      <c r="BP56" s="32"/>
      <c r="BQ56" s="31"/>
      <c r="BR56" s="31"/>
      <c r="BS56" s="54"/>
      <c r="BT56" s="56" t="str">
        <f>IFERROR(VLOOKUP(June[[#This Row],[Drug Name7]],'Data Options'!$R$1:$S$100,2,FALSE), " ")</f>
        <v xml:space="preserve"> </v>
      </c>
      <c r="BU56" s="55"/>
      <c r="BV56" s="32"/>
      <c r="BW56" s="32"/>
      <c r="BX56" s="55"/>
      <c r="BY56" s="32"/>
      <c r="BZ56" s="54"/>
      <c r="CA56" s="56" t="str">
        <f>IFERROR(VLOOKUP(June[[#This Row],[Drug Name8]],'Data Options'!$R$1:$S$100,2,FALSE), " ")</f>
        <v xml:space="preserve"> </v>
      </c>
      <c r="CB56" s="55"/>
      <c r="CC56" s="32"/>
      <c r="CD56" s="32"/>
      <c r="CE56" s="55"/>
      <c r="CF56" s="32"/>
      <c r="CG56" s="54"/>
      <c r="CH56" s="56" t="str">
        <f>IFERROR(VLOOKUP(June[[#This Row],[Drug Name9]],'Data Options'!$R$1:$S$100,2,FALSE), " ")</f>
        <v xml:space="preserve"> </v>
      </c>
      <c r="CI56" s="55"/>
      <c r="CJ56" s="32"/>
      <c r="CK56" s="32"/>
      <c r="CL56" s="55"/>
      <c r="CM56" s="32"/>
    </row>
    <row r="57" spans="1:91">
      <c r="A57" s="5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31"/>
      <c r="Q57" s="54"/>
      <c r="R57" s="56" t="str">
        <f>IFERROR(VLOOKUP(June[[#This Row],[Drug Name]],'Data Options'!$R$1:$S$100,2,FALSE), " ")</f>
        <v xml:space="preserve"> </v>
      </c>
      <c r="S57" s="55"/>
      <c r="T57" s="32"/>
      <c r="U57" s="32"/>
      <c r="V57" s="55"/>
      <c r="W57" s="32"/>
      <c r="X57" s="54"/>
      <c r="Y57" s="56" t="str">
        <f>IFERROR(VLOOKUP(June[[#This Row],[Drug Name2]],'Data Options'!$R$1:$S$100,2,FALSE), " ")</f>
        <v xml:space="preserve"> </v>
      </c>
      <c r="Z57" s="55"/>
      <c r="AA57" s="32"/>
      <c r="AB57" s="32"/>
      <c r="AC57" s="55"/>
      <c r="AD57" s="32"/>
      <c r="AE57" s="54"/>
      <c r="AF57" s="56" t="str">
        <f>IFERROR(VLOOKUP(June[[#This Row],[Drug Name3]],'Data Options'!$R$1:$S$100,2,FALSE), " ")</f>
        <v xml:space="preserve"> </v>
      </c>
      <c r="AG57" s="55"/>
      <c r="AH57" s="32"/>
      <c r="AI57" s="32"/>
      <c r="AJ57" s="55"/>
      <c r="AK57" s="32"/>
      <c r="AL57" s="32"/>
      <c r="AM57" s="32"/>
      <c r="AN57" s="32"/>
      <c r="AO57" s="32"/>
      <c r="AP57" s="31"/>
      <c r="AQ57" s="31"/>
      <c r="AR57" s="54"/>
      <c r="AS57" s="56" t="str">
        <f>IFERROR(VLOOKUP(June[[#This Row],[Drug Name4]],'Data Options'!$R$1:$S$100,2,FALSE), " ")</f>
        <v xml:space="preserve"> </v>
      </c>
      <c r="AT57" s="55"/>
      <c r="AU57" s="32"/>
      <c r="AV57" s="32"/>
      <c r="AW57" s="55"/>
      <c r="AX57" s="32"/>
      <c r="AY57" s="54"/>
      <c r="AZ57" s="56" t="str">
        <f>IFERROR(VLOOKUP(June[[#This Row],[Drug Name5]],'Data Options'!$R$1:$S$100,2,FALSE), " ")</f>
        <v xml:space="preserve"> </v>
      </c>
      <c r="BA57" s="55"/>
      <c r="BB57" s="32"/>
      <c r="BC57" s="32"/>
      <c r="BD57" s="55"/>
      <c r="BE57" s="32"/>
      <c r="BF57" s="54"/>
      <c r="BG57" s="56" t="str">
        <f>IFERROR(VLOOKUP(June[[#This Row],[Drug Name6]],'Data Options'!$R$1:$S$100,2,FALSE), " ")</f>
        <v xml:space="preserve"> </v>
      </c>
      <c r="BH57" s="55"/>
      <c r="BI57" s="32"/>
      <c r="BJ57" s="32"/>
      <c r="BK57" s="55"/>
      <c r="BL57" s="32"/>
      <c r="BM57" s="32"/>
      <c r="BN57" s="32"/>
      <c r="BO57" s="32"/>
      <c r="BP57" s="32"/>
      <c r="BQ57" s="31"/>
      <c r="BR57" s="31"/>
      <c r="BS57" s="54"/>
      <c r="BT57" s="56" t="str">
        <f>IFERROR(VLOOKUP(June[[#This Row],[Drug Name7]],'Data Options'!$R$1:$S$100,2,FALSE), " ")</f>
        <v xml:space="preserve"> </v>
      </c>
      <c r="BU57" s="55"/>
      <c r="BV57" s="32"/>
      <c r="BW57" s="32"/>
      <c r="BX57" s="55"/>
      <c r="BY57" s="32"/>
      <c r="BZ57" s="54"/>
      <c r="CA57" s="56" t="str">
        <f>IFERROR(VLOOKUP(June[[#This Row],[Drug Name8]],'Data Options'!$R$1:$S$100,2,FALSE), " ")</f>
        <v xml:space="preserve"> </v>
      </c>
      <c r="CB57" s="55"/>
      <c r="CC57" s="32"/>
      <c r="CD57" s="32"/>
      <c r="CE57" s="55"/>
      <c r="CF57" s="32"/>
      <c r="CG57" s="54"/>
      <c r="CH57" s="56" t="str">
        <f>IFERROR(VLOOKUP(June[[#This Row],[Drug Name9]],'Data Options'!$R$1:$S$100,2,FALSE), " ")</f>
        <v xml:space="preserve"> </v>
      </c>
      <c r="CI57" s="55"/>
      <c r="CJ57" s="32"/>
      <c r="CK57" s="32"/>
      <c r="CL57" s="55"/>
      <c r="CM57" s="32"/>
    </row>
    <row r="58" spans="1:9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54"/>
      <c r="R58" s="56" t="str">
        <f>IFERROR(VLOOKUP(June[[#This Row],[Drug Name]],'Data Options'!$R$1:$S$100,2,FALSE), " ")</f>
        <v xml:space="preserve"> </v>
      </c>
      <c r="S58" s="55"/>
      <c r="T58" s="32"/>
      <c r="U58" s="32"/>
      <c r="V58" s="55"/>
      <c r="W58" s="32"/>
      <c r="X58" s="54"/>
      <c r="Y58" s="56" t="str">
        <f>IFERROR(VLOOKUP(June[[#This Row],[Drug Name2]],'Data Options'!$R$1:$S$100,2,FALSE), " ")</f>
        <v xml:space="preserve"> </v>
      </c>
      <c r="Z58" s="55"/>
      <c r="AA58" s="32"/>
      <c r="AB58" s="32"/>
      <c r="AC58" s="55"/>
      <c r="AD58" s="32"/>
      <c r="AE58" s="54"/>
      <c r="AF58" s="56" t="str">
        <f>IFERROR(VLOOKUP(June[[#This Row],[Drug Name3]],'Data Options'!$R$1:$S$100,2,FALSE), " ")</f>
        <v xml:space="preserve"> </v>
      </c>
      <c r="AG58" s="55"/>
      <c r="AH58" s="32"/>
      <c r="AI58" s="32"/>
      <c r="AJ58" s="55"/>
      <c r="AK58" s="32"/>
      <c r="AL58" s="32"/>
      <c r="AM58" s="32"/>
      <c r="AN58" s="32"/>
      <c r="AO58" s="32"/>
      <c r="AP58" s="31"/>
      <c r="AQ58" s="31"/>
      <c r="AR58" s="54"/>
      <c r="AS58" s="56" t="str">
        <f>IFERROR(VLOOKUP(June[[#This Row],[Drug Name4]],'Data Options'!$R$1:$S$100,2,FALSE), " ")</f>
        <v xml:space="preserve"> </v>
      </c>
      <c r="AT58" s="55"/>
      <c r="AU58" s="32"/>
      <c r="AV58" s="32"/>
      <c r="AW58" s="55"/>
      <c r="AX58" s="32"/>
      <c r="AY58" s="54"/>
      <c r="AZ58" s="56" t="str">
        <f>IFERROR(VLOOKUP(June[[#This Row],[Drug Name5]],'Data Options'!$R$1:$S$100,2,FALSE), " ")</f>
        <v xml:space="preserve"> </v>
      </c>
      <c r="BA58" s="55"/>
      <c r="BB58" s="32"/>
      <c r="BC58" s="32"/>
      <c r="BD58" s="55"/>
      <c r="BE58" s="32"/>
      <c r="BF58" s="54"/>
      <c r="BG58" s="56" t="str">
        <f>IFERROR(VLOOKUP(June[[#This Row],[Drug Name6]],'Data Options'!$R$1:$S$100,2,FALSE), " ")</f>
        <v xml:space="preserve"> </v>
      </c>
      <c r="BH58" s="55"/>
      <c r="BI58" s="32"/>
      <c r="BJ58" s="32"/>
      <c r="BK58" s="55"/>
      <c r="BL58" s="32"/>
      <c r="BM58" s="32"/>
      <c r="BN58" s="32"/>
      <c r="BO58" s="32"/>
      <c r="BP58" s="32"/>
      <c r="BQ58" s="31"/>
      <c r="BR58" s="31"/>
      <c r="BS58" s="54"/>
      <c r="BT58" s="56" t="str">
        <f>IFERROR(VLOOKUP(June[[#This Row],[Drug Name7]],'Data Options'!$R$1:$S$100,2,FALSE), " ")</f>
        <v xml:space="preserve"> </v>
      </c>
      <c r="BU58" s="55"/>
      <c r="BV58" s="32"/>
      <c r="BW58" s="32"/>
      <c r="BX58" s="55"/>
      <c r="BY58" s="32"/>
      <c r="BZ58" s="54"/>
      <c r="CA58" s="56" t="str">
        <f>IFERROR(VLOOKUP(June[[#This Row],[Drug Name8]],'Data Options'!$R$1:$S$100,2,FALSE), " ")</f>
        <v xml:space="preserve"> </v>
      </c>
      <c r="CB58" s="55"/>
      <c r="CC58" s="32"/>
      <c r="CD58" s="32"/>
      <c r="CE58" s="55"/>
      <c r="CF58" s="32"/>
      <c r="CG58" s="54"/>
      <c r="CH58" s="56" t="str">
        <f>IFERROR(VLOOKUP(June[[#This Row],[Drug Name9]],'Data Options'!$R$1:$S$100,2,FALSE), " ")</f>
        <v xml:space="preserve"> </v>
      </c>
      <c r="CI58" s="55"/>
      <c r="CJ58" s="32"/>
      <c r="CK58" s="32"/>
      <c r="CL58" s="55"/>
      <c r="CM58" s="32"/>
    </row>
    <row r="59" spans="1:91">
      <c r="A59" s="5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31"/>
      <c r="Q59" s="54"/>
      <c r="R59" s="56" t="str">
        <f>IFERROR(VLOOKUP(June[[#This Row],[Drug Name]],'Data Options'!$R$1:$S$100,2,FALSE), " ")</f>
        <v xml:space="preserve"> </v>
      </c>
      <c r="S59" s="55"/>
      <c r="T59" s="32"/>
      <c r="U59" s="32"/>
      <c r="V59" s="55"/>
      <c r="W59" s="32"/>
      <c r="X59" s="54"/>
      <c r="Y59" s="56" t="str">
        <f>IFERROR(VLOOKUP(June[[#This Row],[Drug Name2]],'Data Options'!$R$1:$S$100,2,FALSE), " ")</f>
        <v xml:space="preserve"> </v>
      </c>
      <c r="Z59" s="55"/>
      <c r="AA59" s="32"/>
      <c r="AB59" s="32"/>
      <c r="AC59" s="55"/>
      <c r="AD59" s="32"/>
      <c r="AE59" s="54"/>
      <c r="AF59" s="56" t="str">
        <f>IFERROR(VLOOKUP(June[[#This Row],[Drug Name3]],'Data Options'!$R$1:$S$100,2,FALSE), " ")</f>
        <v xml:space="preserve"> </v>
      </c>
      <c r="AG59" s="55"/>
      <c r="AH59" s="32"/>
      <c r="AI59" s="32"/>
      <c r="AJ59" s="55"/>
      <c r="AK59" s="32"/>
      <c r="AL59" s="32"/>
      <c r="AM59" s="32"/>
      <c r="AN59" s="32"/>
      <c r="AO59" s="32"/>
      <c r="AP59" s="31"/>
      <c r="AQ59" s="31"/>
      <c r="AR59" s="54"/>
      <c r="AS59" s="56" t="str">
        <f>IFERROR(VLOOKUP(June[[#This Row],[Drug Name4]],'Data Options'!$R$1:$S$100,2,FALSE), " ")</f>
        <v xml:space="preserve"> </v>
      </c>
      <c r="AT59" s="55"/>
      <c r="AU59" s="32"/>
      <c r="AV59" s="32"/>
      <c r="AW59" s="55"/>
      <c r="AX59" s="32"/>
      <c r="AY59" s="54"/>
      <c r="AZ59" s="56" t="str">
        <f>IFERROR(VLOOKUP(June[[#This Row],[Drug Name5]],'Data Options'!$R$1:$S$100,2,FALSE), " ")</f>
        <v xml:space="preserve"> </v>
      </c>
      <c r="BA59" s="55"/>
      <c r="BB59" s="32"/>
      <c r="BC59" s="32"/>
      <c r="BD59" s="55"/>
      <c r="BE59" s="32"/>
      <c r="BF59" s="54"/>
      <c r="BG59" s="56" t="str">
        <f>IFERROR(VLOOKUP(June[[#This Row],[Drug Name6]],'Data Options'!$R$1:$S$100,2,FALSE), " ")</f>
        <v xml:space="preserve"> </v>
      </c>
      <c r="BH59" s="55"/>
      <c r="BI59" s="32"/>
      <c r="BJ59" s="32"/>
      <c r="BK59" s="55"/>
      <c r="BL59" s="32"/>
      <c r="BM59" s="32"/>
      <c r="BN59" s="32"/>
      <c r="BO59" s="32"/>
      <c r="BP59" s="32"/>
      <c r="BQ59" s="31"/>
      <c r="BR59" s="31"/>
      <c r="BS59" s="54"/>
      <c r="BT59" s="56" t="str">
        <f>IFERROR(VLOOKUP(June[[#This Row],[Drug Name7]],'Data Options'!$R$1:$S$100,2,FALSE), " ")</f>
        <v xml:space="preserve"> </v>
      </c>
      <c r="BU59" s="55"/>
      <c r="BV59" s="32"/>
      <c r="BW59" s="32"/>
      <c r="BX59" s="55"/>
      <c r="BY59" s="32"/>
      <c r="BZ59" s="54"/>
      <c r="CA59" s="56" t="str">
        <f>IFERROR(VLOOKUP(June[[#This Row],[Drug Name8]],'Data Options'!$R$1:$S$100,2,FALSE), " ")</f>
        <v xml:space="preserve"> </v>
      </c>
      <c r="CB59" s="55"/>
      <c r="CC59" s="32"/>
      <c r="CD59" s="32"/>
      <c r="CE59" s="55"/>
      <c r="CF59" s="32"/>
      <c r="CG59" s="54"/>
      <c r="CH59" s="56" t="str">
        <f>IFERROR(VLOOKUP(June[[#This Row],[Drug Name9]],'Data Options'!$R$1:$S$100,2,FALSE), " ")</f>
        <v xml:space="preserve"> </v>
      </c>
      <c r="CI59" s="55"/>
      <c r="CJ59" s="32"/>
      <c r="CK59" s="32"/>
      <c r="CL59" s="55"/>
      <c r="CM59" s="32"/>
    </row>
    <row r="60" spans="1:91">
      <c r="A60" s="5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31"/>
      <c r="Q60" s="54"/>
      <c r="R60" s="56" t="str">
        <f>IFERROR(VLOOKUP(June[[#This Row],[Drug Name]],'Data Options'!$R$1:$S$100,2,FALSE), " ")</f>
        <v xml:space="preserve"> </v>
      </c>
      <c r="S60" s="55"/>
      <c r="T60" s="32"/>
      <c r="U60" s="32"/>
      <c r="V60" s="55"/>
      <c r="W60" s="32"/>
      <c r="X60" s="54"/>
      <c r="Y60" s="56" t="str">
        <f>IFERROR(VLOOKUP(June[[#This Row],[Drug Name2]],'Data Options'!$R$1:$S$100,2,FALSE), " ")</f>
        <v xml:space="preserve"> </v>
      </c>
      <c r="Z60" s="55"/>
      <c r="AA60" s="32"/>
      <c r="AB60" s="32"/>
      <c r="AC60" s="55"/>
      <c r="AD60" s="32"/>
      <c r="AE60" s="54"/>
      <c r="AF60" s="56" t="str">
        <f>IFERROR(VLOOKUP(June[[#This Row],[Drug Name3]],'Data Options'!$R$1:$S$100,2,FALSE), " ")</f>
        <v xml:space="preserve"> </v>
      </c>
      <c r="AG60" s="55"/>
      <c r="AH60" s="32"/>
      <c r="AI60" s="32"/>
      <c r="AJ60" s="55"/>
      <c r="AK60" s="32"/>
      <c r="AL60" s="32"/>
      <c r="AM60" s="32"/>
      <c r="AN60" s="32"/>
      <c r="AO60" s="32"/>
      <c r="AP60" s="31"/>
      <c r="AQ60" s="31"/>
      <c r="AR60" s="54"/>
      <c r="AS60" s="56" t="str">
        <f>IFERROR(VLOOKUP(June[[#This Row],[Drug Name4]],'Data Options'!$R$1:$S$100,2,FALSE), " ")</f>
        <v xml:space="preserve"> </v>
      </c>
      <c r="AT60" s="55"/>
      <c r="AU60" s="32"/>
      <c r="AV60" s="32"/>
      <c r="AW60" s="55"/>
      <c r="AX60" s="32"/>
      <c r="AY60" s="54"/>
      <c r="AZ60" s="56" t="str">
        <f>IFERROR(VLOOKUP(June[[#This Row],[Drug Name5]],'Data Options'!$R$1:$S$100,2,FALSE), " ")</f>
        <v xml:space="preserve"> </v>
      </c>
      <c r="BA60" s="55"/>
      <c r="BB60" s="32"/>
      <c r="BC60" s="32"/>
      <c r="BD60" s="55"/>
      <c r="BE60" s="32"/>
      <c r="BF60" s="54"/>
      <c r="BG60" s="56" t="str">
        <f>IFERROR(VLOOKUP(June[[#This Row],[Drug Name6]],'Data Options'!$R$1:$S$100,2,FALSE), " ")</f>
        <v xml:space="preserve"> </v>
      </c>
      <c r="BH60" s="55"/>
      <c r="BI60" s="32"/>
      <c r="BJ60" s="32"/>
      <c r="BK60" s="55"/>
      <c r="BL60" s="32"/>
      <c r="BM60" s="32"/>
      <c r="BN60" s="32"/>
      <c r="BO60" s="32"/>
      <c r="BP60" s="32"/>
      <c r="BQ60" s="31"/>
      <c r="BR60" s="31"/>
      <c r="BS60" s="54"/>
      <c r="BT60" s="56" t="str">
        <f>IFERROR(VLOOKUP(June[[#This Row],[Drug Name7]],'Data Options'!$R$1:$S$100,2,FALSE), " ")</f>
        <v xml:space="preserve"> </v>
      </c>
      <c r="BU60" s="55"/>
      <c r="BV60" s="32"/>
      <c r="BW60" s="32"/>
      <c r="BX60" s="55"/>
      <c r="BY60" s="32"/>
      <c r="BZ60" s="54"/>
      <c r="CA60" s="56" t="str">
        <f>IFERROR(VLOOKUP(June[[#This Row],[Drug Name8]],'Data Options'!$R$1:$S$100,2,FALSE), " ")</f>
        <v xml:space="preserve"> </v>
      </c>
      <c r="CB60" s="55"/>
      <c r="CC60" s="32"/>
      <c r="CD60" s="32"/>
      <c r="CE60" s="55"/>
      <c r="CF60" s="32"/>
      <c r="CG60" s="54"/>
      <c r="CH60" s="56" t="str">
        <f>IFERROR(VLOOKUP(June[[#This Row],[Drug Name9]],'Data Options'!$R$1:$S$100,2,FALSE), " ")</f>
        <v xml:space="preserve"> </v>
      </c>
      <c r="CI60" s="55"/>
      <c r="CJ60" s="32"/>
      <c r="CK60" s="32"/>
      <c r="CL60" s="55"/>
      <c r="CM60" s="32"/>
    </row>
    <row r="61" spans="1:91">
      <c r="A61" s="5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31"/>
      <c r="Q61" s="54"/>
      <c r="R61" s="56" t="str">
        <f>IFERROR(VLOOKUP(June[[#This Row],[Drug Name]],'Data Options'!$R$1:$S$100,2,FALSE), " ")</f>
        <v xml:space="preserve"> </v>
      </c>
      <c r="S61" s="55"/>
      <c r="T61" s="32"/>
      <c r="U61" s="32"/>
      <c r="V61" s="55"/>
      <c r="W61" s="32"/>
      <c r="X61" s="54"/>
      <c r="Y61" s="56" t="str">
        <f>IFERROR(VLOOKUP(June[[#This Row],[Drug Name2]],'Data Options'!$R$1:$S$100,2,FALSE), " ")</f>
        <v xml:space="preserve"> </v>
      </c>
      <c r="Z61" s="55"/>
      <c r="AA61" s="32"/>
      <c r="AB61" s="32"/>
      <c r="AC61" s="55"/>
      <c r="AD61" s="32"/>
      <c r="AE61" s="54"/>
      <c r="AF61" s="56" t="str">
        <f>IFERROR(VLOOKUP(June[[#This Row],[Drug Name3]],'Data Options'!$R$1:$S$100,2,FALSE), " ")</f>
        <v xml:space="preserve"> </v>
      </c>
      <c r="AG61" s="55"/>
      <c r="AH61" s="32"/>
      <c r="AI61" s="32"/>
      <c r="AJ61" s="55"/>
      <c r="AK61" s="32"/>
      <c r="AL61" s="32"/>
      <c r="AM61" s="32"/>
      <c r="AN61" s="32"/>
      <c r="AO61" s="32"/>
      <c r="AP61" s="31"/>
      <c r="AQ61" s="31"/>
      <c r="AR61" s="54"/>
      <c r="AS61" s="56" t="str">
        <f>IFERROR(VLOOKUP(June[[#This Row],[Drug Name4]],'Data Options'!$R$1:$S$100,2,FALSE), " ")</f>
        <v xml:space="preserve"> </v>
      </c>
      <c r="AT61" s="55"/>
      <c r="AU61" s="32"/>
      <c r="AV61" s="32"/>
      <c r="AW61" s="55"/>
      <c r="AX61" s="32"/>
      <c r="AY61" s="54"/>
      <c r="AZ61" s="56" t="str">
        <f>IFERROR(VLOOKUP(June[[#This Row],[Drug Name5]],'Data Options'!$R$1:$S$100,2,FALSE), " ")</f>
        <v xml:space="preserve"> </v>
      </c>
      <c r="BA61" s="55"/>
      <c r="BB61" s="32"/>
      <c r="BC61" s="32"/>
      <c r="BD61" s="55"/>
      <c r="BE61" s="32"/>
      <c r="BF61" s="54"/>
      <c r="BG61" s="56" t="str">
        <f>IFERROR(VLOOKUP(June[[#This Row],[Drug Name6]],'Data Options'!$R$1:$S$100,2,FALSE), " ")</f>
        <v xml:space="preserve"> </v>
      </c>
      <c r="BH61" s="55"/>
      <c r="BI61" s="32"/>
      <c r="BJ61" s="32"/>
      <c r="BK61" s="55"/>
      <c r="BL61" s="32"/>
      <c r="BM61" s="32"/>
      <c r="BN61" s="32"/>
      <c r="BO61" s="32"/>
      <c r="BP61" s="32"/>
      <c r="BQ61" s="31"/>
      <c r="BR61" s="31"/>
      <c r="BS61" s="54"/>
      <c r="BT61" s="56" t="str">
        <f>IFERROR(VLOOKUP(June[[#This Row],[Drug Name7]],'Data Options'!$R$1:$S$100,2,FALSE), " ")</f>
        <v xml:space="preserve"> </v>
      </c>
      <c r="BU61" s="55"/>
      <c r="BV61" s="32"/>
      <c r="BW61" s="32"/>
      <c r="BX61" s="55"/>
      <c r="BY61" s="32"/>
      <c r="BZ61" s="54"/>
      <c r="CA61" s="56" t="str">
        <f>IFERROR(VLOOKUP(June[[#This Row],[Drug Name8]],'Data Options'!$R$1:$S$100,2,FALSE), " ")</f>
        <v xml:space="preserve"> </v>
      </c>
      <c r="CB61" s="55"/>
      <c r="CC61" s="32"/>
      <c r="CD61" s="32"/>
      <c r="CE61" s="55"/>
      <c r="CF61" s="32"/>
      <c r="CG61" s="54"/>
      <c r="CH61" s="56" t="str">
        <f>IFERROR(VLOOKUP(June[[#This Row],[Drug Name9]],'Data Options'!$R$1:$S$100,2,FALSE), " ")</f>
        <v xml:space="preserve"> </v>
      </c>
      <c r="CI61" s="55"/>
      <c r="CJ61" s="32"/>
      <c r="CK61" s="32"/>
      <c r="CL61" s="55"/>
      <c r="CM61" s="32"/>
    </row>
    <row r="62" spans="1:9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31"/>
      <c r="Q62" s="54"/>
      <c r="R62" s="56" t="str">
        <f>IFERROR(VLOOKUP(June[[#This Row],[Drug Name]],'Data Options'!$R$1:$S$100,2,FALSE), " ")</f>
        <v xml:space="preserve"> </v>
      </c>
      <c r="S62" s="55"/>
      <c r="T62" s="32"/>
      <c r="U62" s="32"/>
      <c r="V62" s="55"/>
      <c r="W62" s="32"/>
      <c r="X62" s="54"/>
      <c r="Y62" s="56" t="str">
        <f>IFERROR(VLOOKUP(June[[#This Row],[Drug Name2]],'Data Options'!$R$1:$S$100,2,FALSE), " ")</f>
        <v xml:space="preserve"> </v>
      </c>
      <c r="Z62" s="55"/>
      <c r="AA62" s="32"/>
      <c r="AB62" s="32"/>
      <c r="AC62" s="55"/>
      <c r="AD62" s="32"/>
      <c r="AE62" s="54"/>
      <c r="AF62" s="56" t="str">
        <f>IFERROR(VLOOKUP(June[[#This Row],[Drug Name3]],'Data Options'!$R$1:$S$100,2,FALSE), " ")</f>
        <v xml:space="preserve"> </v>
      </c>
      <c r="AG62" s="55"/>
      <c r="AH62" s="32"/>
      <c r="AI62" s="32"/>
      <c r="AJ62" s="55"/>
      <c r="AK62" s="32"/>
      <c r="AL62" s="32"/>
      <c r="AM62" s="32"/>
      <c r="AN62" s="32"/>
      <c r="AO62" s="32"/>
      <c r="AP62" s="31"/>
      <c r="AQ62" s="31"/>
      <c r="AR62" s="54"/>
      <c r="AS62" s="56" t="str">
        <f>IFERROR(VLOOKUP(June[[#This Row],[Drug Name4]],'Data Options'!$R$1:$S$100,2,FALSE), " ")</f>
        <v xml:space="preserve"> </v>
      </c>
      <c r="AT62" s="55"/>
      <c r="AU62" s="32"/>
      <c r="AV62" s="32"/>
      <c r="AW62" s="55"/>
      <c r="AX62" s="32"/>
      <c r="AY62" s="54"/>
      <c r="AZ62" s="56" t="str">
        <f>IFERROR(VLOOKUP(June[[#This Row],[Drug Name5]],'Data Options'!$R$1:$S$100,2,FALSE), " ")</f>
        <v xml:space="preserve"> </v>
      </c>
      <c r="BA62" s="55"/>
      <c r="BB62" s="32"/>
      <c r="BC62" s="32"/>
      <c r="BD62" s="55"/>
      <c r="BE62" s="32"/>
      <c r="BF62" s="54"/>
      <c r="BG62" s="56" t="str">
        <f>IFERROR(VLOOKUP(June[[#This Row],[Drug Name6]],'Data Options'!$R$1:$S$100,2,FALSE), " ")</f>
        <v xml:space="preserve"> </v>
      </c>
      <c r="BH62" s="55"/>
      <c r="BI62" s="32"/>
      <c r="BJ62" s="32"/>
      <c r="BK62" s="55"/>
      <c r="BL62" s="32"/>
      <c r="BM62" s="32"/>
      <c r="BN62" s="32"/>
      <c r="BO62" s="32"/>
      <c r="BP62" s="32"/>
      <c r="BQ62" s="31"/>
      <c r="BR62" s="31"/>
      <c r="BS62" s="54"/>
      <c r="BT62" s="56" t="str">
        <f>IFERROR(VLOOKUP(June[[#This Row],[Drug Name7]],'Data Options'!$R$1:$S$100,2,FALSE), " ")</f>
        <v xml:space="preserve"> </v>
      </c>
      <c r="BU62" s="55"/>
      <c r="BV62" s="32"/>
      <c r="BW62" s="32"/>
      <c r="BX62" s="55"/>
      <c r="BY62" s="32"/>
      <c r="BZ62" s="54"/>
      <c r="CA62" s="56" t="str">
        <f>IFERROR(VLOOKUP(June[[#This Row],[Drug Name8]],'Data Options'!$R$1:$S$100,2,FALSE), " ")</f>
        <v xml:space="preserve"> </v>
      </c>
      <c r="CB62" s="55"/>
      <c r="CC62" s="32"/>
      <c r="CD62" s="32"/>
      <c r="CE62" s="55"/>
      <c r="CF62" s="32"/>
      <c r="CG62" s="54"/>
      <c r="CH62" s="56" t="str">
        <f>IFERROR(VLOOKUP(June[[#This Row],[Drug Name9]],'Data Options'!$R$1:$S$100,2,FALSE), " ")</f>
        <v xml:space="preserve"> </v>
      </c>
      <c r="CI62" s="55"/>
      <c r="CJ62" s="32"/>
      <c r="CK62" s="32"/>
      <c r="CL62" s="55"/>
      <c r="CM62" s="32"/>
    </row>
    <row r="63" spans="1:91">
      <c r="A63" s="5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31"/>
      <c r="Q63" s="54"/>
      <c r="R63" s="56" t="str">
        <f>IFERROR(VLOOKUP(June[[#This Row],[Drug Name]],'Data Options'!$R$1:$S$100,2,FALSE), " ")</f>
        <v xml:space="preserve"> </v>
      </c>
      <c r="S63" s="55"/>
      <c r="T63" s="32"/>
      <c r="U63" s="32"/>
      <c r="V63" s="55"/>
      <c r="W63" s="32"/>
      <c r="X63" s="54"/>
      <c r="Y63" s="56" t="str">
        <f>IFERROR(VLOOKUP(June[[#This Row],[Drug Name2]],'Data Options'!$R$1:$S$100,2,FALSE), " ")</f>
        <v xml:space="preserve"> </v>
      </c>
      <c r="Z63" s="55"/>
      <c r="AA63" s="32"/>
      <c r="AB63" s="32"/>
      <c r="AC63" s="55"/>
      <c r="AD63" s="32"/>
      <c r="AE63" s="54"/>
      <c r="AF63" s="56" t="str">
        <f>IFERROR(VLOOKUP(June[[#This Row],[Drug Name3]],'Data Options'!$R$1:$S$100,2,FALSE), " ")</f>
        <v xml:space="preserve"> </v>
      </c>
      <c r="AG63" s="55"/>
      <c r="AH63" s="32"/>
      <c r="AI63" s="32"/>
      <c r="AJ63" s="55"/>
      <c r="AK63" s="32"/>
      <c r="AL63" s="32"/>
      <c r="AM63" s="32"/>
      <c r="AN63" s="32"/>
      <c r="AO63" s="32"/>
      <c r="AP63" s="31"/>
      <c r="AQ63" s="31"/>
      <c r="AR63" s="54"/>
      <c r="AS63" s="56" t="str">
        <f>IFERROR(VLOOKUP(June[[#This Row],[Drug Name4]],'Data Options'!$R$1:$S$100,2,FALSE), " ")</f>
        <v xml:space="preserve"> </v>
      </c>
      <c r="AT63" s="55"/>
      <c r="AU63" s="32"/>
      <c r="AV63" s="32"/>
      <c r="AW63" s="55"/>
      <c r="AX63" s="32"/>
      <c r="AY63" s="54"/>
      <c r="AZ63" s="56" t="str">
        <f>IFERROR(VLOOKUP(June[[#This Row],[Drug Name5]],'Data Options'!$R$1:$S$100,2,FALSE), " ")</f>
        <v xml:space="preserve"> </v>
      </c>
      <c r="BA63" s="55"/>
      <c r="BB63" s="32"/>
      <c r="BC63" s="32"/>
      <c r="BD63" s="55"/>
      <c r="BE63" s="32"/>
      <c r="BF63" s="54"/>
      <c r="BG63" s="56" t="str">
        <f>IFERROR(VLOOKUP(June[[#This Row],[Drug Name6]],'Data Options'!$R$1:$S$100,2,FALSE), " ")</f>
        <v xml:space="preserve"> </v>
      </c>
      <c r="BH63" s="55"/>
      <c r="BI63" s="32"/>
      <c r="BJ63" s="32"/>
      <c r="BK63" s="55"/>
      <c r="BL63" s="32"/>
      <c r="BM63" s="32"/>
      <c r="BN63" s="32"/>
      <c r="BO63" s="32"/>
      <c r="BP63" s="32"/>
      <c r="BQ63" s="31"/>
      <c r="BR63" s="31"/>
      <c r="BS63" s="54"/>
      <c r="BT63" s="56" t="str">
        <f>IFERROR(VLOOKUP(June[[#This Row],[Drug Name7]],'Data Options'!$R$1:$S$100,2,FALSE), " ")</f>
        <v xml:space="preserve"> </v>
      </c>
      <c r="BU63" s="55"/>
      <c r="BV63" s="32"/>
      <c r="BW63" s="32"/>
      <c r="BX63" s="55"/>
      <c r="BY63" s="32"/>
      <c r="BZ63" s="54"/>
      <c r="CA63" s="56" t="str">
        <f>IFERROR(VLOOKUP(June[[#This Row],[Drug Name8]],'Data Options'!$R$1:$S$100,2,FALSE), " ")</f>
        <v xml:space="preserve"> </v>
      </c>
      <c r="CB63" s="55"/>
      <c r="CC63" s="32"/>
      <c r="CD63" s="32"/>
      <c r="CE63" s="55"/>
      <c r="CF63" s="32"/>
      <c r="CG63" s="54"/>
      <c r="CH63" s="56" t="str">
        <f>IFERROR(VLOOKUP(June[[#This Row],[Drug Name9]],'Data Options'!$R$1:$S$100,2,FALSE), " ")</f>
        <v xml:space="preserve"> </v>
      </c>
      <c r="CI63" s="55"/>
      <c r="CJ63" s="32"/>
      <c r="CK63" s="32"/>
      <c r="CL63" s="55"/>
      <c r="CM63" s="32"/>
    </row>
    <row r="64" spans="1:91">
      <c r="A64" s="5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31"/>
      <c r="Q64" s="54"/>
      <c r="R64" s="56" t="str">
        <f>IFERROR(VLOOKUP(June[[#This Row],[Drug Name]],'Data Options'!$R$1:$S$100,2,FALSE), " ")</f>
        <v xml:space="preserve"> </v>
      </c>
      <c r="S64" s="55"/>
      <c r="T64" s="32"/>
      <c r="U64" s="32"/>
      <c r="V64" s="55"/>
      <c r="W64" s="32"/>
      <c r="X64" s="54"/>
      <c r="Y64" s="56" t="str">
        <f>IFERROR(VLOOKUP(June[[#This Row],[Drug Name2]],'Data Options'!$R$1:$S$100,2,FALSE), " ")</f>
        <v xml:space="preserve"> </v>
      </c>
      <c r="Z64" s="55"/>
      <c r="AA64" s="32"/>
      <c r="AB64" s="32"/>
      <c r="AC64" s="55"/>
      <c r="AD64" s="32"/>
      <c r="AE64" s="54"/>
      <c r="AF64" s="56" t="str">
        <f>IFERROR(VLOOKUP(June[[#This Row],[Drug Name3]],'Data Options'!$R$1:$S$100,2,FALSE), " ")</f>
        <v xml:space="preserve"> </v>
      </c>
      <c r="AG64" s="55"/>
      <c r="AH64" s="32"/>
      <c r="AI64" s="32"/>
      <c r="AJ64" s="55"/>
      <c r="AK64" s="32"/>
      <c r="AL64" s="32"/>
      <c r="AM64" s="32"/>
      <c r="AN64" s="32"/>
      <c r="AO64" s="32"/>
      <c r="AP64" s="31"/>
      <c r="AQ64" s="31"/>
      <c r="AR64" s="54"/>
      <c r="AS64" s="56" t="str">
        <f>IFERROR(VLOOKUP(June[[#This Row],[Drug Name4]],'Data Options'!$R$1:$S$100,2,FALSE), " ")</f>
        <v xml:space="preserve"> </v>
      </c>
      <c r="AT64" s="55"/>
      <c r="AU64" s="32"/>
      <c r="AV64" s="32"/>
      <c r="AW64" s="55"/>
      <c r="AX64" s="32"/>
      <c r="AY64" s="54"/>
      <c r="AZ64" s="56" t="str">
        <f>IFERROR(VLOOKUP(June[[#This Row],[Drug Name5]],'Data Options'!$R$1:$S$100,2,FALSE), " ")</f>
        <v xml:space="preserve"> </v>
      </c>
      <c r="BA64" s="55"/>
      <c r="BB64" s="32"/>
      <c r="BC64" s="32"/>
      <c r="BD64" s="55"/>
      <c r="BE64" s="32"/>
      <c r="BF64" s="54"/>
      <c r="BG64" s="56" t="str">
        <f>IFERROR(VLOOKUP(June[[#This Row],[Drug Name6]],'Data Options'!$R$1:$S$100,2,FALSE), " ")</f>
        <v xml:space="preserve"> </v>
      </c>
      <c r="BH64" s="55"/>
      <c r="BI64" s="32"/>
      <c r="BJ64" s="32"/>
      <c r="BK64" s="55"/>
      <c r="BL64" s="32"/>
      <c r="BM64" s="32"/>
      <c r="BN64" s="32"/>
      <c r="BO64" s="32"/>
      <c r="BP64" s="32"/>
      <c r="BQ64" s="31"/>
      <c r="BR64" s="31"/>
      <c r="BS64" s="54"/>
      <c r="BT64" s="56" t="str">
        <f>IFERROR(VLOOKUP(June[[#This Row],[Drug Name7]],'Data Options'!$R$1:$S$100,2,FALSE), " ")</f>
        <v xml:space="preserve"> </v>
      </c>
      <c r="BU64" s="55"/>
      <c r="BV64" s="32"/>
      <c r="BW64" s="32"/>
      <c r="BX64" s="55"/>
      <c r="BY64" s="32"/>
      <c r="BZ64" s="54"/>
      <c r="CA64" s="56" t="str">
        <f>IFERROR(VLOOKUP(June[[#This Row],[Drug Name8]],'Data Options'!$R$1:$S$100,2,FALSE), " ")</f>
        <v xml:space="preserve"> </v>
      </c>
      <c r="CB64" s="55"/>
      <c r="CC64" s="32"/>
      <c r="CD64" s="32"/>
      <c r="CE64" s="55"/>
      <c r="CF64" s="32"/>
      <c r="CG64" s="54"/>
      <c r="CH64" s="56" t="str">
        <f>IFERROR(VLOOKUP(June[[#This Row],[Drug Name9]],'Data Options'!$R$1:$S$100,2,FALSE), " ")</f>
        <v xml:space="preserve"> </v>
      </c>
      <c r="CI64" s="55"/>
      <c r="CJ64" s="32"/>
      <c r="CK64" s="32"/>
      <c r="CL64" s="55"/>
      <c r="CM64" s="32"/>
    </row>
    <row r="65" spans="1:91">
      <c r="A65" s="5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54"/>
      <c r="R65" s="56" t="str">
        <f>IFERROR(VLOOKUP(June[[#This Row],[Drug Name]],'Data Options'!$R$1:$S$100,2,FALSE), " ")</f>
        <v xml:space="preserve"> </v>
      </c>
      <c r="S65" s="55"/>
      <c r="T65" s="32"/>
      <c r="U65" s="32"/>
      <c r="V65" s="55"/>
      <c r="W65" s="32"/>
      <c r="X65" s="54"/>
      <c r="Y65" s="56" t="str">
        <f>IFERROR(VLOOKUP(June[[#This Row],[Drug Name2]],'Data Options'!$R$1:$S$100,2,FALSE), " ")</f>
        <v xml:space="preserve"> </v>
      </c>
      <c r="Z65" s="55"/>
      <c r="AA65" s="32"/>
      <c r="AB65" s="32"/>
      <c r="AC65" s="55"/>
      <c r="AD65" s="32"/>
      <c r="AE65" s="54"/>
      <c r="AF65" s="56" t="str">
        <f>IFERROR(VLOOKUP(June[[#This Row],[Drug Name3]],'Data Options'!$R$1:$S$100,2,FALSE), " ")</f>
        <v xml:space="preserve"> </v>
      </c>
      <c r="AG65" s="55"/>
      <c r="AH65" s="32"/>
      <c r="AI65" s="32"/>
      <c r="AJ65" s="55"/>
      <c r="AK65" s="32"/>
      <c r="AL65" s="32"/>
      <c r="AM65" s="32"/>
      <c r="AN65" s="32"/>
      <c r="AO65" s="32"/>
      <c r="AP65" s="31"/>
      <c r="AQ65" s="31"/>
      <c r="AR65" s="54"/>
      <c r="AS65" s="56" t="str">
        <f>IFERROR(VLOOKUP(June[[#This Row],[Drug Name4]],'Data Options'!$R$1:$S$100,2,FALSE), " ")</f>
        <v xml:space="preserve"> </v>
      </c>
      <c r="AT65" s="55"/>
      <c r="AU65" s="32"/>
      <c r="AV65" s="32"/>
      <c r="AW65" s="55"/>
      <c r="AX65" s="32"/>
      <c r="AY65" s="54"/>
      <c r="AZ65" s="56" t="str">
        <f>IFERROR(VLOOKUP(June[[#This Row],[Drug Name5]],'Data Options'!$R$1:$S$100,2,FALSE), " ")</f>
        <v xml:space="preserve"> </v>
      </c>
      <c r="BA65" s="55"/>
      <c r="BB65" s="32"/>
      <c r="BC65" s="32"/>
      <c r="BD65" s="55"/>
      <c r="BE65" s="32"/>
      <c r="BF65" s="54"/>
      <c r="BG65" s="56" t="str">
        <f>IFERROR(VLOOKUP(June[[#This Row],[Drug Name6]],'Data Options'!$R$1:$S$100,2,FALSE), " ")</f>
        <v xml:space="preserve"> </v>
      </c>
      <c r="BH65" s="55"/>
      <c r="BI65" s="32"/>
      <c r="BJ65" s="32"/>
      <c r="BK65" s="55"/>
      <c r="BL65" s="32"/>
      <c r="BM65" s="32"/>
      <c r="BN65" s="32"/>
      <c r="BO65" s="32"/>
      <c r="BP65" s="32"/>
      <c r="BQ65" s="31"/>
      <c r="BR65" s="31"/>
      <c r="BS65" s="54"/>
      <c r="BT65" s="56" t="str">
        <f>IFERROR(VLOOKUP(June[[#This Row],[Drug Name7]],'Data Options'!$R$1:$S$100,2,FALSE), " ")</f>
        <v xml:space="preserve"> </v>
      </c>
      <c r="BU65" s="55"/>
      <c r="BV65" s="32"/>
      <c r="BW65" s="32"/>
      <c r="BX65" s="55"/>
      <c r="BY65" s="32"/>
      <c r="BZ65" s="54"/>
      <c r="CA65" s="56" t="str">
        <f>IFERROR(VLOOKUP(June[[#This Row],[Drug Name8]],'Data Options'!$R$1:$S$100,2,FALSE), " ")</f>
        <v xml:space="preserve"> </v>
      </c>
      <c r="CB65" s="55"/>
      <c r="CC65" s="32"/>
      <c r="CD65" s="32"/>
      <c r="CE65" s="55"/>
      <c r="CF65" s="32"/>
      <c r="CG65" s="54"/>
      <c r="CH65" s="56" t="str">
        <f>IFERROR(VLOOKUP(June[[#This Row],[Drug Name9]],'Data Options'!$R$1:$S$100,2,FALSE), " ")</f>
        <v xml:space="preserve"> </v>
      </c>
      <c r="CI65" s="55"/>
      <c r="CJ65" s="32"/>
      <c r="CK65" s="32"/>
      <c r="CL65" s="55"/>
      <c r="CM65" s="32"/>
    </row>
    <row r="66" spans="1:91">
      <c r="A66" s="5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31"/>
      <c r="Q66" s="54"/>
      <c r="R66" s="56" t="str">
        <f>IFERROR(VLOOKUP(June[[#This Row],[Drug Name]],'Data Options'!$R$1:$S$100,2,FALSE), " ")</f>
        <v xml:space="preserve"> </v>
      </c>
      <c r="S66" s="55"/>
      <c r="T66" s="32"/>
      <c r="U66" s="32"/>
      <c r="V66" s="55"/>
      <c r="W66" s="32"/>
      <c r="X66" s="54"/>
      <c r="Y66" s="56" t="str">
        <f>IFERROR(VLOOKUP(June[[#This Row],[Drug Name2]],'Data Options'!$R$1:$S$100,2,FALSE), " ")</f>
        <v xml:space="preserve"> </v>
      </c>
      <c r="Z66" s="55"/>
      <c r="AA66" s="32"/>
      <c r="AB66" s="32"/>
      <c r="AC66" s="55"/>
      <c r="AD66" s="32"/>
      <c r="AE66" s="54"/>
      <c r="AF66" s="56" t="str">
        <f>IFERROR(VLOOKUP(June[[#This Row],[Drug Name3]],'Data Options'!$R$1:$S$100,2,FALSE), " ")</f>
        <v xml:space="preserve"> </v>
      </c>
      <c r="AG66" s="55"/>
      <c r="AH66" s="32"/>
      <c r="AI66" s="32"/>
      <c r="AJ66" s="55"/>
      <c r="AK66" s="32"/>
      <c r="AL66" s="32"/>
      <c r="AM66" s="32"/>
      <c r="AN66" s="32"/>
      <c r="AO66" s="32"/>
      <c r="AP66" s="31"/>
      <c r="AQ66" s="31"/>
      <c r="AR66" s="54"/>
      <c r="AS66" s="56" t="str">
        <f>IFERROR(VLOOKUP(June[[#This Row],[Drug Name4]],'Data Options'!$R$1:$S$100,2,FALSE), " ")</f>
        <v xml:space="preserve"> </v>
      </c>
      <c r="AT66" s="55"/>
      <c r="AU66" s="32"/>
      <c r="AV66" s="32"/>
      <c r="AW66" s="55"/>
      <c r="AX66" s="32"/>
      <c r="AY66" s="54"/>
      <c r="AZ66" s="56" t="str">
        <f>IFERROR(VLOOKUP(June[[#This Row],[Drug Name5]],'Data Options'!$R$1:$S$100,2,FALSE), " ")</f>
        <v xml:space="preserve"> </v>
      </c>
      <c r="BA66" s="55"/>
      <c r="BB66" s="32"/>
      <c r="BC66" s="32"/>
      <c r="BD66" s="55"/>
      <c r="BE66" s="32"/>
      <c r="BF66" s="54"/>
      <c r="BG66" s="56" t="str">
        <f>IFERROR(VLOOKUP(June[[#This Row],[Drug Name6]],'Data Options'!$R$1:$S$100,2,FALSE), " ")</f>
        <v xml:space="preserve"> </v>
      </c>
      <c r="BH66" s="55"/>
      <c r="BI66" s="32"/>
      <c r="BJ66" s="32"/>
      <c r="BK66" s="55"/>
      <c r="BL66" s="32"/>
      <c r="BM66" s="32"/>
      <c r="BN66" s="32"/>
      <c r="BO66" s="32"/>
      <c r="BP66" s="32"/>
      <c r="BQ66" s="31"/>
      <c r="BR66" s="31"/>
      <c r="BS66" s="54"/>
      <c r="BT66" s="56" t="str">
        <f>IFERROR(VLOOKUP(June[[#This Row],[Drug Name7]],'Data Options'!$R$1:$S$100,2,FALSE), " ")</f>
        <v xml:space="preserve"> </v>
      </c>
      <c r="BU66" s="55"/>
      <c r="BV66" s="32"/>
      <c r="BW66" s="32"/>
      <c r="BX66" s="55"/>
      <c r="BY66" s="32"/>
      <c r="BZ66" s="54"/>
      <c r="CA66" s="56" t="str">
        <f>IFERROR(VLOOKUP(June[[#This Row],[Drug Name8]],'Data Options'!$R$1:$S$100,2,FALSE), " ")</f>
        <v xml:space="preserve"> </v>
      </c>
      <c r="CB66" s="55"/>
      <c r="CC66" s="32"/>
      <c r="CD66" s="32"/>
      <c r="CE66" s="55"/>
      <c r="CF66" s="32"/>
      <c r="CG66" s="54"/>
      <c r="CH66" s="56" t="str">
        <f>IFERROR(VLOOKUP(June[[#This Row],[Drug Name9]],'Data Options'!$R$1:$S$100,2,FALSE), " ")</f>
        <v xml:space="preserve"> </v>
      </c>
      <c r="CI66" s="55"/>
      <c r="CJ66" s="32"/>
      <c r="CK66" s="32"/>
      <c r="CL66" s="55"/>
      <c r="CM66" s="32"/>
    </row>
    <row r="67" spans="1:91">
      <c r="A67" s="5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31"/>
      <c r="Q67" s="54"/>
      <c r="R67" s="56" t="str">
        <f>IFERROR(VLOOKUP(June[[#This Row],[Drug Name]],'Data Options'!$R$1:$S$100,2,FALSE), " ")</f>
        <v xml:space="preserve"> </v>
      </c>
      <c r="S67" s="55"/>
      <c r="T67" s="32"/>
      <c r="U67" s="32"/>
      <c r="V67" s="55"/>
      <c r="W67" s="32"/>
      <c r="X67" s="54"/>
      <c r="Y67" s="56" t="str">
        <f>IFERROR(VLOOKUP(June[[#This Row],[Drug Name2]],'Data Options'!$R$1:$S$100,2,FALSE), " ")</f>
        <v xml:space="preserve"> </v>
      </c>
      <c r="Z67" s="55"/>
      <c r="AA67" s="32"/>
      <c r="AB67" s="32"/>
      <c r="AC67" s="55"/>
      <c r="AD67" s="32"/>
      <c r="AE67" s="54"/>
      <c r="AF67" s="56" t="str">
        <f>IFERROR(VLOOKUP(June[[#This Row],[Drug Name3]],'Data Options'!$R$1:$S$100,2,FALSE), " ")</f>
        <v xml:space="preserve"> </v>
      </c>
      <c r="AG67" s="55"/>
      <c r="AH67" s="32"/>
      <c r="AI67" s="32"/>
      <c r="AJ67" s="55"/>
      <c r="AK67" s="32"/>
      <c r="AL67" s="32"/>
      <c r="AM67" s="32"/>
      <c r="AN67" s="32"/>
      <c r="AO67" s="32"/>
      <c r="AP67" s="31"/>
      <c r="AQ67" s="31"/>
      <c r="AR67" s="54"/>
      <c r="AS67" s="56" t="str">
        <f>IFERROR(VLOOKUP(June[[#This Row],[Drug Name4]],'Data Options'!$R$1:$S$100,2,FALSE), " ")</f>
        <v xml:space="preserve"> </v>
      </c>
      <c r="AT67" s="55"/>
      <c r="AU67" s="32"/>
      <c r="AV67" s="32"/>
      <c r="AW67" s="55"/>
      <c r="AX67" s="32"/>
      <c r="AY67" s="54"/>
      <c r="AZ67" s="56" t="str">
        <f>IFERROR(VLOOKUP(June[[#This Row],[Drug Name5]],'Data Options'!$R$1:$S$100,2,FALSE), " ")</f>
        <v xml:space="preserve"> </v>
      </c>
      <c r="BA67" s="55"/>
      <c r="BB67" s="32"/>
      <c r="BC67" s="32"/>
      <c r="BD67" s="55"/>
      <c r="BE67" s="32"/>
      <c r="BF67" s="54"/>
      <c r="BG67" s="56" t="str">
        <f>IFERROR(VLOOKUP(June[[#This Row],[Drug Name6]],'Data Options'!$R$1:$S$100,2,FALSE), " ")</f>
        <v xml:space="preserve"> </v>
      </c>
      <c r="BH67" s="55"/>
      <c r="BI67" s="32"/>
      <c r="BJ67" s="32"/>
      <c r="BK67" s="55"/>
      <c r="BL67" s="32"/>
      <c r="BM67" s="32"/>
      <c r="BN67" s="32"/>
      <c r="BO67" s="32"/>
      <c r="BP67" s="32"/>
      <c r="BQ67" s="31"/>
      <c r="BR67" s="31"/>
      <c r="BS67" s="54"/>
      <c r="BT67" s="56" t="str">
        <f>IFERROR(VLOOKUP(June[[#This Row],[Drug Name7]],'Data Options'!$R$1:$S$100,2,FALSE), " ")</f>
        <v xml:space="preserve"> </v>
      </c>
      <c r="BU67" s="55"/>
      <c r="BV67" s="32"/>
      <c r="BW67" s="32"/>
      <c r="BX67" s="55"/>
      <c r="BY67" s="32"/>
      <c r="BZ67" s="54"/>
      <c r="CA67" s="56" t="str">
        <f>IFERROR(VLOOKUP(June[[#This Row],[Drug Name8]],'Data Options'!$R$1:$S$100,2,FALSE), " ")</f>
        <v xml:space="preserve"> </v>
      </c>
      <c r="CB67" s="55"/>
      <c r="CC67" s="32"/>
      <c r="CD67" s="32"/>
      <c r="CE67" s="55"/>
      <c r="CF67" s="32"/>
      <c r="CG67" s="54"/>
      <c r="CH67" s="56" t="str">
        <f>IFERROR(VLOOKUP(June[[#This Row],[Drug Name9]],'Data Options'!$R$1:$S$100,2,FALSE), " ")</f>
        <v xml:space="preserve"> </v>
      </c>
      <c r="CI67" s="55"/>
      <c r="CJ67" s="32"/>
      <c r="CK67" s="32"/>
      <c r="CL67" s="55"/>
      <c r="CM67" s="32"/>
    </row>
    <row r="68" spans="1:91">
      <c r="A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31"/>
      <c r="Q68" s="54"/>
      <c r="R68" s="56" t="str">
        <f>IFERROR(VLOOKUP(June[[#This Row],[Drug Name]],'Data Options'!$R$1:$S$100,2,FALSE), " ")</f>
        <v xml:space="preserve"> </v>
      </c>
      <c r="S68" s="55"/>
      <c r="T68" s="32"/>
      <c r="U68" s="32"/>
      <c r="V68" s="55"/>
      <c r="W68" s="32"/>
      <c r="X68" s="54"/>
      <c r="Y68" s="56" t="str">
        <f>IFERROR(VLOOKUP(June[[#This Row],[Drug Name2]],'Data Options'!$R$1:$S$100,2,FALSE), " ")</f>
        <v xml:space="preserve"> </v>
      </c>
      <c r="Z68" s="55"/>
      <c r="AA68" s="32"/>
      <c r="AB68" s="32"/>
      <c r="AC68" s="55"/>
      <c r="AD68" s="32"/>
      <c r="AE68" s="54"/>
      <c r="AF68" s="56" t="str">
        <f>IFERROR(VLOOKUP(June[[#This Row],[Drug Name3]],'Data Options'!$R$1:$S$100,2,FALSE), " ")</f>
        <v xml:space="preserve"> </v>
      </c>
      <c r="AG68" s="55"/>
      <c r="AH68" s="32"/>
      <c r="AI68" s="32"/>
      <c r="AJ68" s="55"/>
      <c r="AK68" s="32"/>
      <c r="AL68" s="32"/>
      <c r="AM68" s="32"/>
      <c r="AN68" s="32"/>
      <c r="AO68" s="32"/>
      <c r="AP68" s="31"/>
      <c r="AQ68" s="31"/>
      <c r="AR68" s="54"/>
      <c r="AS68" s="56" t="str">
        <f>IFERROR(VLOOKUP(June[[#This Row],[Drug Name4]],'Data Options'!$R$1:$S$100,2,FALSE), " ")</f>
        <v xml:space="preserve"> </v>
      </c>
      <c r="AT68" s="55"/>
      <c r="AU68" s="32"/>
      <c r="AV68" s="32"/>
      <c r="AW68" s="55"/>
      <c r="AX68" s="32"/>
      <c r="AY68" s="54"/>
      <c r="AZ68" s="56" t="str">
        <f>IFERROR(VLOOKUP(June[[#This Row],[Drug Name5]],'Data Options'!$R$1:$S$100,2,FALSE), " ")</f>
        <v xml:space="preserve"> </v>
      </c>
      <c r="BA68" s="55"/>
      <c r="BB68" s="32"/>
      <c r="BC68" s="32"/>
      <c r="BD68" s="55"/>
      <c r="BE68" s="32"/>
      <c r="BF68" s="54"/>
      <c r="BG68" s="56" t="str">
        <f>IFERROR(VLOOKUP(June[[#This Row],[Drug Name6]],'Data Options'!$R$1:$S$100,2,FALSE), " ")</f>
        <v xml:space="preserve"> </v>
      </c>
      <c r="BH68" s="55"/>
      <c r="BI68" s="32"/>
      <c r="BJ68" s="32"/>
      <c r="BK68" s="55"/>
      <c r="BL68" s="32"/>
      <c r="BM68" s="32"/>
      <c r="BN68" s="32"/>
      <c r="BO68" s="32"/>
      <c r="BP68" s="32"/>
      <c r="BQ68" s="31"/>
      <c r="BR68" s="31"/>
      <c r="BS68" s="54"/>
      <c r="BT68" s="56" t="str">
        <f>IFERROR(VLOOKUP(June[[#This Row],[Drug Name7]],'Data Options'!$R$1:$S$100,2,FALSE), " ")</f>
        <v xml:space="preserve"> </v>
      </c>
      <c r="BU68" s="55"/>
      <c r="BV68" s="32"/>
      <c r="BW68" s="32"/>
      <c r="BX68" s="55"/>
      <c r="BY68" s="32"/>
      <c r="BZ68" s="54"/>
      <c r="CA68" s="56" t="str">
        <f>IFERROR(VLOOKUP(June[[#This Row],[Drug Name8]],'Data Options'!$R$1:$S$100,2,FALSE), " ")</f>
        <v xml:space="preserve"> </v>
      </c>
      <c r="CB68" s="55"/>
      <c r="CC68" s="32"/>
      <c r="CD68" s="32"/>
      <c r="CE68" s="55"/>
      <c r="CF68" s="32"/>
      <c r="CG68" s="54"/>
      <c r="CH68" s="56" t="str">
        <f>IFERROR(VLOOKUP(June[[#This Row],[Drug Name9]],'Data Options'!$R$1:$S$100,2,FALSE), " ")</f>
        <v xml:space="preserve"> </v>
      </c>
      <c r="CI68" s="55"/>
      <c r="CJ68" s="32"/>
      <c r="CK68" s="32"/>
      <c r="CL68" s="55"/>
      <c r="CM68" s="32"/>
    </row>
    <row r="69" spans="1:91">
      <c r="A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31"/>
      <c r="Q69" s="54"/>
      <c r="R69" s="56" t="str">
        <f>IFERROR(VLOOKUP(June[[#This Row],[Drug Name]],'Data Options'!$R$1:$S$100,2,FALSE), " ")</f>
        <v xml:space="preserve"> </v>
      </c>
      <c r="S69" s="55"/>
      <c r="T69" s="32"/>
      <c r="U69" s="32"/>
      <c r="V69" s="55"/>
      <c r="W69" s="32"/>
      <c r="X69" s="54"/>
      <c r="Y69" s="56" t="str">
        <f>IFERROR(VLOOKUP(June[[#This Row],[Drug Name2]],'Data Options'!$R$1:$S$100,2,FALSE), " ")</f>
        <v xml:space="preserve"> </v>
      </c>
      <c r="Z69" s="55"/>
      <c r="AA69" s="32"/>
      <c r="AB69" s="32"/>
      <c r="AC69" s="55"/>
      <c r="AD69" s="32"/>
      <c r="AE69" s="54"/>
      <c r="AF69" s="56" t="str">
        <f>IFERROR(VLOOKUP(June[[#This Row],[Drug Name3]],'Data Options'!$R$1:$S$100,2,FALSE), " ")</f>
        <v xml:space="preserve"> </v>
      </c>
      <c r="AG69" s="55"/>
      <c r="AH69" s="32"/>
      <c r="AI69" s="32"/>
      <c r="AJ69" s="55"/>
      <c r="AK69" s="32"/>
      <c r="AL69" s="32"/>
      <c r="AM69" s="32"/>
      <c r="AN69" s="32"/>
      <c r="AO69" s="32"/>
      <c r="AP69" s="31"/>
      <c r="AQ69" s="31"/>
      <c r="AR69" s="54"/>
      <c r="AS69" s="56" t="str">
        <f>IFERROR(VLOOKUP(June[[#This Row],[Drug Name4]],'Data Options'!$R$1:$S$100,2,FALSE), " ")</f>
        <v xml:space="preserve"> </v>
      </c>
      <c r="AT69" s="55"/>
      <c r="AU69" s="32"/>
      <c r="AV69" s="32"/>
      <c r="AW69" s="55"/>
      <c r="AX69" s="32"/>
      <c r="AY69" s="54"/>
      <c r="AZ69" s="56" t="str">
        <f>IFERROR(VLOOKUP(June[[#This Row],[Drug Name5]],'Data Options'!$R$1:$S$100,2,FALSE), " ")</f>
        <v xml:space="preserve"> </v>
      </c>
      <c r="BA69" s="55"/>
      <c r="BB69" s="32"/>
      <c r="BC69" s="32"/>
      <c r="BD69" s="55"/>
      <c r="BE69" s="32"/>
      <c r="BF69" s="54"/>
      <c r="BG69" s="56" t="str">
        <f>IFERROR(VLOOKUP(June[[#This Row],[Drug Name6]],'Data Options'!$R$1:$S$100,2,FALSE), " ")</f>
        <v xml:space="preserve"> </v>
      </c>
      <c r="BH69" s="55"/>
      <c r="BI69" s="32"/>
      <c r="BJ69" s="32"/>
      <c r="BK69" s="55"/>
      <c r="BL69" s="32"/>
      <c r="BM69" s="32"/>
      <c r="BN69" s="32"/>
      <c r="BO69" s="32"/>
      <c r="BP69" s="32"/>
      <c r="BQ69" s="31"/>
      <c r="BR69" s="31"/>
      <c r="BS69" s="54"/>
      <c r="BT69" s="56" t="str">
        <f>IFERROR(VLOOKUP(June[[#This Row],[Drug Name7]],'Data Options'!$R$1:$S$100,2,FALSE), " ")</f>
        <v xml:space="preserve"> </v>
      </c>
      <c r="BU69" s="55"/>
      <c r="BV69" s="32"/>
      <c r="BW69" s="32"/>
      <c r="BX69" s="55"/>
      <c r="BY69" s="32"/>
      <c r="BZ69" s="54"/>
      <c r="CA69" s="56" t="str">
        <f>IFERROR(VLOOKUP(June[[#This Row],[Drug Name8]],'Data Options'!$R$1:$S$100,2,FALSE), " ")</f>
        <v xml:space="preserve"> </v>
      </c>
      <c r="CB69" s="55"/>
      <c r="CC69" s="32"/>
      <c r="CD69" s="32"/>
      <c r="CE69" s="55"/>
      <c r="CF69" s="32"/>
      <c r="CG69" s="54"/>
      <c r="CH69" s="56" t="str">
        <f>IFERROR(VLOOKUP(June[[#This Row],[Drug Name9]],'Data Options'!$R$1:$S$100,2,FALSE), " ")</f>
        <v xml:space="preserve"> </v>
      </c>
      <c r="CI69" s="55"/>
      <c r="CJ69" s="32"/>
      <c r="CK69" s="32"/>
      <c r="CL69" s="55"/>
      <c r="CM69" s="32"/>
    </row>
    <row r="70" spans="1:91">
      <c r="A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31"/>
      <c r="Q70" s="54"/>
      <c r="R70" s="56" t="str">
        <f>IFERROR(VLOOKUP(June[[#This Row],[Drug Name]],'Data Options'!$R$1:$S$100,2,FALSE), " ")</f>
        <v xml:space="preserve"> </v>
      </c>
      <c r="S70" s="55"/>
      <c r="T70" s="32"/>
      <c r="U70" s="32"/>
      <c r="V70" s="55"/>
      <c r="W70" s="32"/>
      <c r="X70" s="54"/>
      <c r="Y70" s="56" t="str">
        <f>IFERROR(VLOOKUP(June[[#This Row],[Drug Name2]],'Data Options'!$R$1:$S$100,2,FALSE), " ")</f>
        <v xml:space="preserve"> </v>
      </c>
      <c r="Z70" s="55"/>
      <c r="AA70" s="32"/>
      <c r="AB70" s="32"/>
      <c r="AC70" s="55"/>
      <c r="AD70" s="32"/>
      <c r="AE70" s="54"/>
      <c r="AF70" s="56" t="str">
        <f>IFERROR(VLOOKUP(June[[#This Row],[Drug Name3]],'Data Options'!$R$1:$S$100,2,FALSE), " ")</f>
        <v xml:space="preserve"> </v>
      </c>
      <c r="AG70" s="55"/>
      <c r="AH70" s="32"/>
      <c r="AI70" s="32"/>
      <c r="AJ70" s="55"/>
      <c r="AK70" s="32"/>
      <c r="AL70" s="32"/>
      <c r="AM70" s="32"/>
      <c r="AN70" s="32"/>
      <c r="AO70" s="32"/>
      <c r="AP70" s="31"/>
      <c r="AQ70" s="31"/>
      <c r="AR70" s="54"/>
      <c r="AS70" s="56" t="str">
        <f>IFERROR(VLOOKUP(June[[#This Row],[Drug Name4]],'Data Options'!$R$1:$S$100,2,FALSE), " ")</f>
        <v xml:space="preserve"> </v>
      </c>
      <c r="AT70" s="55"/>
      <c r="AU70" s="32"/>
      <c r="AV70" s="32"/>
      <c r="AW70" s="55"/>
      <c r="AX70" s="32"/>
      <c r="AY70" s="54"/>
      <c r="AZ70" s="56" t="str">
        <f>IFERROR(VLOOKUP(June[[#This Row],[Drug Name5]],'Data Options'!$R$1:$S$100,2,FALSE), " ")</f>
        <v xml:space="preserve"> </v>
      </c>
      <c r="BA70" s="55"/>
      <c r="BB70" s="32"/>
      <c r="BC70" s="32"/>
      <c r="BD70" s="55"/>
      <c r="BE70" s="32"/>
      <c r="BF70" s="54"/>
      <c r="BG70" s="56" t="str">
        <f>IFERROR(VLOOKUP(June[[#This Row],[Drug Name6]],'Data Options'!$R$1:$S$100,2,FALSE), " ")</f>
        <v xml:space="preserve"> </v>
      </c>
      <c r="BH70" s="55"/>
      <c r="BI70" s="32"/>
      <c r="BJ70" s="32"/>
      <c r="BK70" s="55"/>
      <c r="BL70" s="32"/>
      <c r="BM70" s="32"/>
      <c r="BN70" s="32"/>
      <c r="BO70" s="32"/>
      <c r="BP70" s="32"/>
      <c r="BQ70" s="31"/>
      <c r="BR70" s="31"/>
      <c r="BS70" s="54"/>
      <c r="BT70" s="56" t="str">
        <f>IFERROR(VLOOKUP(June[[#This Row],[Drug Name7]],'Data Options'!$R$1:$S$100,2,FALSE), " ")</f>
        <v xml:space="preserve"> </v>
      </c>
      <c r="BU70" s="55"/>
      <c r="BV70" s="32"/>
      <c r="BW70" s="32"/>
      <c r="BX70" s="55"/>
      <c r="BY70" s="32"/>
      <c r="BZ70" s="54"/>
      <c r="CA70" s="56" t="str">
        <f>IFERROR(VLOOKUP(June[[#This Row],[Drug Name8]],'Data Options'!$R$1:$S$100,2,FALSE), " ")</f>
        <v xml:space="preserve"> </v>
      </c>
      <c r="CB70" s="55"/>
      <c r="CC70" s="32"/>
      <c r="CD70" s="32"/>
      <c r="CE70" s="55"/>
      <c r="CF70" s="32"/>
      <c r="CG70" s="54"/>
      <c r="CH70" s="56" t="str">
        <f>IFERROR(VLOOKUP(June[[#This Row],[Drug Name9]],'Data Options'!$R$1:$S$100,2,FALSE), " ")</f>
        <v xml:space="preserve"> </v>
      </c>
      <c r="CI70" s="55"/>
      <c r="CJ70" s="32"/>
      <c r="CK70" s="32"/>
      <c r="CL70" s="55"/>
      <c r="CM70" s="32"/>
    </row>
    <row r="71" spans="1:91">
      <c r="A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31"/>
      <c r="Q71" s="54"/>
      <c r="R71" s="56" t="str">
        <f>IFERROR(VLOOKUP(June[[#This Row],[Drug Name]],'Data Options'!$R$1:$S$100,2,FALSE), " ")</f>
        <v xml:space="preserve"> </v>
      </c>
      <c r="S71" s="55"/>
      <c r="T71" s="32"/>
      <c r="U71" s="32"/>
      <c r="V71" s="55"/>
      <c r="W71" s="32"/>
      <c r="X71" s="54"/>
      <c r="Y71" s="56" t="str">
        <f>IFERROR(VLOOKUP(June[[#This Row],[Drug Name2]],'Data Options'!$R$1:$S$100,2,FALSE), " ")</f>
        <v xml:space="preserve"> </v>
      </c>
      <c r="Z71" s="55"/>
      <c r="AA71" s="32"/>
      <c r="AB71" s="32"/>
      <c r="AC71" s="55"/>
      <c r="AD71" s="32"/>
      <c r="AE71" s="54"/>
      <c r="AF71" s="56" t="str">
        <f>IFERROR(VLOOKUP(June[[#This Row],[Drug Name3]],'Data Options'!$R$1:$S$100,2,FALSE), " ")</f>
        <v xml:space="preserve"> </v>
      </c>
      <c r="AG71" s="55"/>
      <c r="AH71" s="32"/>
      <c r="AI71" s="32"/>
      <c r="AJ71" s="55"/>
      <c r="AK71" s="32"/>
      <c r="AL71" s="32"/>
      <c r="AM71" s="32"/>
      <c r="AN71" s="32"/>
      <c r="AO71" s="32"/>
      <c r="AP71" s="31"/>
      <c r="AQ71" s="31"/>
      <c r="AR71" s="54"/>
      <c r="AS71" s="56" t="str">
        <f>IFERROR(VLOOKUP(June[[#This Row],[Drug Name4]],'Data Options'!$R$1:$S$100,2,FALSE), " ")</f>
        <v xml:space="preserve"> </v>
      </c>
      <c r="AT71" s="55"/>
      <c r="AU71" s="32"/>
      <c r="AV71" s="32"/>
      <c r="AW71" s="55"/>
      <c r="AX71" s="32"/>
      <c r="AY71" s="54"/>
      <c r="AZ71" s="56" t="str">
        <f>IFERROR(VLOOKUP(June[[#This Row],[Drug Name5]],'Data Options'!$R$1:$S$100,2,FALSE), " ")</f>
        <v xml:space="preserve"> </v>
      </c>
      <c r="BA71" s="55"/>
      <c r="BB71" s="32"/>
      <c r="BC71" s="32"/>
      <c r="BD71" s="55"/>
      <c r="BE71" s="32"/>
      <c r="BF71" s="54"/>
      <c r="BG71" s="56" t="str">
        <f>IFERROR(VLOOKUP(June[[#This Row],[Drug Name6]],'Data Options'!$R$1:$S$100,2,FALSE), " ")</f>
        <v xml:space="preserve"> </v>
      </c>
      <c r="BH71" s="55"/>
      <c r="BI71" s="32"/>
      <c r="BJ71" s="32"/>
      <c r="BK71" s="55"/>
      <c r="BL71" s="32"/>
      <c r="BM71" s="32"/>
      <c r="BN71" s="32"/>
      <c r="BO71" s="32"/>
      <c r="BP71" s="32"/>
      <c r="BQ71" s="31"/>
      <c r="BR71" s="31"/>
      <c r="BS71" s="54"/>
      <c r="BT71" s="56" t="str">
        <f>IFERROR(VLOOKUP(June[[#This Row],[Drug Name7]],'Data Options'!$R$1:$S$100,2,FALSE), " ")</f>
        <v xml:space="preserve"> </v>
      </c>
      <c r="BU71" s="55"/>
      <c r="BV71" s="32"/>
      <c r="BW71" s="32"/>
      <c r="BX71" s="55"/>
      <c r="BY71" s="32"/>
      <c r="BZ71" s="54"/>
      <c r="CA71" s="56" t="str">
        <f>IFERROR(VLOOKUP(June[[#This Row],[Drug Name8]],'Data Options'!$R$1:$S$100,2,FALSE), " ")</f>
        <v xml:space="preserve"> </v>
      </c>
      <c r="CB71" s="55"/>
      <c r="CC71" s="32"/>
      <c r="CD71" s="32"/>
      <c r="CE71" s="55"/>
      <c r="CF71" s="32"/>
      <c r="CG71" s="54"/>
      <c r="CH71" s="56" t="str">
        <f>IFERROR(VLOOKUP(June[[#This Row],[Drug Name9]],'Data Options'!$R$1:$S$100,2,FALSE), " ")</f>
        <v xml:space="preserve"> </v>
      </c>
      <c r="CI71" s="55"/>
      <c r="CJ71" s="32"/>
      <c r="CK71" s="32"/>
      <c r="CL71" s="55"/>
      <c r="CM71" s="32"/>
    </row>
    <row r="72" spans="1:91">
      <c r="A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54"/>
      <c r="R72" s="56" t="str">
        <f>IFERROR(VLOOKUP(June[[#This Row],[Drug Name]],'Data Options'!$R$1:$S$100,2,FALSE), " ")</f>
        <v xml:space="preserve"> </v>
      </c>
      <c r="S72" s="55"/>
      <c r="T72" s="32"/>
      <c r="U72" s="32"/>
      <c r="V72" s="55"/>
      <c r="W72" s="32"/>
      <c r="X72" s="54"/>
      <c r="Y72" s="56" t="str">
        <f>IFERROR(VLOOKUP(June[[#This Row],[Drug Name2]],'Data Options'!$R$1:$S$100,2,FALSE), " ")</f>
        <v xml:space="preserve"> </v>
      </c>
      <c r="Z72" s="55"/>
      <c r="AA72" s="32"/>
      <c r="AB72" s="32"/>
      <c r="AC72" s="55"/>
      <c r="AD72" s="32"/>
      <c r="AE72" s="54"/>
      <c r="AF72" s="56" t="str">
        <f>IFERROR(VLOOKUP(June[[#This Row],[Drug Name3]],'Data Options'!$R$1:$S$100,2,FALSE), " ")</f>
        <v xml:space="preserve"> </v>
      </c>
      <c r="AG72" s="55"/>
      <c r="AH72" s="32"/>
      <c r="AI72" s="32"/>
      <c r="AJ72" s="55"/>
      <c r="AK72" s="32"/>
      <c r="AL72" s="32"/>
      <c r="AM72" s="32"/>
      <c r="AN72" s="32"/>
      <c r="AO72" s="32"/>
      <c r="AP72" s="31"/>
      <c r="AQ72" s="31"/>
      <c r="AR72" s="54"/>
      <c r="AS72" s="56" t="str">
        <f>IFERROR(VLOOKUP(June[[#This Row],[Drug Name4]],'Data Options'!$R$1:$S$100,2,FALSE), " ")</f>
        <v xml:space="preserve"> </v>
      </c>
      <c r="AT72" s="55"/>
      <c r="AU72" s="32"/>
      <c r="AV72" s="32"/>
      <c r="AW72" s="55"/>
      <c r="AX72" s="32"/>
      <c r="AY72" s="54"/>
      <c r="AZ72" s="56" t="str">
        <f>IFERROR(VLOOKUP(June[[#This Row],[Drug Name5]],'Data Options'!$R$1:$S$100,2,FALSE), " ")</f>
        <v xml:space="preserve"> </v>
      </c>
      <c r="BA72" s="55"/>
      <c r="BB72" s="32"/>
      <c r="BC72" s="32"/>
      <c r="BD72" s="55"/>
      <c r="BE72" s="32"/>
      <c r="BF72" s="54"/>
      <c r="BG72" s="56" t="str">
        <f>IFERROR(VLOOKUP(June[[#This Row],[Drug Name6]],'Data Options'!$R$1:$S$100,2,FALSE), " ")</f>
        <v xml:space="preserve"> </v>
      </c>
      <c r="BH72" s="55"/>
      <c r="BI72" s="32"/>
      <c r="BJ72" s="32"/>
      <c r="BK72" s="55"/>
      <c r="BL72" s="32"/>
      <c r="BM72" s="32"/>
      <c r="BN72" s="32"/>
      <c r="BO72" s="32"/>
      <c r="BP72" s="32"/>
      <c r="BQ72" s="31"/>
      <c r="BR72" s="31"/>
      <c r="BS72" s="54"/>
      <c r="BT72" s="56" t="str">
        <f>IFERROR(VLOOKUP(June[[#This Row],[Drug Name7]],'Data Options'!$R$1:$S$100,2,FALSE), " ")</f>
        <v xml:space="preserve"> </v>
      </c>
      <c r="BU72" s="55"/>
      <c r="BV72" s="32"/>
      <c r="BW72" s="32"/>
      <c r="BX72" s="55"/>
      <c r="BY72" s="32"/>
      <c r="BZ72" s="54"/>
      <c r="CA72" s="56" t="str">
        <f>IFERROR(VLOOKUP(June[[#This Row],[Drug Name8]],'Data Options'!$R$1:$S$100,2,FALSE), " ")</f>
        <v xml:space="preserve"> </v>
      </c>
      <c r="CB72" s="55"/>
      <c r="CC72" s="32"/>
      <c r="CD72" s="32"/>
      <c r="CE72" s="55"/>
      <c r="CF72" s="32"/>
      <c r="CG72" s="54"/>
      <c r="CH72" s="56" t="str">
        <f>IFERROR(VLOOKUP(June[[#This Row],[Drug Name9]],'Data Options'!$R$1:$S$100,2,FALSE), " ")</f>
        <v xml:space="preserve"> </v>
      </c>
      <c r="CI72" s="55"/>
      <c r="CJ72" s="32"/>
      <c r="CK72" s="32"/>
      <c r="CL72" s="55"/>
      <c r="CM72" s="32"/>
    </row>
    <row r="73" spans="1:91">
      <c r="A73" s="5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31"/>
      <c r="Q73" s="54"/>
      <c r="R73" s="56" t="str">
        <f>IFERROR(VLOOKUP(June[[#This Row],[Drug Name]],'Data Options'!$R$1:$S$100,2,FALSE), " ")</f>
        <v xml:space="preserve"> </v>
      </c>
      <c r="S73" s="55"/>
      <c r="T73" s="32"/>
      <c r="U73" s="32"/>
      <c r="V73" s="55"/>
      <c r="W73" s="32"/>
      <c r="X73" s="54"/>
      <c r="Y73" s="56" t="str">
        <f>IFERROR(VLOOKUP(June[[#This Row],[Drug Name2]],'Data Options'!$R$1:$S$100,2,FALSE), " ")</f>
        <v xml:space="preserve"> </v>
      </c>
      <c r="Z73" s="55"/>
      <c r="AA73" s="32"/>
      <c r="AB73" s="32"/>
      <c r="AC73" s="55"/>
      <c r="AD73" s="32"/>
      <c r="AE73" s="54"/>
      <c r="AF73" s="56" t="str">
        <f>IFERROR(VLOOKUP(June[[#This Row],[Drug Name3]],'Data Options'!$R$1:$S$100,2,FALSE), " ")</f>
        <v xml:space="preserve"> </v>
      </c>
      <c r="AG73" s="55"/>
      <c r="AH73" s="32"/>
      <c r="AI73" s="32"/>
      <c r="AJ73" s="55"/>
      <c r="AK73" s="32"/>
      <c r="AL73" s="32"/>
      <c r="AM73" s="32"/>
      <c r="AN73" s="32"/>
      <c r="AO73" s="32"/>
      <c r="AP73" s="31"/>
      <c r="AQ73" s="31"/>
      <c r="AR73" s="54"/>
      <c r="AS73" s="56" t="str">
        <f>IFERROR(VLOOKUP(June[[#This Row],[Drug Name4]],'Data Options'!$R$1:$S$100,2,FALSE), " ")</f>
        <v xml:space="preserve"> </v>
      </c>
      <c r="AT73" s="55"/>
      <c r="AU73" s="32"/>
      <c r="AV73" s="32"/>
      <c r="AW73" s="55"/>
      <c r="AX73" s="32"/>
      <c r="AY73" s="54"/>
      <c r="AZ73" s="56" t="str">
        <f>IFERROR(VLOOKUP(June[[#This Row],[Drug Name5]],'Data Options'!$R$1:$S$100,2,FALSE), " ")</f>
        <v xml:space="preserve"> </v>
      </c>
      <c r="BA73" s="55"/>
      <c r="BB73" s="32"/>
      <c r="BC73" s="32"/>
      <c r="BD73" s="55"/>
      <c r="BE73" s="32"/>
      <c r="BF73" s="54"/>
      <c r="BG73" s="56" t="str">
        <f>IFERROR(VLOOKUP(June[[#This Row],[Drug Name6]],'Data Options'!$R$1:$S$100,2,FALSE), " ")</f>
        <v xml:space="preserve"> </v>
      </c>
      <c r="BH73" s="55"/>
      <c r="BI73" s="32"/>
      <c r="BJ73" s="32"/>
      <c r="BK73" s="55"/>
      <c r="BL73" s="32"/>
      <c r="BM73" s="32"/>
      <c r="BN73" s="32"/>
      <c r="BO73" s="32"/>
      <c r="BP73" s="32"/>
      <c r="BQ73" s="31"/>
      <c r="BR73" s="31"/>
      <c r="BS73" s="54"/>
      <c r="BT73" s="56" t="str">
        <f>IFERROR(VLOOKUP(June[[#This Row],[Drug Name7]],'Data Options'!$R$1:$S$100,2,FALSE), " ")</f>
        <v xml:space="preserve"> </v>
      </c>
      <c r="BU73" s="55"/>
      <c r="BV73" s="32"/>
      <c r="BW73" s="32"/>
      <c r="BX73" s="55"/>
      <c r="BY73" s="32"/>
      <c r="BZ73" s="54"/>
      <c r="CA73" s="56" t="str">
        <f>IFERROR(VLOOKUP(June[[#This Row],[Drug Name8]],'Data Options'!$R$1:$S$100,2,FALSE), " ")</f>
        <v xml:space="preserve"> </v>
      </c>
      <c r="CB73" s="55"/>
      <c r="CC73" s="32"/>
      <c r="CD73" s="32"/>
      <c r="CE73" s="55"/>
      <c r="CF73" s="32"/>
      <c r="CG73" s="54"/>
      <c r="CH73" s="56" t="str">
        <f>IFERROR(VLOOKUP(June[[#This Row],[Drug Name9]],'Data Options'!$R$1:$S$100,2,FALSE), " ")</f>
        <v xml:space="preserve"> </v>
      </c>
      <c r="CI73" s="55"/>
      <c r="CJ73" s="32"/>
      <c r="CK73" s="32"/>
      <c r="CL73" s="55"/>
      <c r="CM73" s="32"/>
    </row>
    <row r="74" spans="1:91">
      <c r="A74" s="5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31"/>
      <c r="Q74" s="54"/>
      <c r="R74" s="56" t="str">
        <f>IFERROR(VLOOKUP(June[[#This Row],[Drug Name]],'Data Options'!$R$1:$S$100,2,FALSE), " ")</f>
        <v xml:space="preserve"> </v>
      </c>
      <c r="S74" s="55"/>
      <c r="T74" s="32"/>
      <c r="U74" s="32"/>
      <c r="V74" s="55"/>
      <c r="W74" s="32"/>
      <c r="X74" s="54"/>
      <c r="Y74" s="56" t="str">
        <f>IFERROR(VLOOKUP(June[[#This Row],[Drug Name2]],'Data Options'!$R$1:$S$100,2,FALSE), " ")</f>
        <v xml:space="preserve"> </v>
      </c>
      <c r="Z74" s="55"/>
      <c r="AA74" s="32"/>
      <c r="AB74" s="32"/>
      <c r="AC74" s="55"/>
      <c r="AD74" s="32"/>
      <c r="AE74" s="54"/>
      <c r="AF74" s="56" t="str">
        <f>IFERROR(VLOOKUP(June[[#This Row],[Drug Name3]],'Data Options'!$R$1:$S$100,2,FALSE), " ")</f>
        <v xml:space="preserve"> </v>
      </c>
      <c r="AG74" s="55"/>
      <c r="AH74" s="32"/>
      <c r="AI74" s="32"/>
      <c r="AJ74" s="55"/>
      <c r="AK74" s="32"/>
      <c r="AL74" s="32"/>
      <c r="AM74" s="32"/>
      <c r="AN74" s="32"/>
      <c r="AO74" s="32"/>
      <c r="AP74" s="31"/>
      <c r="AQ74" s="31"/>
      <c r="AR74" s="54"/>
      <c r="AS74" s="56" t="str">
        <f>IFERROR(VLOOKUP(June[[#This Row],[Drug Name4]],'Data Options'!$R$1:$S$100,2,FALSE), " ")</f>
        <v xml:space="preserve"> </v>
      </c>
      <c r="AT74" s="55"/>
      <c r="AU74" s="32"/>
      <c r="AV74" s="32"/>
      <c r="AW74" s="55"/>
      <c r="AX74" s="32"/>
      <c r="AY74" s="54"/>
      <c r="AZ74" s="56" t="str">
        <f>IFERROR(VLOOKUP(June[[#This Row],[Drug Name5]],'Data Options'!$R$1:$S$100,2,FALSE), " ")</f>
        <v xml:space="preserve"> </v>
      </c>
      <c r="BA74" s="55"/>
      <c r="BB74" s="32"/>
      <c r="BC74" s="32"/>
      <c r="BD74" s="55"/>
      <c r="BE74" s="32"/>
      <c r="BF74" s="54"/>
      <c r="BG74" s="56" t="str">
        <f>IFERROR(VLOOKUP(June[[#This Row],[Drug Name6]],'Data Options'!$R$1:$S$100,2,FALSE), " ")</f>
        <v xml:space="preserve"> </v>
      </c>
      <c r="BH74" s="55"/>
      <c r="BI74" s="32"/>
      <c r="BJ74" s="32"/>
      <c r="BK74" s="55"/>
      <c r="BL74" s="32"/>
      <c r="BM74" s="32"/>
      <c r="BN74" s="32"/>
      <c r="BO74" s="32"/>
      <c r="BP74" s="32"/>
      <c r="BQ74" s="31"/>
      <c r="BR74" s="31"/>
      <c r="BS74" s="54"/>
      <c r="BT74" s="56" t="str">
        <f>IFERROR(VLOOKUP(June[[#This Row],[Drug Name7]],'Data Options'!$R$1:$S$100,2,FALSE), " ")</f>
        <v xml:space="preserve"> </v>
      </c>
      <c r="BU74" s="55"/>
      <c r="BV74" s="32"/>
      <c r="BW74" s="32"/>
      <c r="BX74" s="55"/>
      <c r="BY74" s="32"/>
      <c r="BZ74" s="54"/>
      <c r="CA74" s="56" t="str">
        <f>IFERROR(VLOOKUP(June[[#This Row],[Drug Name8]],'Data Options'!$R$1:$S$100,2,FALSE), " ")</f>
        <v xml:space="preserve"> </v>
      </c>
      <c r="CB74" s="55"/>
      <c r="CC74" s="32"/>
      <c r="CD74" s="32"/>
      <c r="CE74" s="55"/>
      <c r="CF74" s="32"/>
      <c r="CG74" s="54"/>
      <c r="CH74" s="56" t="str">
        <f>IFERROR(VLOOKUP(June[[#This Row],[Drug Name9]],'Data Options'!$R$1:$S$100,2,FALSE), " ")</f>
        <v xml:space="preserve"> </v>
      </c>
      <c r="CI74" s="55"/>
      <c r="CJ74" s="32"/>
      <c r="CK74" s="32"/>
      <c r="CL74" s="55"/>
      <c r="CM74" s="32"/>
    </row>
    <row r="75" spans="1:91">
      <c r="A75" s="5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31"/>
      <c r="Q75" s="54"/>
      <c r="R75" s="56" t="str">
        <f>IFERROR(VLOOKUP(June[[#This Row],[Drug Name]],'Data Options'!$R$1:$S$100,2,FALSE), " ")</f>
        <v xml:space="preserve"> </v>
      </c>
      <c r="S75" s="55"/>
      <c r="T75" s="32"/>
      <c r="U75" s="32"/>
      <c r="V75" s="55"/>
      <c r="W75" s="32"/>
      <c r="X75" s="54"/>
      <c r="Y75" s="56" t="str">
        <f>IFERROR(VLOOKUP(June[[#This Row],[Drug Name2]],'Data Options'!$R$1:$S$100,2,FALSE), " ")</f>
        <v xml:space="preserve"> </v>
      </c>
      <c r="Z75" s="55"/>
      <c r="AA75" s="32"/>
      <c r="AB75" s="32"/>
      <c r="AC75" s="55"/>
      <c r="AD75" s="32"/>
      <c r="AE75" s="54"/>
      <c r="AF75" s="56" t="str">
        <f>IFERROR(VLOOKUP(June[[#This Row],[Drug Name3]],'Data Options'!$R$1:$S$100,2,FALSE), " ")</f>
        <v xml:space="preserve"> </v>
      </c>
      <c r="AG75" s="55"/>
      <c r="AH75" s="32"/>
      <c r="AI75" s="32"/>
      <c r="AJ75" s="55"/>
      <c r="AK75" s="32"/>
      <c r="AL75" s="32"/>
      <c r="AM75" s="32"/>
      <c r="AN75" s="32"/>
      <c r="AO75" s="32"/>
      <c r="AP75" s="31"/>
      <c r="AQ75" s="31"/>
      <c r="AR75" s="54"/>
      <c r="AS75" s="56" t="str">
        <f>IFERROR(VLOOKUP(June[[#This Row],[Drug Name4]],'Data Options'!$R$1:$S$100,2,FALSE), " ")</f>
        <v xml:space="preserve"> </v>
      </c>
      <c r="AT75" s="55"/>
      <c r="AU75" s="32"/>
      <c r="AV75" s="32"/>
      <c r="AW75" s="55"/>
      <c r="AX75" s="32"/>
      <c r="AY75" s="54"/>
      <c r="AZ75" s="56" t="str">
        <f>IFERROR(VLOOKUP(June[[#This Row],[Drug Name5]],'Data Options'!$R$1:$S$100,2,FALSE), " ")</f>
        <v xml:space="preserve"> </v>
      </c>
      <c r="BA75" s="55"/>
      <c r="BB75" s="32"/>
      <c r="BC75" s="32"/>
      <c r="BD75" s="55"/>
      <c r="BE75" s="32"/>
      <c r="BF75" s="54"/>
      <c r="BG75" s="56" t="str">
        <f>IFERROR(VLOOKUP(June[[#This Row],[Drug Name6]],'Data Options'!$R$1:$S$100,2,FALSE), " ")</f>
        <v xml:space="preserve"> </v>
      </c>
      <c r="BH75" s="55"/>
      <c r="BI75" s="32"/>
      <c r="BJ75" s="32"/>
      <c r="BK75" s="55"/>
      <c r="BL75" s="32"/>
      <c r="BM75" s="32"/>
      <c r="BN75" s="32"/>
      <c r="BO75" s="32"/>
      <c r="BP75" s="32"/>
      <c r="BQ75" s="31"/>
      <c r="BR75" s="31"/>
      <c r="BS75" s="54"/>
      <c r="BT75" s="56" t="str">
        <f>IFERROR(VLOOKUP(June[[#This Row],[Drug Name7]],'Data Options'!$R$1:$S$100,2,FALSE), " ")</f>
        <v xml:space="preserve"> </v>
      </c>
      <c r="BU75" s="55"/>
      <c r="BV75" s="32"/>
      <c r="BW75" s="32"/>
      <c r="BX75" s="55"/>
      <c r="BY75" s="32"/>
      <c r="BZ75" s="54"/>
      <c r="CA75" s="56" t="str">
        <f>IFERROR(VLOOKUP(June[[#This Row],[Drug Name8]],'Data Options'!$R$1:$S$100,2,FALSE), " ")</f>
        <v xml:space="preserve"> </v>
      </c>
      <c r="CB75" s="55"/>
      <c r="CC75" s="32"/>
      <c r="CD75" s="32"/>
      <c r="CE75" s="55"/>
      <c r="CF75" s="32"/>
      <c r="CG75" s="54"/>
      <c r="CH75" s="56" t="str">
        <f>IFERROR(VLOOKUP(June[[#This Row],[Drug Name9]],'Data Options'!$R$1:$S$100,2,FALSE), " ")</f>
        <v xml:space="preserve"> </v>
      </c>
      <c r="CI75" s="55"/>
      <c r="CJ75" s="32"/>
      <c r="CK75" s="32"/>
      <c r="CL75" s="55"/>
      <c r="CM75" s="32"/>
    </row>
    <row r="76" spans="1:91">
      <c r="A76" s="5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54"/>
      <c r="R76" s="56" t="str">
        <f>IFERROR(VLOOKUP(June[[#This Row],[Drug Name]],'Data Options'!$R$1:$S$100,2,FALSE), " ")</f>
        <v xml:space="preserve"> </v>
      </c>
      <c r="S76" s="55"/>
      <c r="T76" s="32"/>
      <c r="U76" s="32"/>
      <c r="V76" s="55"/>
      <c r="W76" s="32"/>
      <c r="X76" s="54"/>
      <c r="Y76" s="56" t="str">
        <f>IFERROR(VLOOKUP(June[[#This Row],[Drug Name2]],'Data Options'!$R$1:$S$100,2,FALSE), " ")</f>
        <v xml:space="preserve"> </v>
      </c>
      <c r="Z76" s="55"/>
      <c r="AA76" s="32"/>
      <c r="AB76" s="32"/>
      <c r="AC76" s="55"/>
      <c r="AD76" s="32"/>
      <c r="AE76" s="54"/>
      <c r="AF76" s="56" t="str">
        <f>IFERROR(VLOOKUP(June[[#This Row],[Drug Name3]],'Data Options'!$R$1:$S$100,2,FALSE), " ")</f>
        <v xml:space="preserve"> </v>
      </c>
      <c r="AG76" s="55"/>
      <c r="AH76" s="32"/>
      <c r="AI76" s="32"/>
      <c r="AJ76" s="55"/>
      <c r="AK76" s="32"/>
      <c r="AL76" s="32"/>
      <c r="AM76" s="32"/>
      <c r="AN76" s="32"/>
      <c r="AO76" s="32"/>
      <c r="AP76" s="31"/>
      <c r="AQ76" s="31"/>
      <c r="AR76" s="54"/>
      <c r="AS76" s="56" t="str">
        <f>IFERROR(VLOOKUP(June[[#This Row],[Drug Name4]],'Data Options'!$R$1:$S$100,2,FALSE), " ")</f>
        <v xml:space="preserve"> </v>
      </c>
      <c r="AT76" s="55"/>
      <c r="AU76" s="32"/>
      <c r="AV76" s="32"/>
      <c r="AW76" s="55"/>
      <c r="AX76" s="32"/>
      <c r="AY76" s="54"/>
      <c r="AZ76" s="56" t="str">
        <f>IFERROR(VLOOKUP(June[[#This Row],[Drug Name5]],'Data Options'!$R$1:$S$100,2,FALSE), " ")</f>
        <v xml:space="preserve"> </v>
      </c>
      <c r="BA76" s="55"/>
      <c r="BB76" s="32"/>
      <c r="BC76" s="32"/>
      <c r="BD76" s="55"/>
      <c r="BE76" s="32"/>
      <c r="BF76" s="54"/>
      <c r="BG76" s="56" t="str">
        <f>IFERROR(VLOOKUP(June[[#This Row],[Drug Name6]],'Data Options'!$R$1:$S$100,2,FALSE), " ")</f>
        <v xml:space="preserve"> </v>
      </c>
      <c r="BH76" s="55"/>
      <c r="BI76" s="32"/>
      <c r="BJ76" s="32"/>
      <c r="BK76" s="55"/>
      <c r="BL76" s="32"/>
      <c r="BM76" s="32"/>
      <c r="BN76" s="32"/>
      <c r="BO76" s="32"/>
      <c r="BP76" s="32"/>
      <c r="BQ76" s="31"/>
      <c r="BR76" s="31"/>
      <c r="BS76" s="54"/>
      <c r="BT76" s="56" t="str">
        <f>IFERROR(VLOOKUP(June[[#This Row],[Drug Name7]],'Data Options'!$R$1:$S$100,2,FALSE), " ")</f>
        <v xml:space="preserve"> </v>
      </c>
      <c r="BU76" s="55"/>
      <c r="BV76" s="32"/>
      <c r="BW76" s="32"/>
      <c r="BX76" s="55"/>
      <c r="BY76" s="32"/>
      <c r="BZ76" s="54"/>
      <c r="CA76" s="56" t="str">
        <f>IFERROR(VLOOKUP(June[[#This Row],[Drug Name8]],'Data Options'!$R$1:$S$100,2,FALSE), " ")</f>
        <v xml:space="preserve"> </v>
      </c>
      <c r="CB76" s="55"/>
      <c r="CC76" s="32"/>
      <c r="CD76" s="32"/>
      <c r="CE76" s="55"/>
      <c r="CF76" s="32"/>
      <c r="CG76" s="54"/>
      <c r="CH76" s="56" t="str">
        <f>IFERROR(VLOOKUP(June[[#This Row],[Drug Name9]],'Data Options'!$R$1:$S$100,2,FALSE), " ")</f>
        <v xml:space="preserve"> </v>
      </c>
      <c r="CI76" s="55"/>
      <c r="CJ76" s="32"/>
      <c r="CK76" s="32"/>
      <c r="CL76" s="55"/>
      <c r="CM76" s="32"/>
    </row>
    <row r="77" spans="1:91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31"/>
      <c r="Q77" s="54"/>
      <c r="R77" s="56" t="str">
        <f>IFERROR(VLOOKUP(June[[#This Row],[Drug Name]],'Data Options'!$R$1:$S$100,2,FALSE), " ")</f>
        <v xml:space="preserve"> </v>
      </c>
      <c r="S77" s="55"/>
      <c r="T77" s="32"/>
      <c r="U77" s="32"/>
      <c r="V77" s="55"/>
      <c r="W77" s="32"/>
      <c r="X77" s="54"/>
      <c r="Y77" s="56" t="str">
        <f>IFERROR(VLOOKUP(June[[#This Row],[Drug Name2]],'Data Options'!$R$1:$S$100,2,FALSE), " ")</f>
        <v xml:space="preserve"> </v>
      </c>
      <c r="Z77" s="55"/>
      <c r="AA77" s="32"/>
      <c r="AB77" s="32"/>
      <c r="AC77" s="55"/>
      <c r="AD77" s="32"/>
      <c r="AE77" s="54"/>
      <c r="AF77" s="56" t="str">
        <f>IFERROR(VLOOKUP(June[[#This Row],[Drug Name3]],'Data Options'!$R$1:$S$100,2,FALSE), " ")</f>
        <v xml:space="preserve"> </v>
      </c>
      <c r="AG77" s="55"/>
      <c r="AH77" s="32"/>
      <c r="AI77" s="32"/>
      <c r="AJ77" s="55"/>
      <c r="AK77" s="32"/>
      <c r="AL77" s="32"/>
      <c r="AM77" s="32"/>
      <c r="AN77" s="32"/>
      <c r="AO77" s="32"/>
      <c r="AP77" s="31"/>
      <c r="AQ77" s="31"/>
      <c r="AR77" s="54"/>
      <c r="AS77" s="56" t="str">
        <f>IFERROR(VLOOKUP(June[[#This Row],[Drug Name4]],'Data Options'!$R$1:$S$100,2,FALSE), " ")</f>
        <v xml:space="preserve"> </v>
      </c>
      <c r="AT77" s="55"/>
      <c r="AU77" s="32"/>
      <c r="AV77" s="32"/>
      <c r="AW77" s="55"/>
      <c r="AX77" s="32"/>
      <c r="AY77" s="54"/>
      <c r="AZ77" s="56" t="str">
        <f>IFERROR(VLOOKUP(June[[#This Row],[Drug Name5]],'Data Options'!$R$1:$S$100,2,FALSE), " ")</f>
        <v xml:space="preserve"> </v>
      </c>
      <c r="BA77" s="55"/>
      <c r="BB77" s="32"/>
      <c r="BC77" s="32"/>
      <c r="BD77" s="55"/>
      <c r="BE77" s="32"/>
      <c r="BF77" s="54"/>
      <c r="BG77" s="56" t="str">
        <f>IFERROR(VLOOKUP(June[[#This Row],[Drug Name6]],'Data Options'!$R$1:$S$100,2,FALSE), " ")</f>
        <v xml:space="preserve"> </v>
      </c>
      <c r="BH77" s="55"/>
      <c r="BI77" s="32"/>
      <c r="BJ77" s="32"/>
      <c r="BK77" s="55"/>
      <c r="BL77" s="32"/>
      <c r="BM77" s="32"/>
      <c r="BN77" s="32"/>
      <c r="BO77" s="32"/>
      <c r="BP77" s="32"/>
      <c r="BQ77" s="31"/>
      <c r="BR77" s="31"/>
      <c r="BS77" s="54"/>
      <c r="BT77" s="56" t="str">
        <f>IFERROR(VLOOKUP(June[[#This Row],[Drug Name7]],'Data Options'!$R$1:$S$100,2,FALSE), " ")</f>
        <v xml:space="preserve"> </v>
      </c>
      <c r="BU77" s="55"/>
      <c r="BV77" s="32"/>
      <c r="BW77" s="32"/>
      <c r="BX77" s="55"/>
      <c r="BY77" s="32"/>
      <c r="BZ77" s="54"/>
      <c r="CA77" s="56" t="str">
        <f>IFERROR(VLOOKUP(June[[#This Row],[Drug Name8]],'Data Options'!$R$1:$S$100,2,FALSE), " ")</f>
        <v xml:space="preserve"> </v>
      </c>
      <c r="CB77" s="55"/>
      <c r="CC77" s="32"/>
      <c r="CD77" s="32"/>
      <c r="CE77" s="55"/>
      <c r="CF77" s="32"/>
      <c r="CG77" s="54"/>
      <c r="CH77" s="56" t="str">
        <f>IFERROR(VLOOKUP(June[[#This Row],[Drug Name9]],'Data Options'!$R$1:$S$100,2,FALSE), " ")</f>
        <v xml:space="preserve"> </v>
      </c>
      <c r="CI77" s="55"/>
      <c r="CJ77" s="32"/>
      <c r="CK77" s="32"/>
      <c r="CL77" s="55"/>
      <c r="CM77" s="32"/>
    </row>
    <row r="78" spans="1:91">
      <c r="A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31"/>
      <c r="Q78" s="54"/>
      <c r="R78" s="56" t="str">
        <f>IFERROR(VLOOKUP(June[[#This Row],[Drug Name]],'Data Options'!$R$1:$S$100,2,FALSE), " ")</f>
        <v xml:space="preserve"> </v>
      </c>
      <c r="S78" s="55"/>
      <c r="T78" s="32"/>
      <c r="U78" s="32"/>
      <c r="V78" s="55"/>
      <c r="W78" s="32"/>
      <c r="X78" s="54"/>
      <c r="Y78" s="56" t="str">
        <f>IFERROR(VLOOKUP(June[[#This Row],[Drug Name2]],'Data Options'!$R$1:$S$100,2,FALSE), " ")</f>
        <v xml:space="preserve"> </v>
      </c>
      <c r="Z78" s="55"/>
      <c r="AA78" s="32"/>
      <c r="AB78" s="32"/>
      <c r="AC78" s="55"/>
      <c r="AD78" s="32"/>
      <c r="AE78" s="54"/>
      <c r="AF78" s="56" t="str">
        <f>IFERROR(VLOOKUP(June[[#This Row],[Drug Name3]],'Data Options'!$R$1:$S$100,2,FALSE), " ")</f>
        <v xml:space="preserve"> </v>
      </c>
      <c r="AG78" s="55"/>
      <c r="AH78" s="32"/>
      <c r="AI78" s="32"/>
      <c r="AJ78" s="55"/>
      <c r="AK78" s="32"/>
      <c r="AL78" s="32"/>
      <c r="AM78" s="32"/>
      <c r="AN78" s="32"/>
      <c r="AO78" s="32"/>
      <c r="AP78" s="31"/>
      <c r="AQ78" s="31"/>
      <c r="AR78" s="54"/>
      <c r="AS78" s="56" t="str">
        <f>IFERROR(VLOOKUP(June[[#This Row],[Drug Name4]],'Data Options'!$R$1:$S$100,2,FALSE), " ")</f>
        <v xml:space="preserve"> </v>
      </c>
      <c r="AT78" s="55"/>
      <c r="AU78" s="32"/>
      <c r="AV78" s="32"/>
      <c r="AW78" s="55"/>
      <c r="AX78" s="32"/>
      <c r="AY78" s="54"/>
      <c r="AZ78" s="56" t="str">
        <f>IFERROR(VLOOKUP(June[[#This Row],[Drug Name5]],'Data Options'!$R$1:$S$100,2,FALSE), " ")</f>
        <v xml:space="preserve"> </v>
      </c>
      <c r="BA78" s="55"/>
      <c r="BB78" s="32"/>
      <c r="BC78" s="32"/>
      <c r="BD78" s="55"/>
      <c r="BE78" s="32"/>
      <c r="BF78" s="54"/>
      <c r="BG78" s="56" t="str">
        <f>IFERROR(VLOOKUP(June[[#This Row],[Drug Name6]],'Data Options'!$R$1:$S$100,2,FALSE), " ")</f>
        <v xml:space="preserve"> </v>
      </c>
      <c r="BH78" s="55"/>
      <c r="BI78" s="32"/>
      <c r="BJ78" s="32"/>
      <c r="BK78" s="55"/>
      <c r="BL78" s="32"/>
      <c r="BM78" s="32"/>
      <c r="BN78" s="32"/>
      <c r="BO78" s="32"/>
      <c r="BP78" s="32"/>
      <c r="BQ78" s="31"/>
      <c r="BR78" s="31"/>
      <c r="BS78" s="54"/>
      <c r="BT78" s="56" t="str">
        <f>IFERROR(VLOOKUP(June[[#This Row],[Drug Name7]],'Data Options'!$R$1:$S$100,2,FALSE), " ")</f>
        <v xml:space="preserve"> </v>
      </c>
      <c r="BU78" s="55"/>
      <c r="BV78" s="32"/>
      <c r="BW78" s="32"/>
      <c r="BX78" s="55"/>
      <c r="BY78" s="32"/>
      <c r="BZ78" s="54"/>
      <c r="CA78" s="56" t="str">
        <f>IFERROR(VLOOKUP(June[[#This Row],[Drug Name8]],'Data Options'!$R$1:$S$100,2,FALSE), " ")</f>
        <v xml:space="preserve"> </v>
      </c>
      <c r="CB78" s="55"/>
      <c r="CC78" s="32"/>
      <c r="CD78" s="32"/>
      <c r="CE78" s="55"/>
      <c r="CF78" s="32"/>
      <c r="CG78" s="54"/>
      <c r="CH78" s="56" t="str">
        <f>IFERROR(VLOOKUP(June[[#This Row],[Drug Name9]],'Data Options'!$R$1:$S$100,2,FALSE), " ")</f>
        <v xml:space="preserve"> </v>
      </c>
      <c r="CI78" s="55"/>
      <c r="CJ78" s="32"/>
      <c r="CK78" s="32"/>
      <c r="CL78" s="55"/>
      <c r="CM78" s="32"/>
    </row>
    <row r="79" spans="1:91">
      <c r="A79" s="5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31"/>
      <c r="Q79" s="54"/>
      <c r="R79" s="56" t="str">
        <f>IFERROR(VLOOKUP(June[[#This Row],[Drug Name]],'Data Options'!$R$1:$S$100,2,FALSE), " ")</f>
        <v xml:space="preserve"> </v>
      </c>
      <c r="S79" s="55"/>
      <c r="T79" s="32"/>
      <c r="U79" s="32"/>
      <c r="V79" s="55"/>
      <c r="W79" s="32"/>
      <c r="X79" s="54"/>
      <c r="Y79" s="56" t="str">
        <f>IFERROR(VLOOKUP(June[[#This Row],[Drug Name2]],'Data Options'!$R$1:$S$100,2,FALSE), " ")</f>
        <v xml:space="preserve"> </v>
      </c>
      <c r="Z79" s="55"/>
      <c r="AA79" s="32"/>
      <c r="AB79" s="32"/>
      <c r="AC79" s="55"/>
      <c r="AD79" s="32"/>
      <c r="AE79" s="54"/>
      <c r="AF79" s="56" t="str">
        <f>IFERROR(VLOOKUP(June[[#This Row],[Drug Name3]],'Data Options'!$R$1:$S$100,2,FALSE), " ")</f>
        <v xml:space="preserve"> </v>
      </c>
      <c r="AG79" s="55"/>
      <c r="AH79" s="32"/>
      <c r="AI79" s="32"/>
      <c r="AJ79" s="55"/>
      <c r="AK79" s="32"/>
      <c r="AL79" s="32"/>
      <c r="AM79" s="32"/>
      <c r="AN79" s="32"/>
      <c r="AO79" s="32"/>
      <c r="AP79" s="31"/>
      <c r="AQ79" s="31"/>
      <c r="AR79" s="54"/>
      <c r="AS79" s="56" t="str">
        <f>IFERROR(VLOOKUP(June[[#This Row],[Drug Name4]],'Data Options'!$R$1:$S$100,2,FALSE), " ")</f>
        <v xml:space="preserve"> </v>
      </c>
      <c r="AT79" s="55"/>
      <c r="AU79" s="32"/>
      <c r="AV79" s="32"/>
      <c r="AW79" s="55"/>
      <c r="AX79" s="32"/>
      <c r="AY79" s="54"/>
      <c r="AZ79" s="56" t="str">
        <f>IFERROR(VLOOKUP(June[[#This Row],[Drug Name5]],'Data Options'!$R$1:$S$100,2,FALSE), " ")</f>
        <v xml:space="preserve"> </v>
      </c>
      <c r="BA79" s="55"/>
      <c r="BB79" s="32"/>
      <c r="BC79" s="32"/>
      <c r="BD79" s="55"/>
      <c r="BE79" s="32"/>
      <c r="BF79" s="54"/>
      <c r="BG79" s="56" t="str">
        <f>IFERROR(VLOOKUP(June[[#This Row],[Drug Name6]],'Data Options'!$R$1:$S$100,2,FALSE), " ")</f>
        <v xml:space="preserve"> </v>
      </c>
      <c r="BH79" s="55"/>
      <c r="BI79" s="32"/>
      <c r="BJ79" s="32"/>
      <c r="BK79" s="55"/>
      <c r="BL79" s="32"/>
      <c r="BM79" s="32"/>
      <c r="BN79" s="32"/>
      <c r="BO79" s="32"/>
      <c r="BP79" s="32"/>
      <c r="BQ79" s="31"/>
      <c r="BR79" s="31"/>
      <c r="BS79" s="54"/>
      <c r="BT79" s="56" t="str">
        <f>IFERROR(VLOOKUP(June[[#This Row],[Drug Name7]],'Data Options'!$R$1:$S$100,2,FALSE), " ")</f>
        <v xml:space="preserve"> </v>
      </c>
      <c r="BU79" s="55"/>
      <c r="BV79" s="32"/>
      <c r="BW79" s="32"/>
      <c r="BX79" s="55"/>
      <c r="BY79" s="32"/>
      <c r="BZ79" s="54"/>
      <c r="CA79" s="56" t="str">
        <f>IFERROR(VLOOKUP(June[[#This Row],[Drug Name8]],'Data Options'!$R$1:$S$100,2,FALSE), " ")</f>
        <v xml:space="preserve"> </v>
      </c>
      <c r="CB79" s="55"/>
      <c r="CC79" s="32"/>
      <c r="CD79" s="32"/>
      <c r="CE79" s="55"/>
      <c r="CF79" s="32"/>
      <c r="CG79" s="54"/>
      <c r="CH79" s="56" t="str">
        <f>IFERROR(VLOOKUP(June[[#This Row],[Drug Name9]],'Data Options'!$R$1:$S$100,2,FALSE), " ")</f>
        <v xml:space="preserve"> </v>
      </c>
      <c r="CI79" s="55"/>
      <c r="CJ79" s="32"/>
      <c r="CK79" s="32"/>
      <c r="CL79" s="55"/>
      <c r="CM79" s="32"/>
    </row>
    <row r="80" spans="1:91">
      <c r="A80" s="5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31"/>
      <c r="Q80" s="54"/>
      <c r="R80" s="56" t="str">
        <f>IFERROR(VLOOKUP(June[[#This Row],[Drug Name]],'Data Options'!$R$1:$S$100,2,FALSE), " ")</f>
        <v xml:space="preserve"> </v>
      </c>
      <c r="S80" s="55"/>
      <c r="T80" s="32"/>
      <c r="U80" s="32"/>
      <c r="V80" s="55"/>
      <c r="W80" s="32"/>
      <c r="X80" s="54"/>
      <c r="Y80" s="56" t="str">
        <f>IFERROR(VLOOKUP(June[[#This Row],[Drug Name2]],'Data Options'!$R$1:$S$100,2,FALSE), " ")</f>
        <v xml:space="preserve"> </v>
      </c>
      <c r="Z80" s="55"/>
      <c r="AA80" s="32"/>
      <c r="AB80" s="32"/>
      <c r="AC80" s="55"/>
      <c r="AD80" s="32"/>
      <c r="AE80" s="54"/>
      <c r="AF80" s="56" t="str">
        <f>IFERROR(VLOOKUP(June[[#This Row],[Drug Name3]],'Data Options'!$R$1:$S$100,2,FALSE), " ")</f>
        <v xml:space="preserve"> </v>
      </c>
      <c r="AG80" s="55"/>
      <c r="AH80" s="32"/>
      <c r="AI80" s="32"/>
      <c r="AJ80" s="55"/>
      <c r="AK80" s="32"/>
      <c r="AL80" s="32"/>
      <c r="AM80" s="32"/>
      <c r="AN80" s="32"/>
      <c r="AO80" s="32"/>
      <c r="AP80" s="31"/>
      <c r="AQ80" s="31"/>
      <c r="AR80" s="54"/>
      <c r="AS80" s="56" t="str">
        <f>IFERROR(VLOOKUP(June[[#This Row],[Drug Name4]],'Data Options'!$R$1:$S$100,2,FALSE), " ")</f>
        <v xml:space="preserve"> </v>
      </c>
      <c r="AT80" s="55"/>
      <c r="AU80" s="32"/>
      <c r="AV80" s="32"/>
      <c r="AW80" s="55"/>
      <c r="AX80" s="32"/>
      <c r="AY80" s="54"/>
      <c r="AZ80" s="56" t="str">
        <f>IFERROR(VLOOKUP(June[[#This Row],[Drug Name5]],'Data Options'!$R$1:$S$100,2,FALSE), " ")</f>
        <v xml:space="preserve"> </v>
      </c>
      <c r="BA80" s="55"/>
      <c r="BB80" s="32"/>
      <c r="BC80" s="32"/>
      <c r="BD80" s="55"/>
      <c r="BE80" s="32"/>
      <c r="BF80" s="54"/>
      <c r="BG80" s="56" t="str">
        <f>IFERROR(VLOOKUP(June[[#This Row],[Drug Name6]],'Data Options'!$R$1:$S$100,2,FALSE), " ")</f>
        <v xml:space="preserve"> </v>
      </c>
      <c r="BH80" s="55"/>
      <c r="BI80" s="32"/>
      <c r="BJ80" s="32"/>
      <c r="BK80" s="55"/>
      <c r="BL80" s="32"/>
      <c r="BM80" s="32"/>
      <c r="BN80" s="32"/>
      <c r="BO80" s="32"/>
      <c r="BP80" s="32"/>
      <c r="BQ80" s="31"/>
      <c r="BR80" s="31"/>
      <c r="BS80" s="54"/>
      <c r="BT80" s="56" t="str">
        <f>IFERROR(VLOOKUP(June[[#This Row],[Drug Name7]],'Data Options'!$R$1:$S$100,2,FALSE), " ")</f>
        <v xml:space="preserve"> </v>
      </c>
      <c r="BU80" s="55"/>
      <c r="BV80" s="32"/>
      <c r="BW80" s="32"/>
      <c r="BX80" s="55"/>
      <c r="BY80" s="32"/>
      <c r="BZ80" s="54"/>
      <c r="CA80" s="56" t="str">
        <f>IFERROR(VLOOKUP(June[[#This Row],[Drug Name8]],'Data Options'!$R$1:$S$100,2,FALSE), " ")</f>
        <v xml:space="preserve"> </v>
      </c>
      <c r="CB80" s="55"/>
      <c r="CC80" s="32"/>
      <c r="CD80" s="32"/>
      <c r="CE80" s="55"/>
      <c r="CF80" s="32"/>
      <c r="CG80" s="54"/>
      <c r="CH80" s="56" t="str">
        <f>IFERROR(VLOOKUP(June[[#This Row],[Drug Name9]],'Data Options'!$R$1:$S$100,2,FALSE), " ")</f>
        <v xml:space="preserve"> </v>
      </c>
      <c r="CI80" s="55"/>
      <c r="CJ80" s="32"/>
      <c r="CK80" s="32"/>
      <c r="CL80" s="55"/>
      <c r="CM80" s="32"/>
    </row>
    <row r="81" spans="1:91">
      <c r="A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54"/>
      <c r="R81" s="56" t="str">
        <f>IFERROR(VLOOKUP(June[[#This Row],[Drug Name]],'Data Options'!$R$1:$S$100,2,FALSE), " ")</f>
        <v xml:space="preserve"> </v>
      </c>
      <c r="S81" s="55"/>
      <c r="T81" s="32"/>
      <c r="U81" s="32"/>
      <c r="V81" s="55"/>
      <c r="W81" s="32"/>
      <c r="X81" s="54"/>
      <c r="Y81" s="56" t="str">
        <f>IFERROR(VLOOKUP(June[[#This Row],[Drug Name2]],'Data Options'!$R$1:$S$100,2,FALSE), " ")</f>
        <v xml:space="preserve"> </v>
      </c>
      <c r="Z81" s="55"/>
      <c r="AA81" s="32"/>
      <c r="AB81" s="32"/>
      <c r="AC81" s="55"/>
      <c r="AD81" s="32"/>
      <c r="AE81" s="54"/>
      <c r="AF81" s="56" t="str">
        <f>IFERROR(VLOOKUP(June[[#This Row],[Drug Name3]],'Data Options'!$R$1:$S$100,2,FALSE), " ")</f>
        <v xml:space="preserve"> </v>
      </c>
      <c r="AG81" s="55"/>
      <c r="AH81" s="32"/>
      <c r="AI81" s="32"/>
      <c r="AJ81" s="55"/>
      <c r="AK81" s="32"/>
      <c r="AL81" s="32"/>
      <c r="AM81" s="32"/>
      <c r="AN81" s="32"/>
      <c r="AO81" s="32"/>
      <c r="AP81" s="31"/>
      <c r="AQ81" s="31"/>
      <c r="AR81" s="54"/>
      <c r="AS81" s="56" t="str">
        <f>IFERROR(VLOOKUP(June[[#This Row],[Drug Name4]],'Data Options'!$R$1:$S$100,2,FALSE), " ")</f>
        <v xml:space="preserve"> </v>
      </c>
      <c r="AT81" s="55"/>
      <c r="AU81" s="32"/>
      <c r="AV81" s="32"/>
      <c r="AW81" s="55"/>
      <c r="AX81" s="32"/>
      <c r="AY81" s="54"/>
      <c r="AZ81" s="56" t="str">
        <f>IFERROR(VLOOKUP(June[[#This Row],[Drug Name5]],'Data Options'!$R$1:$S$100,2,FALSE), " ")</f>
        <v xml:space="preserve"> </v>
      </c>
      <c r="BA81" s="55"/>
      <c r="BB81" s="32"/>
      <c r="BC81" s="32"/>
      <c r="BD81" s="55"/>
      <c r="BE81" s="32"/>
      <c r="BF81" s="54"/>
      <c r="BG81" s="56" t="str">
        <f>IFERROR(VLOOKUP(June[[#This Row],[Drug Name6]],'Data Options'!$R$1:$S$100,2,FALSE), " ")</f>
        <v xml:space="preserve"> </v>
      </c>
      <c r="BH81" s="55"/>
      <c r="BI81" s="32"/>
      <c r="BJ81" s="32"/>
      <c r="BK81" s="55"/>
      <c r="BL81" s="32"/>
      <c r="BM81" s="32"/>
      <c r="BN81" s="32"/>
      <c r="BO81" s="32"/>
      <c r="BP81" s="32"/>
      <c r="BQ81" s="31"/>
      <c r="BR81" s="31"/>
      <c r="BS81" s="54"/>
      <c r="BT81" s="56" t="str">
        <f>IFERROR(VLOOKUP(June[[#This Row],[Drug Name7]],'Data Options'!$R$1:$S$100,2,FALSE), " ")</f>
        <v xml:space="preserve"> </v>
      </c>
      <c r="BU81" s="55"/>
      <c r="BV81" s="32"/>
      <c r="BW81" s="32"/>
      <c r="BX81" s="55"/>
      <c r="BY81" s="32"/>
      <c r="BZ81" s="54"/>
      <c r="CA81" s="56" t="str">
        <f>IFERROR(VLOOKUP(June[[#This Row],[Drug Name8]],'Data Options'!$R$1:$S$100,2,FALSE), " ")</f>
        <v xml:space="preserve"> </v>
      </c>
      <c r="CB81" s="55"/>
      <c r="CC81" s="32"/>
      <c r="CD81" s="32"/>
      <c r="CE81" s="55"/>
      <c r="CF81" s="32"/>
      <c r="CG81" s="54"/>
      <c r="CH81" s="56" t="str">
        <f>IFERROR(VLOOKUP(June[[#This Row],[Drug Name9]],'Data Options'!$R$1:$S$100,2,FALSE), " ")</f>
        <v xml:space="preserve"> </v>
      </c>
      <c r="CI81" s="55"/>
      <c r="CJ81" s="32"/>
      <c r="CK81" s="32"/>
      <c r="CL81" s="55"/>
      <c r="CM81" s="32"/>
    </row>
    <row r="82" spans="1:91">
      <c r="A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54"/>
      <c r="R82" s="56" t="str">
        <f>IFERROR(VLOOKUP(June[[#This Row],[Drug Name]],'Data Options'!$R$1:$S$100,2,FALSE), " ")</f>
        <v xml:space="preserve"> </v>
      </c>
      <c r="S82" s="55"/>
      <c r="T82" s="32"/>
      <c r="U82" s="32"/>
      <c r="V82" s="55"/>
      <c r="W82" s="32"/>
      <c r="X82" s="54"/>
      <c r="Y82" s="56" t="str">
        <f>IFERROR(VLOOKUP(June[[#This Row],[Drug Name2]],'Data Options'!$R$1:$S$100,2,FALSE), " ")</f>
        <v xml:space="preserve"> </v>
      </c>
      <c r="Z82" s="55"/>
      <c r="AA82" s="32"/>
      <c r="AB82" s="32"/>
      <c r="AC82" s="55"/>
      <c r="AD82" s="32"/>
      <c r="AE82" s="54"/>
      <c r="AF82" s="56" t="str">
        <f>IFERROR(VLOOKUP(June[[#This Row],[Drug Name3]],'Data Options'!$R$1:$S$100,2,FALSE), " ")</f>
        <v xml:space="preserve"> </v>
      </c>
      <c r="AG82" s="55"/>
      <c r="AH82" s="32"/>
      <c r="AI82" s="32"/>
      <c r="AJ82" s="55"/>
      <c r="AK82" s="32"/>
      <c r="AL82" s="32"/>
      <c r="AM82" s="32"/>
      <c r="AN82" s="32"/>
      <c r="AO82" s="32"/>
      <c r="AP82" s="31"/>
      <c r="AQ82" s="31"/>
      <c r="AR82" s="54"/>
      <c r="AS82" s="56" t="str">
        <f>IFERROR(VLOOKUP(June[[#This Row],[Drug Name4]],'Data Options'!$R$1:$S$100,2,FALSE), " ")</f>
        <v xml:space="preserve"> </v>
      </c>
      <c r="AT82" s="55"/>
      <c r="AU82" s="32"/>
      <c r="AV82" s="32"/>
      <c r="AW82" s="55"/>
      <c r="AX82" s="32"/>
      <c r="AY82" s="54"/>
      <c r="AZ82" s="56" t="str">
        <f>IFERROR(VLOOKUP(June[[#This Row],[Drug Name5]],'Data Options'!$R$1:$S$100,2,FALSE), " ")</f>
        <v xml:space="preserve"> </v>
      </c>
      <c r="BA82" s="55"/>
      <c r="BB82" s="32"/>
      <c r="BC82" s="32"/>
      <c r="BD82" s="55"/>
      <c r="BE82" s="32"/>
      <c r="BF82" s="54"/>
      <c r="BG82" s="56" t="str">
        <f>IFERROR(VLOOKUP(June[[#This Row],[Drug Name6]],'Data Options'!$R$1:$S$100,2,FALSE), " ")</f>
        <v xml:space="preserve"> </v>
      </c>
      <c r="BH82" s="55"/>
      <c r="BI82" s="32"/>
      <c r="BJ82" s="32"/>
      <c r="BK82" s="55"/>
      <c r="BL82" s="32"/>
      <c r="BM82" s="32"/>
      <c r="BN82" s="32"/>
      <c r="BO82" s="32"/>
      <c r="BP82" s="32"/>
      <c r="BQ82" s="31"/>
      <c r="BR82" s="31"/>
      <c r="BS82" s="54"/>
      <c r="BT82" s="56" t="str">
        <f>IFERROR(VLOOKUP(June[[#This Row],[Drug Name7]],'Data Options'!$R$1:$S$100,2,FALSE), " ")</f>
        <v xml:space="preserve"> </v>
      </c>
      <c r="BU82" s="55"/>
      <c r="BV82" s="32"/>
      <c r="BW82" s="32"/>
      <c r="BX82" s="55"/>
      <c r="BY82" s="32"/>
      <c r="BZ82" s="54"/>
      <c r="CA82" s="56" t="str">
        <f>IFERROR(VLOOKUP(June[[#This Row],[Drug Name8]],'Data Options'!$R$1:$S$100,2,FALSE), " ")</f>
        <v xml:space="preserve"> </v>
      </c>
      <c r="CB82" s="55"/>
      <c r="CC82" s="32"/>
      <c r="CD82" s="32"/>
      <c r="CE82" s="55"/>
      <c r="CF82" s="32"/>
      <c r="CG82" s="54"/>
      <c r="CH82" s="56" t="str">
        <f>IFERROR(VLOOKUP(June[[#This Row],[Drug Name9]],'Data Options'!$R$1:$S$100,2,FALSE), " ")</f>
        <v xml:space="preserve"> </v>
      </c>
      <c r="CI82" s="55"/>
      <c r="CJ82" s="32"/>
      <c r="CK82" s="32"/>
      <c r="CL82" s="55"/>
      <c r="CM82" s="32"/>
    </row>
    <row r="83" spans="1:91">
      <c r="A83" s="5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31"/>
      <c r="Q83" s="54"/>
      <c r="R83" s="56" t="str">
        <f>IFERROR(VLOOKUP(June[[#This Row],[Drug Name]],'Data Options'!$R$1:$S$100,2,FALSE), " ")</f>
        <v xml:space="preserve"> </v>
      </c>
      <c r="S83" s="55"/>
      <c r="T83" s="32"/>
      <c r="U83" s="32"/>
      <c r="V83" s="55"/>
      <c r="W83" s="32"/>
      <c r="X83" s="54"/>
      <c r="Y83" s="56" t="str">
        <f>IFERROR(VLOOKUP(June[[#This Row],[Drug Name2]],'Data Options'!$R$1:$S$100,2,FALSE), " ")</f>
        <v xml:space="preserve"> </v>
      </c>
      <c r="Z83" s="55"/>
      <c r="AA83" s="32"/>
      <c r="AB83" s="32"/>
      <c r="AC83" s="55"/>
      <c r="AD83" s="32"/>
      <c r="AE83" s="54"/>
      <c r="AF83" s="56" t="str">
        <f>IFERROR(VLOOKUP(June[[#This Row],[Drug Name3]],'Data Options'!$R$1:$S$100,2,FALSE), " ")</f>
        <v xml:space="preserve"> </v>
      </c>
      <c r="AG83" s="55"/>
      <c r="AH83" s="32"/>
      <c r="AI83" s="32"/>
      <c r="AJ83" s="55"/>
      <c r="AK83" s="32"/>
      <c r="AL83" s="32"/>
      <c r="AM83" s="32"/>
      <c r="AN83" s="32"/>
      <c r="AO83" s="32"/>
      <c r="AP83" s="31"/>
      <c r="AQ83" s="31"/>
      <c r="AR83" s="54"/>
      <c r="AS83" s="56" t="str">
        <f>IFERROR(VLOOKUP(June[[#This Row],[Drug Name4]],'Data Options'!$R$1:$S$100,2,FALSE), " ")</f>
        <v xml:space="preserve"> </v>
      </c>
      <c r="AT83" s="55"/>
      <c r="AU83" s="32"/>
      <c r="AV83" s="32"/>
      <c r="AW83" s="55"/>
      <c r="AX83" s="32"/>
      <c r="AY83" s="54"/>
      <c r="AZ83" s="56" t="str">
        <f>IFERROR(VLOOKUP(June[[#This Row],[Drug Name5]],'Data Options'!$R$1:$S$100,2,FALSE), " ")</f>
        <v xml:space="preserve"> </v>
      </c>
      <c r="BA83" s="55"/>
      <c r="BB83" s="32"/>
      <c r="BC83" s="32"/>
      <c r="BD83" s="55"/>
      <c r="BE83" s="32"/>
      <c r="BF83" s="54"/>
      <c r="BG83" s="56" t="str">
        <f>IFERROR(VLOOKUP(June[[#This Row],[Drug Name6]],'Data Options'!$R$1:$S$100,2,FALSE), " ")</f>
        <v xml:space="preserve"> </v>
      </c>
      <c r="BH83" s="55"/>
      <c r="BI83" s="32"/>
      <c r="BJ83" s="32"/>
      <c r="BK83" s="55"/>
      <c r="BL83" s="32"/>
      <c r="BM83" s="32"/>
      <c r="BN83" s="32"/>
      <c r="BO83" s="32"/>
      <c r="BP83" s="32"/>
      <c r="BQ83" s="31"/>
      <c r="BR83" s="31"/>
      <c r="BS83" s="54"/>
      <c r="BT83" s="56" t="str">
        <f>IFERROR(VLOOKUP(June[[#This Row],[Drug Name7]],'Data Options'!$R$1:$S$100,2,FALSE), " ")</f>
        <v xml:space="preserve"> </v>
      </c>
      <c r="BU83" s="55"/>
      <c r="BV83" s="32"/>
      <c r="BW83" s="32"/>
      <c r="BX83" s="55"/>
      <c r="BY83" s="32"/>
      <c r="BZ83" s="54"/>
      <c r="CA83" s="56" t="str">
        <f>IFERROR(VLOOKUP(June[[#This Row],[Drug Name8]],'Data Options'!$R$1:$S$100,2,FALSE), " ")</f>
        <v xml:space="preserve"> </v>
      </c>
      <c r="CB83" s="55"/>
      <c r="CC83" s="32"/>
      <c r="CD83" s="32"/>
      <c r="CE83" s="55"/>
      <c r="CF83" s="32"/>
      <c r="CG83" s="54"/>
      <c r="CH83" s="56" t="str">
        <f>IFERROR(VLOOKUP(June[[#This Row],[Drug Name9]],'Data Options'!$R$1:$S$100,2,FALSE), " ")</f>
        <v xml:space="preserve"> </v>
      </c>
      <c r="CI83" s="55"/>
      <c r="CJ83" s="32"/>
      <c r="CK83" s="32"/>
      <c r="CL83" s="55"/>
      <c r="CM83" s="32"/>
    </row>
    <row r="84" spans="1:91">
      <c r="A84" s="5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31"/>
      <c r="Q84" s="54"/>
      <c r="R84" s="56" t="str">
        <f>IFERROR(VLOOKUP(June[[#This Row],[Drug Name]],'Data Options'!$R$1:$S$100,2,FALSE), " ")</f>
        <v xml:space="preserve"> </v>
      </c>
      <c r="S84" s="55"/>
      <c r="T84" s="32"/>
      <c r="U84" s="32"/>
      <c r="V84" s="55"/>
      <c r="W84" s="32"/>
      <c r="X84" s="54"/>
      <c r="Y84" s="56" t="str">
        <f>IFERROR(VLOOKUP(June[[#This Row],[Drug Name2]],'Data Options'!$R$1:$S$100,2,FALSE), " ")</f>
        <v xml:space="preserve"> </v>
      </c>
      <c r="Z84" s="55"/>
      <c r="AA84" s="32"/>
      <c r="AB84" s="32"/>
      <c r="AC84" s="55"/>
      <c r="AD84" s="32"/>
      <c r="AE84" s="54"/>
      <c r="AF84" s="56" t="str">
        <f>IFERROR(VLOOKUP(June[[#This Row],[Drug Name3]],'Data Options'!$R$1:$S$100,2,FALSE), " ")</f>
        <v xml:space="preserve"> </v>
      </c>
      <c r="AG84" s="55"/>
      <c r="AH84" s="32"/>
      <c r="AI84" s="32"/>
      <c r="AJ84" s="55"/>
      <c r="AK84" s="32"/>
      <c r="AL84" s="32"/>
      <c r="AM84" s="32"/>
      <c r="AN84" s="32"/>
      <c r="AO84" s="32"/>
      <c r="AP84" s="31"/>
      <c r="AQ84" s="31"/>
      <c r="AR84" s="54"/>
      <c r="AS84" s="56" t="str">
        <f>IFERROR(VLOOKUP(June[[#This Row],[Drug Name4]],'Data Options'!$R$1:$S$100,2,FALSE), " ")</f>
        <v xml:space="preserve"> </v>
      </c>
      <c r="AT84" s="55"/>
      <c r="AU84" s="32"/>
      <c r="AV84" s="32"/>
      <c r="AW84" s="55"/>
      <c r="AX84" s="32"/>
      <c r="AY84" s="54"/>
      <c r="AZ84" s="56" t="str">
        <f>IFERROR(VLOOKUP(June[[#This Row],[Drug Name5]],'Data Options'!$R$1:$S$100,2,FALSE), " ")</f>
        <v xml:space="preserve"> </v>
      </c>
      <c r="BA84" s="55"/>
      <c r="BB84" s="32"/>
      <c r="BC84" s="32"/>
      <c r="BD84" s="55"/>
      <c r="BE84" s="32"/>
      <c r="BF84" s="54"/>
      <c r="BG84" s="56" t="str">
        <f>IFERROR(VLOOKUP(June[[#This Row],[Drug Name6]],'Data Options'!$R$1:$S$100,2,FALSE), " ")</f>
        <v xml:space="preserve"> </v>
      </c>
      <c r="BH84" s="55"/>
      <c r="BI84" s="32"/>
      <c r="BJ84" s="32"/>
      <c r="BK84" s="55"/>
      <c r="BL84" s="32"/>
      <c r="BM84" s="32"/>
      <c r="BN84" s="32"/>
      <c r="BO84" s="32"/>
      <c r="BP84" s="32"/>
      <c r="BQ84" s="31"/>
      <c r="BR84" s="31"/>
      <c r="BS84" s="54"/>
      <c r="BT84" s="56" t="str">
        <f>IFERROR(VLOOKUP(June[[#This Row],[Drug Name7]],'Data Options'!$R$1:$S$100,2,FALSE), " ")</f>
        <v xml:space="preserve"> </v>
      </c>
      <c r="BU84" s="55"/>
      <c r="BV84" s="32"/>
      <c r="BW84" s="32"/>
      <c r="BX84" s="55"/>
      <c r="BY84" s="32"/>
      <c r="BZ84" s="54"/>
      <c r="CA84" s="56" t="str">
        <f>IFERROR(VLOOKUP(June[[#This Row],[Drug Name8]],'Data Options'!$R$1:$S$100,2,FALSE), " ")</f>
        <v xml:space="preserve"> </v>
      </c>
      <c r="CB84" s="55"/>
      <c r="CC84" s="32"/>
      <c r="CD84" s="32"/>
      <c r="CE84" s="55"/>
      <c r="CF84" s="32"/>
      <c r="CG84" s="54"/>
      <c r="CH84" s="56" t="str">
        <f>IFERROR(VLOOKUP(June[[#This Row],[Drug Name9]],'Data Options'!$R$1:$S$100,2,FALSE), " ")</f>
        <v xml:space="preserve"> </v>
      </c>
      <c r="CI84" s="55"/>
      <c r="CJ84" s="32"/>
      <c r="CK84" s="32"/>
      <c r="CL84" s="55"/>
      <c r="CM84" s="32"/>
    </row>
    <row r="85" spans="1:91">
      <c r="A85" s="5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31"/>
      <c r="Q85" s="54"/>
      <c r="R85" s="56" t="str">
        <f>IFERROR(VLOOKUP(June[[#This Row],[Drug Name]],'Data Options'!$R$1:$S$100,2,FALSE), " ")</f>
        <v xml:space="preserve"> </v>
      </c>
      <c r="S85" s="55"/>
      <c r="T85" s="32"/>
      <c r="U85" s="32"/>
      <c r="V85" s="55"/>
      <c r="W85" s="32"/>
      <c r="X85" s="54"/>
      <c r="Y85" s="56" t="str">
        <f>IFERROR(VLOOKUP(June[[#This Row],[Drug Name2]],'Data Options'!$R$1:$S$100,2,FALSE), " ")</f>
        <v xml:space="preserve"> </v>
      </c>
      <c r="Z85" s="55"/>
      <c r="AA85" s="32"/>
      <c r="AB85" s="32"/>
      <c r="AC85" s="55"/>
      <c r="AD85" s="32"/>
      <c r="AE85" s="54"/>
      <c r="AF85" s="56" t="str">
        <f>IFERROR(VLOOKUP(June[[#This Row],[Drug Name3]],'Data Options'!$R$1:$S$100,2,FALSE), " ")</f>
        <v xml:space="preserve"> </v>
      </c>
      <c r="AG85" s="55"/>
      <c r="AH85" s="32"/>
      <c r="AI85" s="32"/>
      <c r="AJ85" s="55"/>
      <c r="AK85" s="32"/>
      <c r="AL85" s="32"/>
      <c r="AM85" s="32"/>
      <c r="AN85" s="32"/>
      <c r="AO85" s="32"/>
      <c r="AP85" s="31"/>
      <c r="AQ85" s="31"/>
      <c r="AR85" s="54"/>
      <c r="AS85" s="56" t="str">
        <f>IFERROR(VLOOKUP(June[[#This Row],[Drug Name4]],'Data Options'!$R$1:$S$100,2,FALSE), " ")</f>
        <v xml:space="preserve"> </v>
      </c>
      <c r="AT85" s="55"/>
      <c r="AU85" s="32"/>
      <c r="AV85" s="32"/>
      <c r="AW85" s="55"/>
      <c r="AX85" s="32"/>
      <c r="AY85" s="54"/>
      <c r="AZ85" s="56" t="str">
        <f>IFERROR(VLOOKUP(June[[#This Row],[Drug Name5]],'Data Options'!$R$1:$S$100,2,FALSE), " ")</f>
        <v xml:space="preserve"> </v>
      </c>
      <c r="BA85" s="55"/>
      <c r="BB85" s="32"/>
      <c r="BC85" s="32"/>
      <c r="BD85" s="55"/>
      <c r="BE85" s="32"/>
      <c r="BF85" s="54"/>
      <c r="BG85" s="56" t="str">
        <f>IFERROR(VLOOKUP(June[[#This Row],[Drug Name6]],'Data Options'!$R$1:$S$100,2,FALSE), " ")</f>
        <v xml:space="preserve"> </v>
      </c>
      <c r="BH85" s="55"/>
      <c r="BI85" s="32"/>
      <c r="BJ85" s="32"/>
      <c r="BK85" s="55"/>
      <c r="BL85" s="32"/>
      <c r="BM85" s="32"/>
      <c r="BN85" s="32"/>
      <c r="BO85" s="32"/>
      <c r="BP85" s="32"/>
      <c r="BQ85" s="31"/>
      <c r="BR85" s="31"/>
      <c r="BS85" s="54"/>
      <c r="BT85" s="56" t="str">
        <f>IFERROR(VLOOKUP(June[[#This Row],[Drug Name7]],'Data Options'!$R$1:$S$100,2,FALSE), " ")</f>
        <v xml:space="preserve"> </v>
      </c>
      <c r="BU85" s="55"/>
      <c r="BV85" s="32"/>
      <c r="BW85" s="32"/>
      <c r="BX85" s="55"/>
      <c r="BY85" s="32"/>
      <c r="BZ85" s="54"/>
      <c r="CA85" s="56" t="str">
        <f>IFERROR(VLOOKUP(June[[#This Row],[Drug Name8]],'Data Options'!$R$1:$S$100,2,FALSE), " ")</f>
        <v xml:space="preserve"> </v>
      </c>
      <c r="CB85" s="55"/>
      <c r="CC85" s="32"/>
      <c r="CD85" s="32"/>
      <c r="CE85" s="55"/>
      <c r="CF85" s="32"/>
      <c r="CG85" s="54"/>
      <c r="CH85" s="56" t="str">
        <f>IFERROR(VLOOKUP(June[[#This Row],[Drug Name9]],'Data Options'!$R$1:$S$100,2,FALSE), " ")</f>
        <v xml:space="preserve"> </v>
      </c>
      <c r="CI85" s="55"/>
      <c r="CJ85" s="32"/>
      <c r="CK85" s="32"/>
      <c r="CL85" s="55"/>
      <c r="CM85" s="32"/>
    </row>
    <row r="86" spans="1:91">
      <c r="A86" s="5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31"/>
      <c r="Q86" s="54"/>
      <c r="R86" s="56" t="str">
        <f>IFERROR(VLOOKUP(June[[#This Row],[Drug Name]],'Data Options'!$R$1:$S$100,2,FALSE), " ")</f>
        <v xml:space="preserve"> </v>
      </c>
      <c r="S86" s="55"/>
      <c r="T86" s="32"/>
      <c r="U86" s="32"/>
      <c r="V86" s="55"/>
      <c r="W86" s="32"/>
      <c r="X86" s="54"/>
      <c r="Y86" s="56" t="str">
        <f>IFERROR(VLOOKUP(June[[#This Row],[Drug Name2]],'Data Options'!$R$1:$S$100,2,FALSE), " ")</f>
        <v xml:space="preserve"> </v>
      </c>
      <c r="Z86" s="55"/>
      <c r="AA86" s="32"/>
      <c r="AB86" s="32"/>
      <c r="AC86" s="55"/>
      <c r="AD86" s="32"/>
      <c r="AE86" s="54"/>
      <c r="AF86" s="56" t="str">
        <f>IFERROR(VLOOKUP(June[[#This Row],[Drug Name3]],'Data Options'!$R$1:$S$100,2,FALSE), " ")</f>
        <v xml:space="preserve"> </v>
      </c>
      <c r="AG86" s="55"/>
      <c r="AH86" s="32"/>
      <c r="AI86" s="32"/>
      <c r="AJ86" s="55"/>
      <c r="AK86" s="32"/>
      <c r="AL86" s="32"/>
      <c r="AM86" s="32"/>
      <c r="AN86" s="32"/>
      <c r="AO86" s="32"/>
      <c r="AP86" s="31"/>
      <c r="AQ86" s="31"/>
      <c r="AR86" s="54"/>
      <c r="AS86" s="56" t="str">
        <f>IFERROR(VLOOKUP(June[[#This Row],[Drug Name4]],'Data Options'!$R$1:$S$100,2,FALSE), " ")</f>
        <v xml:space="preserve"> </v>
      </c>
      <c r="AT86" s="55"/>
      <c r="AU86" s="32"/>
      <c r="AV86" s="32"/>
      <c r="AW86" s="55"/>
      <c r="AX86" s="32"/>
      <c r="AY86" s="54"/>
      <c r="AZ86" s="56" t="str">
        <f>IFERROR(VLOOKUP(June[[#This Row],[Drug Name5]],'Data Options'!$R$1:$S$100,2,FALSE), " ")</f>
        <v xml:space="preserve"> </v>
      </c>
      <c r="BA86" s="55"/>
      <c r="BB86" s="32"/>
      <c r="BC86" s="32"/>
      <c r="BD86" s="55"/>
      <c r="BE86" s="32"/>
      <c r="BF86" s="54"/>
      <c r="BG86" s="56" t="str">
        <f>IFERROR(VLOOKUP(June[[#This Row],[Drug Name6]],'Data Options'!$R$1:$S$100,2,FALSE), " ")</f>
        <v xml:space="preserve"> </v>
      </c>
      <c r="BH86" s="55"/>
      <c r="BI86" s="32"/>
      <c r="BJ86" s="32"/>
      <c r="BK86" s="55"/>
      <c r="BL86" s="32"/>
      <c r="BM86" s="32"/>
      <c r="BN86" s="32"/>
      <c r="BO86" s="32"/>
      <c r="BP86" s="32"/>
      <c r="BQ86" s="31"/>
      <c r="BR86" s="31"/>
      <c r="BS86" s="54"/>
      <c r="BT86" s="56" t="str">
        <f>IFERROR(VLOOKUP(June[[#This Row],[Drug Name7]],'Data Options'!$R$1:$S$100,2,FALSE), " ")</f>
        <v xml:space="preserve"> </v>
      </c>
      <c r="BU86" s="55"/>
      <c r="BV86" s="32"/>
      <c r="BW86" s="32"/>
      <c r="BX86" s="55"/>
      <c r="BY86" s="32"/>
      <c r="BZ86" s="54"/>
      <c r="CA86" s="56" t="str">
        <f>IFERROR(VLOOKUP(June[[#This Row],[Drug Name8]],'Data Options'!$R$1:$S$100,2,FALSE), " ")</f>
        <v xml:space="preserve"> </v>
      </c>
      <c r="CB86" s="55"/>
      <c r="CC86" s="32"/>
      <c r="CD86" s="32"/>
      <c r="CE86" s="55"/>
      <c r="CF86" s="32"/>
      <c r="CG86" s="54"/>
      <c r="CH86" s="56" t="str">
        <f>IFERROR(VLOOKUP(June[[#This Row],[Drug Name9]],'Data Options'!$R$1:$S$100,2,FALSE), " ")</f>
        <v xml:space="preserve"> </v>
      </c>
      <c r="CI86" s="55"/>
      <c r="CJ86" s="32"/>
      <c r="CK86" s="32"/>
      <c r="CL86" s="55"/>
      <c r="CM86" s="32"/>
    </row>
    <row r="87" spans="1:91">
      <c r="A87" s="5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31"/>
      <c r="Q87" s="54"/>
      <c r="R87" s="56" t="str">
        <f>IFERROR(VLOOKUP(June[[#This Row],[Drug Name]],'Data Options'!$R$1:$S$100,2,FALSE), " ")</f>
        <v xml:space="preserve"> </v>
      </c>
      <c r="S87" s="55"/>
      <c r="T87" s="32"/>
      <c r="U87" s="32"/>
      <c r="V87" s="55"/>
      <c r="W87" s="32"/>
      <c r="X87" s="54"/>
      <c r="Y87" s="56" t="str">
        <f>IFERROR(VLOOKUP(June[[#This Row],[Drug Name2]],'Data Options'!$R$1:$S$100,2,FALSE), " ")</f>
        <v xml:space="preserve"> </v>
      </c>
      <c r="Z87" s="55"/>
      <c r="AA87" s="32"/>
      <c r="AB87" s="32"/>
      <c r="AC87" s="55"/>
      <c r="AD87" s="32"/>
      <c r="AE87" s="54"/>
      <c r="AF87" s="56" t="str">
        <f>IFERROR(VLOOKUP(June[[#This Row],[Drug Name3]],'Data Options'!$R$1:$S$100,2,FALSE), " ")</f>
        <v xml:space="preserve"> </v>
      </c>
      <c r="AG87" s="55"/>
      <c r="AH87" s="32"/>
      <c r="AI87" s="32"/>
      <c r="AJ87" s="55"/>
      <c r="AK87" s="32"/>
      <c r="AL87" s="32"/>
      <c r="AM87" s="32"/>
      <c r="AN87" s="32"/>
      <c r="AO87" s="32"/>
      <c r="AP87" s="31"/>
      <c r="AQ87" s="31"/>
      <c r="AR87" s="54"/>
      <c r="AS87" s="56" t="str">
        <f>IFERROR(VLOOKUP(June[[#This Row],[Drug Name4]],'Data Options'!$R$1:$S$100,2,FALSE), " ")</f>
        <v xml:space="preserve"> </v>
      </c>
      <c r="AT87" s="55"/>
      <c r="AU87" s="32"/>
      <c r="AV87" s="32"/>
      <c r="AW87" s="55"/>
      <c r="AX87" s="32"/>
      <c r="AY87" s="54"/>
      <c r="AZ87" s="56" t="str">
        <f>IFERROR(VLOOKUP(June[[#This Row],[Drug Name5]],'Data Options'!$R$1:$S$100,2,FALSE), " ")</f>
        <v xml:space="preserve"> </v>
      </c>
      <c r="BA87" s="55"/>
      <c r="BB87" s="32"/>
      <c r="BC87" s="32"/>
      <c r="BD87" s="55"/>
      <c r="BE87" s="32"/>
      <c r="BF87" s="54"/>
      <c r="BG87" s="56" t="str">
        <f>IFERROR(VLOOKUP(June[[#This Row],[Drug Name6]],'Data Options'!$R$1:$S$100,2,FALSE), " ")</f>
        <v xml:space="preserve"> </v>
      </c>
      <c r="BH87" s="55"/>
      <c r="BI87" s="32"/>
      <c r="BJ87" s="32"/>
      <c r="BK87" s="55"/>
      <c r="BL87" s="32"/>
      <c r="BM87" s="32"/>
      <c r="BN87" s="32"/>
      <c r="BO87" s="32"/>
      <c r="BP87" s="32"/>
      <c r="BQ87" s="31"/>
      <c r="BR87" s="31"/>
      <c r="BS87" s="54"/>
      <c r="BT87" s="56" t="str">
        <f>IFERROR(VLOOKUP(June[[#This Row],[Drug Name7]],'Data Options'!$R$1:$S$100,2,FALSE), " ")</f>
        <v xml:space="preserve"> </v>
      </c>
      <c r="BU87" s="55"/>
      <c r="BV87" s="32"/>
      <c r="BW87" s="32"/>
      <c r="BX87" s="55"/>
      <c r="BY87" s="32"/>
      <c r="BZ87" s="54"/>
      <c r="CA87" s="56" t="str">
        <f>IFERROR(VLOOKUP(June[[#This Row],[Drug Name8]],'Data Options'!$R$1:$S$100,2,FALSE), " ")</f>
        <v xml:space="preserve"> </v>
      </c>
      <c r="CB87" s="55"/>
      <c r="CC87" s="32"/>
      <c r="CD87" s="32"/>
      <c r="CE87" s="55"/>
      <c r="CF87" s="32"/>
      <c r="CG87" s="54"/>
      <c r="CH87" s="56" t="str">
        <f>IFERROR(VLOOKUP(June[[#This Row],[Drug Name9]],'Data Options'!$R$1:$S$100,2,FALSE), " ")</f>
        <v xml:space="preserve"> </v>
      </c>
      <c r="CI87" s="55"/>
      <c r="CJ87" s="32"/>
      <c r="CK87" s="32"/>
      <c r="CL87" s="55"/>
      <c r="CM87" s="32"/>
    </row>
    <row r="88" spans="1:91">
      <c r="A88" s="5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31"/>
      <c r="Q88" s="54"/>
      <c r="R88" s="56" t="str">
        <f>IFERROR(VLOOKUP(June[[#This Row],[Drug Name]],'Data Options'!$R$1:$S$100,2,FALSE), " ")</f>
        <v xml:space="preserve"> </v>
      </c>
      <c r="S88" s="55"/>
      <c r="T88" s="32"/>
      <c r="U88" s="32"/>
      <c r="V88" s="55"/>
      <c r="W88" s="32"/>
      <c r="X88" s="54"/>
      <c r="Y88" s="56" t="str">
        <f>IFERROR(VLOOKUP(June[[#This Row],[Drug Name2]],'Data Options'!$R$1:$S$100,2,FALSE), " ")</f>
        <v xml:space="preserve"> </v>
      </c>
      <c r="Z88" s="55"/>
      <c r="AA88" s="32"/>
      <c r="AB88" s="32"/>
      <c r="AC88" s="55"/>
      <c r="AD88" s="32"/>
      <c r="AE88" s="54"/>
      <c r="AF88" s="56" t="str">
        <f>IFERROR(VLOOKUP(June[[#This Row],[Drug Name3]],'Data Options'!$R$1:$S$100,2,FALSE), " ")</f>
        <v xml:space="preserve"> </v>
      </c>
      <c r="AG88" s="55"/>
      <c r="AH88" s="32"/>
      <c r="AI88" s="32"/>
      <c r="AJ88" s="55"/>
      <c r="AK88" s="32"/>
      <c r="AL88" s="32"/>
      <c r="AM88" s="32"/>
      <c r="AN88" s="32"/>
      <c r="AO88" s="32"/>
      <c r="AP88" s="31"/>
      <c r="AQ88" s="31"/>
      <c r="AR88" s="54"/>
      <c r="AS88" s="56" t="str">
        <f>IFERROR(VLOOKUP(June[[#This Row],[Drug Name4]],'Data Options'!$R$1:$S$100,2,FALSE), " ")</f>
        <v xml:space="preserve"> </v>
      </c>
      <c r="AT88" s="55"/>
      <c r="AU88" s="32"/>
      <c r="AV88" s="32"/>
      <c r="AW88" s="55"/>
      <c r="AX88" s="32"/>
      <c r="AY88" s="54"/>
      <c r="AZ88" s="56" t="str">
        <f>IFERROR(VLOOKUP(June[[#This Row],[Drug Name5]],'Data Options'!$R$1:$S$100,2,FALSE), " ")</f>
        <v xml:space="preserve"> </v>
      </c>
      <c r="BA88" s="55"/>
      <c r="BB88" s="32"/>
      <c r="BC88" s="32"/>
      <c r="BD88" s="55"/>
      <c r="BE88" s="32"/>
      <c r="BF88" s="54"/>
      <c r="BG88" s="56" t="str">
        <f>IFERROR(VLOOKUP(June[[#This Row],[Drug Name6]],'Data Options'!$R$1:$S$100,2,FALSE), " ")</f>
        <v xml:space="preserve"> </v>
      </c>
      <c r="BH88" s="55"/>
      <c r="BI88" s="32"/>
      <c r="BJ88" s="32"/>
      <c r="BK88" s="55"/>
      <c r="BL88" s="32"/>
      <c r="BM88" s="32"/>
      <c r="BN88" s="32"/>
      <c r="BO88" s="32"/>
      <c r="BP88" s="32"/>
      <c r="BQ88" s="31"/>
      <c r="BR88" s="31"/>
      <c r="BS88" s="54"/>
      <c r="BT88" s="56" t="str">
        <f>IFERROR(VLOOKUP(June[[#This Row],[Drug Name7]],'Data Options'!$R$1:$S$100,2,FALSE), " ")</f>
        <v xml:space="preserve"> </v>
      </c>
      <c r="BU88" s="55"/>
      <c r="BV88" s="32"/>
      <c r="BW88" s="32"/>
      <c r="BX88" s="55"/>
      <c r="BY88" s="32"/>
      <c r="BZ88" s="54"/>
      <c r="CA88" s="56" t="str">
        <f>IFERROR(VLOOKUP(June[[#This Row],[Drug Name8]],'Data Options'!$R$1:$S$100,2,FALSE), " ")</f>
        <v xml:space="preserve"> </v>
      </c>
      <c r="CB88" s="55"/>
      <c r="CC88" s="32"/>
      <c r="CD88" s="32"/>
      <c r="CE88" s="55"/>
      <c r="CF88" s="32"/>
      <c r="CG88" s="54"/>
      <c r="CH88" s="56" t="str">
        <f>IFERROR(VLOOKUP(June[[#This Row],[Drug Name9]],'Data Options'!$R$1:$S$100,2,FALSE), " ")</f>
        <v xml:space="preserve"> </v>
      </c>
      <c r="CI88" s="55"/>
      <c r="CJ88" s="32"/>
      <c r="CK88" s="32"/>
      <c r="CL88" s="55"/>
      <c r="CM88" s="32"/>
    </row>
    <row r="89" spans="1:91">
      <c r="A89" s="5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31"/>
      <c r="Q89" s="54"/>
      <c r="R89" s="56" t="str">
        <f>IFERROR(VLOOKUP(June[[#This Row],[Drug Name]],'Data Options'!$R$1:$S$100,2,FALSE), " ")</f>
        <v xml:space="preserve"> </v>
      </c>
      <c r="S89" s="55"/>
      <c r="T89" s="32"/>
      <c r="U89" s="32"/>
      <c r="V89" s="55"/>
      <c r="W89" s="32"/>
      <c r="X89" s="54"/>
      <c r="Y89" s="56" t="str">
        <f>IFERROR(VLOOKUP(June[[#This Row],[Drug Name2]],'Data Options'!$R$1:$S$100,2,FALSE), " ")</f>
        <v xml:space="preserve"> </v>
      </c>
      <c r="Z89" s="55"/>
      <c r="AA89" s="32"/>
      <c r="AB89" s="32"/>
      <c r="AC89" s="55"/>
      <c r="AD89" s="32"/>
      <c r="AE89" s="54"/>
      <c r="AF89" s="56" t="str">
        <f>IFERROR(VLOOKUP(June[[#This Row],[Drug Name3]],'Data Options'!$R$1:$S$100,2,FALSE), " ")</f>
        <v xml:space="preserve"> </v>
      </c>
      <c r="AG89" s="55"/>
      <c r="AH89" s="32"/>
      <c r="AI89" s="32"/>
      <c r="AJ89" s="55"/>
      <c r="AK89" s="32"/>
      <c r="AL89" s="32"/>
      <c r="AM89" s="32"/>
      <c r="AN89" s="32"/>
      <c r="AO89" s="32"/>
      <c r="AP89" s="31"/>
      <c r="AQ89" s="31"/>
      <c r="AR89" s="54"/>
      <c r="AS89" s="56" t="str">
        <f>IFERROR(VLOOKUP(June[[#This Row],[Drug Name4]],'Data Options'!$R$1:$S$100,2,FALSE), " ")</f>
        <v xml:space="preserve"> </v>
      </c>
      <c r="AT89" s="55"/>
      <c r="AU89" s="32"/>
      <c r="AV89" s="32"/>
      <c r="AW89" s="55"/>
      <c r="AX89" s="32"/>
      <c r="AY89" s="54"/>
      <c r="AZ89" s="56" t="str">
        <f>IFERROR(VLOOKUP(June[[#This Row],[Drug Name5]],'Data Options'!$R$1:$S$100,2,FALSE), " ")</f>
        <v xml:space="preserve"> </v>
      </c>
      <c r="BA89" s="55"/>
      <c r="BB89" s="32"/>
      <c r="BC89" s="32"/>
      <c r="BD89" s="55"/>
      <c r="BE89" s="32"/>
      <c r="BF89" s="54"/>
      <c r="BG89" s="56" t="str">
        <f>IFERROR(VLOOKUP(June[[#This Row],[Drug Name6]],'Data Options'!$R$1:$S$100,2,FALSE), " ")</f>
        <v xml:space="preserve"> </v>
      </c>
      <c r="BH89" s="55"/>
      <c r="BI89" s="32"/>
      <c r="BJ89" s="32"/>
      <c r="BK89" s="55"/>
      <c r="BL89" s="32"/>
      <c r="BM89" s="32"/>
      <c r="BN89" s="32"/>
      <c r="BO89" s="32"/>
      <c r="BP89" s="32"/>
      <c r="BQ89" s="31"/>
      <c r="BR89" s="31"/>
      <c r="BS89" s="54"/>
      <c r="BT89" s="56" t="str">
        <f>IFERROR(VLOOKUP(June[[#This Row],[Drug Name7]],'Data Options'!$R$1:$S$100,2,FALSE), " ")</f>
        <v xml:space="preserve"> </v>
      </c>
      <c r="BU89" s="55"/>
      <c r="BV89" s="32"/>
      <c r="BW89" s="32"/>
      <c r="BX89" s="55"/>
      <c r="BY89" s="32"/>
      <c r="BZ89" s="54"/>
      <c r="CA89" s="56" t="str">
        <f>IFERROR(VLOOKUP(June[[#This Row],[Drug Name8]],'Data Options'!$R$1:$S$100,2,FALSE), " ")</f>
        <v xml:space="preserve"> </v>
      </c>
      <c r="CB89" s="55"/>
      <c r="CC89" s="32"/>
      <c r="CD89" s="32"/>
      <c r="CE89" s="55"/>
      <c r="CF89" s="32"/>
      <c r="CG89" s="54"/>
      <c r="CH89" s="56" t="str">
        <f>IFERROR(VLOOKUP(June[[#This Row],[Drug Name9]],'Data Options'!$R$1:$S$100,2,FALSE), " ")</f>
        <v xml:space="preserve"> </v>
      </c>
      <c r="CI89" s="55"/>
      <c r="CJ89" s="32"/>
      <c r="CK89" s="32"/>
      <c r="CL89" s="55"/>
      <c r="CM89" s="32"/>
    </row>
    <row r="90" spans="1:91">
      <c r="A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1"/>
      <c r="Q90" s="54"/>
      <c r="R90" s="56" t="str">
        <f>IFERROR(VLOOKUP(June[[#This Row],[Drug Name]],'Data Options'!$R$1:$S$100,2,FALSE), " ")</f>
        <v xml:space="preserve"> </v>
      </c>
      <c r="S90" s="55"/>
      <c r="T90" s="32"/>
      <c r="U90" s="32"/>
      <c r="V90" s="55"/>
      <c r="W90" s="32"/>
      <c r="X90" s="54"/>
      <c r="Y90" s="56" t="str">
        <f>IFERROR(VLOOKUP(June[[#This Row],[Drug Name2]],'Data Options'!$R$1:$S$100,2,FALSE), " ")</f>
        <v xml:space="preserve"> </v>
      </c>
      <c r="Z90" s="55"/>
      <c r="AA90" s="32"/>
      <c r="AB90" s="32"/>
      <c r="AC90" s="55"/>
      <c r="AD90" s="32"/>
      <c r="AE90" s="54"/>
      <c r="AF90" s="56" t="str">
        <f>IFERROR(VLOOKUP(June[[#This Row],[Drug Name3]],'Data Options'!$R$1:$S$100,2,FALSE), " ")</f>
        <v xml:space="preserve"> </v>
      </c>
      <c r="AG90" s="55"/>
      <c r="AH90" s="32"/>
      <c r="AI90" s="32"/>
      <c r="AJ90" s="55"/>
      <c r="AK90" s="32"/>
      <c r="AL90" s="32"/>
      <c r="AM90" s="32"/>
      <c r="AN90" s="32"/>
      <c r="AO90" s="32"/>
      <c r="AP90" s="31"/>
      <c r="AQ90" s="31"/>
      <c r="AR90" s="54"/>
      <c r="AS90" s="56" t="str">
        <f>IFERROR(VLOOKUP(June[[#This Row],[Drug Name4]],'Data Options'!$R$1:$S$100,2,FALSE), " ")</f>
        <v xml:space="preserve"> </v>
      </c>
      <c r="AT90" s="55"/>
      <c r="AU90" s="32"/>
      <c r="AV90" s="32"/>
      <c r="AW90" s="55"/>
      <c r="AX90" s="32"/>
      <c r="AY90" s="54"/>
      <c r="AZ90" s="56" t="str">
        <f>IFERROR(VLOOKUP(June[[#This Row],[Drug Name5]],'Data Options'!$R$1:$S$100,2,FALSE), " ")</f>
        <v xml:space="preserve"> </v>
      </c>
      <c r="BA90" s="55"/>
      <c r="BB90" s="32"/>
      <c r="BC90" s="32"/>
      <c r="BD90" s="55"/>
      <c r="BE90" s="32"/>
      <c r="BF90" s="54"/>
      <c r="BG90" s="56" t="str">
        <f>IFERROR(VLOOKUP(June[[#This Row],[Drug Name6]],'Data Options'!$R$1:$S$100,2,FALSE), " ")</f>
        <v xml:space="preserve"> </v>
      </c>
      <c r="BH90" s="55"/>
      <c r="BI90" s="32"/>
      <c r="BJ90" s="32"/>
      <c r="BK90" s="55"/>
      <c r="BL90" s="32"/>
      <c r="BM90" s="32"/>
      <c r="BN90" s="32"/>
      <c r="BO90" s="32"/>
      <c r="BP90" s="32"/>
      <c r="BQ90" s="31"/>
      <c r="BR90" s="31"/>
      <c r="BS90" s="54"/>
      <c r="BT90" s="56" t="str">
        <f>IFERROR(VLOOKUP(June[[#This Row],[Drug Name7]],'Data Options'!$R$1:$S$100,2,FALSE), " ")</f>
        <v xml:space="preserve"> </v>
      </c>
      <c r="BU90" s="55"/>
      <c r="BV90" s="32"/>
      <c r="BW90" s="32"/>
      <c r="BX90" s="55"/>
      <c r="BY90" s="32"/>
      <c r="BZ90" s="54"/>
      <c r="CA90" s="56" t="str">
        <f>IFERROR(VLOOKUP(June[[#This Row],[Drug Name8]],'Data Options'!$R$1:$S$100,2,FALSE), " ")</f>
        <v xml:space="preserve"> </v>
      </c>
      <c r="CB90" s="55"/>
      <c r="CC90" s="32"/>
      <c r="CD90" s="32"/>
      <c r="CE90" s="55"/>
      <c r="CF90" s="32"/>
      <c r="CG90" s="54"/>
      <c r="CH90" s="56" t="str">
        <f>IFERROR(VLOOKUP(June[[#This Row],[Drug Name9]],'Data Options'!$R$1:$S$100,2,FALSE), " ")</f>
        <v xml:space="preserve"> </v>
      </c>
      <c r="CI90" s="55"/>
      <c r="CJ90" s="32"/>
      <c r="CK90" s="32"/>
      <c r="CL90" s="55"/>
      <c r="CM90" s="32"/>
    </row>
    <row r="91" spans="1:91">
      <c r="A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1"/>
      <c r="Q91" s="54"/>
      <c r="R91" s="56" t="str">
        <f>IFERROR(VLOOKUP(June[[#This Row],[Drug Name]],'Data Options'!$R$1:$S$100,2,FALSE), " ")</f>
        <v xml:space="preserve"> </v>
      </c>
      <c r="S91" s="55"/>
      <c r="T91" s="32"/>
      <c r="U91" s="32"/>
      <c r="V91" s="55"/>
      <c r="W91" s="32"/>
      <c r="X91" s="54"/>
      <c r="Y91" s="56" t="str">
        <f>IFERROR(VLOOKUP(June[[#This Row],[Drug Name2]],'Data Options'!$R$1:$S$100,2,FALSE), " ")</f>
        <v xml:space="preserve"> </v>
      </c>
      <c r="Z91" s="55"/>
      <c r="AA91" s="32"/>
      <c r="AB91" s="32"/>
      <c r="AC91" s="55"/>
      <c r="AD91" s="32"/>
      <c r="AE91" s="54"/>
      <c r="AF91" s="56" t="str">
        <f>IFERROR(VLOOKUP(June[[#This Row],[Drug Name3]],'Data Options'!$R$1:$S$100,2,FALSE), " ")</f>
        <v xml:space="preserve"> </v>
      </c>
      <c r="AG91" s="55"/>
      <c r="AH91" s="32"/>
      <c r="AI91" s="32"/>
      <c r="AJ91" s="55"/>
      <c r="AK91" s="32"/>
      <c r="AL91" s="32"/>
      <c r="AM91" s="32"/>
      <c r="AN91" s="32"/>
      <c r="AO91" s="32"/>
      <c r="AP91" s="31"/>
      <c r="AQ91" s="31"/>
      <c r="AR91" s="54"/>
      <c r="AS91" s="56" t="str">
        <f>IFERROR(VLOOKUP(June[[#This Row],[Drug Name4]],'Data Options'!$R$1:$S$100,2,FALSE), " ")</f>
        <v xml:space="preserve"> </v>
      </c>
      <c r="AT91" s="55"/>
      <c r="AU91" s="32"/>
      <c r="AV91" s="32"/>
      <c r="AW91" s="55"/>
      <c r="AX91" s="32"/>
      <c r="AY91" s="54"/>
      <c r="AZ91" s="56" t="str">
        <f>IFERROR(VLOOKUP(June[[#This Row],[Drug Name5]],'Data Options'!$R$1:$S$100,2,FALSE), " ")</f>
        <v xml:space="preserve"> </v>
      </c>
      <c r="BA91" s="55"/>
      <c r="BB91" s="32"/>
      <c r="BC91" s="32"/>
      <c r="BD91" s="55"/>
      <c r="BE91" s="32"/>
      <c r="BF91" s="54"/>
      <c r="BG91" s="56" t="str">
        <f>IFERROR(VLOOKUP(June[[#This Row],[Drug Name6]],'Data Options'!$R$1:$S$100,2,FALSE), " ")</f>
        <v xml:space="preserve"> </v>
      </c>
      <c r="BH91" s="55"/>
      <c r="BI91" s="32"/>
      <c r="BJ91" s="32"/>
      <c r="BK91" s="55"/>
      <c r="BL91" s="32"/>
      <c r="BM91" s="32"/>
      <c r="BN91" s="32"/>
      <c r="BO91" s="32"/>
      <c r="BP91" s="32"/>
      <c r="BQ91" s="31"/>
      <c r="BR91" s="31"/>
      <c r="BS91" s="54"/>
      <c r="BT91" s="56" t="str">
        <f>IFERROR(VLOOKUP(June[[#This Row],[Drug Name7]],'Data Options'!$R$1:$S$100,2,FALSE), " ")</f>
        <v xml:space="preserve"> </v>
      </c>
      <c r="BU91" s="55"/>
      <c r="BV91" s="32"/>
      <c r="BW91" s="32"/>
      <c r="BX91" s="55"/>
      <c r="BY91" s="32"/>
      <c r="BZ91" s="54"/>
      <c r="CA91" s="56" t="str">
        <f>IFERROR(VLOOKUP(June[[#This Row],[Drug Name8]],'Data Options'!$R$1:$S$100,2,FALSE), " ")</f>
        <v xml:space="preserve"> </v>
      </c>
      <c r="CB91" s="55"/>
      <c r="CC91" s="32"/>
      <c r="CD91" s="32"/>
      <c r="CE91" s="55"/>
      <c r="CF91" s="32"/>
      <c r="CG91" s="54"/>
      <c r="CH91" s="56" t="str">
        <f>IFERROR(VLOOKUP(June[[#This Row],[Drug Name9]],'Data Options'!$R$1:$S$100,2,FALSE), " ")</f>
        <v xml:space="preserve"> </v>
      </c>
      <c r="CI91" s="55"/>
      <c r="CJ91" s="32"/>
      <c r="CK91" s="32"/>
      <c r="CL91" s="55"/>
      <c r="CM91" s="32"/>
    </row>
    <row r="92" spans="1:91">
      <c r="A92" s="5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1"/>
      <c r="Q92" s="54"/>
      <c r="R92" s="56" t="str">
        <f>IFERROR(VLOOKUP(June[[#This Row],[Drug Name]],'Data Options'!$R$1:$S$100,2,FALSE), " ")</f>
        <v xml:space="preserve"> </v>
      </c>
      <c r="S92" s="55"/>
      <c r="T92" s="32"/>
      <c r="U92" s="32"/>
      <c r="V92" s="55"/>
      <c r="W92" s="32"/>
      <c r="X92" s="54"/>
      <c r="Y92" s="56" t="str">
        <f>IFERROR(VLOOKUP(June[[#This Row],[Drug Name2]],'Data Options'!$R$1:$S$100,2,FALSE), " ")</f>
        <v xml:space="preserve"> </v>
      </c>
      <c r="Z92" s="55"/>
      <c r="AA92" s="32"/>
      <c r="AB92" s="32"/>
      <c r="AC92" s="55"/>
      <c r="AD92" s="32"/>
      <c r="AE92" s="54"/>
      <c r="AF92" s="56" t="str">
        <f>IFERROR(VLOOKUP(June[[#This Row],[Drug Name3]],'Data Options'!$R$1:$S$100,2,FALSE), " ")</f>
        <v xml:space="preserve"> </v>
      </c>
      <c r="AG92" s="55"/>
      <c r="AH92" s="32"/>
      <c r="AI92" s="32"/>
      <c r="AJ92" s="55"/>
      <c r="AK92" s="32"/>
      <c r="AL92" s="32"/>
      <c r="AM92" s="32"/>
      <c r="AN92" s="32"/>
      <c r="AO92" s="32"/>
      <c r="AP92" s="31"/>
      <c r="AQ92" s="31"/>
      <c r="AR92" s="54"/>
      <c r="AS92" s="56" t="str">
        <f>IFERROR(VLOOKUP(June[[#This Row],[Drug Name4]],'Data Options'!$R$1:$S$100,2,FALSE), " ")</f>
        <v xml:space="preserve"> </v>
      </c>
      <c r="AT92" s="55"/>
      <c r="AU92" s="32"/>
      <c r="AV92" s="32"/>
      <c r="AW92" s="55"/>
      <c r="AX92" s="32"/>
      <c r="AY92" s="54"/>
      <c r="AZ92" s="56" t="str">
        <f>IFERROR(VLOOKUP(June[[#This Row],[Drug Name5]],'Data Options'!$R$1:$S$100,2,FALSE), " ")</f>
        <v xml:space="preserve"> </v>
      </c>
      <c r="BA92" s="55"/>
      <c r="BB92" s="32"/>
      <c r="BC92" s="32"/>
      <c r="BD92" s="55"/>
      <c r="BE92" s="32"/>
      <c r="BF92" s="54"/>
      <c r="BG92" s="56" t="str">
        <f>IFERROR(VLOOKUP(June[[#This Row],[Drug Name6]],'Data Options'!$R$1:$S$100,2,FALSE), " ")</f>
        <v xml:space="preserve"> </v>
      </c>
      <c r="BH92" s="55"/>
      <c r="BI92" s="32"/>
      <c r="BJ92" s="32"/>
      <c r="BK92" s="55"/>
      <c r="BL92" s="32"/>
      <c r="BM92" s="32"/>
      <c r="BN92" s="32"/>
      <c r="BO92" s="32"/>
      <c r="BP92" s="32"/>
      <c r="BQ92" s="31"/>
      <c r="BR92" s="31"/>
      <c r="BS92" s="54"/>
      <c r="BT92" s="56" t="str">
        <f>IFERROR(VLOOKUP(June[[#This Row],[Drug Name7]],'Data Options'!$R$1:$S$100,2,FALSE), " ")</f>
        <v xml:space="preserve"> </v>
      </c>
      <c r="BU92" s="55"/>
      <c r="BV92" s="32"/>
      <c r="BW92" s="32"/>
      <c r="BX92" s="55"/>
      <c r="BY92" s="32"/>
      <c r="BZ92" s="54"/>
      <c r="CA92" s="56" t="str">
        <f>IFERROR(VLOOKUP(June[[#This Row],[Drug Name8]],'Data Options'!$R$1:$S$100,2,FALSE), " ")</f>
        <v xml:space="preserve"> </v>
      </c>
      <c r="CB92" s="55"/>
      <c r="CC92" s="32"/>
      <c r="CD92" s="32"/>
      <c r="CE92" s="55"/>
      <c r="CF92" s="32"/>
      <c r="CG92" s="54"/>
      <c r="CH92" s="56" t="str">
        <f>IFERROR(VLOOKUP(June[[#This Row],[Drug Name9]],'Data Options'!$R$1:$S$100,2,FALSE), " ")</f>
        <v xml:space="preserve"> </v>
      </c>
      <c r="CI92" s="55"/>
      <c r="CJ92" s="32"/>
      <c r="CK92" s="32"/>
      <c r="CL92" s="55"/>
      <c r="CM92" s="32"/>
    </row>
    <row r="93" spans="1:91">
      <c r="A93" s="5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1"/>
      <c r="Q93" s="54"/>
      <c r="R93" s="56" t="str">
        <f>IFERROR(VLOOKUP(June[[#This Row],[Drug Name]],'Data Options'!$R$1:$S$100,2,FALSE), " ")</f>
        <v xml:space="preserve"> </v>
      </c>
      <c r="S93" s="55"/>
      <c r="T93" s="32"/>
      <c r="U93" s="32"/>
      <c r="V93" s="55"/>
      <c r="W93" s="32"/>
      <c r="X93" s="54"/>
      <c r="Y93" s="56" t="str">
        <f>IFERROR(VLOOKUP(June[[#This Row],[Drug Name2]],'Data Options'!$R$1:$S$100,2,FALSE), " ")</f>
        <v xml:space="preserve"> </v>
      </c>
      <c r="Z93" s="55"/>
      <c r="AA93" s="32"/>
      <c r="AB93" s="32"/>
      <c r="AC93" s="55"/>
      <c r="AD93" s="32"/>
      <c r="AE93" s="54"/>
      <c r="AF93" s="56" t="str">
        <f>IFERROR(VLOOKUP(June[[#This Row],[Drug Name3]],'Data Options'!$R$1:$S$100,2,FALSE), " ")</f>
        <v xml:space="preserve"> </v>
      </c>
      <c r="AG93" s="55"/>
      <c r="AH93" s="32"/>
      <c r="AI93" s="32"/>
      <c r="AJ93" s="55"/>
      <c r="AK93" s="32"/>
      <c r="AL93" s="32"/>
      <c r="AM93" s="32"/>
      <c r="AN93" s="32"/>
      <c r="AO93" s="32"/>
      <c r="AP93" s="31"/>
      <c r="AQ93" s="31"/>
      <c r="AR93" s="54"/>
      <c r="AS93" s="56" t="str">
        <f>IFERROR(VLOOKUP(June[[#This Row],[Drug Name4]],'Data Options'!$R$1:$S$100,2,FALSE), " ")</f>
        <v xml:space="preserve"> </v>
      </c>
      <c r="AT93" s="55"/>
      <c r="AU93" s="32"/>
      <c r="AV93" s="32"/>
      <c r="AW93" s="55"/>
      <c r="AX93" s="32"/>
      <c r="AY93" s="54"/>
      <c r="AZ93" s="56" t="str">
        <f>IFERROR(VLOOKUP(June[[#This Row],[Drug Name5]],'Data Options'!$R$1:$S$100,2,FALSE), " ")</f>
        <v xml:space="preserve"> </v>
      </c>
      <c r="BA93" s="55"/>
      <c r="BB93" s="32"/>
      <c r="BC93" s="32"/>
      <c r="BD93" s="55"/>
      <c r="BE93" s="32"/>
      <c r="BF93" s="54"/>
      <c r="BG93" s="56" t="str">
        <f>IFERROR(VLOOKUP(June[[#This Row],[Drug Name6]],'Data Options'!$R$1:$S$100,2,FALSE), " ")</f>
        <v xml:space="preserve"> </v>
      </c>
      <c r="BH93" s="55"/>
      <c r="BI93" s="32"/>
      <c r="BJ93" s="32"/>
      <c r="BK93" s="55"/>
      <c r="BL93" s="32"/>
      <c r="BM93" s="32"/>
      <c r="BN93" s="32"/>
      <c r="BO93" s="32"/>
      <c r="BP93" s="32"/>
      <c r="BQ93" s="31"/>
      <c r="BR93" s="31"/>
      <c r="BS93" s="54"/>
      <c r="BT93" s="56" t="str">
        <f>IFERROR(VLOOKUP(June[[#This Row],[Drug Name7]],'Data Options'!$R$1:$S$100,2,FALSE), " ")</f>
        <v xml:space="preserve"> </v>
      </c>
      <c r="BU93" s="55"/>
      <c r="BV93" s="32"/>
      <c r="BW93" s="32"/>
      <c r="BX93" s="55"/>
      <c r="BY93" s="32"/>
      <c r="BZ93" s="54"/>
      <c r="CA93" s="56" t="str">
        <f>IFERROR(VLOOKUP(June[[#This Row],[Drug Name8]],'Data Options'!$R$1:$S$100,2,FALSE), " ")</f>
        <v xml:space="preserve"> </v>
      </c>
      <c r="CB93" s="55"/>
      <c r="CC93" s="32"/>
      <c r="CD93" s="32"/>
      <c r="CE93" s="55"/>
      <c r="CF93" s="32"/>
      <c r="CG93" s="54"/>
      <c r="CH93" s="56" t="str">
        <f>IFERROR(VLOOKUP(June[[#This Row],[Drug Name9]],'Data Options'!$R$1:$S$100,2,FALSE), " ")</f>
        <v xml:space="preserve"> </v>
      </c>
      <c r="CI93" s="55"/>
      <c r="CJ93" s="32"/>
      <c r="CK93" s="32"/>
      <c r="CL93" s="55"/>
      <c r="CM93" s="32"/>
    </row>
    <row r="94" spans="1:91">
      <c r="A94" s="5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1"/>
      <c r="Q94" s="54"/>
      <c r="R94" s="56" t="str">
        <f>IFERROR(VLOOKUP(June[[#This Row],[Drug Name]],'Data Options'!$R$1:$S$100,2,FALSE), " ")</f>
        <v xml:space="preserve"> </v>
      </c>
      <c r="S94" s="55"/>
      <c r="T94" s="32"/>
      <c r="U94" s="32"/>
      <c r="V94" s="55"/>
      <c r="W94" s="32"/>
      <c r="X94" s="54"/>
      <c r="Y94" s="56" t="str">
        <f>IFERROR(VLOOKUP(June[[#This Row],[Drug Name2]],'Data Options'!$R$1:$S$100,2,FALSE), " ")</f>
        <v xml:space="preserve"> </v>
      </c>
      <c r="Z94" s="55"/>
      <c r="AA94" s="32"/>
      <c r="AB94" s="32"/>
      <c r="AC94" s="55"/>
      <c r="AD94" s="32"/>
      <c r="AE94" s="54"/>
      <c r="AF94" s="56" t="str">
        <f>IFERROR(VLOOKUP(June[[#This Row],[Drug Name3]],'Data Options'!$R$1:$S$100,2,FALSE), " ")</f>
        <v xml:space="preserve"> </v>
      </c>
      <c r="AG94" s="55"/>
      <c r="AH94" s="32"/>
      <c r="AI94" s="32"/>
      <c r="AJ94" s="55"/>
      <c r="AK94" s="32"/>
      <c r="AL94" s="32"/>
      <c r="AM94" s="32"/>
      <c r="AN94" s="32"/>
      <c r="AO94" s="32"/>
      <c r="AP94" s="31"/>
      <c r="AQ94" s="31"/>
      <c r="AR94" s="54"/>
      <c r="AS94" s="56" t="str">
        <f>IFERROR(VLOOKUP(June[[#This Row],[Drug Name4]],'Data Options'!$R$1:$S$100,2,FALSE), " ")</f>
        <v xml:space="preserve"> </v>
      </c>
      <c r="AT94" s="55"/>
      <c r="AU94" s="32"/>
      <c r="AV94" s="32"/>
      <c r="AW94" s="55"/>
      <c r="AX94" s="32"/>
      <c r="AY94" s="54"/>
      <c r="AZ94" s="56" t="str">
        <f>IFERROR(VLOOKUP(June[[#This Row],[Drug Name5]],'Data Options'!$R$1:$S$100,2,FALSE), " ")</f>
        <v xml:space="preserve"> </v>
      </c>
      <c r="BA94" s="55"/>
      <c r="BB94" s="32"/>
      <c r="BC94" s="32"/>
      <c r="BD94" s="55"/>
      <c r="BE94" s="32"/>
      <c r="BF94" s="54"/>
      <c r="BG94" s="56" t="str">
        <f>IFERROR(VLOOKUP(June[[#This Row],[Drug Name6]],'Data Options'!$R$1:$S$100,2,FALSE), " ")</f>
        <v xml:space="preserve"> </v>
      </c>
      <c r="BH94" s="55"/>
      <c r="BI94" s="32"/>
      <c r="BJ94" s="32"/>
      <c r="BK94" s="55"/>
      <c r="BL94" s="32"/>
      <c r="BM94" s="32"/>
      <c r="BN94" s="32"/>
      <c r="BO94" s="32"/>
      <c r="BP94" s="32"/>
      <c r="BQ94" s="31"/>
      <c r="BR94" s="31"/>
      <c r="BS94" s="54"/>
      <c r="BT94" s="56" t="str">
        <f>IFERROR(VLOOKUP(June[[#This Row],[Drug Name7]],'Data Options'!$R$1:$S$100,2,FALSE), " ")</f>
        <v xml:space="preserve"> </v>
      </c>
      <c r="BU94" s="55"/>
      <c r="BV94" s="32"/>
      <c r="BW94" s="32"/>
      <c r="BX94" s="55"/>
      <c r="BY94" s="32"/>
      <c r="BZ94" s="54"/>
      <c r="CA94" s="56" t="str">
        <f>IFERROR(VLOOKUP(June[[#This Row],[Drug Name8]],'Data Options'!$R$1:$S$100,2,FALSE), " ")</f>
        <v xml:space="preserve"> </v>
      </c>
      <c r="CB94" s="55"/>
      <c r="CC94" s="32"/>
      <c r="CD94" s="32"/>
      <c r="CE94" s="55"/>
      <c r="CF94" s="32"/>
      <c r="CG94" s="54"/>
      <c r="CH94" s="56" t="str">
        <f>IFERROR(VLOOKUP(June[[#This Row],[Drug Name9]],'Data Options'!$R$1:$S$100,2,FALSE), " ")</f>
        <v xml:space="preserve"> </v>
      </c>
      <c r="CI94" s="55"/>
      <c r="CJ94" s="32"/>
      <c r="CK94" s="32"/>
      <c r="CL94" s="55"/>
      <c r="CM94" s="32"/>
    </row>
    <row r="95" spans="1:91">
      <c r="A95" s="5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1"/>
      <c r="P95" s="31"/>
      <c r="Q95" s="54"/>
      <c r="R95" s="56" t="str">
        <f>IFERROR(VLOOKUP(June[[#This Row],[Drug Name]],'Data Options'!$R$1:$S$100,2,FALSE), " ")</f>
        <v xml:space="preserve"> </v>
      </c>
      <c r="S95" s="55"/>
      <c r="T95" s="32"/>
      <c r="U95" s="32"/>
      <c r="V95" s="55"/>
      <c r="W95" s="32"/>
      <c r="X95" s="54"/>
      <c r="Y95" s="56" t="str">
        <f>IFERROR(VLOOKUP(June[[#This Row],[Drug Name2]],'Data Options'!$R$1:$S$100,2,FALSE), " ")</f>
        <v xml:space="preserve"> </v>
      </c>
      <c r="Z95" s="55"/>
      <c r="AA95" s="32"/>
      <c r="AB95" s="32"/>
      <c r="AC95" s="55"/>
      <c r="AD95" s="32"/>
      <c r="AE95" s="54"/>
      <c r="AF95" s="56" t="str">
        <f>IFERROR(VLOOKUP(June[[#This Row],[Drug Name3]],'Data Options'!$R$1:$S$100,2,FALSE), " ")</f>
        <v xml:space="preserve"> </v>
      </c>
      <c r="AG95" s="55"/>
      <c r="AH95" s="32"/>
      <c r="AI95" s="32"/>
      <c r="AJ95" s="55"/>
      <c r="AK95" s="32"/>
      <c r="AL95" s="32"/>
      <c r="AM95" s="32"/>
      <c r="AN95" s="32"/>
      <c r="AO95" s="32"/>
      <c r="AP95" s="31"/>
      <c r="AQ95" s="31"/>
      <c r="AR95" s="54"/>
      <c r="AS95" s="56" t="str">
        <f>IFERROR(VLOOKUP(June[[#This Row],[Drug Name4]],'Data Options'!$R$1:$S$100,2,FALSE), " ")</f>
        <v xml:space="preserve"> </v>
      </c>
      <c r="AT95" s="55"/>
      <c r="AU95" s="32"/>
      <c r="AV95" s="32"/>
      <c r="AW95" s="55"/>
      <c r="AX95" s="32"/>
      <c r="AY95" s="54"/>
      <c r="AZ95" s="56" t="str">
        <f>IFERROR(VLOOKUP(June[[#This Row],[Drug Name5]],'Data Options'!$R$1:$S$100,2,FALSE), " ")</f>
        <v xml:space="preserve"> </v>
      </c>
      <c r="BA95" s="55"/>
      <c r="BB95" s="32"/>
      <c r="BC95" s="32"/>
      <c r="BD95" s="55"/>
      <c r="BE95" s="32"/>
      <c r="BF95" s="54"/>
      <c r="BG95" s="56" t="str">
        <f>IFERROR(VLOOKUP(June[[#This Row],[Drug Name6]],'Data Options'!$R$1:$S$100,2,FALSE), " ")</f>
        <v xml:space="preserve"> </v>
      </c>
      <c r="BH95" s="55"/>
      <c r="BI95" s="32"/>
      <c r="BJ95" s="32"/>
      <c r="BK95" s="55"/>
      <c r="BL95" s="32"/>
      <c r="BM95" s="32"/>
      <c r="BN95" s="32"/>
      <c r="BO95" s="32"/>
      <c r="BP95" s="32"/>
      <c r="BQ95" s="31"/>
      <c r="BR95" s="31"/>
      <c r="BS95" s="54"/>
      <c r="BT95" s="56" t="str">
        <f>IFERROR(VLOOKUP(June[[#This Row],[Drug Name7]],'Data Options'!$R$1:$S$100,2,FALSE), " ")</f>
        <v xml:space="preserve"> </v>
      </c>
      <c r="BU95" s="55"/>
      <c r="BV95" s="32"/>
      <c r="BW95" s="32"/>
      <c r="BX95" s="55"/>
      <c r="BY95" s="32"/>
      <c r="BZ95" s="54"/>
      <c r="CA95" s="56" t="str">
        <f>IFERROR(VLOOKUP(June[[#This Row],[Drug Name8]],'Data Options'!$R$1:$S$100,2,FALSE), " ")</f>
        <v xml:space="preserve"> </v>
      </c>
      <c r="CB95" s="55"/>
      <c r="CC95" s="32"/>
      <c r="CD95" s="32"/>
      <c r="CE95" s="55"/>
      <c r="CF95" s="32"/>
      <c r="CG95" s="54"/>
      <c r="CH95" s="56" t="str">
        <f>IFERROR(VLOOKUP(June[[#This Row],[Drug Name9]],'Data Options'!$R$1:$S$100,2,FALSE), " ")</f>
        <v xml:space="preserve"> </v>
      </c>
      <c r="CI95" s="55"/>
      <c r="CJ95" s="32"/>
      <c r="CK95" s="32"/>
      <c r="CL95" s="55"/>
      <c r="CM95" s="32"/>
    </row>
    <row r="96" spans="1:91">
      <c r="A96" s="5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1"/>
      <c r="P96" s="31"/>
      <c r="Q96" s="54"/>
      <c r="R96" s="56" t="str">
        <f>IFERROR(VLOOKUP(June[[#This Row],[Drug Name]],'Data Options'!$R$1:$S$100,2,FALSE), " ")</f>
        <v xml:space="preserve"> </v>
      </c>
      <c r="S96" s="55"/>
      <c r="T96" s="32"/>
      <c r="U96" s="32"/>
      <c r="V96" s="55"/>
      <c r="W96" s="32"/>
      <c r="X96" s="54"/>
      <c r="Y96" s="56" t="str">
        <f>IFERROR(VLOOKUP(June[[#This Row],[Drug Name2]],'Data Options'!$R$1:$S$100,2,FALSE), " ")</f>
        <v xml:space="preserve"> </v>
      </c>
      <c r="Z96" s="55"/>
      <c r="AA96" s="32"/>
      <c r="AB96" s="32"/>
      <c r="AC96" s="55"/>
      <c r="AD96" s="32"/>
      <c r="AE96" s="54"/>
      <c r="AF96" s="56" t="str">
        <f>IFERROR(VLOOKUP(June[[#This Row],[Drug Name3]],'Data Options'!$R$1:$S$100,2,FALSE), " ")</f>
        <v xml:space="preserve"> </v>
      </c>
      <c r="AG96" s="55"/>
      <c r="AH96" s="32"/>
      <c r="AI96" s="32"/>
      <c r="AJ96" s="55"/>
      <c r="AK96" s="32"/>
      <c r="AL96" s="32"/>
      <c r="AM96" s="32"/>
      <c r="AN96" s="32"/>
      <c r="AO96" s="32"/>
      <c r="AP96" s="31"/>
      <c r="AQ96" s="31"/>
      <c r="AR96" s="54"/>
      <c r="AS96" s="56" t="str">
        <f>IFERROR(VLOOKUP(June[[#This Row],[Drug Name4]],'Data Options'!$R$1:$S$100,2,FALSE), " ")</f>
        <v xml:space="preserve"> </v>
      </c>
      <c r="AT96" s="55"/>
      <c r="AU96" s="32"/>
      <c r="AV96" s="32"/>
      <c r="AW96" s="55"/>
      <c r="AX96" s="32"/>
      <c r="AY96" s="54"/>
      <c r="AZ96" s="56" t="str">
        <f>IFERROR(VLOOKUP(June[[#This Row],[Drug Name5]],'Data Options'!$R$1:$S$100,2,FALSE), " ")</f>
        <v xml:space="preserve"> </v>
      </c>
      <c r="BA96" s="55"/>
      <c r="BB96" s="32"/>
      <c r="BC96" s="32"/>
      <c r="BD96" s="55"/>
      <c r="BE96" s="32"/>
      <c r="BF96" s="54"/>
      <c r="BG96" s="56" t="str">
        <f>IFERROR(VLOOKUP(June[[#This Row],[Drug Name6]],'Data Options'!$R$1:$S$100,2,FALSE), " ")</f>
        <v xml:space="preserve"> </v>
      </c>
      <c r="BH96" s="55"/>
      <c r="BI96" s="32"/>
      <c r="BJ96" s="32"/>
      <c r="BK96" s="55"/>
      <c r="BL96" s="32"/>
      <c r="BM96" s="32"/>
      <c r="BN96" s="32"/>
      <c r="BO96" s="32"/>
      <c r="BP96" s="32"/>
      <c r="BQ96" s="31"/>
      <c r="BR96" s="31"/>
      <c r="BS96" s="54"/>
      <c r="BT96" s="56" t="str">
        <f>IFERROR(VLOOKUP(June[[#This Row],[Drug Name7]],'Data Options'!$R$1:$S$100,2,FALSE), " ")</f>
        <v xml:space="preserve"> </v>
      </c>
      <c r="BU96" s="55"/>
      <c r="BV96" s="32"/>
      <c r="BW96" s="32"/>
      <c r="BX96" s="55"/>
      <c r="BY96" s="32"/>
      <c r="BZ96" s="54"/>
      <c r="CA96" s="56" t="str">
        <f>IFERROR(VLOOKUP(June[[#This Row],[Drug Name8]],'Data Options'!$R$1:$S$100,2,FALSE), " ")</f>
        <v xml:space="preserve"> </v>
      </c>
      <c r="CB96" s="55"/>
      <c r="CC96" s="32"/>
      <c r="CD96" s="32"/>
      <c r="CE96" s="55"/>
      <c r="CF96" s="32"/>
      <c r="CG96" s="54"/>
      <c r="CH96" s="56" t="str">
        <f>IFERROR(VLOOKUP(June[[#This Row],[Drug Name9]],'Data Options'!$R$1:$S$100,2,FALSE), " ")</f>
        <v xml:space="preserve"> </v>
      </c>
      <c r="CI96" s="55"/>
      <c r="CJ96" s="32"/>
      <c r="CK96" s="32"/>
      <c r="CL96" s="55"/>
      <c r="CM96" s="32"/>
    </row>
    <row r="97" spans="1:91">
      <c r="A97" s="5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1"/>
      <c r="P97" s="31"/>
      <c r="Q97" s="54"/>
      <c r="R97" s="56" t="str">
        <f>IFERROR(VLOOKUP(June[[#This Row],[Drug Name]],'Data Options'!$R$1:$S$100,2,FALSE), " ")</f>
        <v xml:space="preserve"> </v>
      </c>
      <c r="S97" s="55"/>
      <c r="T97" s="32"/>
      <c r="U97" s="32"/>
      <c r="V97" s="55"/>
      <c r="W97" s="32"/>
      <c r="X97" s="54"/>
      <c r="Y97" s="56" t="str">
        <f>IFERROR(VLOOKUP(June[[#This Row],[Drug Name2]],'Data Options'!$R$1:$S$100,2,FALSE), " ")</f>
        <v xml:space="preserve"> </v>
      </c>
      <c r="Z97" s="55"/>
      <c r="AA97" s="32"/>
      <c r="AB97" s="32"/>
      <c r="AC97" s="55"/>
      <c r="AD97" s="32"/>
      <c r="AE97" s="54"/>
      <c r="AF97" s="56" t="str">
        <f>IFERROR(VLOOKUP(June[[#This Row],[Drug Name3]],'Data Options'!$R$1:$S$100,2,FALSE), " ")</f>
        <v xml:space="preserve"> </v>
      </c>
      <c r="AG97" s="55"/>
      <c r="AH97" s="32"/>
      <c r="AI97" s="32"/>
      <c r="AJ97" s="55"/>
      <c r="AK97" s="32"/>
      <c r="AL97" s="32"/>
      <c r="AM97" s="32"/>
      <c r="AN97" s="32"/>
      <c r="AO97" s="32"/>
      <c r="AP97" s="31"/>
      <c r="AQ97" s="31"/>
      <c r="AR97" s="54"/>
      <c r="AS97" s="56" t="str">
        <f>IFERROR(VLOOKUP(June[[#This Row],[Drug Name4]],'Data Options'!$R$1:$S$100,2,FALSE), " ")</f>
        <v xml:space="preserve"> </v>
      </c>
      <c r="AT97" s="55"/>
      <c r="AU97" s="32"/>
      <c r="AV97" s="32"/>
      <c r="AW97" s="55"/>
      <c r="AX97" s="32"/>
      <c r="AY97" s="54"/>
      <c r="AZ97" s="56" t="str">
        <f>IFERROR(VLOOKUP(June[[#This Row],[Drug Name5]],'Data Options'!$R$1:$S$100,2,FALSE), " ")</f>
        <v xml:space="preserve"> </v>
      </c>
      <c r="BA97" s="55"/>
      <c r="BB97" s="32"/>
      <c r="BC97" s="32"/>
      <c r="BD97" s="55"/>
      <c r="BE97" s="32"/>
      <c r="BF97" s="54"/>
      <c r="BG97" s="56" t="str">
        <f>IFERROR(VLOOKUP(June[[#This Row],[Drug Name6]],'Data Options'!$R$1:$S$100,2,FALSE), " ")</f>
        <v xml:space="preserve"> </v>
      </c>
      <c r="BH97" s="55"/>
      <c r="BI97" s="32"/>
      <c r="BJ97" s="32"/>
      <c r="BK97" s="55"/>
      <c r="BL97" s="32"/>
      <c r="BM97" s="32"/>
      <c r="BN97" s="32"/>
      <c r="BO97" s="32"/>
      <c r="BP97" s="32"/>
      <c r="BQ97" s="31"/>
      <c r="BR97" s="31"/>
      <c r="BS97" s="54"/>
      <c r="BT97" s="56" t="str">
        <f>IFERROR(VLOOKUP(June[[#This Row],[Drug Name7]],'Data Options'!$R$1:$S$100,2,FALSE), " ")</f>
        <v xml:space="preserve"> </v>
      </c>
      <c r="BU97" s="55"/>
      <c r="BV97" s="32"/>
      <c r="BW97" s="32"/>
      <c r="BX97" s="55"/>
      <c r="BY97" s="32"/>
      <c r="BZ97" s="54"/>
      <c r="CA97" s="56" t="str">
        <f>IFERROR(VLOOKUP(June[[#This Row],[Drug Name8]],'Data Options'!$R$1:$S$100,2,FALSE), " ")</f>
        <v xml:space="preserve"> </v>
      </c>
      <c r="CB97" s="55"/>
      <c r="CC97" s="32"/>
      <c r="CD97" s="32"/>
      <c r="CE97" s="55"/>
      <c r="CF97" s="32"/>
      <c r="CG97" s="54"/>
      <c r="CH97" s="56" t="str">
        <f>IFERROR(VLOOKUP(June[[#This Row],[Drug Name9]],'Data Options'!$R$1:$S$100,2,FALSE), " ")</f>
        <v xml:space="preserve"> </v>
      </c>
      <c r="CI97" s="55"/>
      <c r="CJ97" s="32"/>
      <c r="CK97" s="32"/>
      <c r="CL97" s="55"/>
      <c r="CM97" s="32"/>
    </row>
    <row r="98" spans="1:91">
      <c r="A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1"/>
      <c r="P98" s="31"/>
      <c r="Q98" s="54"/>
      <c r="R98" s="56" t="str">
        <f>IFERROR(VLOOKUP(June[[#This Row],[Drug Name]],'Data Options'!$R$1:$S$100,2,FALSE), " ")</f>
        <v xml:space="preserve"> </v>
      </c>
      <c r="S98" s="55"/>
      <c r="T98" s="32"/>
      <c r="U98" s="32"/>
      <c r="V98" s="55"/>
      <c r="W98" s="32"/>
      <c r="X98" s="54"/>
      <c r="Y98" s="56" t="str">
        <f>IFERROR(VLOOKUP(June[[#This Row],[Drug Name2]],'Data Options'!$R$1:$S$100,2,FALSE), " ")</f>
        <v xml:space="preserve"> </v>
      </c>
      <c r="Z98" s="55"/>
      <c r="AA98" s="32"/>
      <c r="AB98" s="32"/>
      <c r="AC98" s="55"/>
      <c r="AD98" s="32"/>
      <c r="AE98" s="54"/>
      <c r="AF98" s="56" t="str">
        <f>IFERROR(VLOOKUP(June[[#This Row],[Drug Name3]],'Data Options'!$R$1:$S$100,2,FALSE), " ")</f>
        <v xml:space="preserve"> </v>
      </c>
      <c r="AG98" s="55"/>
      <c r="AH98" s="32"/>
      <c r="AI98" s="32"/>
      <c r="AJ98" s="55"/>
      <c r="AK98" s="32"/>
      <c r="AL98" s="32"/>
      <c r="AM98" s="32"/>
      <c r="AN98" s="32"/>
      <c r="AO98" s="32"/>
      <c r="AP98" s="31"/>
      <c r="AQ98" s="31"/>
      <c r="AR98" s="54"/>
      <c r="AS98" s="56" t="str">
        <f>IFERROR(VLOOKUP(June[[#This Row],[Drug Name4]],'Data Options'!$R$1:$S$100,2,FALSE), " ")</f>
        <v xml:space="preserve"> </v>
      </c>
      <c r="AT98" s="55"/>
      <c r="AU98" s="32"/>
      <c r="AV98" s="32"/>
      <c r="AW98" s="55"/>
      <c r="AX98" s="32"/>
      <c r="AY98" s="54"/>
      <c r="AZ98" s="56" t="str">
        <f>IFERROR(VLOOKUP(June[[#This Row],[Drug Name5]],'Data Options'!$R$1:$S$100,2,FALSE), " ")</f>
        <v xml:space="preserve"> </v>
      </c>
      <c r="BA98" s="55"/>
      <c r="BB98" s="32"/>
      <c r="BC98" s="32"/>
      <c r="BD98" s="55"/>
      <c r="BE98" s="32"/>
      <c r="BF98" s="54"/>
      <c r="BG98" s="56" t="str">
        <f>IFERROR(VLOOKUP(June[[#This Row],[Drug Name6]],'Data Options'!$R$1:$S$100,2,FALSE), " ")</f>
        <v xml:space="preserve"> </v>
      </c>
      <c r="BH98" s="55"/>
      <c r="BI98" s="32"/>
      <c r="BJ98" s="32"/>
      <c r="BK98" s="55"/>
      <c r="BL98" s="32"/>
      <c r="BM98" s="32"/>
      <c r="BN98" s="32"/>
      <c r="BO98" s="32"/>
      <c r="BP98" s="32"/>
      <c r="BQ98" s="31"/>
      <c r="BR98" s="31"/>
      <c r="BS98" s="54"/>
      <c r="BT98" s="56" t="str">
        <f>IFERROR(VLOOKUP(June[[#This Row],[Drug Name7]],'Data Options'!$R$1:$S$100,2,FALSE), " ")</f>
        <v xml:space="preserve"> </v>
      </c>
      <c r="BU98" s="55"/>
      <c r="BV98" s="32"/>
      <c r="BW98" s="32"/>
      <c r="BX98" s="55"/>
      <c r="BY98" s="32"/>
      <c r="BZ98" s="54"/>
      <c r="CA98" s="56" t="str">
        <f>IFERROR(VLOOKUP(June[[#This Row],[Drug Name8]],'Data Options'!$R$1:$S$100,2,FALSE), " ")</f>
        <v xml:space="preserve"> </v>
      </c>
      <c r="CB98" s="55"/>
      <c r="CC98" s="32"/>
      <c r="CD98" s="32"/>
      <c r="CE98" s="55"/>
      <c r="CF98" s="32"/>
      <c r="CG98" s="54"/>
      <c r="CH98" s="56" t="str">
        <f>IFERROR(VLOOKUP(June[[#This Row],[Drug Name9]],'Data Options'!$R$1:$S$100,2,FALSE), " ")</f>
        <v xml:space="preserve"> </v>
      </c>
      <c r="CI98" s="55"/>
      <c r="CJ98" s="32"/>
      <c r="CK98" s="32"/>
      <c r="CL98" s="55"/>
      <c r="CM98" s="32"/>
    </row>
    <row r="99" spans="1:91">
      <c r="A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1"/>
      <c r="P99" s="31"/>
      <c r="Q99" s="54"/>
      <c r="R99" s="56" t="str">
        <f>IFERROR(VLOOKUP(June[[#This Row],[Drug Name]],'Data Options'!$R$1:$S$100,2,FALSE), " ")</f>
        <v xml:space="preserve"> </v>
      </c>
      <c r="S99" s="55"/>
      <c r="T99" s="32"/>
      <c r="U99" s="32"/>
      <c r="V99" s="55"/>
      <c r="W99" s="32"/>
      <c r="X99" s="54"/>
      <c r="Y99" s="56" t="str">
        <f>IFERROR(VLOOKUP(June[[#This Row],[Drug Name2]],'Data Options'!$R$1:$S$100,2,FALSE), " ")</f>
        <v xml:space="preserve"> </v>
      </c>
      <c r="Z99" s="55"/>
      <c r="AA99" s="32"/>
      <c r="AB99" s="32"/>
      <c r="AC99" s="55"/>
      <c r="AD99" s="32"/>
      <c r="AE99" s="54"/>
      <c r="AF99" s="56" t="str">
        <f>IFERROR(VLOOKUP(June[[#This Row],[Drug Name3]],'Data Options'!$R$1:$S$100,2,FALSE), " ")</f>
        <v xml:space="preserve"> </v>
      </c>
      <c r="AG99" s="55"/>
      <c r="AH99" s="32"/>
      <c r="AI99" s="32"/>
      <c r="AJ99" s="55"/>
      <c r="AK99" s="32"/>
      <c r="AL99" s="32"/>
      <c r="AM99" s="32"/>
      <c r="AN99" s="32"/>
      <c r="AO99" s="32"/>
      <c r="AP99" s="31"/>
      <c r="AQ99" s="31"/>
      <c r="AR99" s="54"/>
      <c r="AS99" s="56" t="str">
        <f>IFERROR(VLOOKUP(June[[#This Row],[Drug Name4]],'Data Options'!$R$1:$S$100,2,FALSE), " ")</f>
        <v xml:space="preserve"> </v>
      </c>
      <c r="AT99" s="55"/>
      <c r="AU99" s="32"/>
      <c r="AV99" s="32"/>
      <c r="AW99" s="55"/>
      <c r="AX99" s="32"/>
      <c r="AY99" s="54"/>
      <c r="AZ99" s="56" t="str">
        <f>IFERROR(VLOOKUP(June[[#This Row],[Drug Name5]],'Data Options'!$R$1:$S$100,2,FALSE), " ")</f>
        <v xml:space="preserve"> </v>
      </c>
      <c r="BA99" s="55"/>
      <c r="BB99" s="32"/>
      <c r="BC99" s="32"/>
      <c r="BD99" s="55"/>
      <c r="BE99" s="32"/>
      <c r="BF99" s="54"/>
      <c r="BG99" s="56" t="str">
        <f>IFERROR(VLOOKUP(June[[#This Row],[Drug Name6]],'Data Options'!$R$1:$S$100,2,FALSE), " ")</f>
        <v xml:space="preserve"> </v>
      </c>
      <c r="BH99" s="55"/>
      <c r="BI99" s="32"/>
      <c r="BJ99" s="32"/>
      <c r="BK99" s="55"/>
      <c r="BL99" s="32"/>
      <c r="BM99" s="32"/>
      <c r="BN99" s="32"/>
      <c r="BO99" s="32"/>
      <c r="BP99" s="32"/>
      <c r="BQ99" s="31"/>
      <c r="BR99" s="31"/>
      <c r="BS99" s="54"/>
      <c r="BT99" s="56" t="str">
        <f>IFERROR(VLOOKUP(June[[#This Row],[Drug Name7]],'Data Options'!$R$1:$S$100,2,FALSE), " ")</f>
        <v xml:space="preserve"> </v>
      </c>
      <c r="BU99" s="55"/>
      <c r="BV99" s="32"/>
      <c r="BW99" s="32"/>
      <c r="BX99" s="55"/>
      <c r="BY99" s="32"/>
      <c r="BZ99" s="54"/>
      <c r="CA99" s="56" t="str">
        <f>IFERROR(VLOOKUP(June[[#This Row],[Drug Name8]],'Data Options'!$R$1:$S$100,2,FALSE), " ")</f>
        <v xml:space="preserve"> </v>
      </c>
      <c r="CB99" s="55"/>
      <c r="CC99" s="32"/>
      <c r="CD99" s="32"/>
      <c r="CE99" s="55"/>
      <c r="CF99" s="32"/>
      <c r="CG99" s="54"/>
      <c r="CH99" s="56" t="str">
        <f>IFERROR(VLOOKUP(June[[#This Row],[Drug Name9]],'Data Options'!$R$1:$S$100,2,FALSE), " ")</f>
        <v xml:space="preserve"> </v>
      </c>
      <c r="CI99" s="55"/>
      <c r="CJ99" s="32"/>
      <c r="CK99" s="32"/>
      <c r="CL99" s="55"/>
      <c r="CM99" s="32"/>
    </row>
    <row r="100" spans="1:91">
      <c r="A100" s="5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1"/>
      <c r="P100" s="31"/>
      <c r="Q100" s="54"/>
      <c r="R100" s="56" t="str">
        <f>IFERROR(VLOOKUP(June[[#This Row],[Drug Name]],'Data Options'!$R$1:$S$100,2,FALSE), " ")</f>
        <v xml:space="preserve"> </v>
      </c>
      <c r="S100" s="55"/>
      <c r="T100" s="32"/>
      <c r="U100" s="32"/>
      <c r="V100" s="55"/>
      <c r="W100" s="32"/>
      <c r="X100" s="54"/>
      <c r="Y100" s="56" t="str">
        <f>IFERROR(VLOOKUP(June[[#This Row],[Drug Name2]],'Data Options'!$R$1:$S$100,2,FALSE), " ")</f>
        <v xml:space="preserve"> </v>
      </c>
      <c r="Z100" s="55"/>
      <c r="AA100" s="32"/>
      <c r="AB100" s="32"/>
      <c r="AC100" s="55"/>
      <c r="AD100" s="32"/>
      <c r="AE100" s="54"/>
      <c r="AF100" s="56" t="str">
        <f>IFERROR(VLOOKUP(June[[#This Row],[Drug Name3]],'Data Options'!$R$1:$S$100,2,FALSE), " ")</f>
        <v xml:space="preserve"> </v>
      </c>
      <c r="AG100" s="55"/>
      <c r="AH100" s="32"/>
      <c r="AI100" s="32"/>
      <c r="AJ100" s="55"/>
      <c r="AK100" s="32"/>
      <c r="AL100" s="32"/>
      <c r="AM100" s="32"/>
      <c r="AN100" s="32"/>
      <c r="AO100" s="32"/>
      <c r="AP100" s="31"/>
      <c r="AQ100" s="31"/>
      <c r="AR100" s="54"/>
      <c r="AS100" s="56" t="str">
        <f>IFERROR(VLOOKUP(June[[#This Row],[Drug Name4]],'Data Options'!$R$1:$S$100,2,FALSE), " ")</f>
        <v xml:space="preserve"> </v>
      </c>
      <c r="AT100" s="55"/>
      <c r="AU100" s="32"/>
      <c r="AV100" s="32"/>
      <c r="AW100" s="55"/>
      <c r="AX100" s="32"/>
      <c r="AY100" s="54"/>
      <c r="AZ100" s="56" t="str">
        <f>IFERROR(VLOOKUP(June[[#This Row],[Drug Name5]],'Data Options'!$R$1:$S$100,2,FALSE), " ")</f>
        <v xml:space="preserve"> </v>
      </c>
      <c r="BA100" s="55"/>
      <c r="BB100" s="32"/>
      <c r="BC100" s="32"/>
      <c r="BD100" s="55"/>
      <c r="BE100" s="32"/>
      <c r="BF100" s="54"/>
      <c r="BG100" s="56" t="str">
        <f>IFERROR(VLOOKUP(June[[#This Row],[Drug Name6]],'Data Options'!$R$1:$S$100,2,FALSE), " ")</f>
        <v xml:space="preserve"> </v>
      </c>
      <c r="BH100" s="55"/>
      <c r="BI100" s="32"/>
      <c r="BJ100" s="32"/>
      <c r="BK100" s="55"/>
      <c r="BL100" s="32"/>
      <c r="BM100" s="32"/>
      <c r="BN100" s="32"/>
      <c r="BO100" s="32"/>
      <c r="BP100" s="32"/>
      <c r="BQ100" s="31"/>
      <c r="BR100" s="31"/>
      <c r="BS100" s="54"/>
      <c r="BT100" s="56" t="str">
        <f>IFERROR(VLOOKUP(June[[#This Row],[Drug Name7]],'Data Options'!$R$1:$S$100,2,FALSE), " ")</f>
        <v xml:space="preserve"> </v>
      </c>
      <c r="BU100" s="55"/>
      <c r="BV100" s="32"/>
      <c r="BW100" s="32"/>
      <c r="BX100" s="55"/>
      <c r="BY100" s="32"/>
      <c r="BZ100" s="54"/>
      <c r="CA100" s="56" t="str">
        <f>IFERROR(VLOOKUP(June[[#This Row],[Drug Name8]],'Data Options'!$R$1:$S$100,2,FALSE), " ")</f>
        <v xml:space="preserve"> </v>
      </c>
      <c r="CB100" s="55"/>
      <c r="CC100" s="32"/>
      <c r="CD100" s="32"/>
      <c r="CE100" s="55"/>
      <c r="CF100" s="32"/>
      <c r="CG100" s="54"/>
      <c r="CH100" s="56" t="str">
        <f>IFERROR(VLOOKUP(June[[#This Row],[Drug Name9]],'Data Options'!$R$1:$S$100,2,FALSE), " ")</f>
        <v xml:space="preserve"> </v>
      </c>
      <c r="CI100" s="55"/>
      <c r="CJ100" s="32"/>
      <c r="CK100" s="32"/>
      <c r="CL100" s="55"/>
      <c r="CM100" s="32"/>
    </row>
    <row r="101" spans="1:91">
      <c r="A101" s="5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1"/>
      <c r="P101" s="31"/>
      <c r="Q101" s="54"/>
      <c r="R101" s="56" t="str">
        <f>IFERROR(VLOOKUP(June[[#This Row],[Drug Name]],'Data Options'!$R$1:$S$100,2,FALSE), " ")</f>
        <v xml:space="preserve"> </v>
      </c>
      <c r="S101" s="55"/>
      <c r="T101" s="32"/>
      <c r="U101" s="32"/>
      <c r="V101" s="55"/>
      <c r="W101" s="32"/>
      <c r="X101" s="54"/>
      <c r="Y101" s="56" t="str">
        <f>IFERROR(VLOOKUP(June[[#This Row],[Drug Name2]],'Data Options'!$R$1:$S$100,2,FALSE), " ")</f>
        <v xml:space="preserve"> </v>
      </c>
      <c r="Z101" s="55"/>
      <c r="AA101" s="32"/>
      <c r="AB101" s="32"/>
      <c r="AC101" s="55"/>
      <c r="AD101" s="32"/>
      <c r="AE101" s="54"/>
      <c r="AF101" s="56" t="str">
        <f>IFERROR(VLOOKUP(June[[#This Row],[Drug Name3]],'Data Options'!$R$1:$S$100,2,FALSE), " ")</f>
        <v xml:space="preserve"> </v>
      </c>
      <c r="AG101" s="55"/>
      <c r="AH101" s="32"/>
      <c r="AI101" s="32"/>
      <c r="AJ101" s="55"/>
      <c r="AK101" s="32"/>
      <c r="AL101" s="32"/>
      <c r="AM101" s="32"/>
      <c r="AN101" s="32"/>
      <c r="AO101" s="32"/>
      <c r="AP101" s="31"/>
      <c r="AQ101" s="31"/>
      <c r="AR101" s="54"/>
      <c r="AS101" s="56" t="str">
        <f>IFERROR(VLOOKUP(June[[#This Row],[Drug Name4]],'Data Options'!$R$1:$S$100,2,FALSE), " ")</f>
        <v xml:space="preserve"> </v>
      </c>
      <c r="AT101" s="55"/>
      <c r="AU101" s="32"/>
      <c r="AV101" s="32"/>
      <c r="AW101" s="55"/>
      <c r="AX101" s="32"/>
      <c r="AY101" s="54"/>
      <c r="AZ101" s="56" t="str">
        <f>IFERROR(VLOOKUP(June[[#This Row],[Drug Name5]],'Data Options'!$R$1:$S$100,2,FALSE), " ")</f>
        <v xml:space="preserve"> </v>
      </c>
      <c r="BA101" s="55"/>
      <c r="BB101" s="32"/>
      <c r="BC101" s="32"/>
      <c r="BD101" s="55"/>
      <c r="BE101" s="32"/>
      <c r="BF101" s="54"/>
      <c r="BG101" s="56" t="str">
        <f>IFERROR(VLOOKUP(June[[#This Row],[Drug Name6]],'Data Options'!$R$1:$S$100,2,FALSE), " ")</f>
        <v xml:space="preserve"> </v>
      </c>
      <c r="BH101" s="55"/>
      <c r="BI101" s="32"/>
      <c r="BJ101" s="32"/>
      <c r="BK101" s="55"/>
      <c r="BL101" s="32"/>
      <c r="BM101" s="32"/>
      <c r="BN101" s="32"/>
      <c r="BO101" s="32"/>
      <c r="BP101" s="32"/>
      <c r="BQ101" s="31"/>
      <c r="BR101" s="31"/>
      <c r="BS101" s="54"/>
      <c r="BT101" s="56" t="str">
        <f>IFERROR(VLOOKUP(June[[#This Row],[Drug Name7]],'Data Options'!$R$1:$S$100,2,FALSE), " ")</f>
        <v xml:space="preserve"> </v>
      </c>
      <c r="BU101" s="55"/>
      <c r="BV101" s="32"/>
      <c r="BW101" s="32"/>
      <c r="BX101" s="55"/>
      <c r="BY101" s="32"/>
      <c r="BZ101" s="54"/>
      <c r="CA101" s="56" t="str">
        <f>IFERROR(VLOOKUP(June[[#This Row],[Drug Name8]],'Data Options'!$R$1:$S$100,2,FALSE), " ")</f>
        <v xml:space="preserve"> </v>
      </c>
      <c r="CB101" s="55"/>
      <c r="CC101" s="32"/>
      <c r="CD101" s="32"/>
      <c r="CE101" s="55"/>
      <c r="CF101" s="32"/>
      <c r="CG101" s="54"/>
      <c r="CH101" s="56" t="str">
        <f>IFERROR(VLOOKUP(June[[#This Row],[Drug Name9]],'Data Options'!$R$1:$S$100,2,FALSE), " ")</f>
        <v xml:space="preserve"> </v>
      </c>
      <c r="CI101" s="55"/>
      <c r="CJ101" s="32"/>
      <c r="CK101" s="32"/>
      <c r="CL101" s="55"/>
      <c r="CM101" s="32"/>
    </row>
    <row r="102" spans="1:91">
      <c r="A102" s="5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1"/>
      <c r="P102" s="31"/>
      <c r="Q102" s="54"/>
      <c r="R102" s="56" t="str">
        <f>IFERROR(VLOOKUP(June[[#This Row],[Drug Name]],'Data Options'!$R$1:$S$100,2,FALSE), " ")</f>
        <v xml:space="preserve"> </v>
      </c>
      <c r="S102" s="55"/>
      <c r="T102" s="32"/>
      <c r="U102" s="32"/>
      <c r="V102" s="55"/>
      <c r="W102" s="32"/>
      <c r="X102" s="54"/>
      <c r="Y102" s="56" t="str">
        <f>IFERROR(VLOOKUP(June[[#This Row],[Drug Name2]],'Data Options'!$R$1:$S$100,2,FALSE), " ")</f>
        <v xml:space="preserve"> </v>
      </c>
      <c r="Z102" s="55"/>
      <c r="AA102" s="32"/>
      <c r="AB102" s="32"/>
      <c r="AC102" s="55"/>
      <c r="AD102" s="32"/>
      <c r="AE102" s="54"/>
      <c r="AF102" s="56" t="str">
        <f>IFERROR(VLOOKUP(June[[#This Row],[Drug Name3]],'Data Options'!$R$1:$S$100,2,FALSE), " ")</f>
        <v xml:space="preserve"> </v>
      </c>
      <c r="AG102" s="55"/>
      <c r="AH102" s="32"/>
      <c r="AI102" s="32"/>
      <c r="AJ102" s="55"/>
      <c r="AK102" s="32"/>
      <c r="AL102" s="32"/>
      <c r="AM102" s="32"/>
      <c r="AN102" s="32"/>
      <c r="AO102" s="32"/>
      <c r="AP102" s="31"/>
      <c r="AQ102" s="31"/>
      <c r="AR102" s="54"/>
      <c r="AS102" s="56" t="str">
        <f>IFERROR(VLOOKUP(June[[#This Row],[Drug Name4]],'Data Options'!$R$1:$S$100,2,FALSE), " ")</f>
        <v xml:space="preserve"> </v>
      </c>
      <c r="AT102" s="55"/>
      <c r="AU102" s="32"/>
      <c r="AV102" s="32"/>
      <c r="AW102" s="55"/>
      <c r="AX102" s="32"/>
      <c r="AY102" s="54"/>
      <c r="AZ102" s="56" t="str">
        <f>IFERROR(VLOOKUP(June[[#This Row],[Drug Name5]],'Data Options'!$R$1:$S$100,2,FALSE), " ")</f>
        <v xml:space="preserve"> </v>
      </c>
      <c r="BA102" s="55"/>
      <c r="BB102" s="32"/>
      <c r="BC102" s="32"/>
      <c r="BD102" s="55"/>
      <c r="BE102" s="32"/>
      <c r="BF102" s="54"/>
      <c r="BG102" s="56" t="str">
        <f>IFERROR(VLOOKUP(June[[#This Row],[Drug Name6]],'Data Options'!$R$1:$S$100,2,FALSE), " ")</f>
        <v xml:space="preserve"> </v>
      </c>
      <c r="BH102" s="55"/>
      <c r="BI102" s="32"/>
      <c r="BJ102" s="32"/>
      <c r="BK102" s="55"/>
      <c r="BL102" s="32"/>
      <c r="BM102" s="32"/>
      <c r="BN102" s="32"/>
      <c r="BO102" s="32"/>
      <c r="BP102" s="32"/>
      <c r="BQ102" s="31"/>
      <c r="BR102" s="31"/>
      <c r="BS102" s="54"/>
      <c r="BT102" s="56" t="str">
        <f>IFERROR(VLOOKUP(June[[#This Row],[Drug Name7]],'Data Options'!$R$1:$S$100,2,FALSE), " ")</f>
        <v xml:space="preserve"> </v>
      </c>
      <c r="BU102" s="55"/>
      <c r="BV102" s="32"/>
      <c r="BW102" s="32"/>
      <c r="BX102" s="55"/>
      <c r="BY102" s="32"/>
      <c r="BZ102" s="54"/>
      <c r="CA102" s="56" t="str">
        <f>IFERROR(VLOOKUP(June[[#This Row],[Drug Name8]],'Data Options'!$R$1:$S$100,2,FALSE), " ")</f>
        <v xml:space="preserve"> </v>
      </c>
      <c r="CB102" s="55"/>
      <c r="CC102" s="32"/>
      <c r="CD102" s="32"/>
      <c r="CE102" s="55"/>
      <c r="CF102" s="32"/>
      <c r="CG102" s="54"/>
      <c r="CH102" s="56" t="str">
        <f>IFERROR(VLOOKUP(June[[#This Row],[Drug Name9]],'Data Options'!$R$1:$S$100,2,FALSE), " ")</f>
        <v xml:space="preserve"> </v>
      </c>
      <c r="CI102" s="55"/>
      <c r="CJ102" s="32"/>
      <c r="CK102" s="32"/>
      <c r="CL102" s="55"/>
      <c r="CM102" s="32"/>
    </row>
    <row r="103" spans="1:91">
      <c r="A103" s="5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1"/>
      <c r="Q103" s="54"/>
      <c r="R103" s="56" t="str">
        <f>IFERROR(VLOOKUP(June[[#This Row],[Drug Name]],'Data Options'!$R$1:$S$100,2,FALSE), " ")</f>
        <v xml:space="preserve"> </v>
      </c>
      <c r="S103" s="55"/>
      <c r="T103" s="32"/>
      <c r="U103" s="32"/>
      <c r="V103" s="55"/>
      <c r="W103" s="32"/>
      <c r="X103" s="54"/>
      <c r="Y103" s="56" t="str">
        <f>IFERROR(VLOOKUP(June[[#This Row],[Drug Name2]],'Data Options'!$R$1:$S$100,2,FALSE), " ")</f>
        <v xml:space="preserve"> </v>
      </c>
      <c r="Z103" s="55"/>
      <c r="AA103" s="32"/>
      <c r="AB103" s="32"/>
      <c r="AC103" s="55"/>
      <c r="AD103" s="32"/>
      <c r="AE103" s="54"/>
      <c r="AF103" s="56" t="str">
        <f>IFERROR(VLOOKUP(June[[#This Row],[Drug Name3]],'Data Options'!$R$1:$S$100,2,FALSE), " ")</f>
        <v xml:space="preserve"> </v>
      </c>
      <c r="AG103" s="55"/>
      <c r="AH103" s="32"/>
      <c r="AI103" s="32"/>
      <c r="AJ103" s="55"/>
      <c r="AK103" s="32"/>
      <c r="AL103" s="32"/>
      <c r="AM103" s="32"/>
      <c r="AN103" s="32"/>
      <c r="AO103" s="32"/>
      <c r="AP103" s="31"/>
      <c r="AQ103" s="31"/>
      <c r="AR103" s="54"/>
      <c r="AS103" s="56" t="str">
        <f>IFERROR(VLOOKUP(June[[#This Row],[Drug Name4]],'Data Options'!$R$1:$S$100,2,FALSE), " ")</f>
        <v xml:space="preserve"> </v>
      </c>
      <c r="AT103" s="55"/>
      <c r="AU103" s="32"/>
      <c r="AV103" s="32"/>
      <c r="AW103" s="55"/>
      <c r="AX103" s="32"/>
      <c r="AY103" s="54"/>
      <c r="AZ103" s="56" t="str">
        <f>IFERROR(VLOOKUP(June[[#This Row],[Drug Name5]],'Data Options'!$R$1:$S$100,2,FALSE), " ")</f>
        <v xml:space="preserve"> </v>
      </c>
      <c r="BA103" s="55"/>
      <c r="BB103" s="32"/>
      <c r="BC103" s="32"/>
      <c r="BD103" s="55"/>
      <c r="BE103" s="32"/>
      <c r="BF103" s="54"/>
      <c r="BG103" s="56" t="str">
        <f>IFERROR(VLOOKUP(June[[#This Row],[Drug Name6]],'Data Options'!$R$1:$S$100,2,FALSE), " ")</f>
        <v xml:space="preserve"> </v>
      </c>
      <c r="BH103" s="55"/>
      <c r="BI103" s="32"/>
      <c r="BJ103" s="32"/>
      <c r="BK103" s="55"/>
      <c r="BL103" s="32"/>
      <c r="BM103" s="32"/>
      <c r="BN103" s="32"/>
      <c r="BO103" s="32"/>
      <c r="BP103" s="32"/>
      <c r="BQ103" s="31"/>
      <c r="BR103" s="31"/>
      <c r="BS103" s="54"/>
      <c r="BT103" s="56" t="str">
        <f>IFERROR(VLOOKUP(June[[#This Row],[Drug Name7]],'Data Options'!$R$1:$S$100,2,FALSE), " ")</f>
        <v xml:space="preserve"> </v>
      </c>
      <c r="BU103" s="55"/>
      <c r="BV103" s="32"/>
      <c r="BW103" s="32"/>
      <c r="BX103" s="55"/>
      <c r="BY103" s="32"/>
      <c r="BZ103" s="54"/>
      <c r="CA103" s="56" t="str">
        <f>IFERROR(VLOOKUP(June[[#This Row],[Drug Name8]],'Data Options'!$R$1:$S$100,2,FALSE), " ")</f>
        <v xml:space="preserve"> </v>
      </c>
      <c r="CB103" s="55"/>
      <c r="CC103" s="32"/>
      <c r="CD103" s="32"/>
      <c r="CE103" s="55"/>
      <c r="CF103" s="32"/>
      <c r="CG103" s="54"/>
      <c r="CH103" s="56" t="str">
        <f>IFERROR(VLOOKUP(June[[#This Row],[Drug Name9]],'Data Options'!$R$1:$S$100,2,FALSE), " ")</f>
        <v xml:space="preserve"> </v>
      </c>
      <c r="CI103" s="55"/>
      <c r="CJ103" s="32"/>
      <c r="CK103" s="32"/>
      <c r="CL103" s="55"/>
      <c r="CM103" s="32"/>
    </row>
    <row r="104" spans="1:91">
      <c r="A104" s="5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Q104" s="54"/>
      <c r="R104" s="56" t="str">
        <f>IFERROR(VLOOKUP(June[[#This Row],[Drug Name]],'Data Options'!$R$1:$S$100,2,FALSE), " ")</f>
        <v xml:space="preserve"> </v>
      </c>
      <c r="S104" s="55"/>
      <c r="T104" s="32"/>
      <c r="U104" s="32"/>
      <c r="V104" s="55"/>
      <c r="W104" s="32"/>
      <c r="X104" s="54"/>
      <c r="Y104" s="56" t="str">
        <f>IFERROR(VLOOKUP(June[[#This Row],[Drug Name2]],'Data Options'!$R$1:$S$100,2,FALSE), " ")</f>
        <v xml:space="preserve"> </v>
      </c>
      <c r="Z104" s="55"/>
      <c r="AA104" s="32"/>
      <c r="AB104" s="32"/>
      <c r="AC104" s="55"/>
      <c r="AD104" s="32"/>
      <c r="AE104" s="54"/>
      <c r="AF104" s="56" t="str">
        <f>IFERROR(VLOOKUP(June[[#This Row],[Drug Name3]],'Data Options'!$R$1:$S$100,2,FALSE), " ")</f>
        <v xml:space="preserve"> </v>
      </c>
      <c r="AG104" s="55"/>
      <c r="AH104" s="32"/>
      <c r="AI104" s="32"/>
      <c r="AJ104" s="55"/>
      <c r="AK104" s="32"/>
      <c r="AL104" s="32"/>
      <c r="AM104" s="32"/>
      <c r="AN104" s="32"/>
      <c r="AO104" s="32"/>
      <c r="AP104" s="31"/>
      <c r="AQ104" s="31"/>
      <c r="AR104" s="54"/>
      <c r="AS104" s="56" t="str">
        <f>IFERROR(VLOOKUP(June[[#This Row],[Drug Name4]],'Data Options'!$R$1:$S$100,2,FALSE), " ")</f>
        <v xml:space="preserve"> </v>
      </c>
      <c r="AT104" s="55"/>
      <c r="AU104" s="32"/>
      <c r="AV104" s="32"/>
      <c r="AW104" s="55"/>
      <c r="AX104" s="32"/>
      <c r="AY104" s="54"/>
      <c r="AZ104" s="56" t="str">
        <f>IFERROR(VLOOKUP(June[[#This Row],[Drug Name5]],'Data Options'!$R$1:$S$100,2,FALSE), " ")</f>
        <v xml:space="preserve"> </v>
      </c>
      <c r="BA104" s="55"/>
      <c r="BB104" s="32"/>
      <c r="BC104" s="32"/>
      <c r="BD104" s="55"/>
      <c r="BE104" s="32"/>
      <c r="BF104" s="54"/>
      <c r="BG104" s="56" t="str">
        <f>IFERROR(VLOOKUP(June[[#This Row],[Drug Name6]],'Data Options'!$R$1:$S$100,2,FALSE), " ")</f>
        <v xml:space="preserve"> </v>
      </c>
      <c r="BH104" s="55"/>
      <c r="BI104" s="32"/>
      <c r="BJ104" s="32"/>
      <c r="BK104" s="55"/>
      <c r="BL104" s="32"/>
      <c r="BM104" s="32"/>
      <c r="BN104" s="32"/>
      <c r="BO104" s="32"/>
      <c r="BP104" s="32"/>
      <c r="BQ104" s="31"/>
      <c r="BR104" s="31"/>
      <c r="BS104" s="54"/>
      <c r="BT104" s="56" t="str">
        <f>IFERROR(VLOOKUP(June[[#This Row],[Drug Name7]],'Data Options'!$R$1:$S$100,2,FALSE), " ")</f>
        <v xml:space="preserve"> </v>
      </c>
      <c r="BU104" s="55"/>
      <c r="BV104" s="32"/>
      <c r="BW104" s="32"/>
      <c r="BX104" s="55"/>
      <c r="BY104" s="32"/>
      <c r="BZ104" s="54"/>
      <c r="CA104" s="56" t="str">
        <f>IFERROR(VLOOKUP(June[[#This Row],[Drug Name8]],'Data Options'!$R$1:$S$100,2,FALSE), " ")</f>
        <v xml:space="preserve"> </v>
      </c>
      <c r="CB104" s="55"/>
      <c r="CC104" s="32"/>
      <c r="CD104" s="32"/>
      <c r="CE104" s="55"/>
      <c r="CF104" s="32"/>
      <c r="CG104" s="54"/>
      <c r="CH104" s="56" t="str">
        <f>IFERROR(VLOOKUP(June[[#This Row],[Drug Name9]],'Data Options'!$R$1:$S$100,2,FALSE), " ")</f>
        <v xml:space="preserve"> </v>
      </c>
      <c r="CI104" s="55"/>
      <c r="CJ104" s="32"/>
      <c r="CK104" s="32"/>
      <c r="CL104" s="55"/>
      <c r="CM104" s="32"/>
    </row>
    <row r="105" spans="1:91">
      <c r="A105" s="5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1"/>
      <c r="Q105" s="54"/>
      <c r="R105" s="56" t="str">
        <f>IFERROR(VLOOKUP(June[[#This Row],[Drug Name]],'Data Options'!$R$1:$S$100,2,FALSE), " ")</f>
        <v xml:space="preserve"> </v>
      </c>
      <c r="S105" s="55"/>
      <c r="T105" s="32"/>
      <c r="U105" s="32"/>
      <c r="V105" s="55"/>
      <c r="W105" s="32"/>
      <c r="X105" s="54"/>
      <c r="Y105" s="56" t="str">
        <f>IFERROR(VLOOKUP(June[[#This Row],[Drug Name2]],'Data Options'!$R$1:$S$100,2,FALSE), " ")</f>
        <v xml:space="preserve"> </v>
      </c>
      <c r="Z105" s="55"/>
      <c r="AA105" s="32"/>
      <c r="AB105" s="32"/>
      <c r="AC105" s="55"/>
      <c r="AD105" s="32"/>
      <c r="AE105" s="54"/>
      <c r="AF105" s="56" t="str">
        <f>IFERROR(VLOOKUP(June[[#This Row],[Drug Name3]],'Data Options'!$R$1:$S$100,2,FALSE), " ")</f>
        <v xml:space="preserve"> </v>
      </c>
      <c r="AG105" s="55"/>
      <c r="AH105" s="32"/>
      <c r="AI105" s="32"/>
      <c r="AJ105" s="55"/>
      <c r="AK105" s="32"/>
      <c r="AL105" s="32"/>
      <c r="AM105" s="32"/>
      <c r="AN105" s="32"/>
      <c r="AO105" s="32"/>
      <c r="AP105" s="31"/>
      <c r="AQ105" s="31"/>
      <c r="AR105" s="54"/>
      <c r="AS105" s="56" t="str">
        <f>IFERROR(VLOOKUP(June[[#This Row],[Drug Name4]],'Data Options'!$R$1:$S$100,2,FALSE), " ")</f>
        <v xml:space="preserve"> </v>
      </c>
      <c r="AT105" s="55"/>
      <c r="AU105" s="32"/>
      <c r="AV105" s="32"/>
      <c r="AW105" s="55"/>
      <c r="AX105" s="32"/>
      <c r="AY105" s="54"/>
      <c r="AZ105" s="56" t="str">
        <f>IFERROR(VLOOKUP(June[[#This Row],[Drug Name5]],'Data Options'!$R$1:$S$100,2,FALSE), " ")</f>
        <v xml:space="preserve"> </v>
      </c>
      <c r="BA105" s="55"/>
      <c r="BB105" s="32"/>
      <c r="BC105" s="32"/>
      <c r="BD105" s="55"/>
      <c r="BE105" s="32"/>
      <c r="BF105" s="54"/>
      <c r="BG105" s="56" t="str">
        <f>IFERROR(VLOOKUP(June[[#This Row],[Drug Name6]],'Data Options'!$R$1:$S$100,2,FALSE), " ")</f>
        <v xml:space="preserve"> </v>
      </c>
      <c r="BH105" s="55"/>
      <c r="BI105" s="32"/>
      <c r="BJ105" s="32"/>
      <c r="BK105" s="55"/>
      <c r="BL105" s="32"/>
      <c r="BM105" s="32"/>
      <c r="BN105" s="32"/>
      <c r="BO105" s="32"/>
      <c r="BP105" s="32"/>
      <c r="BQ105" s="31"/>
      <c r="BR105" s="31"/>
      <c r="BS105" s="54"/>
      <c r="BT105" s="56" t="str">
        <f>IFERROR(VLOOKUP(June[[#This Row],[Drug Name7]],'Data Options'!$R$1:$S$100,2,FALSE), " ")</f>
        <v xml:space="preserve"> </v>
      </c>
      <c r="BU105" s="55"/>
      <c r="BV105" s="32"/>
      <c r="BW105" s="32"/>
      <c r="BX105" s="55"/>
      <c r="BY105" s="32"/>
      <c r="BZ105" s="54"/>
      <c r="CA105" s="56" t="str">
        <f>IFERROR(VLOOKUP(June[[#This Row],[Drug Name8]],'Data Options'!$R$1:$S$100,2,FALSE), " ")</f>
        <v xml:space="preserve"> </v>
      </c>
      <c r="CB105" s="55"/>
      <c r="CC105" s="32"/>
      <c r="CD105" s="32"/>
      <c r="CE105" s="55"/>
      <c r="CF105" s="32"/>
      <c r="CG105" s="54"/>
      <c r="CH105" s="56" t="str">
        <f>IFERROR(VLOOKUP(June[[#This Row],[Drug Name9]],'Data Options'!$R$1:$S$100,2,FALSE), " ")</f>
        <v xml:space="preserve"> </v>
      </c>
      <c r="CI105" s="55"/>
      <c r="CJ105" s="32"/>
      <c r="CK105" s="32"/>
      <c r="CL105" s="55"/>
      <c r="CM105" s="32"/>
    </row>
    <row r="106" spans="1:91">
      <c r="A106" s="5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1"/>
      <c r="P106" s="31"/>
      <c r="Q106" s="54"/>
      <c r="R106" s="56" t="str">
        <f>IFERROR(VLOOKUP(June[[#This Row],[Drug Name]],'Data Options'!$R$1:$S$100,2,FALSE), " ")</f>
        <v xml:space="preserve"> </v>
      </c>
      <c r="S106" s="55"/>
      <c r="T106" s="32"/>
      <c r="U106" s="32"/>
      <c r="V106" s="55"/>
      <c r="W106" s="32"/>
      <c r="X106" s="54"/>
      <c r="Y106" s="56" t="str">
        <f>IFERROR(VLOOKUP(June[[#This Row],[Drug Name2]],'Data Options'!$R$1:$S$100,2,FALSE), " ")</f>
        <v xml:space="preserve"> </v>
      </c>
      <c r="Z106" s="55"/>
      <c r="AA106" s="32"/>
      <c r="AB106" s="32"/>
      <c r="AC106" s="55"/>
      <c r="AD106" s="32"/>
      <c r="AE106" s="54"/>
      <c r="AF106" s="56" t="str">
        <f>IFERROR(VLOOKUP(June[[#This Row],[Drug Name3]],'Data Options'!$R$1:$S$100,2,FALSE), " ")</f>
        <v xml:space="preserve"> </v>
      </c>
      <c r="AG106" s="55"/>
      <c r="AH106" s="32"/>
      <c r="AI106" s="32"/>
      <c r="AJ106" s="55"/>
      <c r="AK106" s="32"/>
      <c r="AL106" s="32"/>
      <c r="AM106" s="32"/>
      <c r="AN106" s="32"/>
      <c r="AO106" s="32"/>
      <c r="AP106" s="31"/>
      <c r="AQ106" s="31"/>
      <c r="AR106" s="54"/>
      <c r="AS106" s="56" t="str">
        <f>IFERROR(VLOOKUP(June[[#This Row],[Drug Name4]],'Data Options'!$R$1:$S$100,2,FALSE), " ")</f>
        <v xml:space="preserve"> </v>
      </c>
      <c r="AT106" s="55"/>
      <c r="AU106" s="32"/>
      <c r="AV106" s="32"/>
      <c r="AW106" s="55"/>
      <c r="AX106" s="32"/>
      <c r="AY106" s="54"/>
      <c r="AZ106" s="56" t="str">
        <f>IFERROR(VLOOKUP(June[[#This Row],[Drug Name5]],'Data Options'!$R$1:$S$100,2,FALSE), " ")</f>
        <v xml:space="preserve"> </v>
      </c>
      <c r="BA106" s="55"/>
      <c r="BB106" s="32"/>
      <c r="BC106" s="32"/>
      <c r="BD106" s="55"/>
      <c r="BE106" s="32"/>
      <c r="BF106" s="54"/>
      <c r="BG106" s="56" t="str">
        <f>IFERROR(VLOOKUP(June[[#This Row],[Drug Name6]],'Data Options'!$R$1:$S$100,2,FALSE), " ")</f>
        <v xml:space="preserve"> </v>
      </c>
      <c r="BH106" s="55"/>
      <c r="BI106" s="32"/>
      <c r="BJ106" s="32"/>
      <c r="BK106" s="55"/>
      <c r="BL106" s="32"/>
      <c r="BM106" s="32"/>
      <c r="BN106" s="32"/>
      <c r="BO106" s="32"/>
      <c r="BP106" s="32"/>
      <c r="BQ106" s="31"/>
      <c r="BR106" s="31"/>
      <c r="BS106" s="54"/>
      <c r="BT106" s="56" t="str">
        <f>IFERROR(VLOOKUP(June[[#This Row],[Drug Name7]],'Data Options'!$R$1:$S$100,2,FALSE), " ")</f>
        <v xml:space="preserve"> </v>
      </c>
      <c r="BU106" s="55"/>
      <c r="BV106" s="32"/>
      <c r="BW106" s="32"/>
      <c r="BX106" s="55"/>
      <c r="BY106" s="32"/>
      <c r="BZ106" s="54"/>
      <c r="CA106" s="56" t="str">
        <f>IFERROR(VLOOKUP(June[[#This Row],[Drug Name8]],'Data Options'!$R$1:$S$100,2,FALSE), " ")</f>
        <v xml:space="preserve"> </v>
      </c>
      <c r="CB106" s="55"/>
      <c r="CC106" s="32"/>
      <c r="CD106" s="32"/>
      <c r="CE106" s="55"/>
      <c r="CF106" s="32"/>
      <c r="CG106" s="54"/>
      <c r="CH106" s="56" t="str">
        <f>IFERROR(VLOOKUP(June[[#This Row],[Drug Name9]],'Data Options'!$R$1:$S$100,2,FALSE), " ")</f>
        <v xml:space="preserve"> </v>
      </c>
      <c r="CI106" s="55"/>
      <c r="CJ106" s="32"/>
      <c r="CK106" s="32"/>
      <c r="CL106" s="55"/>
      <c r="CM106" s="32"/>
    </row>
    <row r="107" spans="1:91">
      <c r="A107" s="5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1"/>
      <c r="P107" s="31"/>
      <c r="Q107" s="54"/>
      <c r="R107" s="56" t="str">
        <f>IFERROR(VLOOKUP(June[[#This Row],[Drug Name]],'Data Options'!$R$1:$S$100,2,FALSE), " ")</f>
        <v xml:space="preserve"> </v>
      </c>
      <c r="S107" s="55"/>
      <c r="T107" s="32"/>
      <c r="U107" s="32"/>
      <c r="V107" s="55"/>
      <c r="W107" s="32"/>
      <c r="X107" s="54"/>
      <c r="Y107" s="56" t="str">
        <f>IFERROR(VLOOKUP(June[[#This Row],[Drug Name2]],'Data Options'!$R$1:$S$100,2,FALSE), " ")</f>
        <v xml:space="preserve"> </v>
      </c>
      <c r="Z107" s="55"/>
      <c r="AA107" s="32"/>
      <c r="AB107" s="32"/>
      <c r="AC107" s="55"/>
      <c r="AD107" s="32"/>
      <c r="AE107" s="54"/>
      <c r="AF107" s="56" t="str">
        <f>IFERROR(VLOOKUP(June[[#This Row],[Drug Name3]],'Data Options'!$R$1:$S$100,2,FALSE), " ")</f>
        <v xml:space="preserve"> </v>
      </c>
      <c r="AG107" s="55"/>
      <c r="AH107" s="32"/>
      <c r="AI107" s="32"/>
      <c r="AJ107" s="55"/>
      <c r="AK107" s="32"/>
      <c r="AL107" s="32"/>
      <c r="AM107" s="32"/>
      <c r="AN107" s="32"/>
      <c r="AO107" s="32"/>
      <c r="AP107" s="31"/>
      <c r="AQ107" s="31"/>
      <c r="AR107" s="54"/>
      <c r="AS107" s="56" t="str">
        <f>IFERROR(VLOOKUP(June[[#This Row],[Drug Name4]],'Data Options'!$R$1:$S$100,2,FALSE), " ")</f>
        <v xml:space="preserve"> </v>
      </c>
      <c r="AT107" s="55"/>
      <c r="AU107" s="32"/>
      <c r="AV107" s="32"/>
      <c r="AW107" s="55"/>
      <c r="AX107" s="32"/>
      <c r="AY107" s="54"/>
      <c r="AZ107" s="56" t="str">
        <f>IFERROR(VLOOKUP(June[[#This Row],[Drug Name5]],'Data Options'!$R$1:$S$100,2,FALSE), " ")</f>
        <v xml:space="preserve"> </v>
      </c>
      <c r="BA107" s="55"/>
      <c r="BB107" s="32"/>
      <c r="BC107" s="32"/>
      <c r="BD107" s="55"/>
      <c r="BE107" s="32"/>
      <c r="BF107" s="54"/>
      <c r="BG107" s="56" t="str">
        <f>IFERROR(VLOOKUP(June[[#This Row],[Drug Name6]],'Data Options'!$R$1:$S$100,2,FALSE), " ")</f>
        <v xml:space="preserve"> </v>
      </c>
      <c r="BH107" s="55"/>
      <c r="BI107" s="32"/>
      <c r="BJ107" s="32"/>
      <c r="BK107" s="55"/>
      <c r="BL107" s="32"/>
      <c r="BM107" s="32"/>
      <c r="BN107" s="32"/>
      <c r="BO107" s="32"/>
      <c r="BP107" s="32"/>
      <c r="BQ107" s="31"/>
      <c r="BR107" s="31"/>
      <c r="BS107" s="54"/>
      <c r="BT107" s="56" t="str">
        <f>IFERROR(VLOOKUP(June[[#This Row],[Drug Name7]],'Data Options'!$R$1:$S$100,2,FALSE), " ")</f>
        <v xml:space="preserve"> </v>
      </c>
      <c r="BU107" s="55"/>
      <c r="BV107" s="32"/>
      <c r="BW107" s="32"/>
      <c r="BX107" s="55"/>
      <c r="BY107" s="32"/>
      <c r="BZ107" s="54"/>
      <c r="CA107" s="56" t="str">
        <f>IFERROR(VLOOKUP(June[[#This Row],[Drug Name8]],'Data Options'!$R$1:$S$100,2,FALSE), " ")</f>
        <v xml:space="preserve"> </v>
      </c>
      <c r="CB107" s="55"/>
      <c r="CC107" s="32"/>
      <c r="CD107" s="32"/>
      <c r="CE107" s="55"/>
      <c r="CF107" s="32"/>
      <c r="CG107" s="54"/>
      <c r="CH107" s="56" t="str">
        <f>IFERROR(VLOOKUP(June[[#This Row],[Drug Name9]],'Data Options'!$R$1:$S$100,2,FALSE), " ")</f>
        <v xml:space="preserve"> </v>
      </c>
      <c r="CI107" s="55"/>
      <c r="CJ107" s="32"/>
      <c r="CK107" s="32"/>
      <c r="CL107" s="55"/>
      <c r="CM107" s="32"/>
    </row>
    <row r="108" spans="1:91">
      <c r="A108" s="5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1"/>
      <c r="P108" s="31"/>
      <c r="Q108" s="54"/>
      <c r="R108" s="56" t="str">
        <f>IFERROR(VLOOKUP(June[[#This Row],[Drug Name]],'Data Options'!$R$1:$S$100,2,FALSE), " ")</f>
        <v xml:space="preserve"> </v>
      </c>
      <c r="S108" s="55"/>
      <c r="T108" s="32"/>
      <c r="U108" s="32"/>
      <c r="V108" s="55"/>
      <c r="W108" s="32"/>
      <c r="X108" s="54"/>
      <c r="Y108" s="56" t="str">
        <f>IFERROR(VLOOKUP(June[[#This Row],[Drug Name2]],'Data Options'!$R$1:$S$100,2,FALSE), " ")</f>
        <v xml:space="preserve"> </v>
      </c>
      <c r="Z108" s="55"/>
      <c r="AA108" s="32"/>
      <c r="AB108" s="32"/>
      <c r="AC108" s="55"/>
      <c r="AD108" s="32"/>
      <c r="AE108" s="54"/>
      <c r="AF108" s="56" t="str">
        <f>IFERROR(VLOOKUP(June[[#This Row],[Drug Name3]],'Data Options'!$R$1:$S$100,2,FALSE), " ")</f>
        <v xml:space="preserve"> </v>
      </c>
      <c r="AG108" s="55"/>
      <c r="AH108" s="32"/>
      <c r="AI108" s="32"/>
      <c r="AJ108" s="55"/>
      <c r="AK108" s="32"/>
      <c r="AL108" s="32"/>
      <c r="AM108" s="32"/>
      <c r="AN108" s="32"/>
      <c r="AO108" s="32"/>
      <c r="AP108" s="31"/>
      <c r="AQ108" s="31"/>
      <c r="AR108" s="54"/>
      <c r="AS108" s="56" t="str">
        <f>IFERROR(VLOOKUP(June[[#This Row],[Drug Name4]],'Data Options'!$R$1:$S$100,2,FALSE), " ")</f>
        <v xml:space="preserve"> </v>
      </c>
      <c r="AT108" s="55"/>
      <c r="AU108" s="32"/>
      <c r="AV108" s="32"/>
      <c r="AW108" s="55"/>
      <c r="AX108" s="32"/>
      <c r="AY108" s="54"/>
      <c r="AZ108" s="56" t="str">
        <f>IFERROR(VLOOKUP(June[[#This Row],[Drug Name5]],'Data Options'!$R$1:$S$100,2,FALSE), " ")</f>
        <v xml:space="preserve"> </v>
      </c>
      <c r="BA108" s="55"/>
      <c r="BB108" s="32"/>
      <c r="BC108" s="32"/>
      <c r="BD108" s="55"/>
      <c r="BE108" s="32"/>
      <c r="BF108" s="54"/>
      <c r="BG108" s="56" t="str">
        <f>IFERROR(VLOOKUP(June[[#This Row],[Drug Name6]],'Data Options'!$R$1:$S$100,2,FALSE), " ")</f>
        <v xml:space="preserve"> </v>
      </c>
      <c r="BH108" s="55"/>
      <c r="BI108" s="32"/>
      <c r="BJ108" s="32"/>
      <c r="BK108" s="55"/>
      <c r="BL108" s="32"/>
      <c r="BM108" s="32"/>
      <c r="BN108" s="32"/>
      <c r="BO108" s="32"/>
      <c r="BP108" s="32"/>
      <c r="BQ108" s="31"/>
      <c r="BR108" s="31"/>
      <c r="BS108" s="54"/>
      <c r="BT108" s="56" t="str">
        <f>IFERROR(VLOOKUP(June[[#This Row],[Drug Name7]],'Data Options'!$R$1:$S$100,2,FALSE), " ")</f>
        <v xml:space="preserve"> </v>
      </c>
      <c r="BU108" s="55"/>
      <c r="BV108" s="32"/>
      <c r="BW108" s="32"/>
      <c r="BX108" s="55"/>
      <c r="BY108" s="32"/>
      <c r="BZ108" s="54"/>
      <c r="CA108" s="56" t="str">
        <f>IFERROR(VLOOKUP(June[[#This Row],[Drug Name8]],'Data Options'!$R$1:$S$100,2,FALSE), " ")</f>
        <v xml:space="preserve"> </v>
      </c>
      <c r="CB108" s="55"/>
      <c r="CC108" s="32"/>
      <c r="CD108" s="32"/>
      <c r="CE108" s="55"/>
      <c r="CF108" s="32"/>
      <c r="CG108" s="54"/>
      <c r="CH108" s="56" t="str">
        <f>IFERROR(VLOOKUP(June[[#This Row],[Drug Name9]],'Data Options'!$R$1:$S$100,2,FALSE), " ")</f>
        <v xml:space="preserve"> </v>
      </c>
      <c r="CI108" s="55"/>
      <c r="CJ108" s="32"/>
      <c r="CK108" s="32"/>
      <c r="CL108" s="55"/>
      <c r="CM108" s="32"/>
    </row>
    <row r="109" spans="1:91">
      <c r="A109" s="5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1"/>
      <c r="P109" s="31"/>
      <c r="Q109" s="54"/>
      <c r="R109" s="56" t="str">
        <f>IFERROR(VLOOKUP(June[[#This Row],[Drug Name]],'Data Options'!$R$1:$S$100,2,FALSE), " ")</f>
        <v xml:space="preserve"> </v>
      </c>
      <c r="S109" s="55"/>
      <c r="T109" s="32"/>
      <c r="U109" s="32"/>
      <c r="V109" s="55"/>
      <c r="W109" s="32"/>
      <c r="X109" s="54"/>
      <c r="Y109" s="56" t="str">
        <f>IFERROR(VLOOKUP(June[[#This Row],[Drug Name2]],'Data Options'!$R$1:$S$100,2,FALSE), " ")</f>
        <v xml:space="preserve"> </v>
      </c>
      <c r="Z109" s="55"/>
      <c r="AA109" s="32"/>
      <c r="AB109" s="32"/>
      <c r="AC109" s="55"/>
      <c r="AD109" s="32"/>
      <c r="AE109" s="54"/>
      <c r="AF109" s="56" t="str">
        <f>IFERROR(VLOOKUP(June[[#This Row],[Drug Name3]],'Data Options'!$R$1:$S$100,2,FALSE), " ")</f>
        <v xml:space="preserve"> </v>
      </c>
      <c r="AG109" s="55"/>
      <c r="AH109" s="32"/>
      <c r="AI109" s="32"/>
      <c r="AJ109" s="55"/>
      <c r="AK109" s="32"/>
      <c r="AL109" s="32"/>
      <c r="AM109" s="32"/>
      <c r="AN109" s="32"/>
      <c r="AO109" s="32"/>
      <c r="AP109" s="31"/>
      <c r="AQ109" s="31"/>
      <c r="AR109" s="54"/>
      <c r="AS109" s="56" t="str">
        <f>IFERROR(VLOOKUP(June[[#This Row],[Drug Name4]],'Data Options'!$R$1:$S$100,2,FALSE), " ")</f>
        <v xml:space="preserve"> </v>
      </c>
      <c r="AT109" s="55"/>
      <c r="AU109" s="32"/>
      <c r="AV109" s="32"/>
      <c r="AW109" s="55"/>
      <c r="AX109" s="32"/>
      <c r="AY109" s="54"/>
      <c r="AZ109" s="56" t="str">
        <f>IFERROR(VLOOKUP(June[[#This Row],[Drug Name5]],'Data Options'!$R$1:$S$100,2,FALSE), " ")</f>
        <v xml:space="preserve"> </v>
      </c>
      <c r="BA109" s="55"/>
      <c r="BB109" s="32"/>
      <c r="BC109" s="32"/>
      <c r="BD109" s="55"/>
      <c r="BE109" s="32"/>
      <c r="BF109" s="54"/>
      <c r="BG109" s="56" t="str">
        <f>IFERROR(VLOOKUP(June[[#This Row],[Drug Name6]],'Data Options'!$R$1:$S$100,2,FALSE), " ")</f>
        <v xml:space="preserve"> </v>
      </c>
      <c r="BH109" s="55"/>
      <c r="BI109" s="32"/>
      <c r="BJ109" s="32"/>
      <c r="BK109" s="55"/>
      <c r="BL109" s="32"/>
      <c r="BM109" s="32"/>
      <c r="BN109" s="32"/>
      <c r="BO109" s="32"/>
      <c r="BP109" s="32"/>
      <c r="BQ109" s="31"/>
      <c r="BR109" s="31"/>
      <c r="BS109" s="54"/>
      <c r="BT109" s="56" t="str">
        <f>IFERROR(VLOOKUP(June[[#This Row],[Drug Name7]],'Data Options'!$R$1:$S$100,2,FALSE), " ")</f>
        <v xml:space="preserve"> </v>
      </c>
      <c r="BU109" s="55"/>
      <c r="BV109" s="32"/>
      <c r="BW109" s="32"/>
      <c r="BX109" s="55"/>
      <c r="BY109" s="32"/>
      <c r="BZ109" s="54"/>
      <c r="CA109" s="56" t="str">
        <f>IFERROR(VLOOKUP(June[[#This Row],[Drug Name8]],'Data Options'!$R$1:$S$100,2,FALSE), " ")</f>
        <v xml:space="preserve"> </v>
      </c>
      <c r="CB109" s="55"/>
      <c r="CC109" s="32"/>
      <c r="CD109" s="32"/>
      <c r="CE109" s="55"/>
      <c r="CF109" s="32"/>
      <c r="CG109" s="54"/>
      <c r="CH109" s="56" t="str">
        <f>IFERROR(VLOOKUP(June[[#This Row],[Drug Name9]],'Data Options'!$R$1:$S$100,2,FALSE), " ")</f>
        <v xml:space="preserve"> </v>
      </c>
      <c r="CI109" s="55"/>
      <c r="CJ109" s="32"/>
      <c r="CK109" s="32"/>
      <c r="CL109" s="55"/>
      <c r="CM109" s="32"/>
    </row>
    <row r="110" spans="1:91">
      <c r="A110" s="5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54"/>
      <c r="R110" s="56" t="str">
        <f>IFERROR(VLOOKUP(June[[#This Row],[Drug Name]],'Data Options'!$R$1:$S$100,2,FALSE), " ")</f>
        <v xml:space="preserve"> </v>
      </c>
      <c r="S110" s="55"/>
      <c r="T110" s="32"/>
      <c r="U110" s="32"/>
      <c r="V110" s="55"/>
      <c r="W110" s="32"/>
      <c r="X110" s="54"/>
      <c r="Y110" s="56" t="str">
        <f>IFERROR(VLOOKUP(June[[#This Row],[Drug Name2]],'Data Options'!$R$1:$S$100,2,FALSE), " ")</f>
        <v xml:space="preserve"> </v>
      </c>
      <c r="Z110" s="55"/>
      <c r="AA110" s="32"/>
      <c r="AB110" s="32"/>
      <c r="AC110" s="55"/>
      <c r="AD110" s="32"/>
      <c r="AE110" s="54"/>
      <c r="AF110" s="56" t="str">
        <f>IFERROR(VLOOKUP(June[[#This Row],[Drug Name3]],'Data Options'!$R$1:$S$100,2,FALSE), " ")</f>
        <v xml:space="preserve"> </v>
      </c>
      <c r="AG110" s="55"/>
      <c r="AH110" s="32"/>
      <c r="AI110" s="32"/>
      <c r="AJ110" s="55"/>
      <c r="AK110" s="32"/>
      <c r="AL110" s="32"/>
      <c r="AM110" s="32"/>
      <c r="AN110" s="32"/>
      <c r="AO110" s="32"/>
      <c r="AP110" s="31"/>
      <c r="AQ110" s="31"/>
      <c r="AR110" s="54"/>
      <c r="AS110" s="56" t="str">
        <f>IFERROR(VLOOKUP(June[[#This Row],[Drug Name4]],'Data Options'!$R$1:$S$100,2,FALSE), " ")</f>
        <v xml:space="preserve"> </v>
      </c>
      <c r="AT110" s="55"/>
      <c r="AU110" s="32"/>
      <c r="AV110" s="32"/>
      <c r="AW110" s="55"/>
      <c r="AX110" s="32"/>
      <c r="AY110" s="54"/>
      <c r="AZ110" s="56" t="str">
        <f>IFERROR(VLOOKUP(June[[#This Row],[Drug Name5]],'Data Options'!$R$1:$S$100,2,FALSE), " ")</f>
        <v xml:space="preserve"> </v>
      </c>
      <c r="BA110" s="55"/>
      <c r="BB110" s="32"/>
      <c r="BC110" s="32"/>
      <c r="BD110" s="55"/>
      <c r="BE110" s="32"/>
      <c r="BF110" s="54"/>
      <c r="BG110" s="56" t="str">
        <f>IFERROR(VLOOKUP(June[[#This Row],[Drug Name6]],'Data Options'!$R$1:$S$100,2,FALSE), " ")</f>
        <v xml:space="preserve"> </v>
      </c>
      <c r="BH110" s="55"/>
      <c r="BI110" s="32"/>
      <c r="BJ110" s="32"/>
      <c r="BK110" s="55"/>
      <c r="BL110" s="32"/>
      <c r="BM110" s="32"/>
      <c r="BN110" s="32"/>
      <c r="BO110" s="32"/>
      <c r="BP110" s="32"/>
      <c r="BQ110" s="31"/>
      <c r="BR110" s="31"/>
      <c r="BS110" s="54"/>
      <c r="BT110" s="56" t="str">
        <f>IFERROR(VLOOKUP(June[[#This Row],[Drug Name7]],'Data Options'!$R$1:$S$100,2,FALSE), " ")</f>
        <v xml:space="preserve"> </v>
      </c>
      <c r="BU110" s="55"/>
      <c r="BV110" s="32"/>
      <c r="BW110" s="32"/>
      <c r="BX110" s="55"/>
      <c r="BY110" s="32"/>
      <c r="BZ110" s="54"/>
      <c r="CA110" s="56" t="str">
        <f>IFERROR(VLOOKUP(June[[#This Row],[Drug Name8]],'Data Options'!$R$1:$S$100,2,FALSE), " ")</f>
        <v xml:space="preserve"> </v>
      </c>
      <c r="CB110" s="55"/>
      <c r="CC110" s="32"/>
      <c r="CD110" s="32"/>
      <c r="CE110" s="55"/>
      <c r="CF110" s="32"/>
      <c r="CG110" s="54"/>
      <c r="CH110" s="56" t="str">
        <f>IFERROR(VLOOKUP(June[[#This Row],[Drug Name9]],'Data Options'!$R$1:$S$100,2,FALSE), " ")</f>
        <v xml:space="preserve"> </v>
      </c>
      <c r="CI110" s="55"/>
      <c r="CJ110" s="32"/>
      <c r="CK110" s="32"/>
      <c r="CL110" s="55"/>
      <c r="CM110" s="32"/>
    </row>
    <row r="111" spans="1:91">
      <c r="A111" s="5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1"/>
      <c r="P111" s="31"/>
      <c r="Q111" s="54"/>
      <c r="R111" s="56" t="str">
        <f>IFERROR(VLOOKUP(June[[#This Row],[Drug Name]],'Data Options'!$R$1:$S$100,2,FALSE), " ")</f>
        <v xml:space="preserve"> </v>
      </c>
      <c r="S111" s="55"/>
      <c r="T111" s="32"/>
      <c r="U111" s="32"/>
      <c r="V111" s="55"/>
      <c r="W111" s="32"/>
      <c r="X111" s="54"/>
      <c r="Y111" s="56" t="str">
        <f>IFERROR(VLOOKUP(June[[#This Row],[Drug Name2]],'Data Options'!$R$1:$S$100,2,FALSE), " ")</f>
        <v xml:space="preserve"> </v>
      </c>
      <c r="Z111" s="55"/>
      <c r="AA111" s="32"/>
      <c r="AB111" s="32"/>
      <c r="AC111" s="55"/>
      <c r="AD111" s="32"/>
      <c r="AE111" s="54"/>
      <c r="AF111" s="56" t="str">
        <f>IFERROR(VLOOKUP(June[[#This Row],[Drug Name3]],'Data Options'!$R$1:$S$100,2,FALSE), " ")</f>
        <v xml:space="preserve"> </v>
      </c>
      <c r="AG111" s="55"/>
      <c r="AH111" s="32"/>
      <c r="AI111" s="32"/>
      <c r="AJ111" s="55"/>
      <c r="AK111" s="32"/>
      <c r="AL111" s="32"/>
      <c r="AM111" s="32"/>
      <c r="AN111" s="32"/>
      <c r="AO111" s="32"/>
      <c r="AP111" s="31"/>
      <c r="AQ111" s="31"/>
      <c r="AR111" s="54"/>
      <c r="AS111" s="56" t="str">
        <f>IFERROR(VLOOKUP(June[[#This Row],[Drug Name4]],'Data Options'!$R$1:$S$100,2,FALSE), " ")</f>
        <v xml:space="preserve"> </v>
      </c>
      <c r="AT111" s="55"/>
      <c r="AU111" s="32"/>
      <c r="AV111" s="32"/>
      <c r="AW111" s="55"/>
      <c r="AX111" s="32"/>
      <c r="AY111" s="54"/>
      <c r="AZ111" s="56" t="str">
        <f>IFERROR(VLOOKUP(June[[#This Row],[Drug Name5]],'Data Options'!$R$1:$S$100,2,FALSE), " ")</f>
        <v xml:space="preserve"> </v>
      </c>
      <c r="BA111" s="55"/>
      <c r="BB111" s="32"/>
      <c r="BC111" s="32"/>
      <c r="BD111" s="55"/>
      <c r="BE111" s="32"/>
      <c r="BF111" s="54"/>
      <c r="BG111" s="56" t="str">
        <f>IFERROR(VLOOKUP(June[[#This Row],[Drug Name6]],'Data Options'!$R$1:$S$100,2,FALSE), " ")</f>
        <v xml:space="preserve"> </v>
      </c>
      <c r="BH111" s="55"/>
      <c r="BI111" s="32"/>
      <c r="BJ111" s="32"/>
      <c r="BK111" s="55"/>
      <c r="BL111" s="32"/>
      <c r="BM111" s="32"/>
      <c r="BN111" s="32"/>
      <c r="BO111" s="32"/>
      <c r="BP111" s="32"/>
      <c r="BQ111" s="31"/>
      <c r="BR111" s="31"/>
      <c r="BS111" s="54"/>
      <c r="BT111" s="56" t="str">
        <f>IFERROR(VLOOKUP(June[[#This Row],[Drug Name7]],'Data Options'!$R$1:$S$100,2,FALSE), " ")</f>
        <v xml:space="preserve"> </v>
      </c>
      <c r="BU111" s="55"/>
      <c r="BV111" s="32"/>
      <c r="BW111" s="32"/>
      <c r="BX111" s="55"/>
      <c r="BY111" s="32"/>
      <c r="BZ111" s="54"/>
      <c r="CA111" s="56" t="str">
        <f>IFERROR(VLOOKUP(June[[#This Row],[Drug Name8]],'Data Options'!$R$1:$S$100,2,FALSE), " ")</f>
        <v xml:space="preserve"> </v>
      </c>
      <c r="CB111" s="55"/>
      <c r="CC111" s="32"/>
      <c r="CD111" s="32"/>
      <c r="CE111" s="55"/>
      <c r="CF111" s="32"/>
      <c r="CG111" s="54"/>
      <c r="CH111" s="56" t="str">
        <f>IFERROR(VLOOKUP(June[[#This Row],[Drug Name9]],'Data Options'!$R$1:$S$100,2,FALSE), " ")</f>
        <v xml:space="preserve"> </v>
      </c>
      <c r="CI111" s="55"/>
      <c r="CJ111" s="32"/>
      <c r="CK111" s="32"/>
      <c r="CL111" s="55"/>
      <c r="CM111" s="32"/>
    </row>
    <row r="112" spans="1:91">
      <c r="A112" s="5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1"/>
      <c r="P112" s="31"/>
      <c r="Q112" s="54"/>
      <c r="R112" s="56" t="str">
        <f>IFERROR(VLOOKUP(June[[#This Row],[Drug Name]],'Data Options'!$R$1:$S$100,2,FALSE), " ")</f>
        <v xml:space="preserve"> </v>
      </c>
      <c r="S112" s="55"/>
      <c r="T112" s="32"/>
      <c r="U112" s="32"/>
      <c r="V112" s="55"/>
      <c r="W112" s="32"/>
      <c r="X112" s="54"/>
      <c r="Y112" s="56" t="str">
        <f>IFERROR(VLOOKUP(June[[#This Row],[Drug Name2]],'Data Options'!$R$1:$S$100,2,FALSE), " ")</f>
        <v xml:space="preserve"> </v>
      </c>
      <c r="Z112" s="55"/>
      <c r="AA112" s="32"/>
      <c r="AB112" s="32"/>
      <c r="AC112" s="55"/>
      <c r="AD112" s="32"/>
      <c r="AE112" s="54"/>
      <c r="AF112" s="56" t="str">
        <f>IFERROR(VLOOKUP(June[[#This Row],[Drug Name3]],'Data Options'!$R$1:$S$100,2,FALSE), " ")</f>
        <v xml:space="preserve"> </v>
      </c>
      <c r="AG112" s="55"/>
      <c r="AH112" s="32"/>
      <c r="AI112" s="32"/>
      <c r="AJ112" s="55"/>
      <c r="AK112" s="32"/>
      <c r="AL112" s="32"/>
      <c r="AM112" s="32"/>
      <c r="AN112" s="32"/>
      <c r="AO112" s="32"/>
      <c r="AP112" s="31"/>
      <c r="AQ112" s="31"/>
      <c r="AR112" s="54"/>
      <c r="AS112" s="56" t="str">
        <f>IFERROR(VLOOKUP(June[[#This Row],[Drug Name4]],'Data Options'!$R$1:$S$100,2,FALSE), " ")</f>
        <v xml:space="preserve"> </v>
      </c>
      <c r="AT112" s="55"/>
      <c r="AU112" s="32"/>
      <c r="AV112" s="32"/>
      <c r="AW112" s="55"/>
      <c r="AX112" s="32"/>
      <c r="AY112" s="54"/>
      <c r="AZ112" s="56" t="str">
        <f>IFERROR(VLOOKUP(June[[#This Row],[Drug Name5]],'Data Options'!$R$1:$S$100,2,FALSE), " ")</f>
        <v xml:space="preserve"> </v>
      </c>
      <c r="BA112" s="55"/>
      <c r="BB112" s="32"/>
      <c r="BC112" s="32"/>
      <c r="BD112" s="55"/>
      <c r="BE112" s="32"/>
      <c r="BF112" s="54"/>
      <c r="BG112" s="56" t="str">
        <f>IFERROR(VLOOKUP(June[[#This Row],[Drug Name6]],'Data Options'!$R$1:$S$100,2,FALSE), " ")</f>
        <v xml:space="preserve"> </v>
      </c>
      <c r="BH112" s="55"/>
      <c r="BI112" s="32"/>
      <c r="BJ112" s="32"/>
      <c r="BK112" s="55"/>
      <c r="BL112" s="32"/>
      <c r="BM112" s="32"/>
      <c r="BN112" s="32"/>
      <c r="BO112" s="32"/>
      <c r="BP112" s="32"/>
      <c r="BQ112" s="31"/>
      <c r="BR112" s="31"/>
      <c r="BS112" s="54"/>
      <c r="BT112" s="56" t="str">
        <f>IFERROR(VLOOKUP(June[[#This Row],[Drug Name7]],'Data Options'!$R$1:$S$100,2,FALSE), " ")</f>
        <v xml:space="preserve"> </v>
      </c>
      <c r="BU112" s="55"/>
      <c r="BV112" s="32"/>
      <c r="BW112" s="32"/>
      <c r="BX112" s="55"/>
      <c r="BY112" s="32"/>
      <c r="BZ112" s="54"/>
      <c r="CA112" s="56" t="str">
        <f>IFERROR(VLOOKUP(June[[#This Row],[Drug Name8]],'Data Options'!$R$1:$S$100,2,FALSE), " ")</f>
        <v xml:space="preserve"> </v>
      </c>
      <c r="CB112" s="55"/>
      <c r="CC112" s="32"/>
      <c r="CD112" s="32"/>
      <c r="CE112" s="55"/>
      <c r="CF112" s="32"/>
      <c r="CG112" s="54"/>
      <c r="CH112" s="56" t="str">
        <f>IFERROR(VLOOKUP(June[[#This Row],[Drug Name9]],'Data Options'!$R$1:$S$100,2,FALSE), " ")</f>
        <v xml:space="preserve"> </v>
      </c>
      <c r="CI112" s="55"/>
      <c r="CJ112" s="32"/>
      <c r="CK112" s="32"/>
      <c r="CL112" s="55"/>
      <c r="CM112" s="32"/>
    </row>
    <row r="113" spans="1:91">
      <c r="A113" s="5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1"/>
      <c r="P113" s="31"/>
      <c r="Q113" s="54"/>
      <c r="R113" s="56" t="str">
        <f>IFERROR(VLOOKUP(June[[#This Row],[Drug Name]],'Data Options'!$R$1:$S$100,2,FALSE), " ")</f>
        <v xml:space="preserve"> </v>
      </c>
      <c r="S113" s="55"/>
      <c r="T113" s="32"/>
      <c r="U113" s="32"/>
      <c r="V113" s="55"/>
      <c r="W113" s="32"/>
      <c r="X113" s="54"/>
      <c r="Y113" s="56" t="str">
        <f>IFERROR(VLOOKUP(June[[#This Row],[Drug Name2]],'Data Options'!$R$1:$S$100,2,FALSE), " ")</f>
        <v xml:space="preserve"> </v>
      </c>
      <c r="Z113" s="55"/>
      <c r="AA113" s="32"/>
      <c r="AB113" s="32"/>
      <c r="AC113" s="55"/>
      <c r="AD113" s="32"/>
      <c r="AE113" s="54"/>
      <c r="AF113" s="56" t="str">
        <f>IFERROR(VLOOKUP(June[[#This Row],[Drug Name3]],'Data Options'!$R$1:$S$100,2,FALSE), " ")</f>
        <v xml:space="preserve"> </v>
      </c>
      <c r="AG113" s="55"/>
      <c r="AH113" s="32"/>
      <c r="AI113" s="32"/>
      <c r="AJ113" s="55"/>
      <c r="AK113" s="32"/>
      <c r="AL113" s="32"/>
      <c r="AM113" s="32"/>
      <c r="AN113" s="32"/>
      <c r="AO113" s="32"/>
      <c r="AP113" s="31"/>
      <c r="AQ113" s="31"/>
      <c r="AR113" s="54"/>
      <c r="AS113" s="56" t="str">
        <f>IFERROR(VLOOKUP(June[[#This Row],[Drug Name4]],'Data Options'!$R$1:$S$100,2,FALSE), " ")</f>
        <v xml:space="preserve"> </v>
      </c>
      <c r="AT113" s="55"/>
      <c r="AU113" s="32"/>
      <c r="AV113" s="32"/>
      <c r="AW113" s="55"/>
      <c r="AX113" s="32"/>
      <c r="AY113" s="54"/>
      <c r="AZ113" s="56" t="str">
        <f>IFERROR(VLOOKUP(June[[#This Row],[Drug Name5]],'Data Options'!$R$1:$S$100,2,FALSE), " ")</f>
        <v xml:space="preserve"> </v>
      </c>
      <c r="BA113" s="55"/>
      <c r="BB113" s="32"/>
      <c r="BC113" s="32"/>
      <c r="BD113" s="55"/>
      <c r="BE113" s="32"/>
      <c r="BF113" s="54"/>
      <c r="BG113" s="56" t="str">
        <f>IFERROR(VLOOKUP(June[[#This Row],[Drug Name6]],'Data Options'!$R$1:$S$100,2,FALSE), " ")</f>
        <v xml:space="preserve"> </v>
      </c>
      <c r="BH113" s="55"/>
      <c r="BI113" s="32"/>
      <c r="BJ113" s="32"/>
      <c r="BK113" s="55"/>
      <c r="BL113" s="32"/>
      <c r="BM113" s="32"/>
      <c r="BN113" s="32"/>
      <c r="BO113" s="32"/>
      <c r="BP113" s="32"/>
      <c r="BQ113" s="31"/>
      <c r="BR113" s="31"/>
      <c r="BS113" s="54"/>
      <c r="BT113" s="56" t="str">
        <f>IFERROR(VLOOKUP(June[[#This Row],[Drug Name7]],'Data Options'!$R$1:$S$100,2,FALSE), " ")</f>
        <v xml:space="preserve"> </v>
      </c>
      <c r="BU113" s="55"/>
      <c r="BV113" s="32"/>
      <c r="BW113" s="32"/>
      <c r="BX113" s="55"/>
      <c r="BY113" s="32"/>
      <c r="BZ113" s="54"/>
      <c r="CA113" s="56" t="str">
        <f>IFERROR(VLOOKUP(June[[#This Row],[Drug Name8]],'Data Options'!$R$1:$S$100,2,FALSE), " ")</f>
        <v xml:space="preserve"> </v>
      </c>
      <c r="CB113" s="55"/>
      <c r="CC113" s="32"/>
      <c r="CD113" s="32"/>
      <c r="CE113" s="55"/>
      <c r="CF113" s="32"/>
      <c r="CG113" s="54"/>
      <c r="CH113" s="56" t="str">
        <f>IFERROR(VLOOKUP(June[[#This Row],[Drug Name9]],'Data Options'!$R$1:$S$100,2,FALSE), " ")</f>
        <v xml:space="preserve"> </v>
      </c>
      <c r="CI113" s="55"/>
      <c r="CJ113" s="32"/>
      <c r="CK113" s="32"/>
      <c r="CL113" s="55"/>
      <c r="CM113" s="32"/>
    </row>
    <row r="114" spans="1:91">
      <c r="A114" s="5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1"/>
      <c r="P114" s="31"/>
      <c r="Q114" s="54"/>
      <c r="R114" s="56" t="str">
        <f>IFERROR(VLOOKUP(June[[#This Row],[Drug Name]],'Data Options'!$R$1:$S$100,2,FALSE), " ")</f>
        <v xml:space="preserve"> </v>
      </c>
      <c r="S114" s="55"/>
      <c r="T114" s="32"/>
      <c r="U114" s="32"/>
      <c r="V114" s="55"/>
      <c r="W114" s="32"/>
      <c r="X114" s="54"/>
      <c r="Y114" s="56" t="str">
        <f>IFERROR(VLOOKUP(June[[#This Row],[Drug Name2]],'Data Options'!$R$1:$S$100,2,FALSE), " ")</f>
        <v xml:space="preserve"> </v>
      </c>
      <c r="Z114" s="55"/>
      <c r="AA114" s="32"/>
      <c r="AB114" s="32"/>
      <c r="AC114" s="55"/>
      <c r="AD114" s="32"/>
      <c r="AE114" s="54"/>
      <c r="AF114" s="56" t="str">
        <f>IFERROR(VLOOKUP(June[[#This Row],[Drug Name3]],'Data Options'!$R$1:$S$100,2,FALSE), " ")</f>
        <v xml:space="preserve"> </v>
      </c>
      <c r="AG114" s="55"/>
      <c r="AH114" s="32"/>
      <c r="AI114" s="32"/>
      <c r="AJ114" s="55"/>
      <c r="AK114" s="32"/>
      <c r="AL114" s="32"/>
      <c r="AM114" s="32"/>
      <c r="AN114" s="32"/>
      <c r="AO114" s="32"/>
      <c r="AP114" s="31"/>
      <c r="AQ114" s="31"/>
      <c r="AR114" s="54"/>
      <c r="AS114" s="56" t="str">
        <f>IFERROR(VLOOKUP(June[[#This Row],[Drug Name4]],'Data Options'!$R$1:$S$100,2,FALSE), " ")</f>
        <v xml:space="preserve"> </v>
      </c>
      <c r="AT114" s="55"/>
      <c r="AU114" s="32"/>
      <c r="AV114" s="32"/>
      <c r="AW114" s="55"/>
      <c r="AX114" s="32"/>
      <c r="AY114" s="54"/>
      <c r="AZ114" s="56" t="str">
        <f>IFERROR(VLOOKUP(June[[#This Row],[Drug Name5]],'Data Options'!$R$1:$S$100,2,FALSE), " ")</f>
        <v xml:space="preserve"> </v>
      </c>
      <c r="BA114" s="55"/>
      <c r="BB114" s="32"/>
      <c r="BC114" s="32"/>
      <c r="BD114" s="55"/>
      <c r="BE114" s="32"/>
      <c r="BF114" s="54"/>
      <c r="BG114" s="56" t="str">
        <f>IFERROR(VLOOKUP(June[[#This Row],[Drug Name6]],'Data Options'!$R$1:$S$100,2,FALSE), " ")</f>
        <v xml:space="preserve"> </v>
      </c>
      <c r="BH114" s="55"/>
      <c r="BI114" s="32"/>
      <c r="BJ114" s="32"/>
      <c r="BK114" s="55"/>
      <c r="BL114" s="32"/>
      <c r="BM114" s="32"/>
      <c r="BN114" s="32"/>
      <c r="BO114" s="32"/>
      <c r="BP114" s="32"/>
      <c r="BQ114" s="31"/>
      <c r="BR114" s="31"/>
      <c r="BS114" s="54"/>
      <c r="BT114" s="56" t="str">
        <f>IFERROR(VLOOKUP(June[[#This Row],[Drug Name7]],'Data Options'!$R$1:$S$100,2,FALSE), " ")</f>
        <v xml:space="preserve"> </v>
      </c>
      <c r="BU114" s="55"/>
      <c r="BV114" s="32"/>
      <c r="BW114" s="32"/>
      <c r="BX114" s="55"/>
      <c r="BY114" s="32"/>
      <c r="BZ114" s="54"/>
      <c r="CA114" s="56" t="str">
        <f>IFERROR(VLOOKUP(June[[#This Row],[Drug Name8]],'Data Options'!$R$1:$S$100,2,FALSE), " ")</f>
        <v xml:space="preserve"> </v>
      </c>
      <c r="CB114" s="55"/>
      <c r="CC114" s="32"/>
      <c r="CD114" s="32"/>
      <c r="CE114" s="55"/>
      <c r="CF114" s="32"/>
      <c r="CG114" s="54"/>
      <c r="CH114" s="56" t="str">
        <f>IFERROR(VLOOKUP(June[[#This Row],[Drug Name9]],'Data Options'!$R$1:$S$100,2,FALSE), " ")</f>
        <v xml:space="preserve"> </v>
      </c>
      <c r="CI114" s="55"/>
      <c r="CJ114" s="32"/>
      <c r="CK114" s="32"/>
      <c r="CL114" s="55"/>
      <c r="CM114" s="32"/>
    </row>
    <row r="115" spans="1:91">
      <c r="A115" s="5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1"/>
      <c r="P115" s="31"/>
      <c r="Q115" s="54"/>
      <c r="R115" s="56" t="str">
        <f>IFERROR(VLOOKUP(June[[#This Row],[Drug Name]],'Data Options'!$R$1:$S$100,2,FALSE), " ")</f>
        <v xml:space="preserve"> </v>
      </c>
      <c r="S115" s="55"/>
      <c r="T115" s="32"/>
      <c r="U115" s="32"/>
      <c r="V115" s="55"/>
      <c r="W115" s="32"/>
      <c r="X115" s="54"/>
      <c r="Y115" s="56" t="str">
        <f>IFERROR(VLOOKUP(June[[#This Row],[Drug Name2]],'Data Options'!$R$1:$S$100,2,FALSE), " ")</f>
        <v xml:space="preserve"> </v>
      </c>
      <c r="Z115" s="55"/>
      <c r="AA115" s="32"/>
      <c r="AB115" s="32"/>
      <c r="AC115" s="55"/>
      <c r="AD115" s="32"/>
      <c r="AE115" s="54"/>
      <c r="AF115" s="56" t="str">
        <f>IFERROR(VLOOKUP(June[[#This Row],[Drug Name3]],'Data Options'!$R$1:$S$100,2,FALSE), " ")</f>
        <v xml:space="preserve"> </v>
      </c>
      <c r="AG115" s="55"/>
      <c r="AH115" s="32"/>
      <c r="AI115" s="32"/>
      <c r="AJ115" s="55"/>
      <c r="AK115" s="32"/>
      <c r="AL115" s="32"/>
      <c r="AM115" s="32"/>
      <c r="AN115" s="32"/>
      <c r="AO115" s="32"/>
      <c r="AP115" s="31"/>
      <c r="AQ115" s="31"/>
      <c r="AR115" s="54"/>
      <c r="AS115" s="56" t="str">
        <f>IFERROR(VLOOKUP(June[[#This Row],[Drug Name4]],'Data Options'!$R$1:$S$100,2,FALSE), " ")</f>
        <v xml:space="preserve"> </v>
      </c>
      <c r="AT115" s="55"/>
      <c r="AU115" s="32"/>
      <c r="AV115" s="32"/>
      <c r="AW115" s="55"/>
      <c r="AX115" s="32"/>
      <c r="AY115" s="54"/>
      <c r="AZ115" s="56" t="str">
        <f>IFERROR(VLOOKUP(June[[#This Row],[Drug Name5]],'Data Options'!$R$1:$S$100,2,FALSE), " ")</f>
        <v xml:space="preserve"> </v>
      </c>
      <c r="BA115" s="55"/>
      <c r="BB115" s="32"/>
      <c r="BC115" s="32"/>
      <c r="BD115" s="55"/>
      <c r="BE115" s="32"/>
      <c r="BF115" s="54"/>
      <c r="BG115" s="56" t="str">
        <f>IFERROR(VLOOKUP(June[[#This Row],[Drug Name6]],'Data Options'!$R$1:$S$100,2,FALSE), " ")</f>
        <v xml:space="preserve"> </v>
      </c>
      <c r="BH115" s="55"/>
      <c r="BI115" s="32"/>
      <c r="BJ115" s="32"/>
      <c r="BK115" s="55"/>
      <c r="BL115" s="32"/>
      <c r="BM115" s="32"/>
      <c r="BN115" s="32"/>
      <c r="BO115" s="32"/>
      <c r="BP115" s="32"/>
      <c r="BQ115" s="31"/>
      <c r="BR115" s="31"/>
      <c r="BS115" s="54"/>
      <c r="BT115" s="56" t="str">
        <f>IFERROR(VLOOKUP(June[[#This Row],[Drug Name7]],'Data Options'!$R$1:$S$100,2,FALSE), " ")</f>
        <v xml:space="preserve"> </v>
      </c>
      <c r="BU115" s="55"/>
      <c r="BV115" s="32"/>
      <c r="BW115" s="32"/>
      <c r="BX115" s="55"/>
      <c r="BY115" s="32"/>
      <c r="BZ115" s="54"/>
      <c r="CA115" s="56" t="str">
        <f>IFERROR(VLOOKUP(June[[#This Row],[Drug Name8]],'Data Options'!$R$1:$S$100,2,FALSE), " ")</f>
        <v xml:space="preserve"> </v>
      </c>
      <c r="CB115" s="55"/>
      <c r="CC115" s="32"/>
      <c r="CD115" s="32"/>
      <c r="CE115" s="55"/>
      <c r="CF115" s="32"/>
      <c r="CG115" s="54"/>
      <c r="CH115" s="56" t="str">
        <f>IFERROR(VLOOKUP(June[[#This Row],[Drug Name9]],'Data Options'!$R$1:$S$100,2,FALSE), " ")</f>
        <v xml:space="preserve"> </v>
      </c>
      <c r="CI115" s="55"/>
      <c r="CJ115" s="32"/>
      <c r="CK115" s="32"/>
      <c r="CL115" s="55"/>
      <c r="CM115" s="32"/>
    </row>
    <row r="116" spans="1:91">
      <c r="A116" s="5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1"/>
      <c r="P116" s="31"/>
      <c r="Q116" s="54"/>
      <c r="R116" s="56" t="str">
        <f>IFERROR(VLOOKUP(June[[#This Row],[Drug Name]],'Data Options'!$R$1:$S$100,2,FALSE), " ")</f>
        <v xml:space="preserve"> </v>
      </c>
      <c r="S116" s="55"/>
      <c r="T116" s="32"/>
      <c r="U116" s="32"/>
      <c r="V116" s="55"/>
      <c r="W116" s="32"/>
      <c r="X116" s="54"/>
      <c r="Y116" s="56" t="str">
        <f>IFERROR(VLOOKUP(June[[#This Row],[Drug Name2]],'Data Options'!$R$1:$S$100,2,FALSE), " ")</f>
        <v xml:space="preserve"> </v>
      </c>
      <c r="Z116" s="55"/>
      <c r="AA116" s="32"/>
      <c r="AB116" s="32"/>
      <c r="AC116" s="55"/>
      <c r="AD116" s="32"/>
      <c r="AE116" s="54"/>
      <c r="AF116" s="56" t="str">
        <f>IFERROR(VLOOKUP(June[[#This Row],[Drug Name3]],'Data Options'!$R$1:$S$100,2,FALSE), " ")</f>
        <v xml:space="preserve"> </v>
      </c>
      <c r="AG116" s="55"/>
      <c r="AH116" s="32"/>
      <c r="AI116" s="32"/>
      <c r="AJ116" s="55"/>
      <c r="AK116" s="32"/>
      <c r="AL116" s="32"/>
      <c r="AM116" s="32"/>
      <c r="AN116" s="32"/>
      <c r="AO116" s="32"/>
      <c r="AP116" s="31"/>
      <c r="AQ116" s="31"/>
      <c r="AR116" s="54"/>
      <c r="AS116" s="56" t="str">
        <f>IFERROR(VLOOKUP(June[[#This Row],[Drug Name4]],'Data Options'!$R$1:$S$100,2,FALSE), " ")</f>
        <v xml:space="preserve"> </v>
      </c>
      <c r="AT116" s="55"/>
      <c r="AU116" s="32"/>
      <c r="AV116" s="32"/>
      <c r="AW116" s="55"/>
      <c r="AX116" s="32"/>
      <c r="AY116" s="54"/>
      <c r="AZ116" s="56" t="str">
        <f>IFERROR(VLOOKUP(June[[#This Row],[Drug Name5]],'Data Options'!$R$1:$S$100,2,FALSE), " ")</f>
        <v xml:space="preserve"> </v>
      </c>
      <c r="BA116" s="55"/>
      <c r="BB116" s="32"/>
      <c r="BC116" s="32"/>
      <c r="BD116" s="55"/>
      <c r="BE116" s="32"/>
      <c r="BF116" s="54"/>
      <c r="BG116" s="56" t="str">
        <f>IFERROR(VLOOKUP(June[[#This Row],[Drug Name6]],'Data Options'!$R$1:$S$100,2,FALSE), " ")</f>
        <v xml:space="preserve"> </v>
      </c>
      <c r="BH116" s="55"/>
      <c r="BI116" s="32"/>
      <c r="BJ116" s="32"/>
      <c r="BK116" s="55"/>
      <c r="BL116" s="32"/>
      <c r="BM116" s="32"/>
      <c r="BN116" s="32"/>
      <c r="BO116" s="32"/>
      <c r="BP116" s="32"/>
      <c r="BQ116" s="31"/>
      <c r="BR116" s="31"/>
      <c r="BS116" s="54"/>
      <c r="BT116" s="56" t="str">
        <f>IFERROR(VLOOKUP(June[[#This Row],[Drug Name7]],'Data Options'!$R$1:$S$100,2,FALSE), " ")</f>
        <v xml:space="preserve"> </v>
      </c>
      <c r="BU116" s="55"/>
      <c r="BV116" s="32"/>
      <c r="BW116" s="32"/>
      <c r="BX116" s="55"/>
      <c r="BY116" s="32"/>
      <c r="BZ116" s="54"/>
      <c r="CA116" s="56" t="str">
        <f>IFERROR(VLOOKUP(June[[#This Row],[Drug Name8]],'Data Options'!$R$1:$S$100,2,FALSE), " ")</f>
        <v xml:space="preserve"> </v>
      </c>
      <c r="CB116" s="55"/>
      <c r="CC116" s="32"/>
      <c r="CD116" s="32"/>
      <c r="CE116" s="55"/>
      <c r="CF116" s="32"/>
      <c r="CG116" s="54"/>
      <c r="CH116" s="56" t="str">
        <f>IFERROR(VLOOKUP(June[[#This Row],[Drug Name9]],'Data Options'!$R$1:$S$100,2,FALSE), " ")</f>
        <v xml:space="preserve"> </v>
      </c>
      <c r="CI116" s="55"/>
      <c r="CJ116" s="32"/>
      <c r="CK116" s="32"/>
      <c r="CL116" s="55"/>
      <c r="CM116" s="32"/>
    </row>
    <row r="117" spans="1:91">
      <c r="A117" s="5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1"/>
      <c r="P117" s="31"/>
      <c r="Q117" s="54"/>
      <c r="R117" s="56" t="str">
        <f>IFERROR(VLOOKUP(June[[#This Row],[Drug Name]],'Data Options'!$R$1:$S$100,2,FALSE), " ")</f>
        <v xml:space="preserve"> </v>
      </c>
      <c r="S117" s="55"/>
      <c r="T117" s="32"/>
      <c r="U117" s="32"/>
      <c r="V117" s="55"/>
      <c r="W117" s="32"/>
      <c r="X117" s="54"/>
      <c r="Y117" s="56" t="str">
        <f>IFERROR(VLOOKUP(June[[#This Row],[Drug Name2]],'Data Options'!$R$1:$S$100,2,FALSE), " ")</f>
        <v xml:space="preserve"> </v>
      </c>
      <c r="Z117" s="55"/>
      <c r="AA117" s="32"/>
      <c r="AB117" s="32"/>
      <c r="AC117" s="55"/>
      <c r="AD117" s="32"/>
      <c r="AE117" s="54"/>
      <c r="AF117" s="56" t="str">
        <f>IFERROR(VLOOKUP(June[[#This Row],[Drug Name3]],'Data Options'!$R$1:$S$100,2,FALSE), " ")</f>
        <v xml:space="preserve"> </v>
      </c>
      <c r="AG117" s="55"/>
      <c r="AH117" s="32"/>
      <c r="AI117" s="32"/>
      <c r="AJ117" s="55"/>
      <c r="AK117" s="32"/>
      <c r="AL117" s="32"/>
      <c r="AM117" s="32"/>
      <c r="AN117" s="32"/>
      <c r="AO117" s="32"/>
      <c r="AP117" s="31"/>
      <c r="AQ117" s="31"/>
      <c r="AR117" s="54"/>
      <c r="AS117" s="56" t="str">
        <f>IFERROR(VLOOKUP(June[[#This Row],[Drug Name4]],'Data Options'!$R$1:$S$100,2,FALSE), " ")</f>
        <v xml:space="preserve"> </v>
      </c>
      <c r="AT117" s="55"/>
      <c r="AU117" s="32"/>
      <c r="AV117" s="32"/>
      <c r="AW117" s="55"/>
      <c r="AX117" s="32"/>
      <c r="AY117" s="54"/>
      <c r="AZ117" s="56" t="str">
        <f>IFERROR(VLOOKUP(June[[#This Row],[Drug Name5]],'Data Options'!$R$1:$S$100,2,FALSE), " ")</f>
        <v xml:space="preserve"> </v>
      </c>
      <c r="BA117" s="55"/>
      <c r="BB117" s="32"/>
      <c r="BC117" s="32"/>
      <c r="BD117" s="55"/>
      <c r="BE117" s="32"/>
      <c r="BF117" s="54"/>
      <c r="BG117" s="56" t="str">
        <f>IFERROR(VLOOKUP(June[[#This Row],[Drug Name6]],'Data Options'!$R$1:$S$100,2,FALSE), " ")</f>
        <v xml:space="preserve"> </v>
      </c>
      <c r="BH117" s="55"/>
      <c r="BI117" s="32"/>
      <c r="BJ117" s="32"/>
      <c r="BK117" s="55"/>
      <c r="BL117" s="32"/>
      <c r="BM117" s="32"/>
      <c r="BN117" s="32"/>
      <c r="BO117" s="32"/>
      <c r="BP117" s="32"/>
      <c r="BQ117" s="31"/>
      <c r="BR117" s="31"/>
      <c r="BS117" s="54"/>
      <c r="BT117" s="56" t="str">
        <f>IFERROR(VLOOKUP(June[[#This Row],[Drug Name7]],'Data Options'!$R$1:$S$100,2,FALSE), " ")</f>
        <v xml:space="preserve"> </v>
      </c>
      <c r="BU117" s="55"/>
      <c r="BV117" s="32"/>
      <c r="BW117" s="32"/>
      <c r="BX117" s="55"/>
      <c r="BY117" s="32"/>
      <c r="BZ117" s="54"/>
      <c r="CA117" s="56" t="str">
        <f>IFERROR(VLOOKUP(June[[#This Row],[Drug Name8]],'Data Options'!$R$1:$S$100,2,FALSE), " ")</f>
        <v xml:space="preserve"> </v>
      </c>
      <c r="CB117" s="55"/>
      <c r="CC117" s="32"/>
      <c r="CD117" s="32"/>
      <c r="CE117" s="55"/>
      <c r="CF117" s="32"/>
      <c r="CG117" s="54"/>
      <c r="CH117" s="56" t="str">
        <f>IFERROR(VLOOKUP(June[[#This Row],[Drug Name9]],'Data Options'!$R$1:$S$100,2,FALSE), " ")</f>
        <v xml:space="preserve"> </v>
      </c>
      <c r="CI117" s="55"/>
      <c r="CJ117" s="32"/>
      <c r="CK117" s="32"/>
      <c r="CL117" s="55"/>
      <c r="CM117" s="32"/>
    </row>
    <row r="118" spans="1:91">
      <c r="A118" s="5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/>
      <c r="P118" s="31"/>
      <c r="Q118" s="54"/>
      <c r="R118" s="56" t="str">
        <f>IFERROR(VLOOKUP(June[[#This Row],[Drug Name]],'Data Options'!$R$1:$S$100,2,FALSE), " ")</f>
        <v xml:space="preserve"> </v>
      </c>
      <c r="S118" s="55"/>
      <c r="T118" s="32"/>
      <c r="U118" s="32"/>
      <c r="V118" s="55"/>
      <c r="W118" s="32"/>
      <c r="X118" s="54"/>
      <c r="Y118" s="56" t="str">
        <f>IFERROR(VLOOKUP(June[[#This Row],[Drug Name2]],'Data Options'!$R$1:$S$100,2,FALSE), " ")</f>
        <v xml:space="preserve"> </v>
      </c>
      <c r="Z118" s="55"/>
      <c r="AA118" s="32"/>
      <c r="AB118" s="32"/>
      <c r="AC118" s="55"/>
      <c r="AD118" s="32"/>
      <c r="AE118" s="54"/>
      <c r="AF118" s="56" t="str">
        <f>IFERROR(VLOOKUP(June[[#This Row],[Drug Name3]],'Data Options'!$R$1:$S$100,2,FALSE), " ")</f>
        <v xml:space="preserve"> </v>
      </c>
      <c r="AG118" s="55"/>
      <c r="AH118" s="32"/>
      <c r="AI118" s="32"/>
      <c r="AJ118" s="55"/>
      <c r="AK118" s="32"/>
      <c r="AL118" s="32"/>
      <c r="AM118" s="32"/>
      <c r="AN118" s="32"/>
      <c r="AO118" s="32"/>
      <c r="AP118" s="31"/>
      <c r="AQ118" s="31"/>
      <c r="AR118" s="54"/>
      <c r="AS118" s="56" t="str">
        <f>IFERROR(VLOOKUP(June[[#This Row],[Drug Name4]],'Data Options'!$R$1:$S$100,2,FALSE), " ")</f>
        <v xml:space="preserve"> </v>
      </c>
      <c r="AT118" s="55"/>
      <c r="AU118" s="32"/>
      <c r="AV118" s="32"/>
      <c r="AW118" s="55"/>
      <c r="AX118" s="32"/>
      <c r="AY118" s="54"/>
      <c r="AZ118" s="56" t="str">
        <f>IFERROR(VLOOKUP(June[[#This Row],[Drug Name5]],'Data Options'!$R$1:$S$100,2,FALSE), " ")</f>
        <v xml:space="preserve"> </v>
      </c>
      <c r="BA118" s="55"/>
      <c r="BB118" s="32"/>
      <c r="BC118" s="32"/>
      <c r="BD118" s="55"/>
      <c r="BE118" s="32"/>
      <c r="BF118" s="54"/>
      <c r="BG118" s="56" t="str">
        <f>IFERROR(VLOOKUP(June[[#This Row],[Drug Name6]],'Data Options'!$R$1:$S$100,2,FALSE), " ")</f>
        <v xml:space="preserve"> </v>
      </c>
      <c r="BH118" s="55"/>
      <c r="BI118" s="32"/>
      <c r="BJ118" s="32"/>
      <c r="BK118" s="55"/>
      <c r="BL118" s="32"/>
      <c r="BM118" s="32"/>
      <c r="BN118" s="32"/>
      <c r="BO118" s="32"/>
      <c r="BP118" s="32"/>
      <c r="BQ118" s="31"/>
      <c r="BR118" s="31"/>
      <c r="BS118" s="54"/>
      <c r="BT118" s="56" t="str">
        <f>IFERROR(VLOOKUP(June[[#This Row],[Drug Name7]],'Data Options'!$R$1:$S$100,2,FALSE), " ")</f>
        <v xml:space="preserve"> </v>
      </c>
      <c r="BU118" s="55"/>
      <c r="BV118" s="32"/>
      <c r="BW118" s="32"/>
      <c r="BX118" s="55"/>
      <c r="BY118" s="32"/>
      <c r="BZ118" s="54"/>
      <c r="CA118" s="56" t="str">
        <f>IFERROR(VLOOKUP(June[[#This Row],[Drug Name8]],'Data Options'!$R$1:$S$100,2,FALSE), " ")</f>
        <v xml:space="preserve"> </v>
      </c>
      <c r="CB118" s="55"/>
      <c r="CC118" s="32"/>
      <c r="CD118" s="32"/>
      <c r="CE118" s="55"/>
      <c r="CF118" s="32"/>
      <c r="CG118" s="54"/>
      <c r="CH118" s="56" t="str">
        <f>IFERROR(VLOOKUP(June[[#This Row],[Drug Name9]],'Data Options'!$R$1:$S$100,2,FALSE), " ")</f>
        <v xml:space="preserve"> </v>
      </c>
      <c r="CI118" s="55"/>
      <c r="CJ118" s="32"/>
      <c r="CK118" s="32"/>
      <c r="CL118" s="55"/>
      <c r="CM118" s="32"/>
    </row>
    <row r="119" spans="1:91">
      <c r="A119" s="5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1"/>
      <c r="P119" s="31"/>
      <c r="Q119" s="54"/>
      <c r="R119" s="56" t="str">
        <f>IFERROR(VLOOKUP(June[[#This Row],[Drug Name]],'Data Options'!$R$1:$S$100,2,FALSE), " ")</f>
        <v xml:space="preserve"> </v>
      </c>
      <c r="S119" s="55"/>
      <c r="T119" s="32"/>
      <c r="U119" s="32"/>
      <c r="V119" s="55"/>
      <c r="W119" s="32"/>
      <c r="X119" s="54"/>
      <c r="Y119" s="56" t="str">
        <f>IFERROR(VLOOKUP(June[[#This Row],[Drug Name2]],'Data Options'!$R$1:$S$100,2,FALSE), " ")</f>
        <v xml:space="preserve"> </v>
      </c>
      <c r="Z119" s="55"/>
      <c r="AA119" s="32"/>
      <c r="AB119" s="32"/>
      <c r="AC119" s="55"/>
      <c r="AD119" s="32"/>
      <c r="AE119" s="54"/>
      <c r="AF119" s="56" t="str">
        <f>IFERROR(VLOOKUP(June[[#This Row],[Drug Name3]],'Data Options'!$R$1:$S$100,2,FALSE), " ")</f>
        <v xml:space="preserve"> </v>
      </c>
      <c r="AG119" s="55"/>
      <c r="AH119" s="32"/>
      <c r="AI119" s="32"/>
      <c r="AJ119" s="55"/>
      <c r="AK119" s="32"/>
      <c r="AL119" s="32"/>
      <c r="AM119" s="32"/>
      <c r="AN119" s="32"/>
      <c r="AO119" s="32"/>
      <c r="AP119" s="31"/>
      <c r="AQ119" s="31"/>
      <c r="AR119" s="54"/>
      <c r="AS119" s="56" t="str">
        <f>IFERROR(VLOOKUP(June[[#This Row],[Drug Name4]],'Data Options'!$R$1:$S$100,2,FALSE), " ")</f>
        <v xml:space="preserve"> </v>
      </c>
      <c r="AT119" s="55"/>
      <c r="AU119" s="32"/>
      <c r="AV119" s="32"/>
      <c r="AW119" s="55"/>
      <c r="AX119" s="32"/>
      <c r="AY119" s="54"/>
      <c r="AZ119" s="56" t="str">
        <f>IFERROR(VLOOKUP(June[[#This Row],[Drug Name5]],'Data Options'!$R$1:$S$100,2,FALSE), " ")</f>
        <v xml:space="preserve"> </v>
      </c>
      <c r="BA119" s="55"/>
      <c r="BB119" s="32"/>
      <c r="BC119" s="32"/>
      <c r="BD119" s="55"/>
      <c r="BE119" s="32"/>
      <c r="BF119" s="54"/>
      <c r="BG119" s="56" t="str">
        <f>IFERROR(VLOOKUP(June[[#This Row],[Drug Name6]],'Data Options'!$R$1:$S$100,2,FALSE), " ")</f>
        <v xml:space="preserve"> </v>
      </c>
      <c r="BH119" s="55"/>
      <c r="BI119" s="32"/>
      <c r="BJ119" s="32"/>
      <c r="BK119" s="55"/>
      <c r="BL119" s="32"/>
      <c r="BM119" s="32"/>
      <c r="BN119" s="32"/>
      <c r="BO119" s="32"/>
      <c r="BP119" s="32"/>
      <c r="BQ119" s="31"/>
      <c r="BR119" s="31"/>
      <c r="BS119" s="54"/>
      <c r="BT119" s="56" t="str">
        <f>IFERROR(VLOOKUP(June[[#This Row],[Drug Name7]],'Data Options'!$R$1:$S$100,2,FALSE), " ")</f>
        <v xml:space="preserve"> </v>
      </c>
      <c r="BU119" s="55"/>
      <c r="BV119" s="32"/>
      <c r="BW119" s="32"/>
      <c r="BX119" s="55"/>
      <c r="BY119" s="32"/>
      <c r="BZ119" s="54"/>
      <c r="CA119" s="56" t="str">
        <f>IFERROR(VLOOKUP(June[[#This Row],[Drug Name8]],'Data Options'!$R$1:$S$100,2,FALSE), " ")</f>
        <v xml:space="preserve"> </v>
      </c>
      <c r="CB119" s="55"/>
      <c r="CC119" s="32"/>
      <c r="CD119" s="32"/>
      <c r="CE119" s="55"/>
      <c r="CF119" s="32"/>
      <c r="CG119" s="54"/>
      <c r="CH119" s="56" t="str">
        <f>IFERROR(VLOOKUP(June[[#This Row],[Drug Name9]],'Data Options'!$R$1:$S$100,2,FALSE), " ")</f>
        <v xml:space="preserve"> </v>
      </c>
      <c r="CI119" s="55"/>
      <c r="CJ119" s="32"/>
      <c r="CK119" s="32"/>
      <c r="CL119" s="55"/>
      <c r="CM119" s="32"/>
    </row>
    <row r="120" spans="1:91">
      <c r="A120" s="5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/>
      <c r="P120" s="31"/>
      <c r="Q120" s="54"/>
      <c r="R120" s="56" t="str">
        <f>IFERROR(VLOOKUP(June[[#This Row],[Drug Name]],'Data Options'!$R$1:$S$100,2,FALSE), " ")</f>
        <v xml:space="preserve"> </v>
      </c>
      <c r="S120" s="55"/>
      <c r="T120" s="32"/>
      <c r="U120" s="32"/>
      <c r="V120" s="55"/>
      <c r="W120" s="32"/>
      <c r="X120" s="54"/>
      <c r="Y120" s="56" t="str">
        <f>IFERROR(VLOOKUP(June[[#This Row],[Drug Name2]],'Data Options'!$R$1:$S$100,2,FALSE), " ")</f>
        <v xml:space="preserve"> </v>
      </c>
      <c r="Z120" s="55"/>
      <c r="AA120" s="32"/>
      <c r="AB120" s="32"/>
      <c r="AC120" s="55"/>
      <c r="AD120" s="32"/>
      <c r="AE120" s="54"/>
      <c r="AF120" s="56" t="str">
        <f>IFERROR(VLOOKUP(June[[#This Row],[Drug Name3]],'Data Options'!$R$1:$S$100,2,FALSE), " ")</f>
        <v xml:space="preserve"> </v>
      </c>
      <c r="AG120" s="55"/>
      <c r="AH120" s="32"/>
      <c r="AI120" s="32"/>
      <c r="AJ120" s="55"/>
      <c r="AK120" s="32"/>
      <c r="AL120" s="32"/>
      <c r="AM120" s="32"/>
      <c r="AN120" s="32"/>
      <c r="AO120" s="32"/>
      <c r="AP120" s="31"/>
      <c r="AQ120" s="31"/>
      <c r="AR120" s="54"/>
      <c r="AS120" s="56" t="str">
        <f>IFERROR(VLOOKUP(June[[#This Row],[Drug Name4]],'Data Options'!$R$1:$S$100,2,FALSE), " ")</f>
        <v xml:space="preserve"> </v>
      </c>
      <c r="AT120" s="55"/>
      <c r="AU120" s="32"/>
      <c r="AV120" s="32"/>
      <c r="AW120" s="55"/>
      <c r="AX120" s="32"/>
      <c r="AY120" s="54"/>
      <c r="AZ120" s="56" t="str">
        <f>IFERROR(VLOOKUP(June[[#This Row],[Drug Name5]],'Data Options'!$R$1:$S$100,2,FALSE), " ")</f>
        <v xml:space="preserve"> </v>
      </c>
      <c r="BA120" s="55"/>
      <c r="BB120" s="32"/>
      <c r="BC120" s="32"/>
      <c r="BD120" s="55"/>
      <c r="BE120" s="32"/>
      <c r="BF120" s="54"/>
      <c r="BG120" s="56" t="str">
        <f>IFERROR(VLOOKUP(June[[#This Row],[Drug Name6]],'Data Options'!$R$1:$S$100,2,FALSE), " ")</f>
        <v xml:space="preserve"> </v>
      </c>
      <c r="BH120" s="55"/>
      <c r="BI120" s="32"/>
      <c r="BJ120" s="32"/>
      <c r="BK120" s="55"/>
      <c r="BL120" s="32"/>
      <c r="BM120" s="32"/>
      <c r="BN120" s="32"/>
      <c r="BO120" s="32"/>
      <c r="BP120" s="32"/>
      <c r="BQ120" s="31"/>
      <c r="BR120" s="31"/>
      <c r="BS120" s="54"/>
      <c r="BT120" s="56" t="str">
        <f>IFERROR(VLOOKUP(June[[#This Row],[Drug Name7]],'Data Options'!$R$1:$S$100,2,FALSE), " ")</f>
        <v xml:space="preserve"> </v>
      </c>
      <c r="BU120" s="55"/>
      <c r="BV120" s="32"/>
      <c r="BW120" s="32"/>
      <c r="BX120" s="55"/>
      <c r="BY120" s="32"/>
      <c r="BZ120" s="54"/>
      <c r="CA120" s="56" t="str">
        <f>IFERROR(VLOOKUP(June[[#This Row],[Drug Name8]],'Data Options'!$R$1:$S$100,2,FALSE), " ")</f>
        <v xml:space="preserve"> </v>
      </c>
      <c r="CB120" s="55"/>
      <c r="CC120" s="32"/>
      <c r="CD120" s="32"/>
      <c r="CE120" s="55"/>
      <c r="CF120" s="32"/>
      <c r="CG120" s="54"/>
      <c r="CH120" s="56" t="str">
        <f>IFERROR(VLOOKUP(June[[#This Row],[Drug Name9]],'Data Options'!$R$1:$S$100,2,FALSE), " ")</f>
        <v xml:space="preserve"> </v>
      </c>
      <c r="CI120" s="55"/>
      <c r="CJ120" s="32"/>
      <c r="CK120" s="32"/>
      <c r="CL120" s="55"/>
      <c r="CM120" s="32"/>
    </row>
    <row r="121" spans="1:91">
      <c r="A121" s="5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1"/>
      <c r="P121" s="31"/>
      <c r="Q121" s="54"/>
      <c r="R121" s="56" t="str">
        <f>IFERROR(VLOOKUP(June[[#This Row],[Drug Name]],'Data Options'!$R$1:$S$100,2,FALSE), " ")</f>
        <v xml:space="preserve"> </v>
      </c>
      <c r="S121" s="55"/>
      <c r="T121" s="32"/>
      <c r="U121" s="32"/>
      <c r="V121" s="55"/>
      <c r="W121" s="32"/>
      <c r="X121" s="54"/>
      <c r="Y121" s="56" t="str">
        <f>IFERROR(VLOOKUP(June[[#This Row],[Drug Name2]],'Data Options'!$R$1:$S$100,2,FALSE), " ")</f>
        <v xml:space="preserve"> </v>
      </c>
      <c r="Z121" s="55"/>
      <c r="AA121" s="32"/>
      <c r="AB121" s="32"/>
      <c r="AC121" s="55"/>
      <c r="AD121" s="32"/>
      <c r="AE121" s="54"/>
      <c r="AF121" s="56" t="str">
        <f>IFERROR(VLOOKUP(June[[#This Row],[Drug Name3]],'Data Options'!$R$1:$S$100,2,FALSE), " ")</f>
        <v xml:space="preserve"> </v>
      </c>
      <c r="AG121" s="55"/>
      <c r="AH121" s="32"/>
      <c r="AI121" s="32"/>
      <c r="AJ121" s="55"/>
      <c r="AK121" s="32"/>
      <c r="AL121" s="32"/>
      <c r="AM121" s="32"/>
      <c r="AN121" s="32"/>
      <c r="AO121" s="32"/>
      <c r="AP121" s="31"/>
      <c r="AQ121" s="31"/>
      <c r="AR121" s="54"/>
      <c r="AS121" s="56" t="str">
        <f>IFERROR(VLOOKUP(June[[#This Row],[Drug Name4]],'Data Options'!$R$1:$S$100,2,FALSE), " ")</f>
        <v xml:space="preserve"> </v>
      </c>
      <c r="AT121" s="55"/>
      <c r="AU121" s="32"/>
      <c r="AV121" s="32"/>
      <c r="AW121" s="55"/>
      <c r="AX121" s="32"/>
      <c r="AY121" s="54"/>
      <c r="AZ121" s="56" t="str">
        <f>IFERROR(VLOOKUP(June[[#This Row],[Drug Name5]],'Data Options'!$R$1:$S$100,2,FALSE), " ")</f>
        <v xml:space="preserve"> </v>
      </c>
      <c r="BA121" s="55"/>
      <c r="BB121" s="32"/>
      <c r="BC121" s="32"/>
      <c r="BD121" s="55"/>
      <c r="BE121" s="32"/>
      <c r="BF121" s="54"/>
      <c r="BG121" s="56" t="str">
        <f>IFERROR(VLOOKUP(June[[#This Row],[Drug Name6]],'Data Options'!$R$1:$S$100,2,FALSE), " ")</f>
        <v xml:space="preserve"> </v>
      </c>
      <c r="BH121" s="55"/>
      <c r="BI121" s="32"/>
      <c r="BJ121" s="32"/>
      <c r="BK121" s="55"/>
      <c r="BL121" s="32"/>
      <c r="BM121" s="32"/>
      <c r="BN121" s="32"/>
      <c r="BO121" s="32"/>
      <c r="BP121" s="32"/>
      <c r="BQ121" s="31"/>
      <c r="BR121" s="31"/>
      <c r="BS121" s="54"/>
      <c r="BT121" s="56" t="str">
        <f>IFERROR(VLOOKUP(June[[#This Row],[Drug Name7]],'Data Options'!$R$1:$S$100,2,FALSE), " ")</f>
        <v xml:space="preserve"> </v>
      </c>
      <c r="BU121" s="55"/>
      <c r="BV121" s="32"/>
      <c r="BW121" s="32"/>
      <c r="BX121" s="55"/>
      <c r="BY121" s="32"/>
      <c r="BZ121" s="54"/>
      <c r="CA121" s="56" t="str">
        <f>IFERROR(VLOOKUP(June[[#This Row],[Drug Name8]],'Data Options'!$R$1:$S$100,2,FALSE), " ")</f>
        <v xml:space="preserve"> </v>
      </c>
      <c r="CB121" s="55"/>
      <c r="CC121" s="32"/>
      <c r="CD121" s="32"/>
      <c r="CE121" s="55"/>
      <c r="CF121" s="32"/>
      <c r="CG121" s="54"/>
      <c r="CH121" s="56" t="str">
        <f>IFERROR(VLOOKUP(June[[#This Row],[Drug Name9]],'Data Options'!$R$1:$S$100,2,FALSE), " ")</f>
        <v xml:space="preserve"> </v>
      </c>
      <c r="CI121" s="55"/>
      <c r="CJ121" s="32"/>
      <c r="CK121" s="32"/>
      <c r="CL121" s="55"/>
      <c r="CM121" s="32"/>
    </row>
    <row r="122" spans="1:91">
      <c r="A122" s="5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1"/>
      <c r="P122" s="31"/>
      <c r="Q122" s="54"/>
      <c r="R122" s="56" t="str">
        <f>IFERROR(VLOOKUP(June[[#This Row],[Drug Name]],'Data Options'!$R$1:$S$100,2,FALSE), " ")</f>
        <v xml:space="preserve"> </v>
      </c>
      <c r="S122" s="55"/>
      <c r="T122" s="32"/>
      <c r="U122" s="32"/>
      <c r="V122" s="55"/>
      <c r="W122" s="32"/>
      <c r="X122" s="54"/>
      <c r="Y122" s="56" t="str">
        <f>IFERROR(VLOOKUP(June[[#This Row],[Drug Name2]],'Data Options'!$R$1:$S$100,2,FALSE), " ")</f>
        <v xml:space="preserve"> </v>
      </c>
      <c r="Z122" s="55"/>
      <c r="AA122" s="32"/>
      <c r="AB122" s="32"/>
      <c r="AC122" s="55"/>
      <c r="AD122" s="32"/>
      <c r="AE122" s="54"/>
      <c r="AF122" s="56" t="str">
        <f>IFERROR(VLOOKUP(June[[#This Row],[Drug Name3]],'Data Options'!$R$1:$S$100,2,FALSE), " ")</f>
        <v xml:space="preserve"> </v>
      </c>
      <c r="AG122" s="55"/>
      <c r="AH122" s="32"/>
      <c r="AI122" s="32"/>
      <c r="AJ122" s="55"/>
      <c r="AK122" s="32"/>
      <c r="AL122" s="32"/>
      <c r="AM122" s="32"/>
      <c r="AN122" s="32"/>
      <c r="AO122" s="32"/>
      <c r="AP122" s="31"/>
      <c r="AQ122" s="31"/>
      <c r="AR122" s="54"/>
      <c r="AS122" s="56" t="str">
        <f>IFERROR(VLOOKUP(June[[#This Row],[Drug Name4]],'Data Options'!$R$1:$S$100,2,FALSE), " ")</f>
        <v xml:space="preserve"> </v>
      </c>
      <c r="AT122" s="55"/>
      <c r="AU122" s="32"/>
      <c r="AV122" s="32"/>
      <c r="AW122" s="55"/>
      <c r="AX122" s="32"/>
      <c r="AY122" s="54"/>
      <c r="AZ122" s="56" t="str">
        <f>IFERROR(VLOOKUP(June[[#This Row],[Drug Name5]],'Data Options'!$R$1:$S$100,2,FALSE), " ")</f>
        <v xml:space="preserve"> </v>
      </c>
      <c r="BA122" s="55"/>
      <c r="BB122" s="32"/>
      <c r="BC122" s="32"/>
      <c r="BD122" s="55"/>
      <c r="BE122" s="32"/>
      <c r="BF122" s="54"/>
      <c r="BG122" s="56" t="str">
        <f>IFERROR(VLOOKUP(June[[#This Row],[Drug Name6]],'Data Options'!$R$1:$S$100,2,FALSE), " ")</f>
        <v xml:space="preserve"> </v>
      </c>
      <c r="BH122" s="55"/>
      <c r="BI122" s="32"/>
      <c r="BJ122" s="32"/>
      <c r="BK122" s="55"/>
      <c r="BL122" s="32"/>
      <c r="BM122" s="32"/>
      <c r="BN122" s="32"/>
      <c r="BO122" s="32"/>
      <c r="BP122" s="32"/>
      <c r="BQ122" s="31"/>
      <c r="BR122" s="31"/>
      <c r="BS122" s="54"/>
      <c r="BT122" s="56" t="str">
        <f>IFERROR(VLOOKUP(June[[#This Row],[Drug Name7]],'Data Options'!$R$1:$S$100,2,FALSE), " ")</f>
        <v xml:space="preserve"> </v>
      </c>
      <c r="BU122" s="55"/>
      <c r="BV122" s="32"/>
      <c r="BW122" s="32"/>
      <c r="BX122" s="55"/>
      <c r="BY122" s="32"/>
      <c r="BZ122" s="54"/>
      <c r="CA122" s="56" t="str">
        <f>IFERROR(VLOOKUP(June[[#This Row],[Drug Name8]],'Data Options'!$R$1:$S$100,2,FALSE), " ")</f>
        <v xml:space="preserve"> </v>
      </c>
      <c r="CB122" s="55"/>
      <c r="CC122" s="32"/>
      <c r="CD122" s="32"/>
      <c r="CE122" s="55"/>
      <c r="CF122" s="32"/>
      <c r="CG122" s="54"/>
      <c r="CH122" s="56" t="str">
        <f>IFERROR(VLOOKUP(June[[#This Row],[Drug Name9]],'Data Options'!$R$1:$S$100,2,FALSE), " ")</f>
        <v xml:space="preserve"> </v>
      </c>
      <c r="CI122" s="55"/>
      <c r="CJ122" s="32"/>
      <c r="CK122" s="32"/>
      <c r="CL122" s="55"/>
      <c r="CM122" s="32"/>
    </row>
    <row r="123" spans="1:91">
      <c r="A123" s="5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1"/>
      <c r="P123" s="31"/>
      <c r="Q123" s="54"/>
      <c r="R123" s="56" t="str">
        <f>IFERROR(VLOOKUP(June[[#This Row],[Drug Name]],'Data Options'!$R$1:$S$100,2,FALSE), " ")</f>
        <v xml:space="preserve"> </v>
      </c>
      <c r="S123" s="55"/>
      <c r="T123" s="32"/>
      <c r="U123" s="32"/>
      <c r="V123" s="55"/>
      <c r="W123" s="32"/>
      <c r="X123" s="54"/>
      <c r="Y123" s="56" t="str">
        <f>IFERROR(VLOOKUP(June[[#This Row],[Drug Name2]],'Data Options'!$R$1:$S$100,2,FALSE), " ")</f>
        <v xml:space="preserve"> </v>
      </c>
      <c r="Z123" s="55"/>
      <c r="AA123" s="32"/>
      <c r="AB123" s="32"/>
      <c r="AC123" s="55"/>
      <c r="AD123" s="32"/>
      <c r="AE123" s="54"/>
      <c r="AF123" s="56" t="str">
        <f>IFERROR(VLOOKUP(June[[#This Row],[Drug Name3]],'Data Options'!$R$1:$S$100,2,FALSE), " ")</f>
        <v xml:space="preserve"> </v>
      </c>
      <c r="AG123" s="55"/>
      <c r="AH123" s="32"/>
      <c r="AI123" s="32"/>
      <c r="AJ123" s="55"/>
      <c r="AK123" s="32"/>
      <c r="AL123" s="32"/>
      <c r="AM123" s="32"/>
      <c r="AN123" s="32"/>
      <c r="AO123" s="32"/>
      <c r="AP123" s="31"/>
      <c r="AQ123" s="31"/>
      <c r="AR123" s="54"/>
      <c r="AS123" s="56" t="str">
        <f>IFERROR(VLOOKUP(June[[#This Row],[Drug Name4]],'Data Options'!$R$1:$S$100,2,FALSE), " ")</f>
        <v xml:space="preserve"> </v>
      </c>
      <c r="AT123" s="55"/>
      <c r="AU123" s="32"/>
      <c r="AV123" s="32"/>
      <c r="AW123" s="55"/>
      <c r="AX123" s="32"/>
      <c r="AY123" s="54"/>
      <c r="AZ123" s="56" t="str">
        <f>IFERROR(VLOOKUP(June[[#This Row],[Drug Name5]],'Data Options'!$R$1:$S$100,2,FALSE), " ")</f>
        <v xml:space="preserve"> </v>
      </c>
      <c r="BA123" s="55"/>
      <c r="BB123" s="32"/>
      <c r="BC123" s="32"/>
      <c r="BD123" s="55"/>
      <c r="BE123" s="32"/>
      <c r="BF123" s="54"/>
      <c r="BG123" s="56" t="str">
        <f>IFERROR(VLOOKUP(June[[#This Row],[Drug Name6]],'Data Options'!$R$1:$S$100,2,FALSE), " ")</f>
        <v xml:space="preserve"> </v>
      </c>
      <c r="BH123" s="55"/>
      <c r="BI123" s="32"/>
      <c r="BJ123" s="32"/>
      <c r="BK123" s="55"/>
      <c r="BL123" s="32"/>
      <c r="BM123" s="32"/>
      <c r="BN123" s="32"/>
      <c r="BO123" s="32"/>
      <c r="BP123" s="32"/>
      <c r="BQ123" s="31"/>
      <c r="BR123" s="31"/>
      <c r="BS123" s="54"/>
      <c r="BT123" s="56" t="str">
        <f>IFERROR(VLOOKUP(June[[#This Row],[Drug Name7]],'Data Options'!$R$1:$S$100,2,FALSE), " ")</f>
        <v xml:space="preserve"> </v>
      </c>
      <c r="BU123" s="55"/>
      <c r="BV123" s="32"/>
      <c r="BW123" s="32"/>
      <c r="BX123" s="55"/>
      <c r="BY123" s="32"/>
      <c r="BZ123" s="54"/>
      <c r="CA123" s="56" t="str">
        <f>IFERROR(VLOOKUP(June[[#This Row],[Drug Name8]],'Data Options'!$R$1:$S$100,2,FALSE), " ")</f>
        <v xml:space="preserve"> </v>
      </c>
      <c r="CB123" s="55"/>
      <c r="CC123" s="32"/>
      <c r="CD123" s="32"/>
      <c r="CE123" s="55"/>
      <c r="CF123" s="32"/>
      <c r="CG123" s="54"/>
      <c r="CH123" s="56" t="str">
        <f>IFERROR(VLOOKUP(June[[#This Row],[Drug Name9]],'Data Options'!$R$1:$S$100,2,FALSE), " ")</f>
        <v xml:space="preserve"> </v>
      </c>
      <c r="CI123" s="55"/>
      <c r="CJ123" s="32"/>
      <c r="CK123" s="32"/>
      <c r="CL123" s="55"/>
      <c r="CM123" s="32"/>
    </row>
    <row r="124" spans="1:91">
      <c r="A124" s="5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1"/>
      <c r="P124" s="31"/>
      <c r="Q124" s="54"/>
      <c r="R124" s="56" t="str">
        <f>IFERROR(VLOOKUP(June[[#This Row],[Drug Name]],'Data Options'!$R$1:$S$100,2,FALSE), " ")</f>
        <v xml:space="preserve"> </v>
      </c>
      <c r="S124" s="55"/>
      <c r="T124" s="32"/>
      <c r="U124" s="32"/>
      <c r="V124" s="55"/>
      <c r="W124" s="32"/>
      <c r="X124" s="54"/>
      <c r="Y124" s="56" t="str">
        <f>IFERROR(VLOOKUP(June[[#This Row],[Drug Name2]],'Data Options'!$R$1:$S$100,2,FALSE), " ")</f>
        <v xml:space="preserve"> </v>
      </c>
      <c r="Z124" s="55"/>
      <c r="AA124" s="32"/>
      <c r="AB124" s="32"/>
      <c r="AC124" s="55"/>
      <c r="AD124" s="32"/>
      <c r="AE124" s="54"/>
      <c r="AF124" s="56" t="str">
        <f>IFERROR(VLOOKUP(June[[#This Row],[Drug Name3]],'Data Options'!$R$1:$S$100,2,FALSE), " ")</f>
        <v xml:space="preserve"> </v>
      </c>
      <c r="AG124" s="55"/>
      <c r="AH124" s="32"/>
      <c r="AI124" s="32"/>
      <c r="AJ124" s="55"/>
      <c r="AK124" s="32"/>
      <c r="AL124" s="32"/>
      <c r="AM124" s="32"/>
      <c r="AN124" s="32"/>
      <c r="AO124" s="32"/>
      <c r="AP124" s="31"/>
      <c r="AQ124" s="31"/>
      <c r="AR124" s="54"/>
      <c r="AS124" s="56" t="str">
        <f>IFERROR(VLOOKUP(June[[#This Row],[Drug Name4]],'Data Options'!$R$1:$S$100,2,FALSE), " ")</f>
        <v xml:space="preserve"> </v>
      </c>
      <c r="AT124" s="55"/>
      <c r="AU124" s="32"/>
      <c r="AV124" s="32"/>
      <c r="AW124" s="55"/>
      <c r="AX124" s="32"/>
      <c r="AY124" s="54"/>
      <c r="AZ124" s="56" t="str">
        <f>IFERROR(VLOOKUP(June[[#This Row],[Drug Name5]],'Data Options'!$R$1:$S$100,2,FALSE), " ")</f>
        <v xml:space="preserve"> </v>
      </c>
      <c r="BA124" s="55"/>
      <c r="BB124" s="32"/>
      <c r="BC124" s="32"/>
      <c r="BD124" s="55"/>
      <c r="BE124" s="32"/>
      <c r="BF124" s="54"/>
      <c r="BG124" s="56" t="str">
        <f>IFERROR(VLOOKUP(June[[#This Row],[Drug Name6]],'Data Options'!$R$1:$S$100,2,FALSE), " ")</f>
        <v xml:space="preserve"> </v>
      </c>
      <c r="BH124" s="55"/>
      <c r="BI124" s="32"/>
      <c r="BJ124" s="32"/>
      <c r="BK124" s="55"/>
      <c r="BL124" s="32"/>
      <c r="BM124" s="32"/>
      <c r="BN124" s="32"/>
      <c r="BO124" s="32"/>
      <c r="BP124" s="32"/>
      <c r="BQ124" s="31"/>
      <c r="BR124" s="31"/>
      <c r="BS124" s="54"/>
      <c r="BT124" s="56" t="str">
        <f>IFERROR(VLOOKUP(June[[#This Row],[Drug Name7]],'Data Options'!$R$1:$S$100,2,FALSE), " ")</f>
        <v xml:space="preserve"> </v>
      </c>
      <c r="BU124" s="55"/>
      <c r="BV124" s="32"/>
      <c r="BW124" s="32"/>
      <c r="BX124" s="55"/>
      <c r="BY124" s="32"/>
      <c r="BZ124" s="54"/>
      <c r="CA124" s="56" t="str">
        <f>IFERROR(VLOOKUP(June[[#This Row],[Drug Name8]],'Data Options'!$R$1:$S$100,2,FALSE), " ")</f>
        <v xml:space="preserve"> </v>
      </c>
      <c r="CB124" s="55"/>
      <c r="CC124" s="32"/>
      <c r="CD124" s="32"/>
      <c r="CE124" s="55"/>
      <c r="CF124" s="32"/>
      <c r="CG124" s="54"/>
      <c r="CH124" s="56" t="str">
        <f>IFERROR(VLOOKUP(June[[#This Row],[Drug Name9]],'Data Options'!$R$1:$S$100,2,FALSE), " ")</f>
        <v xml:space="preserve"> </v>
      </c>
      <c r="CI124" s="55"/>
      <c r="CJ124" s="32"/>
      <c r="CK124" s="32"/>
      <c r="CL124" s="55"/>
      <c r="CM124" s="32"/>
    </row>
    <row r="125" spans="1:91">
      <c r="A125" s="5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1"/>
      <c r="P125" s="31"/>
      <c r="Q125" s="54"/>
      <c r="R125" s="56" t="str">
        <f>IFERROR(VLOOKUP(June[[#This Row],[Drug Name]],'Data Options'!$R$1:$S$100,2,FALSE), " ")</f>
        <v xml:space="preserve"> </v>
      </c>
      <c r="S125" s="55"/>
      <c r="T125" s="32"/>
      <c r="U125" s="32"/>
      <c r="V125" s="55"/>
      <c r="W125" s="32"/>
      <c r="X125" s="54"/>
      <c r="Y125" s="56" t="str">
        <f>IFERROR(VLOOKUP(June[[#This Row],[Drug Name2]],'Data Options'!$R$1:$S$100,2,FALSE), " ")</f>
        <v xml:space="preserve"> </v>
      </c>
      <c r="Z125" s="55"/>
      <c r="AA125" s="32"/>
      <c r="AB125" s="32"/>
      <c r="AC125" s="55"/>
      <c r="AD125" s="32"/>
      <c r="AE125" s="54"/>
      <c r="AF125" s="56" t="str">
        <f>IFERROR(VLOOKUP(June[[#This Row],[Drug Name3]],'Data Options'!$R$1:$S$100,2,FALSE), " ")</f>
        <v xml:space="preserve"> </v>
      </c>
      <c r="AG125" s="55"/>
      <c r="AH125" s="32"/>
      <c r="AI125" s="32"/>
      <c r="AJ125" s="55"/>
      <c r="AK125" s="32"/>
      <c r="AL125" s="32"/>
      <c r="AM125" s="32"/>
      <c r="AN125" s="32"/>
      <c r="AO125" s="32"/>
      <c r="AP125" s="31"/>
      <c r="AQ125" s="31"/>
      <c r="AR125" s="54"/>
      <c r="AS125" s="56" t="str">
        <f>IFERROR(VLOOKUP(June[[#This Row],[Drug Name4]],'Data Options'!$R$1:$S$100,2,FALSE), " ")</f>
        <v xml:space="preserve"> </v>
      </c>
      <c r="AT125" s="55"/>
      <c r="AU125" s="32"/>
      <c r="AV125" s="32"/>
      <c r="AW125" s="55"/>
      <c r="AX125" s="32"/>
      <c r="AY125" s="54"/>
      <c r="AZ125" s="56" t="str">
        <f>IFERROR(VLOOKUP(June[[#This Row],[Drug Name5]],'Data Options'!$R$1:$S$100,2,FALSE), " ")</f>
        <v xml:space="preserve"> </v>
      </c>
      <c r="BA125" s="55"/>
      <c r="BB125" s="32"/>
      <c r="BC125" s="32"/>
      <c r="BD125" s="55"/>
      <c r="BE125" s="32"/>
      <c r="BF125" s="54"/>
      <c r="BG125" s="56" t="str">
        <f>IFERROR(VLOOKUP(June[[#This Row],[Drug Name6]],'Data Options'!$R$1:$S$100,2,FALSE), " ")</f>
        <v xml:space="preserve"> </v>
      </c>
      <c r="BH125" s="55"/>
      <c r="BI125" s="32"/>
      <c r="BJ125" s="32"/>
      <c r="BK125" s="55"/>
      <c r="BL125" s="32"/>
      <c r="BM125" s="32"/>
      <c r="BN125" s="32"/>
      <c r="BO125" s="32"/>
      <c r="BP125" s="32"/>
      <c r="BQ125" s="31"/>
      <c r="BR125" s="31"/>
      <c r="BS125" s="54"/>
      <c r="BT125" s="56" t="str">
        <f>IFERROR(VLOOKUP(June[[#This Row],[Drug Name7]],'Data Options'!$R$1:$S$100,2,FALSE), " ")</f>
        <v xml:space="preserve"> </v>
      </c>
      <c r="BU125" s="55"/>
      <c r="BV125" s="32"/>
      <c r="BW125" s="32"/>
      <c r="BX125" s="55"/>
      <c r="BY125" s="32"/>
      <c r="BZ125" s="54"/>
      <c r="CA125" s="56" t="str">
        <f>IFERROR(VLOOKUP(June[[#This Row],[Drug Name8]],'Data Options'!$R$1:$S$100,2,FALSE), " ")</f>
        <v xml:space="preserve"> </v>
      </c>
      <c r="CB125" s="55"/>
      <c r="CC125" s="32"/>
      <c r="CD125" s="32"/>
      <c r="CE125" s="55"/>
      <c r="CF125" s="32"/>
      <c r="CG125" s="54"/>
      <c r="CH125" s="56" t="str">
        <f>IFERROR(VLOOKUP(June[[#This Row],[Drug Name9]],'Data Options'!$R$1:$S$100,2,FALSE), " ")</f>
        <v xml:space="preserve"> </v>
      </c>
      <c r="CI125" s="55"/>
      <c r="CJ125" s="32"/>
      <c r="CK125" s="32"/>
      <c r="CL125" s="55"/>
      <c r="CM125" s="32"/>
    </row>
    <row r="126" spans="1:91">
      <c r="A126" s="5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1"/>
      <c r="P126" s="31"/>
      <c r="Q126" s="54"/>
      <c r="R126" s="56" t="str">
        <f>IFERROR(VLOOKUP(June[[#This Row],[Drug Name]],'Data Options'!$R$1:$S$100,2,FALSE), " ")</f>
        <v xml:space="preserve"> </v>
      </c>
      <c r="S126" s="55"/>
      <c r="T126" s="32"/>
      <c r="U126" s="32"/>
      <c r="V126" s="55"/>
      <c r="W126" s="32"/>
      <c r="X126" s="54"/>
      <c r="Y126" s="56" t="str">
        <f>IFERROR(VLOOKUP(June[[#This Row],[Drug Name2]],'Data Options'!$R$1:$S$100,2,FALSE), " ")</f>
        <v xml:space="preserve"> </v>
      </c>
      <c r="Z126" s="55"/>
      <c r="AA126" s="32"/>
      <c r="AB126" s="32"/>
      <c r="AC126" s="55"/>
      <c r="AD126" s="32"/>
      <c r="AE126" s="54"/>
      <c r="AF126" s="56" t="str">
        <f>IFERROR(VLOOKUP(June[[#This Row],[Drug Name3]],'Data Options'!$R$1:$S$100,2,FALSE), " ")</f>
        <v xml:space="preserve"> </v>
      </c>
      <c r="AG126" s="55"/>
      <c r="AH126" s="32"/>
      <c r="AI126" s="32"/>
      <c r="AJ126" s="55"/>
      <c r="AK126" s="32"/>
      <c r="AL126" s="32"/>
      <c r="AM126" s="32"/>
      <c r="AN126" s="32"/>
      <c r="AO126" s="32"/>
      <c r="AP126" s="31"/>
      <c r="AQ126" s="31"/>
      <c r="AR126" s="54"/>
      <c r="AS126" s="56" t="str">
        <f>IFERROR(VLOOKUP(June[[#This Row],[Drug Name4]],'Data Options'!$R$1:$S$100,2,FALSE), " ")</f>
        <v xml:space="preserve"> </v>
      </c>
      <c r="AT126" s="55"/>
      <c r="AU126" s="32"/>
      <c r="AV126" s="32"/>
      <c r="AW126" s="55"/>
      <c r="AX126" s="32"/>
      <c r="AY126" s="54"/>
      <c r="AZ126" s="56" t="str">
        <f>IFERROR(VLOOKUP(June[[#This Row],[Drug Name5]],'Data Options'!$R$1:$S$100,2,FALSE), " ")</f>
        <v xml:space="preserve"> </v>
      </c>
      <c r="BA126" s="55"/>
      <c r="BB126" s="32"/>
      <c r="BC126" s="32"/>
      <c r="BD126" s="55"/>
      <c r="BE126" s="32"/>
      <c r="BF126" s="54"/>
      <c r="BG126" s="56" t="str">
        <f>IFERROR(VLOOKUP(June[[#This Row],[Drug Name6]],'Data Options'!$R$1:$S$100,2,FALSE), " ")</f>
        <v xml:space="preserve"> </v>
      </c>
      <c r="BH126" s="55"/>
      <c r="BI126" s="32"/>
      <c r="BJ126" s="32"/>
      <c r="BK126" s="55"/>
      <c r="BL126" s="32"/>
      <c r="BM126" s="32"/>
      <c r="BN126" s="32"/>
      <c r="BO126" s="32"/>
      <c r="BP126" s="32"/>
      <c r="BQ126" s="31"/>
      <c r="BR126" s="31"/>
      <c r="BS126" s="54"/>
      <c r="BT126" s="56" t="str">
        <f>IFERROR(VLOOKUP(June[[#This Row],[Drug Name7]],'Data Options'!$R$1:$S$100,2,FALSE), " ")</f>
        <v xml:space="preserve"> </v>
      </c>
      <c r="BU126" s="55"/>
      <c r="BV126" s="32"/>
      <c r="BW126" s="32"/>
      <c r="BX126" s="55"/>
      <c r="BY126" s="32"/>
      <c r="BZ126" s="54"/>
      <c r="CA126" s="56" t="str">
        <f>IFERROR(VLOOKUP(June[[#This Row],[Drug Name8]],'Data Options'!$R$1:$S$100,2,FALSE), " ")</f>
        <v xml:space="preserve"> </v>
      </c>
      <c r="CB126" s="55"/>
      <c r="CC126" s="32"/>
      <c r="CD126" s="32"/>
      <c r="CE126" s="55"/>
      <c r="CF126" s="32"/>
      <c r="CG126" s="54"/>
      <c r="CH126" s="56" t="str">
        <f>IFERROR(VLOOKUP(June[[#This Row],[Drug Name9]],'Data Options'!$R$1:$S$100,2,FALSE), " ")</f>
        <v xml:space="preserve"> </v>
      </c>
      <c r="CI126" s="55"/>
      <c r="CJ126" s="32"/>
      <c r="CK126" s="32"/>
      <c r="CL126" s="55"/>
      <c r="CM126" s="32"/>
    </row>
    <row r="127" spans="1:91">
      <c r="A127" s="5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1"/>
      <c r="P127" s="31"/>
      <c r="Q127" s="54"/>
      <c r="R127" s="56" t="str">
        <f>IFERROR(VLOOKUP(June[[#This Row],[Drug Name]],'Data Options'!$R$1:$S$100,2,FALSE), " ")</f>
        <v xml:space="preserve"> </v>
      </c>
      <c r="S127" s="55"/>
      <c r="T127" s="32"/>
      <c r="U127" s="32"/>
      <c r="V127" s="55"/>
      <c r="W127" s="32"/>
      <c r="X127" s="54"/>
      <c r="Y127" s="56" t="str">
        <f>IFERROR(VLOOKUP(June[[#This Row],[Drug Name2]],'Data Options'!$R$1:$S$100,2,FALSE), " ")</f>
        <v xml:space="preserve"> </v>
      </c>
      <c r="Z127" s="55"/>
      <c r="AA127" s="32"/>
      <c r="AB127" s="32"/>
      <c r="AC127" s="55"/>
      <c r="AD127" s="32"/>
      <c r="AE127" s="54"/>
      <c r="AF127" s="56" t="str">
        <f>IFERROR(VLOOKUP(June[[#This Row],[Drug Name3]],'Data Options'!$R$1:$S$100,2,FALSE), " ")</f>
        <v xml:space="preserve"> </v>
      </c>
      <c r="AG127" s="55"/>
      <c r="AH127" s="32"/>
      <c r="AI127" s="32"/>
      <c r="AJ127" s="55"/>
      <c r="AK127" s="32"/>
      <c r="AL127" s="32"/>
      <c r="AM127" s="32"/>
      <c r="AN127" s="32"/>
      <c r="AO127" s="32"/>
      <c r="AP127" s="31"/>
      <c r="AQ127" s="31"/>
      <c r="AR127" s="54"/>
      <c r="AS127" s="56" t="str">
        <f>IFERROR(VLOOKUP(June[[#This Row],[Drug Name4]],'Data Options'!$R$1:$S$100,2,FALSE), " ")</f>
        <v xml:space="preserve"> </v>
      </c>
      <c r="AT127" s="55"/>
      <c r="AU127" s="32"/>
      <c r="AV127" s="32"/>
      <c r="AW127" s="55"/>
      <c r="AX127" s="32"/>
      <c r="AY127" s="54"/>
      <c r="AZ127" s="56" t="str">
        <f>IFERROR(VLOOKUP(June[[#This Row],[Drug Name5]],'Data Options'!$R$1:$S$100,2,FALSE), " ")</f>
        <v xml:space="preserve"> </v>
      </c>
      <c r="BA127" s="55"/>
      <c r="BB127" s="32"/>
      <c r="BC127" s="32"/>
      <c r="BD127" s="55"/>
      <c r="BE127" s="32"/>
      <c r="BF127" s="54"/>
      <c r="BG127" s="56" t="str">
        <f>IFERROR(VLOOKUP(June[[#This Row],[Drug Name6]],'Data Options'!$R$1:$S$100,2,FALSE), " ")</f>
        <v xml:space="preserve"> </v>
      </c>
      <c r="BH127" s="55"/>
      <c r="BI127" s="32"/>
      <c r="BJ127" s="32"/>
      <c r="BK127" s="55"/>
      <c r="BL127" s="32"/>
      <c r="BM127" s="32"/>
      <c r="BN127" s="32"/>
      <c r="BO127" s="32"/>
      <c r="BP127" s="32"/>
      <c r="BQ127" s="31"/>
      <c r="BR127" s="31"/>
      <c r="BS127" s="54"/>
      <c r="BT127" s="56" t="str">
        <f>IFERROR(VLOOKUP(June[[#This Row],[Drug Name7]],'Data Options'!$R$1:$S$100,2,FALSE), " ")</f>
        <v xml:space="preserve"> </v>
      </c>
      <c r="BU127" s="55"/>
      <c r="BV127" s="32"/>
      <c r="BW127" s="32"/>
      <c r="BX127" s="55"/>
      <c r="BY127" s="32"/>
      <c r="BZ127" s="54"/>
      <c r="CA127" s="56" t="str">
        <f>IFERROR(VLOOKUP(June[[#This Row],[Drug Name8]],'Data Options'!$R$1:$S$100,2,FALSE), " ")</f>
        <v xml:space="preserve"> </v>
      </c>
      <c r="CB127" s="55"/>
      <c r="CC127" s="32"/>
      <c r="CD127" s="32"/>
      <c r="CE127" s="55"/>
      <c r="CF127" s="32"/>
      <c r="CG127" s="54"/>
      <c r="CH127" s="56" t="str">
        <f>IFERROR(VLOOKUP(June[[#This Row],[Drug Name9]],'Data Options'!$R$1:$S$100,2,FALSE), " ")</f>
        <v xml:space="preserve"> </v>
      </c>
      <c r="CI127" s="55"/>
      <c r="CJ127" s="32"/>
      <c r="CK127" s="32"/>
      <c r="CL127" s="55"/>
      <c r="CM127" s="32"/>
    </row>
    <row r="128" spans="1:91">
      <c r="A128" s="5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1"/>
      <c r="P128" s="31"/>
      <c r="Q128" s="54"/>
      <c r="R128" s="56" t="str">
        <f>IFERROR(VLOOKUP(June[[#This Row],[Drug Name]],'Data Options'!$R$1:$S$100,2,FALSE), " ")</f>
        <v xml:space="preserve"> </v>
      </c>
      <c r="S128" s="55"/>
      <c r="T128" s="32"/>
      <c r="U128" s="32"/>
      <c r="V128" s="55"/>
      <c r="W128" s="32"/>
      <c r="X128" s="54"/>
      <c r="Y128" s="56" t="str">
        <f>IFERROR(VLOOKUP(June[[#This Row],[Drug Name2]],'Data Options'!$R$1:$S$100,2,FALSE), " ")</f>
        <v xml:space="preserve"> </v>
      </c>
      <c r="Z128" s="55"/>
      <c r="AA128" s="32"/>
      <c r="AB128" s="32"/>
      <c r="AC128" s="55"/>
      <c r="AD128" s="32"/>
      <c r="AE128" s="54"/>
      <c r="AF128" s="56" t="str">
        <f>IFERROR(VLOOKUP(June[[#This Row],[Drug Name3]],'Data Options'!$R$1:$S$100,2,FALSE), " ")</f>
        <v xml:space="preserve"> </v>
      </c>
      <c r="AG128" s="55"/>
      <c r="AH128" s="32"/>
      <c r="AI128" s="32"/>
      <c r="AJ128" s="55"/>
      <c r="AK128" s="32"/>
      <c r="AL128" s="32"/>
      <c r="AM128" s="32"/>
      <c r="AN128" s="32"/>
      <c r="AO128" s="32"/>
      <c r="AP128" s="31"/>
      <c r="AQ128" s="31"/>
      <c r="AR128" s="54"/>
      <c r="AS128" s="56" t="str">
        <f>IFERROR(VLOOKUP(June[[#This Row],[Drug Name4]],'Data Options'!$R$1:$S$100,2,FALSE), " ")</f>
        <v xml:space="preserve"> </v>
      </c>
      <c r="AT128" s="55"/>
      <c r="AU128" s="32"/>
      <c r="AV128" s="32"/>
      <c r="AW128" s="55"/>
      <c r="AX128" s="32"/>
      <c r="AY128" s="54"/>
      <c r="AZ128" s="56" t="str">
        <f>IFERROR(VLOOKUP(June[[#This Row],[Drug Name5]],'Data Options'!$R$1:$S$100,2,FALSE), " ")</f>
        <v xml:space="preserve"> </v>
      </c>
      <c r="BA128" s="55"/>
      <c r="BB128" s="32"/>
      <c r="BC128" s="32"/>
      <c r="BD128" s="55"/>
      <c r="BE128" s="32"/>
      <c r="BF128" s="54"/>
      <c r="BG128" s="56" t="str">
        <f>IFERROR(VLOOKUP(June[[#This Row],[Drug Name6]],'Data Options'!$R$1:$S$100,2,FALSE), " ")</f>
        <v xml:space="preserve"> </v>
      </c>
      <c r="BH128" s="55"/>
      <c r="BI128" s="32"/>
      <c r="BJ128" s="32"/>
      <c r="BK128" s="55"/>
      <c r="BL128" s="32"/>
      <c r="BM128" s="32"/>
      <c r="BN128" s="32"/>
      <c r="BO128" s="32"/>
      <c r="BP128" s="32"/>
      <c r="BQ128" s="31"/>
      <c r="BR128" s="31"/>
      <c r="BS128" s="54"/>
      <c r="BT128" s="56" t="str">
        <f>IFERROR(VLOOKUP(June[[#This Row],[Drug Name7]],'Data Options'!$R$1:$S$100,2,FALSE), " ")</f>
        <v xml:space="preserve"> </v>
      </c>
      <c r="BU128" s="55"/>
      <c r="BV128" s="32"/>
      <c r="BW128" s="32"/>
      <c r="BX128" s="55"/>
      <c r="BY128" s="32"/>
      <c r="BZ128" s="54"/>
      <c r="CA128" s="56" t="str">
        <f>IFERROR(VLOOKUP(June[[#This Row],[Drug Name8]],'Data Options'!$R$1:$S$100,2,FALSE), " ")</f>
        <v xml:space="preserve"> </v>
      </c>
      <c r="CB128" s="55"/>
      <c r="CC128" s="32"/>
      <c r="CD128" s="32"/>
      <c r="CE128" s="55"/>
      <c r="CF128" s="32"/>
      <c r="CG128" s="54"/>
      <c r="CH128" s="56" t="str">
        <f>IFERROR(VLOOKUP(June[[#This Row],[Drug Name9]],'Data Options'!$R$1:$S$100,2,FALSE), " ")</f>
        <v xml:space="preserve"> </v>
      </c>
      <c r="CI128" s="55"/>
      <c r="CJ128" s="32"/>
      <c r="CK128" s="32"/>
      <c r="CL128" s="55"/>
      <c r="CM128" s="32"/>
    </row>
    <row r="129" spans="1:91">
      <c r="A129" s="5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1"/>
      <c r="P129" s="31"/>
      <c r="Q129" s="54"/>
      <c r="R129" s="56" t="str">
        <f>IFERROR(VLOOKUP(June[[#This Row],[Drug Name]],'Data Options'!$R$1:$S$100,2,FALSE), " ")</f>
        <v xml:space="preserve"> </v>
      </c>
      <c r="S129" s="55"/>
      <c r="T129" s="32"/>
      <c r="U129" s="32"/>
      <c r="V129" s="55"/>
      <c r="W129" s="32"/>
      <c r="X129" s="54"/>
      <c r="Y129" s="56" t="str">
        <f>IFERROR(VLOOKUP(June[[#This Row],[Drug Name2]],'Data Options'!$R$1:$S$100,2,FALSE), " ")</f>
        <v xml:space="preserve"> </v>
      </c>
      <c r="Z129" s="55"/>
      <c r="AA129" s="32"/>
      <c r="AB129" s="32"/>
      <c r="AC129" s="55"/>
      <c r="AD129" s="32"/>
      <c r="AE129" s="54"/>
      <c r="AF129" s="56" t="str">
        <f>IFERROR(VLOOKUP(June[[#This Row],[Drug Name3]],'Data Options'!$R$1:$S$100,2,FALSE), " ")</f>
        <v xml:space="preserve"> </v>
      </c>
      <c r="AG129" s="55"/>
      <c r="AH129" s="32"/>
      <c r="AI129" s="32"/>
      <c r="AJ129" s="55"/>
      <c r="AK129" s="32"/>
      <c r="AL129" s="32"/>
      <c r="AM129" s="32"/>
      <c r="AN129" s="32"/>
      <c r="AO129" s="32"/>
      <c r="AP129" s="31"/>
      <c r="AQ129" s="31"/>
      <c r="AR129" s="54"/>
      <c r="AS129" s="56" t="str">
        <f>IFERROR(VLOOKUP(June[[#This Row],[Drug Name4]],'Data Options'!$R$1:$S$100,2,FALSE), " ")</f>
        <v xml:space="preserve"> </v>
      </c>
      <c r="AT129" s="55"/>
      <c r="AU129" s="32"/>
      <c r="AV129" s="32"/>
      <c r="AW129" s="55"/>
      <c r="AX129" s="32"/>
      <c r="AY129" s="54"/>
      <c r="AZ129" s="56" t="str">
        <f>IFERROR(VLOOKUP(June[[#This Row],[Drug Name5]],'Data Options'!$R$1:$S$100,2,FALSE), " ")</f>
        <v xml:space="preserve"> </v>
      </c>
      <c r="BA129" s="55"/>
      <c r="BB129" s="32"/>
      <c r="BC129" s="32"/>
      <c r="BD129" s="55"/>
      <c r="BE129" s="32"/>
      <c r="BF129" s="54"/>
      <c r="BG129" s="56" t="str">
        <f>IFERROR(VLOOKUP(June[[#This Row],[Drug Name6]],'Data Options'!$R$1:$S$100,2,FALSE), " ")</f>
        <v xml:space="preserve"> </v>
      </c>
      <c r="BH129" s="55"/>
      <c r="BI129" s="32"/>
      <c r="BJ129" s="32"/>
      <c r="BK129" s="55"/>
      <c r="BL129" s="32"/>
      <c r="BM129" s="32"/>
      <c r="BN129" s="32"/>
      <c r="BO129" s="32"/>
      <c r="BP129" s="32"/>
      <c r="BQ129" s="31"/>
      <c r="BR129" s="31"/>
      <c r="BS129" s="54"/>
      <c r="BT129" s="56" t="str">
        <f>IFERROR(VLOOKUP(June[[#This Row],[Drug Name7]],'Data Options'!$R$1:$S$100,2,FALSE), " ")</f>
        <v xml:space="preserve"> </v>
      </c>
      <c r="BU129" s="55"/>
      <c r="BV129" s="32"/>
      <c r="BW129" s="32"/>
      <c r="BX129" s="55"/>
      <c r="BY129" s="32"/>
      <c r="BZ129" s="54"/>
      <c r="CA129" s="56" t="str">
        <f>IFERROR(VLOOKUP(June[[#This Row],[Drug Name8]],'Data Options'!$R$1:$S$100,2,FALSE), " ")</f>
        <v xml:space="preserve"> </v>
      </c>
      <c r="CB129" s="55"/>
      <c r="CC129" s="32"/>
      <c r="CD129" s="32"/>
      <c r="CE129" s="55"/>
      <c r="CF129" s="32"/>
      <c r="CG129" s="54"/>
      <c r="CH129" s="56" t="str">
        <f>IFERROR(VLOOKUP(June[[#This Row],[Drug Name9]],'Data Options'!$R$1:$S$100,2,FALSE), " ")</f>
        <v xml:space="preserve"> </v>
      </c>
      <c r="CI129" s="55"/>
      <c r="CJ129" s="32"/>
      <c r="CK129" s="32"/>
      <c r="CL129" s="55"/>
      <c r="CM129" s="32"/>
    </row>
    <row r="130" spans="1:91">
      <c r="A130" s="5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1"/>
      <c r="P130" s="31"/>
      <c r="Q130" s="54"/>
      <c r="R130" s="56" t="str">
        <f>IFERROR(VLOOKUP(June[[#This Row],[Drug Name]],'Data Options'!$R$1:$S$100,2,FALSE), " ")</f>
        <v xml:space="preserve"> </v>
      </c>
      <c r="S130" s="55"/>
      <c r="T130" s="32"/>
      <c r="U130" s="32"/>
      <c r="V130" s="55"/>
      <c r="W130" s="32"/>
      <c r="X130" s="54"/>
      <c r="Y130" s="56" t="str">
        <f>IFERROR(VLOOKUP(June[[#This Row],[Drug Name2]],'Data Options'!$R$1:$S$100,2,FALSE), " ")</f>
        <v xml:space="preserve"> </v>
      </c>
      <c r="Z130" s="55"/>
      <c r="AA130" s="32"/>
      <c r="AB130" s="32"/>
      <c r="AC130" s="55"/>
      <c r="AD130" s="32"/>
      <c r="AE130" s="54"/>
      <c r="AF130" s="56" t="str">
        <f>IFERROR(VLOOKUP(June[[#This Row],[Drug Name3]],'Data Options'!$R$1:$S$100,2,FALSE), " ")</f>
        <v xml:space="preserve"> </v>
      </c>
      <c r="AG130" s="55"/>
      <c r="AH130" s="32"/>
      <c r="AI130" s="32"/>
      <c r="AJ130" s="55"/>
      <c r="AK130" s="32"/>
      <c r="AL130" s="32"/>
      <c r="AM130" s="32"/>
      <c r="AN130" s="32"/>
      <c r="AO130" s="32"/>
      <c r="AP130" s="31"/>
      <c r="AQ130" s="31"/>
      <c r="AR130" s="54"/>
      <c r="AS130" s="56" t="str">
        <f>IFERROR(VLOOKUP(June[[#This Row],[Drug Name4]],'Data Options'!$R$1:$S$100,2,FALSE), " ")</f>
        <v xml:space="preserve"> </v>
      </c>
      <c r="AT130" s="55"/>
      <c r="AU130" s="32"/>
      <c r="AV130" s="32"/>
      <c r="AW130" s="55"/>
      <c r="AX130" s="32"/>
      <c r="AY130" s="54"/>
      <c r="AZ130" s="56" t="str">
        <f>IFERROR(VLOOKUP(June[[#This Row],[Drug Name5]],'Data Options'!$R$1:$S$100,2,FALSE), " ")</f>
        <v xml:space="preserve"> </v>
      </c>
      <c r="BA130" s="55"/>
      <c r="BB130" s="32"/>
      <c r="BC130" s="32"/>
      <c r="BD130" s="55"/>
      <c r="BE130" s="32"/>
      <c r="BF130" s="54"/>
      <c r="BG130" s="56" t="str">
        <f>IFERROR(VLOOKUP(June[[#This Row],[Drug Name6]],'Data Options'!$R$1:$S$100,2,FALSE), " ")</f>
        <v xml:space="preserve"> </v>
      </c>
      <c r="BH130" s="55"/>
      <c r="BI130" s="32"/>
      <c r="BJ130" s="32"/>
      <c r="BK130" s="55"/>
      <c r="BL130" s="32"/>
      <c r="BM130" s="32"/>
      <c r="BN130" s="32"/>
      <c r="BO130" s="32"/>
      <c r="BP130" s="32"/>
      <c r="BQ130" s="31"/>
      <c r="BR130" s="31"/>
      <c r="BS130" s="54"/>
      <c r="BT130" s="56" t="str">
        <f>IFERROR(VLOOKUP(June[[#This Row],[Drug Name7]],'Data Options'!$R$1:$S$100,2,FALSE), " ")</f>
        <v xml:space="preserve"> </v>
      </c>
      <c r="BU130" s="55"/>
      <c r="BV130" s="32"/>
      <c r="BW130" s="32"/>
      <c r="BX130" s="55"/>
      <c r="BY130" s="32"/>
      <c r="BZ130" s="54"/>
      <c r="CA130" s="56" t="str">
        <f>IFERROR(VLOOKUP(June[[#This Row],[Drug Name8]],'Data Options'!$R$1:$S$100,2,FALSE), " ")</f>
        <v xml:space="preserve"> </v>
      </c>
      <c r="CB130" s="55"/>
      <c r="CC130" s="32"/>
      <c r="CD130" s="32"/>
      <c r="CE130" s="55"/>
      <c r="CF130" s="32"/>
      <c r="CG130" s="54"/>
      <c r="CH130" s="56" t="str">
        <f>IFERROR(VLOOKUP(June[[#This Row],[Drug Name9]],'Data Options'!$R$1:$S$100,2,FALSE), " ")</f>
        <v xml:space="preserve"> </v>
      </c>
      <c r="CI130" s="55"/>
      <c r="CJ130" s="32"/>
      <c r="CK130" s="32"/>
      <c r="CL130" s="55"/>
      <c r="CM130" s="32"/>
    </row>
    <row r="131" spans="1:91">
      <c r="A131" s="5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1"/>
      <c r="P131" s="31"/>
      <c r="Q131" s="54"/>
      <c r="R131" s="56" t="str">
        <f>IFERROR(VLOOKUP(June[[#This Row],[Drug Name]],'Data Options'!$R$1:$S$100,2,FALSE), " ")</f>
        <v xml:space="preserve"> </v>
      </c>
      <c r="S131" s="55"/>
      <c r="T131" s="32"/>
      <c r="U131" s="32"/>
      <c r="V131" s="55"/>
      <c r="W131" s="32"/>
      <c r="X131" s="54"/>
      <c r="Y131" s="56" t="str">
        <f>IFERROR(VLOOKUP(June[[#This Row],[Drug Name2]],'Data Options'!$R$1:$S$100,2,FALSE), " ")</f>
        <v xml:space="preserve"> </v>
      </c>
      <c r="Z131" s="55"/>
      <c r="AA131" s="32"/>
      <c r="AB131" s="32"/>
      <c r="AC131" s="55"/>
      <c r="AD131" s="32"/>
      <c r="AE131" s="54"/>
      <c r="AF131" s="56" t="str">
        <f>IFERROR(VLOOKUP(June[[#This Row],[Drug Name3]],'Data Options'!$R$1:$S$100,2,FALSE), " ")</f>
        <v xml:space="preserve"> </v>
      </c>
      <c r="AG131" s="55"/>
      <c r="AH131" s="32"/>
      <c r="AI131" s="32"/>
      <c r="AJ131" s="55"/>
      <c r="AK131" s="32"/>
      <c r="AL131" s="32"/>
      <c r="AM131" s="32"/>
      <c r="AN131" s="32"/>
      <c r="AO131" s="32"/>
      <c r="AP131" s="31"/>
      <c r="AQ131" s="31"/>
      <c r="AR131" s="54"/>
      <c r="AS131" s="56" t="str">
        <f>IFERROR(VLOOKUP(June[[#This Row],[Drug Name4]],'Data Options'!$R$1:$S$100,2,FALSE), " ")</f>
        <v xml:space="preserve"> </v>
      </c>
      <c r="AT131" s="55"/>
      <c r="AU131" s="32"/>
      <c r="AV131" s="32"/>
      <c r="AW131" s="55"/>
      <c r="AX131" s="32"/>
      <c r="AY131" s="54"/>
      <c r="AZ131" s="56" t="str">
        <f>IFERROR(VLOOKUP(June[[#This Row],[Drug Name5]],'Data Options'!$R$1:$S$100,2,FALSE), " ")</f>
        <v xml:space="preserve"> </v>
      </c>
      <c r="BA131" s="55"/>
      <c r="BB131" s="32"/>
      <c r="BC131" s="32"/>
      <c r="BD131" s="55"/>
      <c r="BE131" s="32"/>
      <c r="BF131" s="54"/>
      <c r="BG131" s="56" t="str">
        <f>IFERROR(VLOOKUP(June[[#This Row],[Drug Name6]],'Data Options'!$R$1:$S$100,2,FALSE), " ")</f>
        <v xml:space="preserve"> </v>
      </c>
      <c r="BH131" s="55"/>
      <c r="BI131" s="32"/>
      <c r="BJ131" s="32"/>
      <c r="BK131" s="55"/>
      <c r="BL131" s="32"/>
      <c r="BM131" s="32"/>
      <c r="BN131" s="32"/>
      <c r="BO131" s="32"/>
      <c r="BP131" s="32"/>
      <c r="BQ131" s="31"/>
      <c r="BR131" s="31"/>
      <c r="BS131" s="54"/>
      <c r="BT131" s="56" t="str">
        <f>IFERROR(VLOOKUP(June[[#This Row],[Drug Name7]],'Data Options'!$R$1:$S$100,2,FALSE), " ")</f>
        <v xml:space="preserve"> </v>
      </c>
      <c r="BU131" s="55"/>
      <c r="BV131" s="32"/>
      <c r="BW131" s="32"/>
      <c r="BX131" s="55"/>
      <c r="BY131" s="32"/>
      <c r="BZ131" s="54"/>
      <c r="CA131" s="56" t="str">
        <f>IFERROR(VLOOKUP(June[[#This Row],[Drug Name8]],'Data Options'!$R$1:$S$100,2,FALSE), " ")</f>
        <v xml:space="preserve"> </v>
      </c>
      <c r="CB131" s="55"/>
      <c r="CC131" s="32"/>
      <c r="CD131" s="32"/>
      <c r="CE131" s="55"/>
      <c r="CF131" s="32"/>
      <c r="CG131" s="54"/>
      <c r="CH131" s="56" t="str">
        <f>IFERROR(VLOOKUP(June[[#This Row],[Drug Name9]],'Data Options'!$R$1:$S$100,2,FALSE), " ")</f>
        <v xml:space="preserve"> </v>
      </c>
      <c r="CI131" s="55"/>
      <c r="CJ131" s="32"/>
      <c r="CK131" s="32"/>
      <c r="CL131" s="55"/>
      <c r="CM131" s="32"/>
    </row>
    <row r="132" spans="1:91">
      <c r="A132" s="5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1"/>
      <c r="P132" s="31"/>
      <c r="Q132" s="54"/>
      <c r="R132" s="56" t="str">
        <f>IFERROR(VLOOKUP(June[[#This Row],[Drug Name]],'Data Options'!$R$1:$S$100,2,FALSE), " ")</f>
        <v xml:space="preserve"> </v>
      </c>
      <c r="S132" s="55"/>
      <c r="T132" s="32"/>
      <c r="U132" s="32"/>
      <c r="V132" s="55"/>
      <c r="W132" s="32"/>
      <c r="X132" s="54"/>
      <c r="Y132" s="56" t="str">
        <f>IFERROR(VLOOKUP(June[[#This Row],[Drug Name2]],'Data Options'!$R$1:$S$100,2,FALSE), " ")</f>
        <v xml:space="preserve"> </v>
      </c>
      <c r="Z132" s="55"/>
      <c r="AA132" s="32"/>
      <c r="AB132" s="32"/>
      <c r="AC132" s="55"/>
      <c r="AD132" s="32"/>
      <c r="AE132" s="54"/>
      <c r="AF132" s="56" t="str">
        <f>IFERROR(VLOOKUP(June[[#This Row],[Drug Name3]],'Data Options'!$R$1:$S$100,2,FALSE), " ")</f>
        <v xml:space="preserve"> </v>
      </c>
      <c r="AG132" s="55"/>
      <c r="AH132" s="32"/>
      <c r="AI132" s="32"/>
      <c r="AJ132" s="55"/>
      <c r="AK132" s="32"/>
      <c r="AL132" s="32"/>
      <c r="AM132" s="32"/>
      <c r="AN132" s="32"/>
      <c r="AO132" s="32"/>
      <c r="AP132" s="31"/>
      <c r="AQ132" s="31"/>
      <c r="AR132" s="54"/>
      <c r="AS132" s="56" t="str">
        <f>IFERROR(VLOOKUP(June[[#This Row],[Drug Name4]],'Data Options'!$R$1:$S$100,2,FALSE), " ")</f>
        <v xml:space="preserve"> </v>
      </c>
      <c r="AT132" s="55"/>
      <c r="AU132" s="32"/>
      <c r="AV132" s="32"/>
      <c r="AW132" s="55"/>
      <c r="AX132" s="32"/>
      <c r="AY132" s="54"/>
      <c r="AZ132" s="56" t="str">
        <f>IFERROR(VLOOKUP(June[[#This Row],[Drug Name5]],'Data Options'!$R$1:$S$100,2,FALSE), " ")</f>
        <v xml:space="preserve"> </v>
      </c>
      <c r="BA132" s="55"/>
      <c r="BB132" s="32"/>
      <c r="BC132" s="32"/>
      <c r="BD132" s="55"/>
      <c r="BE132" s="32"/>
      <c r="BF132" s="54"/>
      <c r="BG132" s="56" t="str">
        <f>IFERROR(VLOOKUP(June[[#This Row],[Drug Name6]],'Data Options'!$R$1:$S$100,2,FALSE), " ")</f>
        <v xml:space="preserve"> </v>
      </c>
      <c r="BH132" s="55"/>
      <c r="BI132" s="32"/>
      <c r="BJ132" s="32"/>
      <c r="BK132" s="55"/>
      <c r="BL132" s="32"/>
      <c r="BM132" s="32"/>
      <c r="BN132" s="32"/>
      <c r="BO132" s="32"/>
      <c r="BP132" s="32"/>
      <c r="BQ132" s="31"/>
      <c r="BR132" s="31"/>
      <c r="BS132" s="54"/>
      <c r="BT132" s="56" t="str">
        <f>IFERROR(VLOOKUP(June[[#This Row],[Drug Name7]],'Data Options'!$R$1:$S$100,2,FALSE), " ")</f>
        <v xml:space="preserve"> </v>
      </c>
      <c r="BU132" s="55"/>
      <c r="BV132" s="32"/>
      <c r="BW132" s="32"/>
      <c r="BX132" s="55"/>
      <c r="BY132" s="32"/>
      <c r="BZ132" s="54"/>
      <c r="CA132" s="56" t="str">
        <f>IFERROR(VLOOKUP(June[[#This Row],[Drug Name8]],'Data Options'!$R$1:$S$100,2,FALSE), " ")</f>
        <v xml:space="preserve"> </v>
      </c>
      <c r="CB132" s="55"/>
      <c r="CC132" s="32"/>
      <c r="CD132" s="32"/>
      <c r="CE132" s="55"/>
      <c r="CF132" s="32"/>
      <c r="CG132" s="54"/>
      <c r="CH132" s="56" t="str">
        <f>IFERROR(VLOOKUP(June[[#This Row],[Drug Name9]],'Data Options'!$R$1:$S$100,2,FALSE), " ")</f>
        <v xml:space="preserve"> </v>
      </c>
      <c r="CI132" s="55"/>
      <c r="CJ132" s="32"/>
      <c r="CK132" s="32"/>
      <c r="CL132" s="55"/>
      <c r="CM132" s="32"/>
    </row>
    <row r="133" spans="1:91">
      <c r="A133" s="5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54"/>
      <c r="R133" s="56" t="str">
        <f>IFERROR(VLOOKUP(June[[#This Row],[Drug Name]],'Data Options'!$R$1:$S$100,2,FALSE), " ")</f>
        <v xml:space="preserve"> </v>
      </c>
      <c r="S133" s="55"/>
      <c r="T133" s="32"/>
      <c r="U133" s="32"/>
      <c r="V133" s="55"/>
      <c r="W133" s="32"/>
      <c r="X133" s="54"/>
      <c r="Y133" s="56" t="str">
        <f>IFERROR(VLOOKUP(June[[#This Row],[Drug Name2]],'Data Options'!$R$1:$S$100,2,FALSE), " ")</f>
        <v xml:space="preserve"> </v>
      </c>
      <c r="Z133" s="55"/>
      <c r="AA133" s="32"/>
      <c r="AB133" s="32"/>
      <c r="AC133" s="55"/>
      <c r="AD133" s="32"/>
      <c r="AE133" s="54"/>
      <c r="AF133" s="56" t="str">
        <f>IFERROR(VLOOKUP(June[[#This Row],[Drug Name3]],'Data Options'!$R$1:$S$100,2,FALSE), " ")</f>
        <v xml:space="preserve"> </v>
      </c>
      <c r="AG133" s="55"/>
      <c r="AH133" s="32"/>
      <c r="AI133" s="32"/>
      <c r="AJ133" s="55"/>
      <c r="AK133" s="32"/>
      <c r="AL133" s="32"/>
      <c r="AM133" s="32"/>
      <c r="AN133" s="32"/>
      <c r="AO133" s="32"/>
      <c r="AP133" s="31"/>
      <c r="AQ133" s="31"/>
      <c r="AR133" s="54"/>
      <c r="AS133" s="56" t="str">
        <f>IFERROR(VLOOKUP(June[[#This Row],[Drug Name4]],'Data Options'!$R$1:$S$100,2,FALSE), " ")</f>
        <v xml:space="preserve"> </v>
      </c>
      <c r="AT133" s="55"/>
      <c r="AU133" s="32"/>
      <c r="AV133" s="32"/>
      <c r="AW133" s="55"/>
      <c r="AX133" s="32"/>
      <c r="AY133" s="54"/>
      <c r="AZ133" s="56" t="str">
        <f>IFERROR(VLOOKUP(June[[#This Row],[Drug Name5]],'Data Options'!$R$1:$S$100,2,FALSE), " ")</f>
        <v xml:space="preserve"> </v>
      </c>
      <c r="BA133" s="55"/>
      <c r="BB133" s="32"/>
      <c r="BC133" s="32"/>
      <c r="BD133" s="55"/>
      <c r="BE133" s="32"/>
      <c r="BF133" s="54"/>
      <c r="BG133" s="56" t="str">
        <f>IFERROR(VLOOKUP(June[[#This Row],[Drug Name6]],'Data Options'!$R$1:$S$100,2,FALSE), " ")</f>
        <v xml:space="preserve"> </v>
      </c>
      <c r="BH133" s="55"/>
      <c r="BI133" s="32"/>
      <c r="BJ133" s="32"/>
      <c r="BK133" s="55"/>
      <c r="BL133" s="32"/>
      <c r="BM133" s="32"/>
      <c r="BN133" s="32"/>
      <c r="BO133" s="32"/>
      <c r="BP133" s="32"/>
      <c r="BQ133" s="31"/>
      <c r="BR133" s="31"/>
      <c r="BS133" s="54"/>
      <c r="BT133" s="56" t="str">
        <f>IFERROR(VLOOKUP(June[[#This Row],[Drug Name7]],'Data Options'!$R$1:$S$100,2,FALSE), " ")</f>
        <v xml:space="preserve"> </v>
      </c>
      <c r="BU133" s="55"/>
      <c r="BV133" s="32"/>
      <c r="BW133" s="32"/>
      <c r="BX133" s="55"/>
      <c r="BY133" s="32"/>
      <c r="BZ133" s="54"/>
      <c r="CA133" s="56" t="str">
        <f>IFERROR(VLOOKUP(June[[#This Row],[Drug Name8]],'Data Options'!$R$1:$S$100,2,FALSE), " ")</f>
        <v xml:space="preserve"> </v>
      </c>
      <c r="CB133" s="55"/>
      <c r="CC133" s="32"/>
      <c r="CD133" s="32"/>
      <c r="CE133" s="55"/>
      <c r="CF133" s="32"/>
      <c r="CG133" s="54"/>
      <c r="CH133" s="56" t="str">
        <f>IFERROR(VLOOKUP(June[[#This Row],[Drug Name9]],'Data Options'!$R$1:$S$100,2,FALSE), " ")</f>
        <v xml:space="preserve"> </v>
      </c>
      <c r="CI133" s="55"/>
      <c r="CJ133" s="32"/>
      <c r="CK133" s="32"/>
      <c r="CL133" s="55"/>
      <c r="CM133" s="32"/>
    </row>
    <row r="134" spans="1:91">
      <c r="A134" s="5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54"/>
      <c r="R134" s="56" t="str">
        <f>IFERROR(VLOOKUP(June[[#This Row],[Drug Name]],'Data Options'!$R$1:$S$100,2,FALSE), " ")</f>
        <v xml:space="preserve"> </v>
      </c>
      <c r="S134" s="55"/>
      <c r="T134" s="32"/>
      <c r="U134" s="32"/>
      <c r="V134" s="55"/>
      <c r="W134" s="32"/>
      <c r="X134" s="54"/>
      <c r="Y134" s="56" t="str">
        <f>IFERROR(VLOOKUP(June[[#This Row],[Drug Name2]],'Data Options'!$R$1:$S$100,2,FALSE), " ")</f>
        <v xml:space="preserve"> </v>
      </c>
      <c r="Z134" s="55"/>
      <c r="AA134" s="32"/>
      <c r="AB134" s="32"/>
      <c r="AC134" s="55"/>
      <c r="AD134" s="32"/>
      <c r="AE134" s="54"/>
      <c r="AF134" s="56" t="str">
        <f>IFERROR(VLOOKUP(June[[#This Row],[Drug Name3]],'Data Options'!$R$1:$S$100,2,FALSE), " ")</f>
        <v xml:space="preserve"> </v>
      </c>
      <c r="AG134" s="55"/>
      <c r="AH134" s="32"/>
      <c r="AI134" s="32"/>
      <c r="AJ134" s="55"/>
      <c r="AK134" s="32"/>
      <c r="AL134" s="32"/>
      <c r="AM134" s="32"/>
      <c r="AN134" s="32"/>
      <c r="AO134" s="32"/>
      <c r="AP134" s="31"/>
      <c r="AQ134" s="31"/>
      <c r="AR134" s="54"/>
      <c r="AS134" s="56" t="str">
        <f>IFERROR(VLOOKUP(June[[#This Row],[Drug Name4]],'Data Options'!$R$1:$S$100,2,FALSE), " ")</f>
        <v xml:space="preserve"> </v>
      </c>
      <c r="AT134" s="55"/>
      <c r="AU134" s="32"/>
      <c r="AV134" s="32"/>
      <c r="AW134" s="55"/>
      <c r="AX134" s="32"/>
      <c r="AY134" s="54"/>
      <c r="AZ134" s="56" t="str">
        <f>IFERROR(VLOOKUP(June[[#This Row],[Drug Name5]],'Data Options'!$R$1:$S$100,2,FALSE), " ")</f>
        <v xml:space="preserve"> </v>
      </c>
      <c r="BA134" s="55"/>
      <c r="BB134" s="32"/>
      <c r="BC134" s="32"/>
      <c r="BD134" s="55"/>
      <c r="BE134" s="32"/>
      <c r="BF134" s="54"/>
      <c r="BG134" s="56" t="str">
        <f>IFERROR(VLOOKUP(June[[#This Row],[Drug Name6]],'Data Options'!$R$1:$S$100,2,FALSE), " ")</f>
        <v xml:space="preserve"> </v>
      </c>
      <c r="BH134" s="55"/>
      <c r="BI134" s="32"/>
      <c r="BJ134" s="32"/>
      <c r="BK134" s="55"/>
      <c r="BL134" s="32"/>
      <c r="BM134" s="32"/>
      <c r="BN134" s="32"/>
      <c r="BO134" s="32"/>
      <c r="BP134" s="32"/>
      <c r="BQ134" s="31"/>
      <c r="BR134" s="31"/>
      <c r="BS134" s="54"/>
      <c r="BT134" s="56" t="str">
        <f>IFERROR(VLOOKUP(June[[#This Row],[Drug Name7]],'Data Options'!$R$1:$S$100,2,FALSE), " ")</f>
        <v xml:space="preserve"> </v>
      </c>
      <c r="BU134" s="55"/>
      <c r="BV134" s="32"/>
      <c r="BW134" s="32"/>
      <c r="BX134" s="55"/>
      <c r="BY134" s="32"/>
      <c r="BZ134" s="54"/>
      <c r="CA134" s="56" t="str">
        <f>IFERROR(VLOOKUP(June[[#This Row],[Drug Name8]],'Data Options'!$R$1:$S$100,2,FALSE), " ")</f>
        <v xml:space="preserve"> </v>
      </c>
      <c r="CB134" s="55"/>
      <c r="CC134" s="32"/>
      <c r="CD134" s="32"/>
      <c r="CE134" s="55"/>
      <c r="CF134" s="32"/>
      <c r="CG134" s="54"/>
      <c r="CH134" s="56" t="str">
        <f>IFERROR(VLOOKUP(June[[#This Row],[Drug Name9]],'Data Options'!$R$1:$S$100,2,FALSE), " ")</f>
        <v xml:space="preserve"> </v>
      </c>
      <c r="CI134" s="55"/>
      <c r="CJ134" s="32"/>
      <c r="CK134" s="32"/>
      <c r="CL134" s="55"/>
      <c r="CM134" s="32"/>
    </row>
    <row r="135" spans="1:91">
      <c r="A135" s="5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1"/>
      <c r="P135" s="31"/>
      <c r="Q135" s="54"/>
      <c r="R135" s="56" t="str">
        <f>IFERROR(VLOOKUP(June[[#This Row],[Drug Name]],'Data Options'!$R$1:$S$100,2,FALSE), " ")</f>
        <v xml:space="preserve"> </v>
      </c>
      <c r="S135" s="55"/>
      <c r="T135" s="32"/>
      <c r="U135" s="32"/>
      <c r="V135" s="55"/>
      <c r="W135" s="32"/>
      <c r="X135" s="54"/>
      <c r="Y135" s="56" t="str">
        <f>IFERROR(VLOOKUP(June[[#This Row],[Drug Name2]],'Data Options'!$R$1:$S$100,2,FALSE), " ")</f>
        <v xml:space="preserve"> </v>
      </c>
      <c r="Z135" s="55"/>
      <c r="AA135" s="32"/>
      <c r="AB135" s="32"/>
      <c r="AC135" s="55"/>
      <c r="AD135" s="32"/>
      <c r="AE135" s="54"/>
      <c r="AF135" s="56" t="str">
        <f>IFERROR(VLOOKUP(June[[#This Row],[Drug Name3]],'Data Options'!$R$1:$S$100,2,FALSE), " ")</f>
        <v xml:space="preserve"> </v>
      </c>
      <c r="AG135" s="55"/>
      <c r="AH135" s="32"/>
      <c r="AI135" s="32"/>
      <c r="AJ135" s="55"/>
      <c r="AK135" s="32"/>
      <c r="AL135" s="32"/>
      <c r="AM135" s="32"/>
      <c r="AN135" s="32"/>
      <c r="AO135" s="32"/>
      <c r="AP135" s="31"/>
      <c r="AQ135" s="31"/>
      <c r="AR135" s="54"/>
      <c r="AS135" s="56" t="str">
        <f>IFERROR(VLOOKUP(June[[#This Row],[Drug Name4]],'Data Options'!$R$1:$S$100,2,FALSE), " ")</f>
        <v xml:space="preserve"> </v>
      </c>
      <c r="AT135" s="55"/>
      <c r="AU135" s="32"/>
      <c r="AV135" s="32"/>
      <c r="AW135" s="55"/>
      <c r="AX135" s="32"/>
      <c r="AY135" s="54"/>
      <c r="AZ135" s="56" t="str">
        <f>IFERROR(VLOOKUP(June[[#This Row],[Drug Name5]],'Data Options'!$R$1:$S$100,2,FALSE), " ")</f>
        <v xml:space="preserve"> </v>
      </c>
      <c r="BA135" s="55"/>
      <c r="BB135" s="32"/>
      <c r="BC135" s="32"/>
      <c r="BD135" s="55"/>
      <c r="BE135" s="32"/>
      <c r="BF135" s="54"/>
      <c r="BG135" s="56" t="str">
        <f>IFERROR(VLOOKUP(June[[#This Row],[Drug Name6]],'Data Options'!$R$1:$S$100,2,FALSE), " ")</f>
        <v xml:space="preserve"> </v>
      </c>
      <c r="BH135" s="55"/>
      <c r="BI135" s="32"/>
      <c r="BJ135" s="32"/>
      <c r="BK135" s="55"/>
      <c r="BL135" s="32"/>
      <c r="BM135" s="32"/>
      <c r="BN135" s="32"/>
      <c r="BO135" s="32"/>
      <c r="BP135" s="32"/>
      <c r="BQ135" s="31"/>
      <c r="BR135" s="31"/>
      <c r="BS135" s="54"/>
      <c r="BT135" s="56" t="str">
        <f>IFERROR(VLOOKUP(June[[#This Row],[Drug Name7]],'Data Options'!$R$1:$S$100,2,FALSE), " ")</f>
        <v xml:space="preserve"> </v>
      </c>
      <c r="BU135" s="55"/>
      <c r="BV135" s="32"/>
      <c r="BW135" s="32"/>
      <c r="BX135" s="55"/>
      <c r="BY135" s="32"/>
      <c r="BZ135" s="54"/>
      <c r="CA135" s="56" t="str">
        <f>IFERROR(VLOOKUP(June[[#This Row],[Drug Name8]],'Data Options'!$R$1:$S$100,2,FALSE), " ")</f>
        <v xml:space="preserve"> </v>
      </c>
      <c r="CB135" s="55"/>
      <c r="CC135" s="32"/>
      <c r="CD135" s="32"/>
      <c r="CE135" s="55"/>
      <c r="CF135" s="32"/>
      <c r="CG135" s="54"/>
      <c r="CH135" s="56" t="str">
        <f>IFERROR(VLOOKUP(June[[#This Row],[Drug Name9]],'Data Options'!$R$1:$S$100,2,FALSE), " ")</f>
        <v xml:space="preserve"> </v>
      </c>
      <c r="CI135" s="55"/>
      <c r="CJ135" s="32"/>
      <c r="CK135" s="32"/>
      <c r="CL135" s="55"/>
      <c r="CM135" s="32"/>
    </row>
    <row r="136" spans="1:91">
      <c r="A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1"/>
      <c r="P136" s="31"/>
      <c r="Q136" s="54"/>
      <c r="R136" s="56" t="str">
        <f>IFERROR(VLOOKUP(June[[#This Row],[Drug Name]],'Data Options'!$R$1:$S$100,2,FALSE), " ")</f>
        <v xml:space="preserve"> </v>
      </c>
      <c r="S136" s="55"/>
      <c r="T136" s="32"/>
      <c r="U136" s="32"/>
      <c r="V136" s="55"/>
      <c r="W136" s="32"/>
      <c r="X136" s="54"/>
      <c r="Y136" s="56" t="str">
        <f>IFERROR(VLOOKUP(June[[#This Row],[Drug Name2]],'Data Options'!$R$1:$S$100,2,FALSE), " ")</f>
        <v xml:space="preserve"> </v>
      </c>
      <c r="Z136" s="55"/>
      <c r="AA136" s="32"/>
      <c r="AB136" s="32"/>
      <c r="AC136" s="55"/>
      <c r="AD136" s="32"/>
      <c r="AE136" s="54"/>
      <c r="AF136" s="56" t="str">
        <f>IFERROR(VLOOKUP(June[[#This Row],[Drug Name3]],'Data Options'!$R$1:$S$100,2,FALSE), " ")</f>
        <v xml:space="preserve"> </v>
      </c>
      <c r="AG136" s="55"/>
      <c r="AH136" s="32"/>
      <c r="AI136" s="32"/>
      <c r="AJ136" s="55"/>
      <c r="AK136" s="32"/>
      <c r="AL136" s="32"/>
      <c r="AM136" s="32"/>
      <c r="AN136" s="32"/>
      <c r="AO136" s="32"/>
      <c r="AP136" s="31"/>
      <c r="AQ136" s="31"/>
      <c r="AR136" s="54"/>
      <c r="AS136" s="56" t="str">
        <f>IFERROR(VLOOKUP(June[[#This Row],[Drug Name4]],'Data Options'!$R$1:$S$100,2,FALSE), " ")</f>
        <v xml:space="preserve"> </v>
      </c>
      <c r="AT136" s="55"/>
      <c r="AU136" s="32"/>
      <c r="AV136" s="32"/>
      <c r="AW136" s="55"/>
      <c r="AX136" s="32"/>
      <c r="AY136" s="54"/>
      <c r="AZ136" s="56" t="str">
        <f>IFERROR(VLOOKUP(June[[#This Row],[Drug Name5]],'Data Options'!$R$1:$S$100,2,FALSE), " ")</f>
        <v xml:space="preserve"> </v>
      </c>
      <c r="BA136" s="55"/>
      <c r="BB136" s="32"/>
      <c r="BC136" s="32"/>
      <c r="BD136" s="55"/>
      <c r="BE136" s="32"/>
      <c r="BF136" s="54"/>
      <c r="BG136" s="56" t="str">
        <f>IFERROR(VLOOKUP(June[[#This Row],[Drug Name6]],'Data Options'!$R$1:$S$100,2,FALSE), " ")</f>
        <v xml:space="preserve"> </v>
      </c>
      <c r="BH136" s="55"/>
      <c r="BI136" s="32"/>
      <c r="BJ136" s="32"/>
      <c r="BK136" s="55"/>
      <c r="BL136" s="32"/>
      <c r="BM136" s="32"/>
      <c r="BN136" s="32"/>
      <c r="BO136" s="32"/>
      <c r="BP136" s="32"/>
      <c r="BQ136" s="31"/>
      <c r="BR136" s="31"/>
      <c r="BS136" s="54"/>
      <c r="BT136" s="56" t="str">
        <f>IFERROR(VLOOKUP(June[[#This Row],[Drug Name7]],'Data Options'!$R$1:$S$100,2,FALSE), " ")</f>
        <v xml:space="preserve"> </v>
      </c>
      <c r="BU136" s="55"/>
      <c r="BV136" s="32"/>
      <c r="BW136" s="32"/>
      <c r="BX136" s="55"/>
      <c r="BY136" s="32"/>
      <c r="BZ136" s="54"/>
      <c r="CA136" s="56" t="str">
        <f>IFERROR(VLOOKUP(June[[#This Row],[Drug Name8]],'Data Options'!$R$1:$S$100,2,FALSE), " ")</f>
        <v xml:space="preserve"> </v>
      </c>
      <c r="CB136" s="55"/>
      <c r="CC136" s="32"/>
      <c r="CD136" s="32"/>
      <c r="CE136" s="55"/>
      <c r="CF136" s="32"/>
      <c r="CG136" s="54"/>
      <c r="CH136" s="56" t="str">
        <f>IFERROR(VLOOKUP(June[[#This Row],[Drug Name9]],'Data Options'!$R$1:$S$100,2,FALSE), " ")</f>
        <v xml:space="preserve"> </v>
      </c>
      <c r="CI136" s="55"/>
      <c r="CJ136" s="32"/>
      <c r="CK136" s="32"/>
      <c r="CL136" s="55"/>
      <c r="CM136" s="32"/>
    </row>
    <row r="137" spans="1:91">
      <c r="A137" s="5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/>
      <c r="P137" s="31"/>
      <c r="Q137" s="54"/>
      <c r="R137" s="56" t="str">
        <f>IFERROR(VLOOKUP(June[[#This Row],[Drug Name]],'Data Options'!$R$1:$S$100,2,FALSE), " ")</f>
        <v xml:space="preserve"> </v>
      </c>
      <c r="S137" s="55"/>
      <c r="T137" s="32"/>
      <c r="U137" s="32"/>
      <c r="V137" s="55"/>
      <c r="W137" s="32"/>
      <c r="X137" s="54"/>
      <c r="Y137" s="56" t="str">
        <f>IFERROR(VLOOKUP(June[[#This Row],[Drug Name2]],'Data Options'!$R$1:$S$100,2,FALSE), " ")</f>
        <v xml:space="preserve"> </v>
      </c>
      <c r="Z137" s="55"/>
      <c r="AA137" s="32"/>
      <c r="AB137" s="32"/>
      <c r="AC137" s="55"/>
      <c r="AD137" s="32"/>
      <c r="AE137" s="54"/>
      <c r="AF137" s="56" t="str">
        <f>IFERROR(VLOOKUP(June[[#This Row],[Drug Name3]],'Data Options'!$R$1:$S$100,2,FALSE), " ")</f>
        <v xml:space="preserve"> </v>
      </c>
      <c r="AG137" s="55"/>
      <c r="AH137" s="32"/>
      <c r="AI137" s="32"/>
      <c r="AJ137" s="55"/>
      <c r="AK137" s="32"/>
      <c r="AL137" s="32"/>
      <c r="AM137" s="32"/>
      <c r="AN137" s="32"/>
      <c r="AO137" s="32"/>
      <c r="AP137" s="31"/>
      <c r="AQ137" s="31"/>
      <c r="AR137" s="54"/>
      <c r="AS137" s="56" t="str">
        <f>IFERROR(VLOOKUP(June[[#This Row],[Drug Name4]],'Data Options'!$R$1:$S$100,2,FALSE), " ")</f>
        <v xml:space="preserve"> </v>
      </c>
      <c r="AT137" s="55"/>
      <c r="AU137" s="32"/>
      <c r="AV137" s="32"/>
      <c r="AW137" s="55"/>
      <c r="AX137" s="32"/>
      <c r="AY137" s="54"/>
      <c r="AZ137" s="56" t="str">
        <f>IFERROR(VLOOKUP(June[[#This Row],[Drug Name5]],'Data Options'!$R$1:$S$100,2,FALSE), " ")</f>
        <v xml:space="preserve"> </v>
      </c>
      <c r="BA137" s="55"/>
      <c r="BB137" s="32"/>
      <c r="BC137" s="32"/>
      <c r="BD137" s="55"/>
      <c r="BE137" s="32"/>
      <c r="BF137" s="54"/>
      <c r="BG137" s="56" t="str">
        <f>IFERROR(VLOOKUP(June[[#This Row],[Drug Name6]],'Data Options'!$R$1:$S$100,2,FALSE), " ")</f>
        <v xml:space="preserve"> </v>
      </c>
      <c r="BH137" s="55"/>
      <c r="BI137" s="32"/>
      <c r="BJ137" s="32"/>
      <c r="BK137" s="55"/>
      <c r="BL137" s="32"/>
      <c r="BM137" s="32"/>
      <c r="BN137" s="32"/>
      <c r="BO137" s="32"/>
      <c r="BP137" s="32"/>
      <c r="BQ137" s="31"/>
      <c r="BR137" s="31"/>
      <c r="BS137" s="54"/>
      <c r="BT137" s="56" t="str">
        <f>IFERROR(VLOOKUP(June[[#This Row],[Drug Name7]],'Data Options'!$R$1:$S$100,2,FALSE), " ")</f>
        <v xml:space="preserve"> </v>
      </c>
      <c r="BU137" s="55"/>
      <c r="BV137" s="32"/>
      <c r="BW137" s="32"/>
      <c r="BX137" s="55"/>
      <c r="BY137" s="32"/>
      <c r="BZ137" s="54"/>
      <c r="CA137" s="56" t="str">
        <f>IFERROR(VLOOKUP(June[[#This Row],[Drug Name8]],'Data Options'!$R$1:$S$100,2,FALSE), " ")</f>
        <v xml:space="preserve"> </v>
      </c>
      <c r="CB137" s="55"/>
      <c r="CC137" s="32"/>
      <c r="CD137" s="32"/>
      <c r="CE137" s="55"/>
      <c r="CF137" s="32"/>
      <c r="CG137" s="54"/>
      <c r="CH137" s="56" t="str">
        <f>IFERROR(VLOOKUP(June[[#This Row],[Drug Name9]],'Data Options'!$R$1:$S$100,2,FALSE), " ")</f>
        <v xml:space="preserve"> </v>
      </c>
      <c r="CI137" s="55"/>
      <c r="CJ137" s="32"/>
      <c r="CK137" s="32"/>
      <c r="CL137" s="55"/>
      <c r="CM137" s="32"/>
    </row>
    <row r="138" spans="1:91">
      <c r="A138" s="5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1"/>
      <c r="P138" s="31"/>
      <c r="Q138" s="54"/>
      <c r="R138" s="56" t="str">
        <f>IFERROR(VLOOKUP(June[[#This Row],[Drug Name]],'Data Options'!$R$1:$S$100,2,FALSE), " ")</f>
        <v xml:space="preserve"> </v>
      </c>
      <c r="S138" s="55"/>
      <c r="T138" s="32"/>
      <c r="U138" s="32"/>
      <c r="V138" s="55"/>
      <c r="W138" s="32"/>
      <c r="X138" s="54"/>
      <c r="Y138" s="56" t="str">
        <f>IFERROR(VLOOKUP(June[[#This Row],[Drug Name2]],'Data Options'!$R$1:$S$100,2,FALSE), " ")</f>
        <v xml:space="preserve"> </v>
      </c>
      <c r="Z138" s="55"/>
      <c r="AA138" s="32"/>
      <c r="AB138" s="32"/>
      <c r="AC138" s="55"/>
      <c r="AD138" s="32"/>
      <c r="AE138" s="54"/>
      <c r="AF138" s="56" t="str">
        <f>IFERROR(VLOOKUP(June[[#This Row],[Drug Name3]],'Data Options'!$R$1:$S$100,2,FALSE), " ")</f>
        <v xml:space="preserve"> </v>
      </c>
      <c r="AG138" s="55"/>
      <c r="AH138" s="32"/>
      <c r="AI138" s="32"/>
      <c r="AJ138" s="55"/>
      <c r="AK138" s="32"/>
      <c r="AL138" s="32"/>
      <c r="AM138" s="32"/>
      <c r="AN138" s="32"/>
      <c r="AO138" s="32"/>
      <c r="AP138" s="31"/>
      <c r="AQ138" s="31"/>
      <c r="AR138" s="54"/>
      <c r="AS138" s="56" t="str">
        <f>IFERROR(VLOOKUP(June[[#This Row],[Drug Name4]],'Data Options'!$R$1:$S$100,2,FALSE), " ")</f>
        <v xml:space="preserve"> </v>
      </c>
      <c r="AT138" s="55"/>
      <c r="AU138" s="32"/>
      <c r="AV138" s="32"/>
      <c r="AW138" s="55"/>
      <c r="AX138" s="32"/>
      <c r="AY138" s="54"/>
      <c r="AZ138" s="56" t="str">
        <f>IFERROR(VLOOKUP(June[[#This Row],[Drug Name5]],'Data Options'!$R$1:$S$100,2,FALSE), " ")</f>
        <v xml:space="preserve"> </v>
      </c>
      <c r="BA138" s="55"/>
      <c r="BB138" s="32"/>
      <c r="BC138" s="32"/>
      <c r="BD138" s="55"/>
      <c r="BE138" s="32"/>
      <c r="BF138" s="54"/>
      <c r="BG138" s="56" t="str">
        <f>IFERROR(VLOOKUP(June[[#This Row],[Drug Name6]],'Data Options'!$R$1:$S$100,2,FALSE), " ")</f>
        <v xml:space="preserve"> </v>
      </c>
      <c r="BH138" s="55"/>
      <c r="BI138" s="32"/>
      <c r="BJ138" s="32"/>
      <c r="BK138" s="55"/>
      <c r="BL138" s="32"/>
      <c r="BM138" s="32"/>
      <c r="BN138" s="32"/>
      <c r="BO138" s="32"/>
      <c r="BP138" s="32"/>
      <c r="BQ138" s="31"/>
      <c r="BR138" s="31"/>
      <c r="BS138" s="54"/>
      <c r="BT138" s="56" t="str">
        <f>IFERROR(VLOOKUP(June[[#This Row],[Drug Name7]],'Data Options'!$R$1:$S$100,2,FALSE), " ")</f>
        <v xml:space="preserve"> </v>
      </c>
      <c r="BU138" s="55"/>
      <c r="BV138" s="32"/>
      <c r="BW138" s="32"/>
      <c r="BX138" s="55"/>
      <c r="BY138" s="32"/>
      <c r="BZ138" s="54"/>
      <c r="CA138" s="56" t="str">
        <f>IFERROR(VLOOKUP(June[[#This Row],[Drug Name8]],'Data Options'!$R$1:$S$100,2,FALSE), " ")</f>
        <v xml:space="preserve"> </v>
      </c>
      <c r="CB138" s="55"/>
      <c r="CC138" s="32"/>
      <c r="CD138" s="32"/>
      <c r="CE138" s="55"/>
      <c r="CF138" s="32"/>
      <c r="CG138" s="54"/>
      <c r="CH138" s="56" t="str">
        <f>IFERROR(VLOOKUP(June[[#This Row],[Drug Name9]],'Data Options'!$R$1:$S$100,2,FALSE), " ")</f>
        <v xml:space="preserve"> </v>
      </c>
      <c r="CI138" s="55"/>
      <c r="CJ138" s="32"/>
      <c r="CK138" s="32"/>
      <c r="CL138" s="55"/>
      <c r="CM138" s="32"/>
    </row>
    <row r="139" spans="1:91">
      <c r="A139" s="5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1"/>
      <c r="P139" s="31"/>
      <c r="Q139" s="54"/>
      <c r="R139" s="56" t="str">
        <f>IFERROR(VLOOKUP(June[[#This Row],[Drug Name]],'Data Options'!$R$1:$S$100,2,FALSE), " ")</f>
        <v xml:space="preserve"> </v>
      </c>
      <c r="S139" s="55"/>
      <c r="T139" s="32"/>
      <c r="U139" s="32"/>
      <c r="V139" s="55"/>
      <c r="W139" s="32"/>
      <c r="X139" s="54"/>
      <c r="Y139" s="56" t="str">
        <f>IFERROR(VLOOKUP(June[[#This Row],[Drug Name2]],'Data Options'!$R$1:$S$100,2,FALSE), " ")</f>
        <v xml:space="preserve"> </v>
      </c>
      <c r="Z139" s="55"/>
      <c r="AA139" s="32"/>
      <c r="AB139" s="32"/>
      <c r="AC139" s="55"/>
      <c r="AD139" s="32"/>
      <c r="AE139" s="54"/>
      <c r="AF139" s="56" t="str">
        <f>IFERROR(VLOOKUP(June[[#This Row],[Drug Name3]],'Data Options'!$R$1:$S$100,2,FALSE), " ")</f>
        <v xml:space="preserve"> </v>
      </c>
      <c r="AG139" s="55"/>
      <c r="AH139" s="32"/>
      <c r="AI139" s="32"/>
      <c r="AJ139" s="55"/>
      <c r="AK139" s="32"/>
      <c r="AL139" s="32"/>
      <c r="AM139" s="32"/>
      <c r="AN139" s="32"/>
      <c r="AO139" s="32"/>
      <c r="AP139" s="31"/>
      <c r="AQ139" s="31"/>
      <c r="AR139" s="54"/>
      <c r="AS139" s="56" t="str">
        <f>IFERROR(VLOOKUP(June[[#This Row],[Drug Name4]],'Data Options'!$R$1:$S$100,2,FALSE), " ")</f>
        <v xml:space="preserve"> </v>
      </c>
      <c r="AT139" s="55"/>
      <c r="AU139" s="32"/>
      <c r="AV139" s="32"/>
      <c r="AW139" s="55"/>
      <c r="AX139" s="32"/>
      <c r="AY139" s="54"/>
      <c r="AZ139" s="56" t="str">
        <f>IFERROR(VLOOKUP(June[[#This Row],[Drug Name5]],'Data Options'!$R$1:$S$100,2,FALSE), " ")</f>
        <v xml:space="preserve"> </v>
      </c>
      <c r="BA139" s="55"/>
      <c r="BB139" s="32"/>
      <c r="BC139" s="32"/>
      <c r="BD139" s="55"/>
      <c r="BE139" s="32"/>
      <c r="BF139" s="54"/>
      <c r="BG139" s="56" t="str">
        <f>IFERROR(VLOOKUP(June[[#This Row],[Drug Name6]],'Data Options'!$R$1:$S$100,2,FALSE), " ")</f>
        <v xml:space="preserve"> </v>
      </c>
      <c r="BH139" s="55"/>
      <c r="BI139" s="32"/>
      <c r="BJ139" s="32"/>
      <c r="BK139" s="55"/>
      <c r="BL139" s="32"/>
      <c r="BM139" s="32"/>
      <c r="BN139" s="32"/>
      <c r="BO139" s="32"/>
      <c r="BP139" s="32"/>
      <c r="BQ139" s="31"/>
      <c r="BR139" s="31"/>
      <c r="BS139" s="54"/>
      <c r="BT139" s="56" t="str">
        <f>IFERROR(VLOOKUP(June[[#This Row],[Drug Name7]],'Data Options'!$R$1:$S$100,2,FALSE), " ")</f>
        <v xml:space="preserve"> </v>
      </c>
      <c r="BU139" s="55"/>
      <c r="BV139" s="32"/>
      <c r="BW139" s="32"/>
      <c r="BX139" s="55"/>
      <c r="BY139" s="32"/>
      <c r="BZ139" s="54"/>
      <c r="CA139" s="56" t="str">
        <f>IFERROR(VLOOKUP(June[[#This Row],[Drug Name8]],'Data Options'!$R$1:$S$100,2,FALSE), " ")</f>
        <v xml:space="preserve"> </v>
      </c>
      <c r="CB139" s="55"/>
      <c r="CC139" s="32"/>
      <c r="CD139" s="32"/>
      <c r="CE139" s="55"/>
      <c r="CF139" s="32"/>
      <c r="CG139" s="54"/>
      <c r="CH139" s="56" t="str">
        <f>IFERROR(VLOOKUP(June[[#This Row],[Drug Name9]],'Data Options'!$R$1:$S$100,2,FALSE), " ")</f>
        <v xml:space="preserve"> </v>
      </c>
      <c r="CI139" s="55"/>
      <c r="CJ139" s="32"/>
      <c r="CK139" s="32"/>
      <c r="CL139" s="55"/>
      <c r="CM139" s="32"/>
    </row>
    <row r="140" spans="1:91">
      <c r="A140" s="5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1"/>
      <c r="P140" s="31"/>
      <c r="Q140" s="54"/>
      <c r="R140" s="56" t="str">
        <f>IFERROR(VLOOKUP(June[[#This Row],[Drug Name]],'Data Options'!$R$1:$S$100,2,FALSE), " ")</f>
        <v xml:space="preserve"> </v>
      </c>
      <c r="S140" s="55"/>
      <c r="T140" s="32"/>
      <c r="U140" s="32"/>
      <c r="V140" s="55"/>
      <c r="W140" s="32"/>
      <c r="X140" s="54"/>
      <c r="Y140" s="56" t="str">
        <f>IFERROR(VLOOKUP(June[[#This Row],[Drug Name2]],'Data Options'!$R$1:$S$100,2,FALSE), " ")</f>
        <v xml:space="preserve"> </v>
      </c>
      <c r="Z140" s="55"/>
      <c r="AA140" s="32"/>
      <c r="AB140" s="32"/>
      <c r="AC140" s="55"/>
      <c r="AD140" s="32"/>
      <c r="AE140" s="54"/>
      <c r="AF140" s="56" t="str">
        <f>IFERROR(VLOOKUP(June[[#This Row],[Drug Name3]],'Data Options'!$R$1:$S$100,2,FALSE), " ")</f>
        <v xml:space="preserve"> </v>
      </c>
      <c r="AG140" s="55"/>
      <c r="AH140" s="32"/>
      <c r="AI140" s="32"/>
      <c r="AJ140" s="55"/>
      <c r="AK140" s="32"/>
      <c r="AL140" s="32"/>
      <c r="AM140" s="32"/>
      <c r="AN140" s="32"/>
      <c r="AO140" s="32"/>
      <c r="AP140" s="31"/>
      <c r="AQ140" s="31"/>
      <c r="AR140" s="54"/>
      <c r="AS140" s="56" t="str">
        <f>IFERROR(VLOOKUP(June[[#This Row],[Drug Name4]],'Data Options'!$R$1:$S$100,2,FALSE), " ")</f>
        <v xml:space="preserve"> </v>
      </c>
      <c r="AT140" s="55"/>
      <c r="AU140" s="32"/>
      <c r="AV140" s="32"/>
      <c r="AW140" s="55"/>
      <c r="AX140" s="32"/>
      <c r="AY140" s="54"/>
      <c r="AZ140" s="56" t="str">
        <f>IFERROR(VLOOKUP(June[[#This Row],[Drug Name5]],'Data Options'!$R$1:$S$100,2,FALSE), " ")</f>
        <v xml:space="preserve"> </v>
      </c>
      <c r="BA140" s="55"/>
      <c r="BB140" s="32"/>
      <c r="BC140" s="32"/>
      <c r="BD140" s="55"/>
      <c r="BE140" s="32"/>
      <c r="BF140" s="54"/>
      <c r="BG140" s="56" t="str">
        <f>IFERROR(VLOOKUP(June[[#This Row],[Drug Name6]],'Data Options'!$R$1:$S$100,2,FALSE), " ")</f>
        <v xml:space="preserve"> </v>
      </c>
      <c r="BH140" s="55"/>
      <c r="BI140" s="32"/>
      <c r="BJ140" s="32"/>
      <c r="BK140" s="55"/>
      <c r="BL140" s="32"/>
      <c r="BM140" s="32"/>
      <c r="BN140" s="32"/>
      <c r="BO140" s="32"/>
      <c r="BP140" s="32"/>
      <c r="BQ140" s="31"/>
      <c r="BR140" s="31"/>
      <c r="BS140" s="54"/>
      <c r="BT140" s="56" t="str">
        <f>IFERROR(VLOOKUP(June[[#This Row],[Drug Name7]],'Data Options'!$R$1:$S$100,2,FALSE), " ")</f>
        <v xml:space="preserve"> </v>
      </c>
      <c r="BU140" s="55"/>
      <c r="BV140" s="32"/>
      <c r="BW140" s="32"/>
      <c r="BX140" s="55"/>
      <c r="BY140" s="32"/>
      <c r="BZ140" s="54"/>
      <c r="CA140" s="56" t="str">
        <f>IFERROR(VLOOKUP(June[[#This Row],[Drug Name8]],'Data Options'!$R$1:$S$100,2,FALSE), " ")</f>
        <v xml:space="preserve"> </v>
      </c>
      <c r="CB140" s="55"/>
      <c r="CC140" s="32"/>
      <c r="CD140" s="32"/>
      <c r="CE140" s="55"/>
      <c r="CF140" s="32"/>
      <c r="CG140" s="54"/>
      <c r="CH140" s="56" t="str">
        <f>IFERROR(VLOOKUP(June[[#This Row],[Drug Name9]],'Data Options'!$R$1:$S$100,2,FALSE), " ")</f>
        <v xml:space="preserve"> </v>
      </c>
      <c r="CI140" s="55"/>
      <c r="CJ140" s="32"/>
      <c r="CK140" s="32"/>
      <c r="CL140" s="55"/>
      <c r="CM140" s="32"/>
    </row>
    <row r="141" spans="1:91">
      <c r="A141" s="5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1"/>
      <c r="Q141" s="54"/>
      <c r="R141" s="56" t="str">
        <f>IFERROR(VLOOKUP(June[[#This Row],[Drug Name]],'Data Options'!$R$1:$S$100,2,FALSE), " ")</f>
        <v xml:space="preserve"> </v>
      </c>
      <c r="S141" s="55"/>
      <c r="T141" s="32"/>
      <c r="U141" s="32"/>
      <c r="V141" s="55"/>
      <c r="W141" s="32"/>
      <c r="X141" s="54"/>
      <c r="Y141" s="56" t="str">
        <f>IFERROR(VLOOKUP(June[[#This Row],[Drug Name2]],'Data Options'!$R$1:$S$100,2,FALSE), " ")</f>
        <v xml:space="preserve"> </v>
      </c>
      <c r="Z141" s="55"/>
      <c r="AA141" s="32"/>
      <c r="AB141" s="32"/>
      <c r="AC141" s="55"/>
      <c r="AD141" s="32"/>
      <c r="AE141" s="54"/>
      <c r="AF141" s="56" t="str">
        <f>IFERROR(VLOOKUP(June[[#This Row],[Drug Name3]],'Data Options'!$R$1:$S$100,2,FALSE), " ")</f>
        <v xml:space="preserve"> </v>
      </c>
      <c r="AG141" s="55"/>
      <c r="AH141" s="32"/>
      <c r="AI141" s="32"/>
      <c r="AJ141" s="55"/>
      <c r="AK141" s="32"/>
      <c r="AL141" s="32"/>
      <c r="AM141" s="32"/>
      <c r="AN141" s="32"/>
      <c r="AO141" s="32"/>
      <c r="AP141" s="31"/>
      <c r="AQ141" s="31"/>
      <c r="AR141" s="54"/>
      <c r="AS141" s="56" t="str">
        <f>IFERROR(VLOOKUP(June[[#This Row],[Drug Name4]],'Data Options'!$R$1:$S$100,2,FALSE), " ")</f>
        <v xml:space="preserve"> </v>
      </c>
      <c r="AT141" s="55"/>
      <c r="AU141" s="32"/>
      <c r="AV141" s="32"/>
      <c r="AW141" s="55"/>
      <c r="AX141" s="32"/>
      <c r="AY141" s="54"/>
      <c r="AZ141" s="56" t="str">
        <f>IFERROR(VLOOKUP(June[[#This Row],[Drug Name5]],'Data Options'!$R$1:$S$100,2,FALSE), " ")</f>
        <v xml:space="preserve"> </v>
      </c>
      <c r="BA141" s="55"/>
      <c r="BB141" s="32"/>
      <c r="BC141" s="32"/>
      <c r="BD141" s="55"/>
      <c r="BE141" s="32"/>
      <c r="BF141" s="54"/>
      <c r="BG141" s="56" t="str">
        <f>IFERROR(VLOOKUP(June[[#This Row],[Drug Name6]],'Data Options'!$R$1:$S$100,2,FALSE), " ")</f>
        <v xml:space="preserve"> </v>
      </c>
      <c r="BH141" s="55"/>
      <c r="BI141" s="32"/>
      <c r="BJ141" s="32"/>
      <c r="BK141" s="55"/>
      <c r="BL141" s="32"/>
      <c r="BM141" s="32"/>
      <c r="BN141" s="32"/>
      <c r="BO141" s="32"/>
      <c r="BP141" s="32"/>
      <c r="BQ141" s="31"/>
      <c r="BR141" s="31"/>
      <c r="BS141" s="54"/>
      <c r="BT141" s="56" t="str">
        <f>IFERROR(VLOOKUP(June[[#This Row],[Drug Name7]],'Data Options'!$R$1:$S$100,2,FALSE), " ")</f>
        <v xml:space="preserve"> </v>
      </c>
      <c r="BU141" s="55"/>
      <c r="BV141" s="32"/>
      <c r="BW141" s="32"/>
      <c r="BX141" s="55"/>
      <c r="BY141" s="32"/>
      <c r="BZ141" s="54"/>
      <c r="CA141" s="56" t="str">
        <f>IFERROR(VLOOKUP(June[[#This Row],[Drug Name8]],'Data Options'!$R$1:$S$100,2,FALSE), " ")</f>
        <v xml:space="preserve"> </v>
      </c>
      <c r="CB141" s="55"/>
      <c r="CC141" s="32"/>
      <c r="CD141" s="32"/>
      <c r="CE141" s="55"/>
      <c r="CF141" s="32"/>
      <c r="CG141" s="54"/>
      <c r="CH141" s="56" t="str">
        <f>IFERROR(VLOOKUP(June[[#This Row],[Drug Name9]],'Data Options'!$R$1:$S$100,2,FALSE), " ")</f>
        <v xml:space="preserve"> </v>
      </c>
      <c r="CI141" s="55"/>
      <c r="CJ141" s="32"/>
      <c r="CK141" s="32"/>
      <c r="CL141" s="55"/>
      <c r="CM141" s="32"/>
    </row>
    <row r="142" spans="1:91">
      <c r="A142" s="5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1"/>
      <c r="P142" s="31"/>
      <c r="Q142" s="54"/>
      <c r="R142" s="56" t="str">
        <f>IFERROR(VLOOKUP(June[[#This Row],[Drug Name]],'Data Options'!$R$1:$S$100,2,FALSE), " ")</f>
        <v xml:space="preserve"> </v>
      </c>
      <c r="S142" s="55"/>
      <c r="T142" s="32"/>
      <c r="U142" s="32"/>
      <c r="V142" s="55"/>
      <c r="W142" s="32"/>
      <c r="X142" s="54"/>
      <c r="Y142" s="56" t="str">
        <f>IFERROR(VLOOKUP(June[[#This Row],[Drug Name2]],'Data Options'!$R$1:$S$100,2,FALSE), " ")</f>
        <v xml:space="preserve"> </v>
      </c>
      <c r="Z142" s="55"/>
      <c r="AA142" s="32"/>
      <c r="AB142" s="32"/>
      <c r="AC142" s="55"/>
      <c r="AD142" s="32"/>
      <c r="AE142" s="54"/>
      <c r="AF142" s="56" t="str">
        <f>IFERROR(VLOOKUP(June[[#This Row],[Drug Name3]],'Data Options'!$R$1:$S$100,2,FALSE), " ")</f>
        <v xml:space="preserve"> </v>
      </c>
      <c r="AG142" s="55"/>
      <c r="AH142" s="32"/>
      <c r="AI142" s="32"/>
      <c r="AJ142" s="55"/>
      <c r="AK142" s="32"/>
      <c r="AL142" s="32"/>
      <c r="AM142" s="32"/>
      <c r="AN142" s="32"/>
      <c r="AO142" s="32"/>
      <c r="AP142" s="31"/>
      <c r="AQ142" s="31"/>
      <c r="AR142" s="54"/>
      <c r="AS142" s="56" t="str">
        <f>IFERROR(VLOOKUP(June[[#This Row],[Drug Name4]],'Data Options'!$R$1:$S$100,2,FALSE), " ")</f>
        <v xml:space="preserve"> </v>
      </c>
      <c r="AT142" s="55"/>
      <c r="AU142" s="32"/>
      <c r="AV142" s="32"/>
      <c r="AW142" s="55"/>
      <c r="AX142" s="32"/>
      <c r="AY142" s="54"/>
      <c r="AZ142" s="56" t="str">
        <f>IFERROR(VLOOKUP(June[[#This Row],[Drug Name5]],'Data Options'!$R$1:$S$100,2,FALSE), " ")</f>
        <v xml:space="preserve"> </v>
      </c>
      <c r="BA142" s="55"/>
      <c r="BB142" s="32"/>
      <c r="BC142" s="32"/>
      <c r="BD142" s="55"/>
      <c r="BE142" s="32"/>
      <c r="BF142" s="54"/>
      <c r="BG142" s="56" t="str">
        <f>IFERROR(VLOOKUP(June[[#This Row],[Drug Name6]],'Data Options'!$R$1:$S$100,2,FALSE), " ")</f>
        <v xml:space="preserve"> </v>
      </c>
      <c r="BH142" s="55"/>
      <c r="BI142" s="32"/>
      <c r="BJ142" s="32"/>
      <c r="BK142" s="55"/>
      <c r="BL142" s="32"/>
      <c r="BM142" s="32"/>
      <c r="BN142" s="32"/>
      <c r="BO142" s="32"/>
      <c r="BP142" s="32"/>
      <c r="BQ142" s="31"/>
      <c r="BR142" s="31"/>
      <c r="BS142" s="54"/>
      <c r="BT142" s="56" t="str">
        <f>IFERROR(VLOOKUP(June[[#This Row],[Drug Name7]],'Data Options'!$R$1:$S$100,2,FALSE), " ")</f>
        <v xml:space="preserve"> </v>
      </c>
      <c r="BU142" s="55"/>
      <c r="BV142" s="32"/>
      <c r="BW142" s="32"/>
      <c r="BX142" s="55"/>
      <c r="BY142" s="32"/>
      <c r="BZ142" s="54"/>
      <c r="CA142" s="56" t="str">
        <f>IFERROR(VLOOKUP(June[[#This Row],[Drug Name8]],'Data Options'!$R$1:$S$100,2,FALSE), " ")</f>
        <v xml:space="preserve"> </v>
      </c>
      <c r="CB142" s="55"/>
      <c r="CC142" s="32"/>
      <c r="CD142" s="32"/>
      <c r="CE142" s="55"/>
      <c r="CF142" s="32"/>
      <c r="CG142" s="54"/>
      <c r="CH142" s="56" t="str">
        <f>IFERROR(VLOOKUP(June[[#This Row],[Drug Name9]],'Data Options'!$R$1:$S$100,2,FALSE), " ")</f>
        <v xml:space="preserve"> </v>
      </c>
      <c r="CI142" s="55"/>
      <c r="CJ142" s="32"/>
      <c r="CK142" s="32"/>
      <c r="CL142" s="55"/>
      <c r="CM142" s="32"/>
    </row>
    <row r="143" spans="1:91">
      <c r="A143" s="5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1"/>
      <c r="P143" s="31"/>
      <c r="Q143" s="54"/>
      <c r="R143" s="56" t="str">
        <f>IFERROR(VLOOKUP(June[[#This Row],[Drug Name]],'Data Options'!$R$1:$S$100,2,FALSE), " ")</f>
        <v xml:space="preserve"> </v>
      </c>
      <c r="S143" s="55"/>
      <c r="T143" s="32"/>
      <c r="U143" s="32"/>
      <c r="V143" s="55"/>
      <c r="W143" s="32"/>
      <c r="X143" s="54"/>
      <c r="Y143" s="56" t="str">
        <f>IFERROR(VLOOKUP(June[[#This Row],[Drug Name2]],'Data Options'!$R$1:$S$100,2,FALSE), " ")</f>
        <v xml:space="preserve"> </v>
      </c>
      <c r="Z143" s="55"/>
      <c r="AA143" s="32"/>
      <c r="AB143" s="32"/>
      <c r="AC143" s="55"/>
      <c r="AD143" s="32"/>
      <c r="AE143" s="54"/>
      <c r="AF143" s="56" t="str">
        <f>IFERROR(VLOOKUP(June[[#This Row],[Drug Name3]],'Data Options'!$R$1:$S$100,2,FALSE), " ")</f>
        <v xml:space="preserve"> </v>
      </c>
      <c r="AG143" s="55"/>
      <c r="AH143" s="32"/>
      <c r="AI143" s="32"/>
      <c r="AJ143" s="55"/>
      <c r="AK143" s="32"/>
      <c r="AL143" s="32"/>
      <c r="AM143" s="32"/>
      <c r="AN143" s="32"/>
      <c r="AO143" s="32"/>
      <c r="AP143" s="31"/>
      <c r="AQ143" s="31"/>
      <c r="AR143" s="54"/>
      <c r="AS143" s="56" t="str">
        <f>IFERROR(VLOOKUP(June[[#This Row],[Drug Name4]],'Data Options'!$R$1:$S$100,2,FALSE), " ")</f>
        <v xml:space="preserve"> </v>
      </c>
      <c r="AT143" s="55"/>
      <c r="AU143" s="32"/>
      <c r="AV143" s="32"/>
      <c r="AW143" s="55"/>
      <c r="AX143" s="32"/>
      <c r="AY143" s="54"/>
      <c r="AZ143" s="56" t="str">
        <f>IFERROR(VLOOKUP(June[[#This Row],[Drug Name5]],'Data Options'!$R$1:$S$100,2,FALSE), " ")</f>
        <v xml:space="preserve"> </v>
      </c>
      <c r="BA143" s="55"/>
      <c r="BB143" s="32"/>
      <c r="BC143" s="32"/>
      <c r="BD143" s="55"/>
      <c r="BE143" s="32"/>
      <c r="BF143" s="54"/>
      <c r="BG143" s="56" t="str">
        <f>IFERROR(VLOOKUP(June[[#This Row],[Drug Name6]],'Data Options'!$R$1:$S$100,2,FALSE), " ")</f>
        <v xml:space="preserve"> </v>
      </c>
      <c r="BH143" s="55"/>
      <c r="BI143" s="32"/>
      <c r="BJ143" s="32"/>
      <c r="BK143" s="55"/>
      <c r="BL143" s="32"/>
      <c r="BM143" s="32"/>
      <c r="BN143" s="32"/>
      <c r="BO143" s="32"/>
      <c r="BP143" s="32"/>
      <c r="BQ143" s="31"/>
      <c r="BR143" s="31"/>
      <c r="BS143" s="54"/>
      <c r="BT143" s="56" t="str">
        <f>IFERROR(VLOOKUP(June[[#This Row],[Drug Name7]],'Data Options'!$R$1:$S$100,2,FALSE), " ")</f>
        <v xml:space="preserve"> </v>
      </c>
      <c r="BU143" s="55"/>
      <c r="BV143" s="32"/>
      <c r="BW143" s="32"/>
      <c r="BX143" s="55"/>
      <c r="BY143" s="32"/>
      <c r="BZ143" s="54"/>
      <c r="CA143" s="56" t="str">
        <f>IFERROR(VLOOKUP(June[[#This Row],[Drug Name8]],'Data Options'!$R$1:$S$100,2,FALSE), " ")</f>
        <v xml:space="preserve"> </v>
      </c>
      <c r="CB143" s="55"/>
      <c r="CC143" s="32"/>
      <c r="CD143" s="32"/>
      <c r="CE143" s="55"/>
      <c r="CF143" s="32"/>
      <c r="CG143" s="54"/>
      <c r="CH143" s="56" t="str">
        <f>IFERROR(VLOOKUP(June[[#This Row],[Drug Name9]],'Data Options'!$R$1:$S$100,2,FALSE), " ")</f>
        <v xml:space="preserve"> </v>
      </c>
      <c r="CI143" s="55"/>
      <c r="CJ143" s="32"/>
      <c r="CK143" s="32"/>
      <c r="CL143" s="55"/>
      <c r="CM143" s="32"/>
    </row>
    <row r="144" spans="1:91">
      <c r="A144" s="5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1"/>
      <c r="P144" s="31"/>
      <c r="Q144" s="54"/>
      <c r="R144" s="56" t="str">
        <f>IFERROR(VLOOKUP(June[[#This Row],[Drug Name]],'Data Options'!$R$1:$S$100,2,FALSE), " ")</f>
        <v xml:space="preserve"> </v>
      </c>
      <c r="S144" s="55"/>
      <c r="T144" s="32"/>
      <c r="U144" s="32"/>
      <c r="V144" s="55"/>
      <c r="W144" s="32"/>
      <c r="X144" s="54"/>
      <c r="Y144" s="56" t="str">
        <f>IFERROR(VLOOKUP(June[[#This Row],[Drug Name2]],'Data Options'!$R$1:$S$100,2,FALSE), " ")</f>
        <v xml:space="preserve"> </v>
      </c>
      <c r="Z144" s="55"/>
      <c r="AA144" s="32"/>
      <c r="AB144" s="32"/>
      <c r="AC144" s="55"/>
      <c r="AD144" s="32"/>
      <c r="AE144" s="54"/>
      <c r="AF144" s="56" t="str">
        <f>IFERROR(VLOOKUP(June[[#This Row],[Drug Name3]],'Data Options'!$R$1:$S$100,2,FALSE), " ")</f>
        <v xml:space="preserve"> </v>
      </c>
      <c r="AG144" s="55"/>
      <c r="AH144" s="32"/>
      <c r="AI144" s="32"/>
      <c r="AJ144" s="55"/>
      <c r="AK144" s="32"/>
      <c r="AL144" s="32"/>
      <c r="AM144" s="32"/>
      <c r="AN144" s="32"/>
      <c r="AO144" s="32"/>
      <c r="AP144" s="31"/>
      <c r="AQ144" s="31"/>
      <c r="AR144" s="54"/>
      <c r="AS144" s="56" t="str">
        <f>IFERROR(VLOOKUP(June[[#This Row],[Drug Name4]],'Data Options'!$R$1:$S$100,2,FALSE), " ")</f>
        <v xml:space="preserve"> </v>
      </c>
      <c r="AT144" s="55"/>
      <c r="AU144" s="32"/>
      <c r="AV144" s="32"/>
      <c r="AW144" s="55"/>
      <c r="AX144" s="32"/>
      <c r="AY144" s="54"/>
      <c r="AZ144" s="56" t="str">
        <f>IFERROR(VLOOKUP(June[[#This Row],[Drug Name5]],'Data Options'!$R$1:$S$100,2,FALSE), " ")</f>
        <v xml:space="preserve"> </v>
      </c>
      <c r="BA144" s="55"/>
      <c r="BB144" s="32"/>
      <c r="BC144" s="32"/>
      <c r="BD144" s="55"/>
      <c r="BE144" s="32"/>
      <c r="BF144" s="54"/>
      <c r="BG144" s="56" t="str">
        <f>IFERROR(VLOOKUP(June[[#This Row],[Drug Name6]],'Data Options'!$R$1:$S$100,2,FALSE), " ")</f>
        <v xml:space="preserve"> </v>
      </c>
      <c r="BH144" s="55"/>
      <c r="BI144" s="32"/>
      <c r="BJ144" s="32"/>
      <c r="BK144" s="55"/>
      <c r="BL144" s="32"/>
      <c r="BM144" s="32"/>
      <c r="BN144" s="32"/>
      <c r="BO144" s="32"/>
      <c r="BP144" s="32"/>
      <c r="BQ144" s="31"/>
      <c r="BR144" s="31"/>
      <c r="BS144" s="54"/>
      <c r="BT144" s="56" t="str">
        <f>IFERROR(VLOOKUP(June[[#This Row],[Drug Name7]],'Data Options'!$R$1:$S$100,2,FALSE), " ")</f>
        <v xml:space="preserve"> </v>
      </c>
      <c r="BU144" s="55"/>
      <c r="BV144" s="32"/>
      <c r="BW144" s="32"/>
      <c r="BX144" s="55"/>
      <c r="BY144" s="32"/>
      <c r="BZ144" s="54"/>
      <c r="CA144" s="56" t="str">
        <f>IFERROR(VLOOKUP(June[[#This Row],[Drug Name8]],'Data Options'!$R$1:$S$100,2,FALSE), " ")</f>
        <v xml:space="preserve"> </v>
      </c>
      <c r="CB144" s="55"/>
      <c r="CC144" s="32"/>
      <c r="CD144" s="32"/>
      <c r="CE144" s="55"/>
      <c r="CF144" s="32"/>
      <c r="CG144" s="54"/>
      <c r="CH144" s="56" t="str">
        <f>IFERROR(VLOOKUP(June[[#This Row],[Drug Name9]],'Data Options'!$R$1:$S$100,2,FALSE), " ")</f>
        <v xml:space="preserve"> </v>
      </c>
      <c r="CI144" s="55"/>
      <c r="CJ144" s="32"/>
      <c r="CK144" s="32"/>
      <c r="CL144" s="55"/>
      <c r="CM144" s="32"/>
    </row>
    <row r="145" spans="1:91">
      <c r="A145" s="5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1"/>
      <c r="P145" s="31"/>
      <c r="Q145" s="54"/>
      <c r="R145" s="56" t="str">
        <f>IFERROR(VLOOKUP(June[[#This Row],[Drug Name]],'Data Options'!$R$1:$S$100,2,FALSE), " ")</f>
        <v xml:space="preserve"> </v>
      </c>
      <c r="S145" s="55"/>
      <c r="T145" s="32"/>
      <c r="U145" s="32"/>
      <c r="V145" s="55"/>
      <c r="W145" s="32"/>
      <c r="X145" s="54"/>
      <c r="Y145" s="56" t="str">
        <f>IFERROR(VLOOKUP(June[[#This Row],[Drug Name2]],'Data Options'!$R$1:$S$100,2,FALSE), " ")</f>
        <v xml:space="preserve"> </v>
      </c>
      <c r="Z145" s="55"/>
      <c r="AA145" s="32"/>
      <c r="AB145" s="32"/>
      <c r="AC145" s="55"/>
      <c r="AD145" s="32"/>
      <c r="AE145" s="54"/>
      <c r="AF145" s="56" t="str">
        <f>IFERROR(VLOOKUP(June[[#This Row],[Drug Name3]],'Data Options'!$R$1:$S$100,2,FALSE), " ")</f>
        <v xml:space="preserve"> </v>
      </c>
      <c r="AG145" s="55"/>
      <c r="AH145" s="32"/>
      <c r="AI145" s="32"/>
      <c r="AJ145" s="55"/>
      <c r="AK145" s="32"/>
      <c r="AL145" s="32"/>
      <c r="AM145" s="32"/>
      <c r="AN145" s="32"/>
      <c r="AO145" s="32"/>
      <c r="AP145" s="31"/>
      <c r="AQ145" s="31"/>
      <c r="AR145" s="54"/>
      <c r="AS145" s="56" t="str">
        <f>IFERROR(VLOOKUP(June[[#This Row],[Drug Name4]],'Data Options'!$R$1:$S$100,2,FALSE), " ")</f>
        <v xml:space="preserve"> </v>
      </c>
      <c r="AT145" s="55"/>
      <c r="AU145" s="32"/>
      <c r="AV145" s="32"/>
      <c r="AW145" s="55"/>
      <c r="AX145" s="32"/>
      <c r="AY145" s="54"/>
      <c r="AZ145" s="56" t="str">
        <f>IFERROR(VLOOKUP(June[[#This Row],[Drug Name5]],'Data Options'!$R$1:$S$100,2,FALSE), " ")</f>
        <v xml:space="preserve"> </v>
      </c>
      <c r="BA145" s="55"/>
      <c r="BB145" s="32"/>
      <c r="BC145" s="32"/>
      <c r="BD145" s="55"/>
      <c r="BE145" s="32"/>
      <c r="BF145" s="54"/>
      <c r="BG145" s="56" t="str">
        <f>IFERROR(VLOOKUP(June[[#This Row],[Drug Name6]],'Data Options'!$R$1:$S$100,2,FALSE), " ")</f>
        <v xml:space="preserve"> </v>
      </c>
      <c r="BH145" s="55"/>
      <c r="BI145" s="32"/>
      <c r="BJ145" s="32"/>
      <c r="BK145" s="55"/>
      <c r="BL145" s="32"/>
      <c r="BM145" s="32"/>
      <c r="BN145" s="32"/>
      <c r="BO145" s="32"/>
      <c r="BP145" s="32"/>
      <c r="BQ145" s="31"/>
      <c r="BR145" s="31"/>
      <c r="BS145" s="54"/>
      <c r="BT145" s="56" t="str">
        <f>IFERROR(VLOOKUP(June[[#This Row],[Drug Name7]],'Data Options'!$R$1:$S$100,2,FALSE), " ")</f>
        <v xml:space="preserve"> </v>
      </c>
      <c r="BU145" s="55"/>
      <c r="BV145" s="32"/>
      <c r="BW145" s="32"/>
      <c r="BX145" s="55"/>
      <c r="BY145" s="32"/>
      <c r="BZ145" s="54"/>
      <c r="CA145" s="56" t="str">
        <f>IFERROR(VLOOKUP(June[[#This Row],[Drug Name8]],'Data Options'!$R$1:$S$100,2,FALSE), " ")</f>
        <v xml:space="preserve"> </v>
      </c>
      <c r="CB145" s="55"/>
      <c r="CC145" s="32"/>
      <c r="CD145" s="32"/>
      <c r="CE145" s="55"/>
      <c r="CF145" s="32"/>
      <c r="CG145" s="54"/>
      <c r="CH145" s="56" t="str">
        <f>IFERROR(VLOOKUP(June[[#This Row],[Drug Name9]],'Data Options'!$R$1:$S$100,2,FALSE), " ")</f>
        <v xml:space="preserve"> </v>
      </c>
      <c r="CI145" s="55"/>
      <c r="CJ145" s="32"/>
      <c r="CK145" s="32"/>
      <c r="CL145" s="55"/>
      <c r="CM145" s="32"/>
    </row>
    <row r="146" spans="1:91">
      <c r="A146" s="5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1"/>
      <c r="P146" s="31"/>
      <c r="Q146" s="54"/>
      <c r="R146" s="56" t="str">
        <f>IFERROR(VLOOKUP(June[[#This Row],[Drug Name]],'Data Options'!$R$1:$S$100,2,FALSE), " ")</f>
        <v xml:space="preserve"> </v>
      </c>
      <c r="S146" s="55"/>
      <c r="T146" s="32"/>
      <c r="U146" s="32"/>
      <c r="V146" s="55"/>
      <c r="W146" s="32"/>
      <c r="X146" s="54"/>
      <c r="Y146" s="56" t="str">
        <f>IFERROR(VLOOKUP(June[[#This Row],[Drug Name2]],'Data Options'!$R$1:$S$100,2,FALSE), " ")</f>
        <v xml:space="preserve"> </v>
      </c>
      <c r="Z146" s="55"/>
      <c r="AA146" s="32"/>
      <c r="AB146" s="32"/>
      <c r="AC146" s="55"/>
      <c r="AD146" s="32"/>
      <c r="AE146" s="54"/>
      <c r="AF146" s="56" t="str">
        <f>IFERROR(VLOOKUP(June[[#This Row],[Drug Name3]],'Data Options'!$R$1:$S$100,2,FALSE), " ")</f>
        <v xml:space="preserve"> </v>
      </c>
      <c r="AG146" s="55"/>
      <c r="AH146" s="32"/>
      <c r="AI146" s="32"/>
      <c r="AJ146" s="55"/>
      <c r="AK146" s="32"/>
      <c r="AL146" s="32"/>
      <c r="AM146" s="32"/>
      <c r="AN146" s="32"/>
      <c r="AO146" s="32"/>
      <c r="AP146" s="31"/>
      <c r="AQ146" s="31"/>
      <c r="AR146" s="54"/>
      <c r="AS146" s="56" t="str">
        <f>IFERROR(VLOOKUP(June[[#This Row],[Drug Name4]],'Data Options'!$R$1:$S$100,2,FALSE), " ")</f>
        <v xml:space="preserve"> </v>
      </c>
      <c r="AT146" s="55"/>
      <c r="AU146" s="32"/>
      <c r="AV146" s="32"/>
      <c r="AW146" s="55"/>
      <c r="AX146" s="32"/>
      <c r="AY146" s="54"/>
      <c r="AZ146" s="56" t="str">
        <f>IFERROR(VLOOKUP(June[[#This Row],[Drug Name5]],'Data Options'!$R$1:$S$100,2,FALSE), " ")</f>
        <v xml:space="preserve"> </v>
      </c>
      <c r="BA146" s="55"/>
      <c r="BB146" s="32"/>
      <c r="BC146" s="32"/>
      <c r="BD146" s="55"/>
      <c r="BE146" s="32"/>
      <c r="BF146" s="54"/>
      <c r="BG146" s="56" t="str">
        <f>IFERROR(VLOOKUP(June[[#This Row],[Drug Name6]],'Data Options'!$R$1:$S$100,2,FALSE), " ")</f>
        <v xml:space="preserve"> </v>
      </c>
      <c r="BH146" s="55"/>
      <c r="BI146" s="32"/>
      <c r="BJ146" s="32"/>
      <c r="BK146" s="55"/>
      <c r="BL146" s="32"/>
      <c r="BM146" s="32"/>
      <c r="BN146" s="32"/>
      <c r="BO146" s="32"/>
      <c r="BP146" s="32"/>
      <c r="BQ146" s="31"/>
      <c r="BR146" s="31"/>
      <c r="BS146" s="54"/>
      <c r="BT146" s="56" t="str">
        <f>IFERROR(VLOOKUP(June[[#This Row],[Drug Name7]],'Data Options'!$R$1:$S$100,2,FALSE), " ")</f>
        <v xml:space="preserve"> </v>
      </c>
      <c r="BU146" s="55"/>
      <c r="BV146" s="32"/>
      <c r="BW146" s="32"/>
      <c r="BX146" s="55"/>
      <c r="BY146" s="32"/>
      <c r="BZ146" s="54"/>
      <c r="CA146" s="56" t="str">
        <f>IFERROR(VLOOKUP(June[[#This Row],[Drug Name8]],'Data Options'!$R$1:$S$100,2,FALSE), " ")</f>
        <v xml:space="preserve"> </v>
      </c>
      <c r="CB146" s="55"/>
      <c r="CC146" s="32"/>
      <c r="CD146" s="32"/>
      <c r="CE146" s="55"/>
      <c r="CF146" s="32"/>
      <c r="CG146" s="54"/>
      <c r="CH146" s="56" t="str">
        <f>IFERROR(VLOOKUP(June[[#This Row],[Drug Name9]],'Data Options'!$R$1:$S$100,2,FALSE), " ")</f>
        <v xml:space="preserve"> </v>
      </c>
      <c r="CI146" s="55"/>
      <c r="CJ146" s="32"/>
      <c r="CK146" s="32"/>
      <c r="CL146" s="55"/>
      <c r="CM146" s="32"/>
    </row>
    <row r="147" spans="1:91">
      <c r="A147" s="5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1"/>
      <c r="P147" s="31"/>
      <c r="Q147" s="54"/>
      <c r="R147" s="56" t="str">
        <f>IFERROR(VLOOKUP(June[[#This Row],[Drug Name]],'Data Options'!$R$1:$S$100,2,FALSE), " ")</f>
        <v xml:space="preserve"> </v>
      </c>
      <c r="S147" s="55"/>
      <c r="T147" s="32"/>
      <c r="U147" s="32"/>
      <c r="V147" s="55"/>
      <c r="W147" s="32"/>
      <c r="X147" s="54"/>
      <c r="Y147" s="56" t="str">
        <f>IFERROR(VLOOKUP(June[[#This Row],[Drug Name2]],'Data Options'!$R$1:$S$100,2,FALSE), " ")</f>
        <v xml:space="preserve"> </v>
      </c>
      <c r="Z147" s="55"/>
      <c r="AA147" s="32"/>
      <c r="AB147" s="32"/>
      <c r="AC147" s="55"/>
      <c r="AD147" s="32"/>
      <c r="AE147" s="54"/>
      <c r="AF147" s="56" t="str">
        <f>IFERROR(VLOOKUP(June[[#This Row],[Drug Name3]],'Data Options'!$R$1:$S$100,2,FALSE), " ")</f>
        <v xml:space="preserve"> </v>
      </c>
      <c r="AG147" s="55"/>
      <c r="AH147" s="32"/>
      <c r="AI147" s="32"/>
      <c r="AJ147" s="55"/>
      <c r="AK147" s="32"/>
      <c r="AL147" s="32"/>
      <c r="AM147" s="32"/>
      <c r="AN147" s="32"/>
      <c r="AO147" s="32"/>
      <c r="AP147" s="31"/>
      <c r="AQ147" s="31"/>
      <c r="AR147" s="54"/>
      <c r="AS147" s="56" t="str">
        <f>IFERROR(VLOOKUP(June[[#This Row],[Drug Name4]],'Data Options'!$R$1:$S$100,2,FALSE), " ")</f>
        <v xml:space="preserve"> </v>
      </c>
      <c r="AT147" s="55"/>
      <c r="AU147" s="32"/>
      <c r="AV147" s="32"/>
      <c r="AW147" s="55"/>
      <c r="AX147" s="32"/>
      <c r="AY147" s="54"/>
      <c r="AZ147" s="56" t="str">
        <f>IFERROR(VLOOKUP(June[[#This Row],[Drug Name5]],'Data Options'!$R$1:$S$100,2,FALSE), " ")</f>
        <v xml:space="preserve"> </v>
      </c>
      <c r="BA147" s="55"/>
      <c r="BB147" s="32"/>
      <c r="BC147" s="32"/>
      <c r="BD147" s="55"/>
      <c r="BE147" s="32"/>
      <c r="BF147" s="54"/>
      <c r="BG147" s="56" t="str">
        <f>IFERROR(VLOOKUP(June[[#This Row],[Drug Name6]],'Data Options'!$R$1:$S$100,2,FALSE), " ")</f>
        <v xml:space="preserve"> </v>
      </c>
      <c r="BH147" s="55"/>
      <c r="BI147" s="32"/>
      <c r="BJ147" s="32"/>
      <c r="BK147" s="55"/>
      <c r="BL147" s="32"/>
      <c r="BM147" s="32"/>
      <c r="BN147" s="32"/>
      <c r="BO147" s="32"/>
      <c r="BP147" s="32"/>
      <c r="BQ147" s="31"/>
      <c r="BR147" s="31"/>
      <c r="BS147" s="54"/>
      <c r="BT147" s="56" t="str">
        <f>IFERROR(VLOOKUP(June[[#This Row],[Drug Name7]],'Data Options'!$R$1:$S$100,2,FALSE), " ")</f>
        <v xml:space="preserve"> </v>
      </c>
      <c r="BU147" s="55"/>
      <c r="BV147" s="32"/>
      <c r="BW147" s="32"/>
      <c r="BX147" s="55"/>
      <c r="BY147" s="32"/>
      <c r="BZ147" s="54"/>
      <c r="CA147" s="56" t="str">
        <f>IFERROR(VLOOKUP(June[[#This Row],[Drug Name8]],'Data Options'!$R$1:$S$100,2,FALSE), " ")</f>
        <v xml:space="preserve"> </v>
      </c>
      <c r="CB147" s="55"/>
      <c r="CC147" s="32"/>
      <c r="CD147" s="32"/>
      <c r="CE147" s="55"/>
      <c r="CF147" s="32"/>
      <c r="CG147" s="54"/>
      <c r="CH147" s="56" t="str">
        <f>IFERROR(VLOOKUP(June[[#This Row],[Drug Name9]],'Data Options'!$R$1:$S$100,2,FALSE), " ")</f>
        <v xml:space="preserve"> </v>
      </c>
      <c r="CI147" s="55"/>
      <c r="CJ147" s="32"/>
      <c r="CK147" s="32"/>
      <c r="CL147" s="55"/>
      <c r="CM147" s="32"/>
    </row>
    <row r="148" spans="1:91">
      <c r="A148" s="5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1"/>
      <c r="P148" s="31"/>
      <c r="Q148" s="54"/>
      <c r="R148" s="56" t="str">
        <f>IFERROR(VLOOKUP(June[[#This Row],[Drug Name]],'Data Options'!$R$1:$S$100,2,FALSE), " ")</f>
        <v xml:space="preserve"> </v>
      </c>
      <c r="S148" s="55"/>
      <c r="T148" s="32"/>
      <c r="U148" s="32"/>
      <c r="V148" s="55"/>
      <c r="W148" s="32"/>
      <c r="X148" s="54"/>
      <c r="Y148" s="56" t="str">
        <f>IFERROR(VLOOKUP(June[[#This Row],[Drug Name2]],'Data Options'!$R$1:$S$100,2,FALSE), " ")</f>
        <v xml:space="preserve"> </v>
      </c>
      <c r="Z148" s="55"/>
      <c r="AA148" s="32"/>
      <c r="AB148" s="32"/>
      <c r="AC148" s="55"/>
      <c r="AD148" s="32"/>
      <c r="AE148" s="54"/>
      <c r="AF148" s="56" t="str">
        <f>IFERROR(VLOOKUP(June[[#This Row],[Drug Name3]],'Data Options'!$R$1:$S$100,2,FALSE), " ")</f>
        <v xml:space="preserve"> </v>
      </c>
      <c r="AG148" s="55"/>
      <c r="AH148" s="32"/>
      <c r="AI148" s="32"/>
      <c r="AJ148" s="55"/>
      <c r="AK148" s="32"/>
      <c r="AL148" s="32"/>
      <c r="AM148" s="32"/>
      <c r="AN148" s="32"/>
      <c r="AO148" s="32"/>
      <c r="AP148" s="31"/>
      <c r="AQ148" s="31"/>
      <c r="AR148" s="54"/>
      <c r="AS148" s="56" t="str">
        <f>IFERROR(VLOOKUP(June[[#This Row],[Drug Name4]],'Data Options'!$R$1:$S$100,2,FALSE), " ")</f>
        <v xml:space="preserve"> </v>
      </c>
      <c r="AT148" s="55"/>
      <c r="AU148" s="32"/>
      <c r="AV148" s="32"/>
      <c r="AW148" s="55"/>
      <c r="AX148" s="32"/>
      <c r="AY148" s="54"/>
      <c r="AZ148" s="56" t="str">
        <f>IFERROR(VLOOKUP(June[[#This Row],[Drug Name5]],'Data Options'!$R$1:$S$100,2,FALSE), " ")</f>
        <v xml:space="preserve"> </v>
      </c>
      <c r="BA148" s="55"/>
      <c r="BB148" s="32"/>
      <c r="BC148" s="32"/>
      <c r="BD148" s="55"/>
      <c r="BE148" s="32"/>
      <c r="BF148" s="54"/>
      <c r="BG148" s="56" t="str">
        <f>IFERROR(VLOOKUP(June[[#This Row],[Drug Name6]],'Data Options'!$R$1:$S$100,2,FALSE), " ")</f>
        <v xml:space="preserve"> </v>
      </c>
      <c r="BH148" s="55"/>
      <c r="BI148" s="32"/>
      <c r="BJ148" s="32"/>
      <c r="BK148" s="55"/>
      <c r="BL148" s="32"/>
      <c r="BM148" s="32"/>
      <c r="BN148" s="32"/>
      <c r="BO148" s="32"/>
      <c r="BP148" s="32"/>
      <c r="BQ148" s="31"/>
      <c r="BR148" s="31"/>
      <c r="BS148" s="54"/>
      <c r="BT148" s="56" t="str">
        <f>IFERROR(VLOOKUP(June[[#This Row],[Drug Name7]],'Data Options'!$R$1:$S$100,2,FALSE), " ")</f>
        <v xml:space="preserve"> </v>
      </c>
      <c r="BU148" s="55"/>
      <c r="BV148" s="32"/>
      <c r="BW148" s="32"/>
      <c r="BX148" s="55"/>
      <c r="BY148" s="32"/>
      <c r="BZ148" s="54"/>
      <c r="CA148" s="56" t="str">
        <f>IFERROR(VLOOKUP(June[[#This Row],[Drug Name8]],'Data Options'!$R$1:$S$100,2,FALSE), " ")</f>
        <v xml:space="preserve"> </v>
      </c>
      <c r="CB148" s="55"/>
      <c r="CC148" s="32"/>
      <c r="CD148" s="32"/>
      <c r="CE148" s="55"/>
      <c r="CF148" s="32"/>
      <c r="CG148" s="54"/>
      <c r="CH148" s="56" t="str">
        <f>IFERROR(VLOOKUP(June[[#This Row],[Drug Name9]],'Data Options'!$R$1:$S$100,2,FALSE), " ")</f>
        <v xml:space="preserve"> </v>
      </c>
      <c r="CI148" s="55"/>
      <c r="CJ148" s="32"/>
      <c r="CK148" s="32"/>
      <c r="CL148" s="55"/>
      <c r="CM148" s="32"/>
    </row>
    <row r="149" spans="1:91">
      <c r="A149" s="5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1"/>
      <c r="P149" s="31"/>
      <c r="Q149" s="54"/>
      <c r="R149" s="56" t="str">
        <f>IFERROR(VLOOKUP(June[[#This Row],[Drug Name]],'Data Options'!$R$1:$S$100,2,FALSE), " ")</f>
        <v xml:space="preserve"> </v>
      </c>
      <c r="S149" s="55"/>
      <c r="T149" s="32"/>
      <c r="U149" s="32"/>
      <c r="V149" s="55"/>
      <c r="W149" s="32"/>
      <c r="X149" s="54"/>
      <c r="Y149" s="56" t="str">
        <f>IFERROR(VLOOKUP(June[[#This Row],[Drug Name2]],'Data Options'!$R$1:$S$100,2,FALSE), " ")</f>
        <v xml:space="preserve"> </v>
      </c>
      <c r="Z149" s="55"/>
      <c r="AA149" s="32"/>
      <c r="AB149" s="32"/>
      <c r="AC149" s="55"/>
      <c r="AD149" s="32"/>
      <c r="AE149" s="54"/>
      <c r="AF149" s="56" t="str">
        <f>IFERROR(VLOOKUP(June[[#This Row],[Drug Name3]],'Data Options'!$R$1:$S$100,2,FALSE), " ")</f>
        <v xml:space="preserve"> </v>
      </c>
      <c r="AG149" s="55"/>
      <c r="AH149" s="32"/>
      <c r="AI149" s="32"/>
      <c r="AJ149" s="55"/>
      <c r="AK149" s="32"/>
      <c r="AL149" s="32"/>
      <c r="AM149" s="32"/>
      <c r="AN149" s="32"/>
      <c r="AO149" s="32"/>
      <c r="AP149" s="31"/>
      <c r="AQ149" s="31"/>
      <c r="AR149" s="54"/>
      <c r="AS149" s="56" t="str">
        <f>IFERROR(VLOOKUP(June[[#This Row],[Drug Name4]],'Data Options'!$R$1:$S$100,2,FALSE), " ")</f>
        <v xml:space="preserve"> </v>
      </c>
      <c r="AT149" s="55"/>
      <c r="AU149" s="32"/>
      <c r="AV149" s="32"/>
      <c r="AW149" s="55"/>
      <c r="AX149" s="32"/>
      <c r="AY149" s="54"/>
      <c r="AZ149" s="56" t="str">
        <f>IFERROR(VLOOKUP(June[[#This Row],[Drug Name5]],'Data Options'!$R$1:$S$100,2,FALSE), " ")</f>
        <v xml:space="preserve"> </v>
      </c>
      <c r="BA149" s="55"/>
      <c r="BB149" s="32"/>
      <c r="BC149" s="32"/>
      <c r="BD149" s="55"/>
      <c r="BE149" s="32"/>
      <c r="BF149" s="54"/>
      <c r="BG149" s="56" t="str">
        <f>IFERROR(VLOOKUP(June[[#This Row],[Drug Name6]],'Data Options'!$R$1:$S$100,2,FALSE), " ")</f>
        <v xml:space="preserve"> </v>
      </c>
      <c r="BH149" s="55"/>
      <c r="BI149" s="32"/>
      <c r="BJ149" s="32"/>
      <c r="BK149" s="55"/>
      <c r="BL149" s="32"/>
      <c r="BM149" s="32"/>
      <c r="BN149" s="32"/>
      <c r="BO149" s="32"/>
      <c r="BP149" s="32"/>
      <c r="BQ149" s="31"/>
      <c r="BR149" s="31"/>
      <c r="BS149" s="54"/>
      <c r="BT149" s="56" t="str">
        <f>IFERROR(VLOOKUP(June[[#This Row],[Drug Name7]],'Data Options'!$R$1:$S$100,2,FALSE), " ")</f>
        <v xml:space="preserve"> </v>
      </c>
      <c r="BU149" s="55"/>
      <c r="BV149" s="32"/>
      <c r="BW149" s="32"/>
      <c r="BX149" s="55"/>
      <c r="BY149" s="32"/>
      <c r="BZ149" s="54"/>
      <c r="CA149" s="56" t="str">
        <f>IFERROR(VLOOKUP(June[[#This Row],[Drug Name8]],'Data Options'!$R$1:$S$100,2,FALSE), " ")</f>
        <v xml:space="preserve"> </v>
      </c>
      <c r="CB149" s="55"/>
      <c r="CC149" s="32"/>
      <c r="CD149" s="32"/>
      <c r="CE149" s="55"/>
      <c r="CF149" s="32"/>
      <c r="CG149" s="54"/>
      <c r="CH149" s="56" t="str">
        <f>IFERROR(VLOOKUP(June[[#This Row],[Drug Name9]],'Data Options'!$R$1:$S$100,2,FALSE), " ")</f>
        <v xml:space="preserve"> </v>
      </c>
      <c r="CI149" s="55"/>
      <c r="CJ149" s="32"/>
      <c r="CK149" s="32"/>
      <c r="CL149" s="55"/>
      <c r="CM149" s="32"/>
    </row>
    <row r="150" spans="1:91">
      <c r="A150" s="5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1"/>
      <c r="P150" s="31"/>
      <c r="Q150" s="54"/>
      <c r="R150" s="56" t="str">
        <f>IFERROR(VLOOKUP(June[[#This Row],[Drug Name]],'Data Options'!$R$1:$S$100,2,FALSE), " ")</f>
        <v xml:space="preserve"> </v>
      </c>
      <c r="S150" s="55"/>
      <c r="T150" s="32"/>
      <c r="U150" s="32"/>
      <c r="V150" s="55"/>
      <c r="W150" s="32"/>
      <c r="X150" s="54"/>
      <c r="Y150" s="56" t="str">
        <f>IFERROR(VLOOKUP(June[[#This Row],[Drug Name2]],'Data Options'!$R$1:$S$100,2,FALSE), " ")</f>
        <v xml:space="preserve"> </v>
      </c>
      <c r="Z150" s="55"/>
      <c r="AA150" s="32"/>
      <c r="AB150" s="32"/>
      <c r="AC150" s="55"/>
      <c r="AD150" s="32"/>
      <c r="AE150" s="54"/>
      <c r="AF150" s="56" t="str">
        <f>IFERROR(VLOOKUP(June[[#This Row],[Drug Name3]],'Data Options'!$R$1:$S$100,2,FALSE), " ")</f>
        <v xml:space="preserve"> </v>
      </c>
      <c r="AG150" s="55"/>
      <c r="AH150" s="32"/>
      <c r="AI150" s="32"/>
      <c r="AJ150" s="55"/>
      <c r="AK150" s="32"/>
      <c r="AL150" s="32"/>
      <c r="AM150" s="32"/>
      <c r="AN150" s="32"/>
      <c r="AO150" s="32"/>
      <c r="AP150" s="31"/>
      <c r="AQ150" s="31"/>
      <c r="AR150" s="54"/>
      <c r="AS150" s="56" t="str">
        <f>IFERROR(VLOOKUP(June[[#This Row],[Drug Name4]],'Data Options'!$R$1:$S$100,2,FALSE), " ")</f>
        <v xml:space="preserve"> </v>
      </c>
      <c r="AT150" s="55"/>
      <c r="AU150" s="32"/>
      <c r="AV150" s="32"/>
      <c r="AW150" s="55"/>
      <c r="AX150" s="32"/>
      <c r="AY150" s="54"/>
      <c r="AZ150" s="56" t="str">
        <f>IFERROR(VLOOKUP(June[[#This Row],[Drug Name5]],'Data Options'!$R$1:$S$100,2,FALSE), " ")</f>
        <v xml:space="preserve"> </v>
      </c>
      <c r="BA150" s="55"/>
      <c r="BB150" s="32"/>
      <c r="BC150" s="32"/>
      <c r="BD150" s="55"/>
      <c r="BE150" s="32"/>
      <c r="BF150" s="54"/>
      <c r="BG150" s="56" t="str">
        <f>IFERROR(VLOOKUP(June[[#This Row],[Drug Name6]],'Data Options'!$R$1:$S$100,2,FALSE), " ")</f>
        <v xml:space="preserve"> </v>
      </c>
      <c r="BH150" s="55"/>
      <c r="BI150" s="32"/>
      <c r="BJ150" s="32"/>
      <c r="BK150" s="55"/>
      <c r="BL150" s="32"/>
      <c r="BM150" s="32"/>
      <c r="BN150" s="32"/>
      <c r="BO150" s="32"/>
      <c r="BP150" s="32"/>
      <c r="BQ150" s="31"/>
      <c r="BR150" s="31"/>
      <c r="BS150" s="54"/>
      <c r="BT150" s="56" t="str">
        <f>IFERROR(VLOOKUP(June[[#This Row],[Drug Name7]],'Data Options'!$R$1:$S$100,2,FALSE), " ")</f>
        <v xml:space="preserve"> </v>
      </c>
      <c r="BU150" s="55"/>
      <c r="BV150" s="32"/>
      <c r="BW150" s="32"/>
      <c r="BX150" s="55"/>
      <c r="BY150" s="32"/>
      <c r="BZ150" s="54"/>
      <c r="CA150" s="56" t="str">
        <f>IFERROR(VLOOKUP(June[[#This Row],[Drug Name8]],'Data Options'!$R$1:$S$100,2,FALSE), " ")</f>
        <v xml:space="preserve"> </v>
      </c>
      <c r="CB150" s="55"/>
      <c r="CC150" s="32"/>
      <c r="CD150" s="32"/>
      <c r="CE150" s="55"/>
      <c r="CF150" s="32"/>
      <c r="CG150" s="54"/>
      <c r="CH150" s="56" t="str">
        <f>IFERROR(VLOOKUP(June[[#This Row],[Drug Name9]],'Data Options'!$R$1:$S$100,2,FALSE), " ")</f>
        <v xml:space="preserve"> </v>
      </c>
      <c r="CI150" s="55"/>
      <c r="CJ150" s="32"/>
      <c r="CK150" s="32"/>
      <c r="CL150" s="55"/>
      <c r="CM150" s="32"/>
    </row>
    <row r="151" spans="1:91">
      <c r="A151" s="5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1"/>
      <c r="P151" s="31"/>
      <c r="Q151" s="54"/>
      <c r="R151" s="56" t="str">
        <f>IFERROR(VLOOKUP(June[[#This Row],[Drug Name]],'Data Options'!$R$1:$S$100,2,FALSE), " ")</f>
        <v xml:space="preserve"> </v>
      </c>
      <c r="S151" s="55"/>
      <c r="T151" s="32"/>
      <c r="U151" s="32"/>
      <c r="V151" s="55"/>
      <c r="W151" s="32"/>
      <c r="X151" s="54"/>
      <c r="Y151" s="56" t="str">
        <f>IFERROR(VLOOKUP(June[[#This Row],[Drug Name2]],'Data Options'!$R$1:$S$100,2,FALSE), " ")</f>
        <v xml:space="preserve"> </v>
      </c>
      <c r="Z151" s="55"/>
      <c r="AA151" s="32"/>
      <c r="AB151" s="32"/>
      <c r="AC151" s="55"/>
      <c r="AD151" s="32"/>
      <c r="AE151" s="54"/>
      <c r="AF151" s="56" t="str">
        <f>IFERROR(VLOOKUP(June[[#This Row],[Drug Name3]],'Data Options'!$R$1:$S$100,2,FALSE), " ")</f>
        <v xml:space="preserve"> </v>
      </c>
      <c r="AG151" s="55"/>
      <c r="AH151" s="32"/>
      <c r="AI151" s="32"/>
      <c r="AJ151" s="55"/>
      <c r="AK151" s="32"/>
      <c r="AL151" s="32"/>
      <c r="AM151" s="32"/>
      <c r="AN151" s="32"/>
      <c r="AO151" s="32"/>
      <c r="AP151" s="31"/>
      <c r="AQ151" s="31"/>
      <c r="AR151" s="54"/>
      <c r="AS151" s="56" t="str">
        <f>IFERROR(VLOOKUP(June[[#This Row],[Drug Name4]],'Data Options'!$R$1:$S$100,2,FALSE), " ")</f>
        <v xml:space="preserve"> </v>
      </c>
      <c r="AT151" s="55"/>
      <c r="AU151" s="32"/>
      <c r="AV151" s="32"/>
      <c r="AW151" s="55"/>
      <c r="AX151" s="32"/>
      <c r="AY151" s="54"/>
      <c r="AZ151" s="56" t="str">
        <f>IFERROR(VLOOKUP(June[[#This Row],[Drug Name5]],'Data Options'!$R$1:$S$100,2,FALSE), " ")</f>
        <v xml:space="preserve"> </v>
      </c>
      <c r="BA151" s="55"/>
      <c r="BB151" s="32"/>
      <c r="BC151" s="32"/>
      <c r="BD151" s="55"/>
      <c r="BE151" s="32"/>
      <c r="BF151" s="54"/>
      <c r="BG151" s="56" t="str">
        <f>IFERROR(VLOOKUP(June[[#This Row],[Drug Name6]],'Data Options'!$R$1:$S$100,2,FALSE), " ")</f>
        <v xml:space="preserve"> </v>
      </c>
      <c r="BH151" s="55"/>
      <c r="BI151" s="32"/>
      <c r="BJ151" s="32"/>
      <c r="BK151" s="55"/>
      <c r="BL151" s="32"/>
      <c r="BM151" s="32"/>
      <c r="BN151" s="32"/>
      <c r="BO151" s="32"/>
      <c r="BP151" s="32"/>
      <c r="BQ151" s="31"/>
      <c r="BR151" s="31"/>
      <c r="BS151" s="54"/>
      <c r="BT151" s="56" t="str">
        <f>IFERROR(VLOOKUP(June[[#This Row],[Drug Name7]],'Data Options'!$R$1:$S$100,2,FALSE), " ")</f>
        <v xml:space="preserve"> </v>
      </c>
      <c r="BU151" s="55"/>
      <c r="BV151" s="32"/>
      <c r="BW151" s="32"/>
      <c r="BX151" s="55"/>
      <c r="BY151" s="32"/>
      <c r="BZ151" s="54"/>
      <c r="CA151" s="56" t="str">
        <f>IFERROR(VLOOKUP(June[[#This Row],[Drug Name8]],'Data Options'!$R$1:$S$100,2,FALSE), " ")</f>
        <v xml:space="preserve"> </v>
      </c>
      <c r="CB151" s="55"/>
      <c r="CC151" s="32"/>
      <c r="CD151" s="32"/>
      <c r="CE151" s="55"/>
      <c r="CF151" s="32"/>
      <c r="CG151" s="54"/>
      <c r="CH151" s="56" t="str">
        <f>IFERROR(VLOOKUP(June[[#This Row],[Drug Name9]],'Data Options'!$R$1:$S$100,2,FALSE), " ")</f>
        <v xml:space="preserve"> </v>
      </c>
      <c r="CI151" s="55"/>
      <c r="CJ151" s="32"/>
      <c r="CK151" s="32"/>
      <c r="CL151" s="55"/>
      <c r="CM151" s="32"/>
    </row>
    <row r="152" spans="1:91">
      <c r="A152" s="5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1"/>
      <c r="P152" s="31"/>
      <c r="Q152" s="54"/>
      <c r="R152" s="56" t="str">
        <f>IFERROR(VLOOKUP(June[[#This Row],[Drug Name]],'Data Options'!$R$1:$S$100,2,FALSE), " ")</f>
        <v xml:space="preserve"> </v>
      </c>
      <c r="S152" s="55"/>
      <c r="T152" s="32"/>
      <c r="U152" s="32"/>
      <c r="V152" s="55"/>
      <c r="W152" s="32"/>
      <c r="X152" s="54"/>
      <c r="Y152" s="56" t="str">
        <f>IFERROR(VLOOKUP(June[[#This Row],[Drug Name2]],'Data Options'!$R$1:$S$100,2,FALSE), " ")</f>
        <v xml:space="preserve"> </v>
      </c>
      <c r="Z152" s="55"/>
      <c r="AA152" s="32"/>
      <c r="AB152" s="32"/>
      <c r="AC152" s="55"/>
      <c r="AD152" s="32"/>
      <c r="AE152" s="54"/>
      <c r="AF152" s="56" t="str">
        <f>IFERROR(VLOOKUP(June[[#This Row],[Drug Name3]],'Data Options'!$R$1:$S$100,2,FALSE), " ")</f>
        <v xml:space="preserve"> </v>
      </c>
      <c r="AG152" s="55"/>
      <c r="AH152" s="32"/>
      <c r="AI152" s="32"/>
      <c r="AJ152" s="55"/>
      <c r="AK152" s="32"/>
      <c r="AL152" s="32"/>
      <c r="AM152" s="32"/>
      <c r="AN152" s="32"/>
      <c r="AO152" s="32"/>
      <c r="AP152" s="31"/>
      <c r="AQ152" s="31"/>
      <c r="AR152" s="54"/>
      <c r="AS152" s="56" t="str">
        <f>IFERROR(VLOOKUP(June[[#This Row],[Drug Name4]],'Data Options'!$R$1:$S$100,2,FALSE), " ")</f>
        <v xml:space="preserve"> </v>
      </c>
      <c r="AT152" s="55"/>
      <c r="AU152" s="32"/>
      <c r="AV152" s="32"/>
      <c r="AW152" s="55"/>
      <c r="AX152" s="32"/>
      <c r="AY152" s="54"/>
      <c r="AZ152" s="56" t="str">
        <f>IFERROR(VLOOKUP(June[[#This Row],[Drug Name5]],'Data Options'!$R$1:$S$100,2,FALSE), " ")</f>
        <v xml:space="preserve"> </v>
      </c>
      <c r="BA152" s="55"/>
      <c r="BB152" s="32"/>
      <c r="BC152" s="32"/>
      <c r="BD152" s="55"/>
      <c r="BE152" s="32"/>
      <c r="BF152" s="54"/>
      <c r="BG152" s="56" t="str">
        <f>IFERROR(VLOOKUP(June[[#This Row],[Drug Name6]],'Data Options'!$R$1:$S$100,2,FALSE), " ")</f>
        <v xml:space="preserve"> </v>
      </c>
      <c r="BH152" s="55"/>
      <c r="BI152" s="32"/>
      <c r="BJ152" s="32"/>
      <c r="BK152" s="55"/>
      <c r="BL152" s="32"/>
      <c r="BM152" s="32"/>
      <c r="BN152" s="32"/>
      <c r="BO152" s="32"/>
      <c r="BP152" s="32"/>
      <c r="BQ152" s="31"/>
      <c r="BR152" s="31"/>
      <c r="BS152" s="54"/>
      <c r="BT152" s="56" t="str">
        <f>IFERROR(VLOOKUP(June[[#This Row],[Drug Name7]],'Data Options'!$R$1:$S$100,2,FALSE), " ")</f>
        <v xml:space="preserve"> </v>
      </c>
      <c r="BU152" s="55"/>
      <c r="BV152" s="32"/>
      <c r="BW152" s="32"/>
      <c r="BX152" s="55"/>
      <c r="BY152" s="32"/>
      <c r="BZ152" s="54"/>
      <c r="CA152" s="56" t="str">
        <f>IFERROR(VLOOKUP(June[[#This Row],[Drug Name8]],'Data Options'!$R$1:$S$100,2,FALSE), " ")</f>
        <v xml:space="preserve"> </v>
      </c>
      <c r="CB152" s="55"/>
      <c r="CC152" s="32"/>
      <c r="CD152" s="32"/>
      <c r="CE152" s="55"/>
      <c r="CF152" s="32"/>
      <c r="CG152" s="54"/>
      <c r="CH152" s="56" t="str">
        <f>IFERROR(VLOOKUP(June[[#This Row],[Drug Name9]],'Data Options'!$R$1:$S$100,2,FALSE), " ")</f>
        <v xml:space="preserve"> </v>
      </c>
      <c r="CI152" s="55"/>
      <c r="CJ152" s="32"/>
      <c r="CK152" s="32"/>
      <c r="CL152" s="55"/>
      <c r="CM152" s="32"/>
    </row>
    <row r="153" spans="1:91">
      <c r="A153" s="5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1"/>
      <c r="P153" s="31"/>
      <c r="Q153" s="54"/>
      <c r="R153" s="56" t="str">
        <f>IFERROR(VLOOKUP(June[[#This Row],[Drug Name]],'Data Options'!$R$1:$S$100,2,FALSE), " ")</f>
        <v xml:space="preserve"> </v>
      </c>
      <c r="S153" s="55"/>
      <c r="T153" s="32"/>
      <c r="U153" s="32"/>
      <c r="V153" s="55"/>
      <c r="W153" s="32"/>
      <c r="X153" s="54"/>
      <c r="Y153" s="56" t="str">
        <f>IFERROR(VLOOKUP(June[[#This Row],[Drug Name2]],'Data Options'!$R$1:$S$100,2,FALSE), " ")</f>
        <v xml:space="preserve"> </v>
      </c>
      <c r="Z153" s="55"/>
      <c r="AA153" s="32"/>
      <c r="AB153" s="32"/>
      <c r="AC153" s="55"/>
      <c r="AD153" s="32"/>
      <c r="AE153" s="54"/>
      <c r="AF153" s="56" t="str">
        <f>IFERROR(VLOOKUP(June[[#This Row],[Drug Name3]],'Data Options'!$R$1:$S$100,2,FALSE), " ")</f>
        <v xml:space="preserve"> </v>
      </c>
      <c r="AG153" s="55"/>
      <c r="AH153" s="32"/>
      <c r="AI153" s="32"/>
      <c r="AJ153" s="55"/>
      <c r="AK153" s="32"/>
      <c r="AL153" s="32"/>
      <c r="AM153" s="32"/>
      <c r="AN153" s="32"/>
      <c r="AO153" s="32"/>
      <c r="AP153" s="31"/>
      <c r="AQ153" s="31"/>
      <c r="AR153" s="54"/>
      <c r="AS153" s="56" t="str">
        <f>IFERROR(VLOOKUP(June[[#This Row],[Drug Name4]],'Data Options'!$R$1:$S$100,2,FALSE), " ")</f>
        <v xml:space="preserve"> </v>
      </c>
      <c r="AT153" s="55"/>
      <c r="AU153" s="32"/>
      <c r="AV153" s="32"/>
      <c r="AW153" s="55"/>
      <c r="AX153" s="32"/>
      <c r="AY153" s="54"/>
      <c r="AZ153" s="56" t="str">
        <f>IFERROR(VLOOKUP(June[[#This Row],[Drug Name5]],'Data Options'!$R$1:$S$100,2,FALSE), " ")</f>
        <v xml:space="preserve"> </v>
      </c>
      <c r="BA153" s="55"/>
      <c r="BB153" s="32"/>
      <c r="BC153" s="32"/>
      <c r="BD153" s="55"/>
      <c r="BE153" s="32"/>
      <c r="BF153" s="54"/>
      <c r="BG153" s="56" t="str">
        <f>IFERROR(VLOOKUP(June[[#This Row],[Drug Name6]],'Data Options'!$R$1:$S$100,2,FALSE), " ")</f>
        <v xml:space="preserve"> </v>
      </c>
      <c r="BH153" s="55"/>
      <c r="BI153" s="32"/>
      <c r="BJ153" s="32"/>
      <c r="BK153" s="55"/>
      <c r="BL153" s="32"/>
      <c r="BM153" s="32"/>
      <c r="BN153" s="32"/>
      <c r="BO153" s="32"/>
      <c r="BP153" s="32"/>
      <c r="BQ153" s="31"/>
      <c r="BR153" s="31"/>
      <c r="BS153" s="54"/>
      <c r="BT153" s="56" t="str">
        <f>IFERROR(VLOOKUP(June[[#This Row],[Drug Name7]],'Data Options'!$R$1:$S$100,2,FALSE), " ")</f>
        <v xml:space="preserve"> </v>
      </c>
      <c r="BU153" s="55"/>
      <c r="BV153" s="32"/>
      <c r="BW153" s="32"/>
      <c r="BX153" s="55"/>
      <c r="BY153" s="32"/>
      <c r="BZ153" s="54"/>
      <c r="CA153" s="56" t="str">
        <f>IFERROR(VLOOKUP(June[[#This Row],[Drug Name8]],'Data Options'!$R$1:$S$100,2,FALSE), " ")</f>
        <v xml:space="preserve"> </v>
      </c>
      <c r="CB153" s="55"/>
      <c r="CC153" s="32"/>
      <c r="CD153" s="32"/>
      <c r="CE153" s="55"/>
      <c r="CF153" s="32"/>
      <c r="CG153" s="54"/>
      <c r="CH153" s="56" t="str">
        <f>IFERROR(VLOOKUP(June[[#This Row],[Drug Name9]],'Data Options'!$R$1:$S$100,2,FALSE), " ")</f>
        <v xml:space="preserve"> </v>
      </c>
      <c r="CI153" s="55"/>
      <c r="CJ153" s="32"/>
      <c r="CK153" s="32"/>
      <c r="CL153" s="55"/>
      <c r="CM153" s="32"/>
    </row>
    <row r="154" spans="1:91">
      <c r="A154" s="5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1"/>
      <c r="P154" s="31"/>
      <c r="Q154" s="54"/>
      <c r="R154" s="56" t="str">
        <f>IFERROR(VLOOKUP(June[[#This Row],[Drug Name]],'Data Options'!$R$1:$S$100,2,FALSE), " ")</f>
        <v xml:space="preserve"> </v>
      </c>
      <c r="S154" s="55"/>
      <c r="T154" s="32"/>
      <c r="U154" s="32"/>
      <c r="V154" s="55"/>
      <c r="W154" s="32"/>
      <c r="X154" s="54"/>
      <c r="Y154" s="56" t="str">
        <f>IFERROR(VLOOKUP(June[[#This Row],[Drug Name2]],'Data Options'!$R$1:$S$100,2,FALSE), " ")</f>
        <v xml:space="preserve"> </v>
      </c>
      <c r="Z154" s="55"/>
      <c r="AA154" s="32"/>
      <c r="AB154" s="32"/>
      <c r="AC154" s="55"/>
      <c r="AD154" s="32"/>
      <c r="AE154" s="54"/>
      <c r="AF154" s="56" t="str">
        <f>IFERROR(VLOOKUP(June[[#This Row],[Drug Name3]],'Data Options'!$R$1:$S$100,2,FALSE), " ")</f>
        <v xml:space="preserve"> </v>
      </c>
      <c r="AG154" s="55"/>
      <c r="AH154" s="32"/>
      <c r="AI154" s="32"/>
      <c r="AJ154" s="55"/>
      <c r="AK154" s="32"/>
      <c r="AL154" s="32"/>
      <c r="AM154" s="32"/>
      <c r="AN154" s="32"/>
      <c r="AO154" s="32"/>
      <c r="AP154" s="31"/>
      <c r="AQ154" s="31"/>
      <c r="AR154" s="54"/>
      <c r="AS154" s="56" t="str">
        <f>IFERROR(VLOOKUP(June[[#This Row],[Drug Name4]],'Data Options'!$R$1:$S$100,2,FALSE), " ")</f>
        <v xml:space="preserve"> </v>
      </c>
      <c r="AT154" s="55"/>
      <c r="AU154" s="32"/>
      <c r="AV154" s="32"/>
      <c r="AW154" s="55"/>
      <c r="AX154" s="32"/>
      <c r="AY154" s="54"/>
      <c r="AZ154" s="56" t="str">
        <f>IFERROR(VLOOKUP(June[[#This Row],[Drug Name5]],'Data Options'!$R$1:$S$100,2,FALSE), " ")</f>
        <v xml:space="preserve"> </v>
      </c>
      <c r="BA154" s="55"/>
      <c r="BB154" s="32"/>
      <c r="BC154" s="32"/>
      <c r="BD154" s="55"/>
      <c r="BE154" s="32"/>
      <c r="BF154" s="54"/>
      <c r="BG154" s="56" t="str">
        <f>IFERROR(VLOOKUP(June[[#This Row],[Drug Name6]],'Data Options'!$R$1:$S$100,2,FALSE), " ")</f>
        <v xml:space="preserve"> </v>
      </c>
      <c r="BH154" s="55"/>
      <c r="BI154" s="32"/>
      <c r="BJ154" s="32"/>
      <c r="BK154" s="55"/>
      <c r="BL154" s="32"/>
      <c r="BM154" s="32"/>
      <c r="BN154" s="32"/>
      <c r="BO154" s="32"/>
      <c r="BP154" s="32"/>
      <c r="BQ154" s="31"/>
      <c r="BR154" s="31"/>
      <c r="BS154" s="54"/>
      <c r="BT154" s="56" t="str">
        <f>IFERROR(VLOOKUP(June[[#This Row],[Drug Name7]],'Data Options'!$R$1:$S$100,2,FALSE), " ")</f>
        <v xml:space="preserve"> </v>
      </c>
      <c r="BU154" s="55"/>
      <c r="BV154" s="32"/>
      <c r="BW154" s="32"/>
      <c r="BX154" s="55"/>
      <c r="BY154" s="32"/>
      <c r="BZ154" s="54"/>
      <c r="CA154" s="56" t="str">
        <f>IFERROR(VLOOKUP(June[[#This Row],[Drug Name8]],'Data Options'!$R$1:$S$100,2,FALSE), " ")</f>
        <v xml:space="preserve"> </v>
      </c>
      <c r="CB154" s="55"/>
      <c r="CC154" s="32"/>
      <c r="CD154" s="32"/>
      <c r="CE154" s="55"/>
      <c r="CF154" s="32"/>
      <c r="CG154" s="54"/>
      <c r="CH154" s="56" t="str">
        <f>IFERROR(VLOOKUP(June[[#This Row],[Drug Name9]],'Data Options'!$R$1:$S$100,2,FALSE), " ")</f>
        <v xml:space="preserve"> </v>
      </c>
      <c r="CI154" s="55"/>
      <c r="CJ154" s="32"/>
      <c r="CK154" s="32"/>
      <c r="CL154" s="55"/>
      <c r="CM154" s="32"/>
    </row>
    <row r="155" spans="1:91">
      <c r="A155" s="5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54"/>
      <c r="R155" s="56" t="str">
        <f>IFERROR(VLOOKUP(June[[#This Row],[Drug Name]],'Data Options'!$R$1:$S$100,2,FALSE), " ")</f>
        <v xml:space="preserve"> </v>
      </c>
      <c r="S155" s="55"/>
      <c r="T155" s="32"/>
      <c r="U155" s="32"/>
      <c r="V155" s="55"/>
      <c r="W155" s="32"/>
      <c r="X155" s="54"/>
      <c r="Y155" s="56" t="str">
        <f>IFERROR(VLOOKUP(June[[#This Row],[Drug Name2]],'Data Options'!$R$1:$S$100,2,FALSE), " ")</f>
        <v xml:space="preserve"> </v>
      </c>
      <c r="Z155" s="55"/>
      <c r="AA155" s="32"/>
      <c r="AB155" s="32"/>
      <c r="AC155" s="55"/>
      <c r="AD155" s="32"/>
      <c r="AE155" s="54"/>
      <c r="AF155" s="56" t="str">
        <f>IFERROR(VLOOKUP(June[[#This Row],[Drug Name3]],'Data Options'!$R$1:$S$100,2,FALSE), " ")</f>
        <v xml:space="preserve"> </v>
      </c>
      <c r="AG155" s="55"/>
      <c r="AH155" s="32"/>
      <c r="AI155" s="32"/>
      <c r="AJ155" s="55"/>
      <c r="AK155" s="32"/>
      <c r="AL155" s="32"/>
      <c r="AM155" s="32"/>
      <c r="AN155" s="32"/>
      <c r="AO155" s="32"/>
      <c r="AP155" s="31"/>
      <c r="AQ155" s="31"/>
      <c r="AR155" s="54"/>
      <c r="AS155" s="56" t="str">
        <f>IFERROR(VLOOKUP(June[[#This Row],[Drug Name4]],'Data Options'!$R$1:$S$100,2,FALSE), " ")</f>
        <v xml:space="preserve"> </v>
      </c>
      <c r="AT155" s="55"/>
      <c r="AU155" s="32"/>
      <c r="AV155" s="32"/>
      <c r="AW155" s="55"/>
      <c r="AX155" s="32"/>
      <c r="AY155" s="54"/>
      <c r="AZ155" s="56" t="str">
        <f>IFERROR(VLOOKUP(June[[#This Row],[Drug Name5]],'Data Options'!$R$1:$S$100,2,FALSE), " ")</f>
        <v xml:space="preserve"> </v>
      </c>
      <c r="BA155" s="55"/>
      <c r="BB155" s="32"/>
      <c r="BC155" s="32"/>
      <c r="BD155" s="55"/>
      <c r="BE155" s="32"/>
      <c r="BF155" s="54"/>
      <c r="BG155" s="56" t="str">
        <f>IFERROR(VLOOKUP(June[[#This Row],[Drug Name6]],'Data Options'!$R$1:$S$100,2,FALSE), " ")</f>
        <v xml:space="preserve"> </v>
      </c>
      <c r="BH155" s="55"/>
      <c r="BI155" s="32"/>
      <c r="BJ155" s="32"/>
      <c r="BK155" s="55"/>
      <c r="BL155" s="32"/>
      <c r="BM155" s="32"/>
      <c r="BN155" s="32"/>
      <c r="BO155" s="32"/>
      <c r="BP155" s="32"/>
      <c r="BQ155" s="31"/>
      <c r="BR155" s="31"/>
      <c r="BS155" s="54"/>
      <c r="BT155" s="56" t="str">
        <f>IFERROR(VLOOKUP(June[[#This Row],[Drug Name7]],'Data Options'!$R$1:$S$100,2,FALSE), " ")</f>
        <v xml:space="preserve"> </v>
      </c>
      <c r="BU155" s="55"/>
      <c r="BV155" s="32"/>
      <c r="BW155" s="32"/>
      <c r="BX155" s="55"/>
      <c r="BY155" s="32"/>
      <c r="BZ155" s="54"/>
      <c r="CA155" s="56" t="str">
        <f>IFERROR(VLOOKUP(June[[#This Row],[Drug Name8]],'Data Options'!$R$1:$S$100,2,FALSE), " ")</f>
        <v xml:space="preserve"> </v>
      </c>
      <c r="CB155" s="55"/>
      <c r="CC155" s="32"/>
      <c r="CD155" s="32"/>
      <c r="CE155" s="55"/>
      <c r="CF155" s="32"/>
      <c r="CG155" s="54"/>
      <c r="CH155" s="56" t="str">
        <f>IFERROR(VLOOKUP(June[[#This Row],[Drug Name9]],'Data Options'!$R$1:$S$100,2,FALSE), " ")</f>
        <v xml:space="preserve"> </v>
      </c>
      <c r="CI155" s="55"/>
      <c r="CJ155" s="32"/>
      <c r="CK155" s="32"/>
      <c r="CL155" s="55"/>
      <c r="CM155" s="32"/>
    </row>
    <row r="156" spans="1:91">
      <c r="A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1"/>
      <c r="P156" s="31"/>
      <c r="Q156" s="54"/>
      <c r="R156" s="56" t="str">
        <f>IFERROR(VLOOKUP(June[[#This Row],[Drug Name]],'Data Options'!$R$1:$S$100,2,FALSE), " ")</f>
        <v xml:space="preserve"> </v>
      </c>
      <c r="S156" s="55"/>
      <c r="T156" s="32"/>
      <c r="U156" s="32"/>
      <c r="V156" s="55"/>
      <c r="W156" s="32"/>
      <c r="X156" s="54"/>
      <c r="Y156" s="56" t="str">
        <f>IFERROR(VLOOKUP(June[[#This Row],[Drug Name2]],'Data Options'!$R$1:$S$100,2,FALSE), " ")</f>
        <v xml:space="preserve"> </v>
      </c>
      <c r="Z156" s="55"/>
      <c r="AA156" s="32"/>
      <c r="AB156" s="32"/>
      <c r="AC156" s="55"/>
      <c r="AD156" s="32"/>
      <c r="AE156" s="54"/>
      <c r="AF156" s="56" t="str">
        <f>IFERROR(VLOOKUP(June[[#This Row],[Drug Name3]],'Data Options'!$R$1:$S$100,2,FALSE), " ")</f>
        <v xml:space="preserve"> </v>
      </c>
      <c r="AG156" s="55"/>
      <c r="AH156" s="32"/>
      <c r="AI156" s="32"/>
      <c r="AJ156" s="55"/>
      <c r="AK156" s="32"/>
      <c r="AL156" s="32"/>
      <c r="AM156" s="32"/>
      <c r="AN156" s="32"/>
      <c r="AO156" s="32"/>
      <c r="AP156" s="31"/>
      <c r="AQ156" s="31"/>
      <c r="AR156" s="54"/>
      <c r="AS156" s="56" t="str">
        <f>IFERROR(VLOOKUP(June[[#This Row],[Drug Name4]],'Data Options'!$R$1:$S$100,2,FALSE), " ")</f>
        <v xml:space="preserve"> </v>
      </c>
      <c r="AT156" s="55"/>
      <c r="AU156" s="32"/>
      <c r="AV156" s="32"/>
      <c r="AW156" s="55"/>
      <c r="AX156" s="32"/>
      <c r="AY156" s="54"/>
      <c r="AZ156" s="56" t="str">
        <f>IFERROR(VLOOKUP(June[[#This Row],[Drug Name5]],'Data Options'!$R$1:$S$100,2,FALSE), " ")</f>
        <v xml:space="preserve"> </v>
      </c>
      <c r="BA156" s="55"/>
      <c r="BB156" s="32"/>
      <c r="BC156" s="32"/>
      <c r="BD156" s="55"/>
      <c r="BE156" s="32"/>
      <c r="BF156" s="54"/>
      <c r="BG156" s="56" t="str">
        <f>IFERROR(VLOOKUP(June[[#This Row],[Drug Name6]],'Data Options'!$R$1:$S$100,2,FALSE), " ")</f>
        <v xml:space="preserve"> </v>
      </c>
      <c r="BH156" s="55"/>
      <c r="BI156" s="32"/>
      <c r="BJ156" s="32"/>
      <c r="BK156" s="55"/>
      <c r="BL156" s="32"/>
      <c r="BM156" s="32"/>
      <c r="BN156" s="32"/>
      <c r="BO156" s="32"/>
      <c r="BP156" s="32"/>
      <c r="BQ156" s="31"/>
      <c r="BR156" s="31"/>
      <c r="BS156" s="54"/>
      <c r="BT156" s="56" t="str">
        <f>IFERROR(VLOOKUP(June[[#This Row],[Drug Name7]],'Data Options'!$R$1:$S$100,2,FALSE), " ")</f>
        <v xml:space="preserve"> </v>
      </c>
      <c r="BU156" s="55"/>
      <c r="BV156" s="32"/>
      <c r="BW156" s="32"/>
      <c r="BX156" s="55"/>
      <c r="BY156" s="32"/>
      <c r="BZ156" s="54"/>
      <c r="CA156" s="56" t="str">
        <f>IFERROR(VLOOKUP(June[[#This Row],[Drug Name8]],'Data Options'!$R$1:$S$100,2,FALSE), " ")</f>
        <v xml:space="preserve"> </v>
      </c>
      <c r="CB156" s="55"/>
      <c r="CC156" s="32"/>
      <c r="CD156" s="32"/>
      <c r="CE156" s="55"/>
      <c r="CF156" s="32"/>
      <c r="CG156" s="54"/>
      <c r="CH156" s="56" t="str">
        <f>IFERROR(VLOOKUP(June[[#This Row],[Drug Name9]],'Data Options'!$R$1:$S$100,2,FALSE), " ")</f>
        <v xml:space="preserve"> </v>
      </c>
      <c r="CI156" s="55"/>
      <c r="CJ156" s="32"/>
      <c r="CK156" s="32"/>
      <c r="CL156" s="55"/>
      <c r="CM156" s="32"/>
    </row>
    <row r="157" spans="1:91">
      <c r="A157" s="5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1"/>
      <c r="P157" s="31"/>
      <c r="Q157" s="54"/>
      <c r="R157" s="56" t="str">
        <f>IFERROR(VLOOKUP(June[[#This Row],[Drug Name]],'Data Options'!$R$1:$S$100,2,FALSE), " ")</f>
        <v xml:space="preserve"> </v>
      </c>
      <c r="S157" s="55"/>
      <c r="T157" s="32"/>
      <c r="U157" s="32"/>
      <c r="V157" s="55"/>
      <c r="W157" s="32"/>
      <c r="X157" s="54"/>
      <c r="Y157" s="56" t="str">
        <f>IFERROR(VLOOKUP(June[[#This Row],[Drug Name2]],'Data Options'!$R$1:$S$100,2,FALSE), " ")</f>
        <v xml:space="preserve"> </v>
      </c>
      <c r="Z157" s="55"/>
      <c r="AA157" s="32"/>
      <c r="AB157" s="32"/>
      <c r="AC157" s="55"/>
      <c r="AD157" s="32"/>
      <c r="AE157" s="54"/>
      <c r="AF157" s="56" t="str">
        <f>IFERROR(VLOOKUP(June[[#This Row],[Drug Name3]],'Data Options'!$R$1:$S$100,2,FALSE), " ")</f>
        <v xml:space="preserve"> </v>
      </c>
      <c r="AG157" s="55"/>
      <c r="AH157" s="32"/>
      <c r="AI157" s="32"/>
      <c r="AJ157" s="55"/>
      <c r="AK157" s="32"/>
      <c r="AL157" s="32"/>
      <c r="AM157" s="32"/>
      <c r="AN157" s="32"/>
      <c r="AO157" s="32"/>
      <c r="AP157" s="31"/>
      <c r="AQ157" s="31"/>
      <c r="AR157" s="54"/>
      <c r="AS157" s="56" t="str">
        <f>IFERROR(VLOOKUP(June[[#This Row],[Drug Name4]],'Data Options'!$R$1:$S$100,2,FALSE), " ")</f>
        <v xml:space="preserve"> </v>
      </c>
      <c r="AT157" s="55"/>
      <c r="AU157" s="32"/>
      <c r="AV157" s="32"/>
      <c r="AW157" s="55"/>
      <c r="AX157" s="32"/>
      <c r="AY157" s="54"/>
      <c r="AZ157" s="56" t="str">
        <f>IFERROR(VLOOKUP(June[[#This Row],[Drug Name5]],'Data Options'!$R$1:$S$100,2,FALSE), " ")</f>
        <v xml:space="preserve"> </v>
      </c>
      <c r="BA157" s="55"/>
      <c r="BB157" s="32"/>
      <c r="BC157" s="32"/>
      <c r="BD157" s="55"/>
      <c r="BE157" s="32"/>
      <c r="BF157" s="54"/>
      <c r="BG157" s="56" t="str">
        <f>IFERROR(VLOOKUP(June[[#This Row],[Drug Name6]],'Data Options'!$R$1:$S$100,2,FALSE), " ")</f>
        <v xml:space="preserve"> </v>
      </c>
      <c r="BH157" s="55"/>
      <c r="BI157" s="32"/>
      <c r="BJ157" s="32"/>
      <c r="BK157" s="55"/>
      <c r="BL157" s="32"/>
      <c r="BM157" s="32"/>
      <c r="BN157" s="32"/>
      <c r="BO157" s="32"/>
      <c r="BP157" s="32"/>
      <c r="BQ157" s="31"/>
      <c r="BR157" s="31"/>
      <c r="BS157" s="54"/>
      <c r="BT157" s="56" t="str">
        <f>IFERROR(VLOOKUP(June[[#This Row],[Drug Name7]],'Data Options'!$R$1:$S$100,2,FALSE), " ")</f>
        <v xml:space="preserve"> </v>
      </c>
      <c r="BU157" s="55"/>
      <c r="BV157" s="32"/>
      <c r="BW157" s="32"/>
      <c r="BX157" s="55"/>
      <c r="BY157" s="32"/>
      <c r="BZ157" s="54"/>
      <c r="CA157" s="56" t="str">
        <f>IFERROR(VLOOKUP(June[[#This Row],[Drug Name8]],'Data Options'!$R$1:$S$100,2,FALSE), " ")</f>
        <v xml:space="preserve"> </v>
      </c>
      <c r="CB157" s="55"/>
      <c r="CC157" s="32"/>
      <c r="CD157" s="32"/>
      <c r="CE157" s="55"/>
      <c r="CF157" s="32"/>
      <c r="CG157" s="54"/>
      <c r="CH157" s="56" t="str">
        <f>IFERROR(VLOOKUP(June[[#This Row],[Drug Name9]],'Data Options'!$R$1:$S$100,2,FALSE), " ")</f>
        <v xml:space="preserve"> </v>
      </c>
      <c r="CI157" s="55"/>
      <c r="CJ157" s="32"/>
      <c r="CK157" s="32"/>
      <c r="CL157" s="55"/>
      <c r="CM157" s="32"/>
    </row>
    <row r="158" spans="1:91">
      <c r="A158" s="5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1"/>
      <c r="P158" s="31"/>
      <c r="Q158" s="54"/>
      <c r="R158" s="56" t="str">
        <f>IFERROR(VLOOKUP(June[[#This Row],[Drug Name]],'Data Options'!$R$1:$S$100,2,FALSE), " ")</f>
        <v xml:space="preserve"> </v>
      </c>
      <c r="S158" s="55"/>
      <c r="T158" s="32"/>
      <c r="U158" s="32"/>
      <c r="V158" s="55"/>
      <c r="W158" s="32"/>
      <c r="X158" s="54"/>
      <c r="Y158" s="56" t="str">
        <f>IFERROR(VLOOKUP(June[[#This Row],[Drug Name2]],'Data Options'!$R$1:$S$100,2,FALSE), " ")</f>
        <v xml:space="preserve"> </v>
      </c>
      <c r="Z158" s="55"/>
      <c r="AA158" s="32"/>
      <c r="AB158" s="32"/>
      <c r="AC158" s="55"/>
      <c r="AD158" s="32"/>
      <c r="AE158" s="54"/>
      <c r="AF158" s="56" t="str">
        <f>IFERROR(VLOOKUP(June[[#This Row],[Drug Name3]],'Data Options'!$R$1:$S$100,2,FALSE), " ")</f>
        <v xml:space="preserve"> </v>
      </c>
      <c r="AG158" s="55"/>
      <c r="AH158" s="32"/>
      <c r="AI158" s="32"/>
      <c r="AJ158" s="55"/>
      <c r="AK158" s="32"/>
      <c r="AL158" s="32"/>
      <c r="AM158" s="32"/>
      <c r="AN158" s="32"/>
      <c r="AO158" s="32"/>
      <c r="AP158" s="31"/>
      <c r="AQ158" s="31"/>
      <c r="AR158" s="54"/>
      <c r="AS158" s="56" t="str">
        <f>IFERROR(VLOOKUP(June[[#This Row],[Drug Name4]],'Data Options'!$R$1:$S$100,2,FALSE), " ")</f>
        <v xml:space="preserve"> </v>
      </c>
      <c r="AT158" s="55"/>
      <c r="AU158" s="32"/>
      <c r="AV158" s="32"/>
      <c r="AW158" s="55"/>
      <c r="AX158" s="32"/>
      <c r="AY158" s="54"/>
      <c r="AZ158" s="56" t="str">
        <f>IFERROR(VLOOKUP(June[[#This Row],[Drug Name5]],'Data Options'!$R$1:$S$100,2,FALSE), " ")</f>
        <v xml:space="preserve"> </v>
      </c>
      <c r="BA158" s="55"/>
      <c r="BB158" s="32"/>
      <c r="BC158" s="32"/>
      <c r="BD158" s="55"/>
      <c r="BE158" s="32"/>
      <c r="BF158" s="54"/>
      <c r="BG158" s="56" t="str">
        <f>IFERROR(VLOOKUP(June[[#This Row],[Drug Name6]],'Data Options'!$R$1:$S$100,2,FALSE), " ")</f>
        <v xml:space="preserve"> </v>
      </c>
      <c r="BH158" s="55"/>
      <c r="BI158" s="32"/>
      <c r="BJ158" s="32"/>
      <c r="BK158" s="55"/>
      <c r="BL158" s="32"/>
      <c r="BM158" s="32"/>
      <c r="BN158" s="32"/>
      <c r="BO158" s="32"/>
      <c r="BP158" s="32"/>
      <c r="BQ158" s="31"/>
      <c r="BR158" s="31"/>
      <c r="BS158" s="54"/>
      <c r="BT158" s="56" t="str">
        <f>IFERROR(VLOOKUP(June[[#This Row],[Drug Name7]],'Data Options'!$R$1:$S$100,2,FALSE), " ")</f>
        <v xml:space="preserve"> </v>
      </c>
      <c r="BU158" s="55"/>
      <c r="BV158" s="32"/>
      <c r="BW158" s="32"/>
      <c r="BX158" s="55"/>
      <c r="BY158" s="32"/>
      <c r="BZ158" s="54"/>
      <c r="CA158" s="56" t="str">
        <f>IFERROR(VLOOKUP(June[[#This Row],[Drug Name8]],'Data Options'!$R$1:$S$100,2,FALSE), " ")</f>
        <v xml:space="preserve"> </v>
      </c>
      <c r="CB158" s="55"/>
      <c r="CC158" s="32"/>
      <c r="CD158" s="32"/>
      <c r="CE158" s="55"/>
      <c r="CF158" s="32"/>
      <c r="CG158" s="54"/>
      <c r="CH158" s="56" t="str">
        <f>IFERROR(VLOOKUP(June[[#This Row],[Drug Name9]],'Data Options'!$R$1:$S$100,2,FALSE), " ")</f>
        <v xml:space="preserve"> </v>
      </c>
      <c r="CI158" s="55"/>
      <c r="CJ158" s="32"/>
      <c r="CK158" s="32"/>
      <c r="CL158" s="55"/>
      <c r="CM158" s="32"/>
    </row>
    <row r="159" spans="1:91">
      <c r="A159" s="5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1"/>
      <c r="P159" s="31"/>
      <c r="Q159" s="54"/>
      <c r="R159" s="56" t="str">
        <f>IFERROR(VLOOKUP(June[[#This Row],[Drug Name]],'Data Options'!$R$1:$S$100,2,FALSE), " ")</f>
        <v xml:space="preserve"> </v>
      </c>
      <c r="S159" s="55"/>
      <c r="T159" s="32"/>
      <c r="U159" s="32"/>
      <c r="V159" s="55"/>
      <c r="W159" s="32"/>
      <c r="X159" s="54"/>
      <c r="Y159" s="56" t="str">
        <f>IFERROR(VLOOKUP(June[[#This Row],[Drug Name2]],'Data Options'!$R$1:$S$100,2,FALSE), " ")</f>
        <v xml:space="preserve"> </v>
      </c>
      <c r="Z159" s="55"/>
      <c r="AA159" s="32"/>
      <c r="AB159" s="32"/>
      <c r="AC159" s="55"/>
      <c r="AD159" s="32"/>
      <c r="AE159" s="54"/>
      <c r="AF159" s="56" t="str">
        <f>IFERROR(VLOOKUP(June[[#This Row],[Drug Name3]],'Data Options'!$R$1:$S$100,2,FALSE), " ")</f>
        <v xml:space="preserve"> </v>
      </c>
      <c r="AG159" s="55"/>
      <c r="AH159" s="32"/>
      <c r="AI159" s="32"/>
      <c r="AJ159" s="55"/>
      <c r="AK159" s="32"/>
      <c r="AL159" s="32"/>
      <c r="AM159" s="32"/>
      <c r="AN159" s="32"/>
      <c r="AO159" s="32"/>
      <c r="AP159" s="31"/>
      <c r="AQ159" s="31"/>
      <c r="AR159" s="54"/>
      <c r="AS159" s="56" t="str">
        <f>IFERROR(VLOOKUP(June[[#This Row],[Drug Name4]],'Data Options'!$R$1:$S$100,2,FALSE), " ")</f>
        <v xml:space="preserve"> </v>
      </c>
      <c r="AT159" s="55"/>
      <c r="AU159" s="32"/>
      <c r="AV159" s="32"/>
      <c r="AW159" s="55"/>
      <c r="AX159" s="32"/>
      <c r="AY159" s="54"/>
      <c r="AZ159" s="56" t="str">
        <f>IFERROR(VLOOKUP(June[[#This Row],[Drug Name5]],'Data Options'!$R$1:$S$100,2,FALSE), " ")</f>
        <v xml:space="preserve"> </v>
      </c>
      <c r="BA159" s="55"/>
      <c r="BB159" s="32"/>
      <c r="BC159" s="32"/>
      <c r="BD159" s="55"/>
      <c r="BE159" s="32"/>
      <c r="BF159" s="54"/>
      <c r="BG159" s="56" t="str">
        <f>IFERROR(VLOOKUP(June[[#This Row],[Drug Name6]],'Data Options'!$R$1:$S$100,2,FALSE), " ")</f>
        <v xml:space="preserve"> </v>
      </c>
      <c r="BH159" s="55"/>
      <c r="BI159" s="32"/>
      <c r="BJ159" s="32"/>
      <c r="BK159" s="55"/>
      <c r="BL159" s="32"/>
      <c r="BM159" s="32"/>
      <c r="BN159" s="32"/>
      <c r="BO159" s="32"/>
      <c r="BP159" s="32"/>
      <c r="BQ159" s="31"/>
      <c r="BR159" s="31"/>
      <c r="BS159" s="54"/>
      <c r="BT159" s="56" t="str">
        <f>IFERROR(VLOOKUP(June[[#This Row],[Drug Name7]],'Data Options'!$R$1:$S$100,2,FALSE), " ")</f>
        <v xml:space="preserve"> </v>
      </c>
      <c r="BU159" s="55"/>
      <c r="BV159" s="32"/>
      <c r="BW159" s="32"/>
      <c r="BX159" s="55"/>
      <c r="BY159" s="32"/>
      <c r="BZ159" s="54"/>
      <c r="CA159" s="56" t="str">
        <f>IFERROR(VLOOKUP(June[[#This Row],[Drug Name8]],'Data Options'!$R$1:$S$100,2,FALSE), " ")</f>
        <v xml:space="preserve"> </v>
      </c>
      <c r="CB159" s="55"/>
      <c r="CC159" s="32"/>
      <c r="CD159" s="32"/>
      <c r="CE159" s="55"/>
      <c r="CF159" s="32"/>
      <c r="CG159" s="54"/>
      <c r="CH159" s="56" t="str">
        <f>IFERROR(VLOOKUP(June[[#This Row],[Drug Name9]],'Data Options'!$R$1:$S$100,2,FALSE), " ")</f>
        <v xml:space="preserve"> </v>
      </c>
      <c r="CI159" s="55"/>
      <c r="CJ159" s="32"/>
      <c r="CK159" s="32"/>
      <c r="CL159" s="55"/>
      <c r="CM159" s="32"/>
    </row>
    <row r="160" spans="1:91">
      <c r="A160" s="5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1"/>
      <c r="P160" s="31"/>
      <c r="Q160" s="54"/>
      <c r="R160" s="56" t="str">
        <f>IFERROR(VLOOKUP(June[[#This Row],[Drug Name]],'Data Options'!$R$1:$S$100,2,FALSE), " ")</f>
        <v xml:space="preserve"> </v>
      </c>
      <c r="S160" s="55"/>
      <c r="T160" s="32"/>
      <c r="U160" s="32"/>
      <c r="V160" s="55"/>
      <c r="W160" s="32"/>
      <c r="X160" s="54"/>
      <c r="Y160" s="56" t="str">
        <f>IFERROR(VLOOKUP(June[[#This Row],[Drug Name2]],'Data Options'!$R$1:$S$100,2,FALSE), " ")</f>
        <v xml:space="preserve"> </v>
      </c>
      <c r="Z160" s="55"/>
      <c r="AA160" s="32"/>
      <c r="AB160" s="32"/>
      <c r="AC160" s="55"/>
      <c r="AD160" s="32"/>
      <c r="AE160" s="54"/>
      <c r="AF160" s="56" t="str">
        <f>IFERROR(VLOOKUP(June[[#This Row],[Drug Name3]],'Data Options'!$R$1:$S$100,2,FALSE), " ")</f>
        <v xml:space="preserve"> </v>
      </c>
      <c r="AG160" s="55"/>
      <c r="AH160" s="32"/>
      <c r="AI160" s="32"/>
      <c r="AJ160" s="55"/>
      <c r="AK160" s="32"/>
      <c r="AL160" s="32"/>
      <c r="AM160" s="32"/>
      <c r="AN160" s="32"/>
      <c r="AO160" s="32"/>
      <c r="AP160" s="31"/>
      <c r="AQ160" s="31"/>
      <c r="AR160" s="54"/>
      <c r="AS160" s="56" t="str">
        <f>IFERROR(VLOOKUP(June[[#This Row],[Drug Name4]],'Data Options'!$R$1:$S$100,2,FALSE), " ")</f>
        <v xml:space="preserve"> </v>
      </c>
      <c r="AT160" s="55"/>
      <c r="AU160" s="32"/>
      <c r="AV160" s="32"/>
      <c r="AW160" s="55"/>
      <c r="AX160" s="32"/>
      <c r="AY160" s="54"/>
      <c r="AZ160" s="56" t="str">
        <f>IFERROR(VLOOKUP(June[[#This Row],[Drug Name5]],'Data Options'!$R$1:$S$100,2,FALSE), " ")</f>
        <v xml:space="preserve"> </v>
      </c>
      <c r="BA160" s="55"/>
      <c r="BB160" s="32"/>
      <c r="BC160" s="32"/>
      <c r="BD160" s="55"/>
      <c r="BE160" s="32"/>
      <c r="BF160" s="54"/>
      <c r="BG160" s="56" t="str">
        <f>IFERROR(VLOOKUP(June[[#This Row],[Drug Name6]],'Data Options'!$R$1:$S$100,2,FALSE), " ")</f>
        <v xml:space="preserve"> </v>
      </c>
      <c r="BH160" s="55"/>
      <c r="BI160" s="32"/>
      <c r="BJ160" s="32"/>
      <c r="BK160" s="55"/>
      <c r="BL160" s="32"/>
      <c r="BM160" s="32"/>
      <c r="BN160" s="32"/>
      <c r="BO160" s="32"/>
      <c r="BP160" s="32"/>
      <c r="BQ160" s="31"/>
      <c r="BR160" s="31"/>
      <c r="BS160" s="54"/>
      <c r="BT160" s="56" t="str">
        <f>IFERROR(VLOOKUP(June[[#This Row],[Drug Name7]],'Data Options'!$R$1:$S$100,2,FALSE), " ")</f>
        <v xml:space="preserve"> </v>
      </c>
      <c r="BU160" s="55"/>
      <c r="BV160" s="32"/>
      <c r="BW160" s="32"/>
      <c r="BX160" s="55"/>
      <c r="BY160" s="32"/>
      <c r="BZ160" s="54"/>
      <c r="CA160" s="56" t="str">
        <f>IFERROR(VLOOKUP(June[[#This Row],[Drug Name8]],'Data Options'!$R$1:$S$100,2,FALSE), " ")</f>
        <v xml:space="preserve"> </v>
      </c>
      <c r="CB160" s="55"/>
      <c r="CC160" s="32"/>
      <c r="CD160" s="32"/>
      <c r="CE160" s="55"/>
      <c r="CF160" s="32"/>
      <c r="CG160" s="54"/>
      <c r="CH160" s="56" t="str">
        <f>IFERROR(VLOOKUP(June[[#This Row],[Drug Name9]],'Data Options'!$R$1:$S$100,2,FALSE), " ")</f>
        <v xml:space="preserve"> </v>
      </c>
      <c r="CI160" s="55"/>
      <c r="CJ160" s="32"/>
      <c r="CK160" s="32"/>
      <c r="CL160" s="55"/>
      <c r="CM160" s="32"/>
    </row>
    <row r="161" spans="1:91">
      <c r="A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1"/>
      <c r="P161" s="31"/>
      <c r="Q161" s="54"/>
      <c r="R161" s="56" t="str">
        <f>IFERROR(VLOOKUP(June[[#This Row],[Drug Name]],'Data Options'!$R$1:$S$100,2,FALSE), " ")</f>
        <v xml:space="preserve"> </v>
      </c>
      <c r="S161" s="55"/>
      <c r="T161" s="32"/>
      <c r="U161" s="32"/>
      <c r="V161" s="55"/>
      <c r="W161" s="32"/>
      <c r="X161" s="54"/>
      <c r="Y161" s="56" t="str">
        <f>IFERROR(VLOOKUP(June[[#This Row],[Drug Name2]],'Data Options'!$R$1:$S$100,2,FALSE), " ")</f>
        <v xml:space="preserve"> </v>
      </c>
      <c r="Z161" s="55"/>
      <c r="AA161" s="32"/>
      <c r="AB161" s="32"/>
      <c r="AC161" s="55"/>
      <c r="AD161" s="32"/>
      <c r="AE161" s="54"/>
      <c r="AF161" s="56" t="str">
        <f>IFERROR(VLOOKUP(June[[#This Row],[Drug Name3]],'Data Options'!$R$1:$S$100,2,FALSE), " ")</f>
        <v xml:space="preserve"> </v>
      </c>
      <c r="AG161" s="55"/>
      <c r="AH161" s="32"/>
      <c r="AI161" s="32"/>
      <c r="AJ161" s="55"/>
      <c r="AK161" s="32"/>
      <c r="AL161" s="32"/>
      <c r="AM161" s="32"/>
      <c r="AN161" s="32"/>
      <c r="AO161" s="32"/>
      <c r="AP161" s="31"/>
      <c r="AQ161" s="31"/>
      <c r="AR161" s="54"/>
      <c r="AS161" s="56" t="str">
        <f>IFERROR(VLOOKUP(June[[#This Row],[Drug Name4]],'Data Options'!$R$1:$S$100,2,FALSE), " ")</f>
        <v xml:space="preserve"> </v>
      </c>
      <c r="AT161" s="55"/>
      <c r="AU161" s="32"/>
      <c r="AV161" s="32"/>
      <c r="AW161" s="55"/>
      <c r="AX161" s="32"/>
      <c r="AY161" s="54"/>
      <c r="AZ161" s="56" t="str">
        <f>IFERROR(VLOOKUP(June[[#This Row],[Drug Name5]],'Data Options'!$R$1:$S$100,2,FALSE), " ")</f>
        <v xml:space="preserve"> </v>
      </c>
      <c r="BA161" s="55"/>
      <c r="BB161" s="32"/>
      <c r="BC161" s="32"/>
      <c r="BD161" s="55"/>
      <c r="BE161" s="32"/>
      <c r="BF161" s="54"/>
      <c r="BG161" s="56" t="str">
        <f>IFERROR(VLOOKUP(June[[#This Row],[Drug Name6]],'Data Options'!$R$1:$S$100,2,FALSE), " ")</f>
        <v xml:space="preserve"> </v>
      </c>
      <c r="BH161" s="55"/>
      <c r="BI161" s="32"/>
      <c r="BJ161" s="32"/>
      <c r="BK161" s="55"/>
      <c r="BL161" s="32"/>
      <c r="BM161" s="32"/>
      <c r="BN161" s="32"/>
      <c r="BO161" s="32"/>
      <c r="BP161" s="32"/>
      <c r="BQ161" s="31"/>
      <c r="BR161" s="31"/>
      <c r="BS161" s="54"/>
      <c r="BT161" s="56" t="str">
        <f>IFERROR(VLOOKUP(June[[#This Row],[Drug Name7]],'Data Options'!$R$1:$S$100,2,FALSE), " ")</f>
        <v xml:space="preserve"> </v>
      </c>
      <c r="BU161" s="55"/>
      <c r="BV161" s="32"/>
      <c r="BW161" s="32"/>
      <c r="BX161" s="55"/>
      <c r="BY161" s="32"/>
      <c r="BZ161" s="54"/>
      <c r="CA161" s="56" t="str">
        <f>IFERROR(VLOOKUP(June[[#This Row],[Drug Name8]],'Data Options'!$R$1:$S$100,2,FALSE), " ")</f>
        <v xml:space="preserve"> </v>
      </c>
      <c r="CB161" s="55"/>
      <c r="CC161" s="32"/>
      <c r="CD161" s="32"/>
      <c r="CE161" s="55"/>
      <c r="CF161" s="32"/>
      <c r="CG161" s="54"/>
      <c r="CH161" s="56" t="str">
        <f>IFERROR(VLOOKUP(June[[#This Row],[Drug Name9]],'Data Options'!$R$1:$S$100,2,FALSE), " ")</f>
        <v xml:space="preserve"> </v>
      </c>
      <c r="CI161" s="55"/>
      <c r="CJ161" s="32"/>
      <c r="CK161" s="32"/>
      <c r="CL161" s="55"/>
      <c r="CM161" s="32"/>
    </row>
    <row r="162" spans="1:91">
      <c r="A162" s="5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1"/>
      <c r="P162" s="31"/>
      <c r="Q162" s="54"/>
      <c r="R162" s="56" t="str">
        <f>IFERROR(VLOOKUP(June[[#This Row],[Drug Name]],'Data Options'!$R$1:$S$100,2,FALSE), " ")</f>
        <v xml:space="preserve"> </v>
      </c>
      <c r="S162" s="55"/>
      <c r="T162" s="32"/>
      <c r="U162" s="32"/>
      <c r="V162" s="55"/>
      <c r="W162" s="32"/>
      <c r="X162" s="54"/>
      <c r="Y162" s="56" t="str">
        <f>IFERROR(VLOOKUP(June[[#This Row],[Drug Name2]],'Data Options'!$R$1:$S$100,2,FALSE), " ")</f>
        <v xml:space="preserve"> </v>
      </c>
      <c r="Z162" s="55"/>
      <c r="AA162" s="32"/>
      <c r="AB162" s="32"/>
      <c r="AC162" s="55"/>
      <c r="AD162" s="32"/>
      <c r="AE162" s="54"/>
      <c r="AF162" s="56" t="str">
        <f>IFERROR(VLOOKUP(June[[#This Row],[Drug Name3]],'Data Options'!$R$1:$S$100,2,FALSE), " ")</f>
        <v xml:space="preserve"> </v>
      </c>
      <c r="AG162" s="55"/>
      <c r="AH162" s="32"/>
      <c r="AI162" s="32"/>
      <c r="AJ162" s="55"/>
      <c r="AK162" s="32"/>
      <c r="AL162" s="32"/>
      <c r="AM162" s="32"/>
      <c r="AN162" s="32"/>
      <c r="AO162" s="32"/>
      <c r="AP162" s="31"/>
      <c r="AQ162" s="31"/>
      <c r="AR162" s="54"/>
      <c r="AS162" s="56" t="str">
        <f>IFERROR(VLOOKUP(June[[#This Row],[Drug Name4]],'Data Options'!$R$1:$S$100,2,FALSE), " ")</f>
        <v xml:space="preserve"> </v>
      </c>
      <c r="AT162" s="55"/>
      <c r="AU162" s="32"/>
      <c r="AV162" s="32"/>
      <c r="AW162" s="55"/>
      <c r="AX162" s="32"/>
      <c r="AY162" s="54"/>
      <c r="AZ162" s="56" t="str">
        <f>IFERROR(VLOOKUP(June[[#This Row],[Drug Name5]],'Data Options'!$R$1:$S$100,2,FALSE), " ")</f>
        <v xml:space="preserve"> </v>
      </c>
      <c r="BA162" s="55"/>
      <c r="BB162" s="32"/>
      <c r="BC162" s="32"/>
      <c r="BD162" s="55"/>
      <c r="BE162" s="32"/>
      <c r="BF162" s="54"/>
      <c r="BG162" s="56" t="str">
        <f>IFERROR(VLOOKUP(June[[#This Row],[Drug Name6]],'Data Options'!$R$1:$S$100,2,FALSE), " ")</f>
        <v xml:space="preserve"> </v>
      </c>
      <c r="BH162" s="55"/>
      <c r="BI162" s="32"/>
      <c r="BJ162" s="32"/>
      <c r="BK162" s="55"/>
      <c r="BL162" s="32"/>
      <c r="BM162" s="32"/>
      <c r="BN162" s="32"/>
      <c r="BO162" s="32"/>
      <c r="BP162" s="32"/>
      <c r="BQ162" s="31"/>
      <c r="BR162" s="31"/>
      <c r="BS162" s="54"/>
      <c r="BT162" s="56" t="str">
        <f>IFERROR(VLOOKUP(June[[#This Row],[Drug Name7]],'Data Options'!$R$1:$S$100,2,FALSE), " ")</f>
        <v xml:space="preserve"> </v>
      </c>
      <c r="BU162" s="55"/>
      <c r="BV162" s="32"/>
      <c r="BW162" s="32"/>
      <c r="BX162" s="55"/>
      <c r="BY162" s="32"/>
      <c r="BZ162" s="54"/>
      <c r="CA162" s="56" t="str">
        <f>IFERROR(VLOOKUP(June[[#This Row],[Drug Name8]],'Data Options'!$R$1:$S$100,2,FALSE), " ")</f>
        <v xml:space="preserve"> </v>
      </c>
      <c r="CB162" s="55"/>
      <c r="CC162" s="32"/>
      <c r="CD162" s="32"/>
      <c r="CE162" s="55"/>
      <c r="CF162" s="32"/>
      <c r="CG162" s="54"/>
      <c r="CH162" s="56" t="str">
        <f>IFERROR(VLOOKUP(June[[#This Row],[Drug Name9]],'Data Options'!$R$1:$S$100,2,FALSE), " ")</f>
        <v xml:space="preserve"> </v>
      </c>
      <c r="CI162" s="55"/>
      <c r="CJ162" s="32"/>
      <c r="CK162" s="32"/>
      <c r="CL162" s="55"/>
      <c r="CM162" s="32"/>
    </row>
    <row r="163" spans="1:91">
      <c r="A163" s="5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1"/>
      <c r="P163" s="31"/>
      <c r="Q163" s="54"/>
      <c r="R163" s="56" t="str">
        <f>IFERROR(VLOOKUP(June[[#This Row],[Drug Name]],'Data Options'!$R$1:$S$100,2,FALSE), " ")</f>
        <v xml:space="preserve"> </v>
      </c>
      <c r="S163" s="55"/>
      <c r="T163" s="32"/>
      <c r="U163" s="32"/>
      <c r="V163" s="55"/>
      <c r="W163" s="32"/>
      <c r="X163" s="54"/>
      <c r="Y163" s="56" t="str">
        <f>IFERROR(VLOOKUP(June[[#This Row],[Drug Name2]],'Data Options'!$R$1:$S$100,2,FALSE), " ")</f>
        <v xml:space="preserve"> </v>
      </c>
      <c r="Z163" s="55"/>
      <c r="AA163" s="32"/>
      <c r="AB163" s="32"/>
      <c r="AC163" s="55"/>
      <c r="AD163" s="32"/>
      <c r="AE163" s="54"/>
      <c r="AF163" s="56" t="str">
        <f>IFERROR(VLOOKUP(June[[#This Row],[Drug Name3]],'Data Options'!$R$1:$S$100,2,FALSE), " ")</f>
        <v xml:space="preserve"> </v>
      </c>
      <c r="AG163" s="55"/>
      <c r="AH163" s="32"/>
      <c r="AI163" s="32"/>
      <c r="AJ163" s="55"/>
      <c r="AK163" s="32"/>
      <c r="AL163" s="32"/>
      <c r="AM163" s="32"/>
      <c r="AN163" s="32"/>
      <c r="AO163" s="32"/>
      <c r="AP163" s="31"/>
      <c r="AQ163" s="31"/>
      <c r="AR163" s="54"/>
      <c r="AS163" s="56" t="str">
        <f>IFERROR(VLOOKUP(June[[#This Row],[Drug Name4]],'Data Options'!$R$1:$S$100,2,FALSE), " ")</f>
        <v xml:space="preserve"> </v>
      </c>
      <c r="AT163" s="55"/>
      <c r="AU163" s="32"/>
      <c r="AV163" s="32"/>
      <c r="AW163" s="55"/>
      <c r="AX163" s="32"/>
      <c r="AY163" s="54"/>
      <c r="AZ163" s="56" t="str">
        <f>IFERROR(VLOOKUP(June[[#This Row],[Drug Name5]],'Data Options'!$R$1:$S$100,2,FALSE), " ")</f>
        <v xml:space="preserve"> </v>
      </c>
      <c r="BA163" s="55"/>
      <c r="BB163" s="32"/>
      <c r="BC163" s="32"/>
      <c r="BD163" s="55"/>
      <c r="BE163" s="32"/>
      <c r="BF163" s="54"/>
      <c r="BG163" s="56" t="str">
        <f>IFERROR(VLOOKUP(June[[#This Row],[Drug Name6]],'Data Options'!$R$1:$S$100,2,FALSE), " ")</f>
        <v xml:space="preserve"> </v>
      </c>
      <c r="BH163" s="55"/>
      <c r="BI163" s="32"/>
      <c r="BJ163" s="32"/>
      <c r="BK163" s="55"/>
      <c r="BL163" s="32"/>
      <c r="BM163" s="32"/>
      <c r="BN163" s="32"/>
      <c r="BO163" s="32"/>
      <c r="BP163" s="32"/>
      <c r="BQ163" s="31"/>
      <c r="BR163" s="31"/>
      <c r="BS163" s="54"/>
      <c r="BT163" s="56" t="str">
        <f>IFERROR(VLOOKUP(June[[#This Row],[Drug Name7]],'Data Options'!$R$1:$S$100,2,FALSE), " ")</f>
        <v xml:space="preserve"> </v>
      </c>
      <c r="BU163" s="55"/>
      <c r="BV163" s="32"/>
      <c r="BW163" s="32"/>
      <c r="BX163" s="55"/>
      <c r="BY163" s="32"/>
      <c r="BZ163" s="54"/>
      <c r="CA163" s="56" t="str">
        <f>IFERROR(VLOOKUP(June[[#This Row],[Drug Name8]],'Data Options'!$R$1:$S$100,2,FALSE), " ")</f>
        <v xml:space="preserve"> </v>
      </c>
      <c r="CB163" s="55"/>
      <c r="CC163" s="32"/>
      <c r="CD163" s="32"/>
      <c r="CE163" s="55"/>
      <c r="CF163" s="32"/>
      <c r="CG163" s="54"/>
      <c r="CH163" s="56" t="str">
        <f>IFERROR(VLOOKUP(June[[#This Row],[Drug Name9]],'Data Options'!$R$1:$S$100,2,FALSE), " ")</f>
        <v xml:space="preserve"> </v>
      </c>
      <c r="CI163" s="55"/>
      <c r="CJ163" s="32"/>
      <c r="CK163" s="32"/>
      <c r="CL163" s="55"/>
      <c r="CM163" s="32"/>
    </row>
    <row r="164" spans="1:91">
      <c r="A164" s="5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1"/>
      <c r="P164" s="31"/>
      <c r="Q164" s="54"/>
      <c r="R164" s="56" t="str">
        <f>IFERROR(VLOOKUP(June[[#This Row],[Drug Name]],'Data Options'!$R$1:$S$100,2,FALSE), " ")</f>
        <v xml:space="preserve"> </v>
      </c>
      <c r="S164" s="55"/>
      <c r="T164" s="32"/>
      <c r="U164" s="32"/>
      <c r="V164" s="55"/>
      <c r="W164" s="32"/>
      <c r="X164" s="54"/>
      <c r="Y164" s="56" t="str">
        <f>IFERROR(VLOOKUP(June[[#This Row],[Drug Name2]],'Data Options'!$R$1:$S$100,2,FALSE), " ")</f>
        <v xml:space="preserve"> </v>
      </c>
      <c r="Z164" s="55"/>
      <c r="AA164" s="32"/>
      <c r="AB164" s="32"/>
      <c r="AC164" s="55"/>
      <c r="AD164" s="32"/>
      <c r="AE164" s="54"/>
      <c r="AF164" s="56" t="str">
        <f>IFERROR(VLOOKUP(June[[#This Row],[Drug Name3]],'Data Options'!$R$1:$S$100,2,FALSE), " ")</f>
        <v xml:space="preserve"> </v>
      </c>
      <c r="AG164" s="55"/>
      <c r="AH164" s="32"/>
      <c r="AI164" s="32"/>
      <c r="AJ164" s="55"/>
      <c r="AK164" s="32"/>
      <c r="AL164" s="32"/>
      <c r="AM164" s="32"/>
      <c r="AN164" s="32"/>
      <c r="AO164" s="32"/>
      <c r="AP164" s="31"/>
      <c r="AQ164" s="31"/>
      <c r="AR164" s="54"/>
      <c r="AS164" s="56" t="str">
        <f>IFERROR(VLOOKUP(June[[#This Row],[Drug Name4]],'Data Options'!$R$1:$S$100,2,FALSE), " ")</f>
        <v xml:space="preserve"> </v>
      </c>
      <c r="AT164" s="55"/>
      <c r="AU164" s="32"/>
      <c r="AV164" s="32"/>
      <c r="AW164" s="55"/>
      <c r="AX164" s="32"/>
      <c r="AY164" s="54"/>
      <c r="AZ164" s="56" t="str">
        <f>IFERROR(VLOOKUP(June[[#This Row],[Drug Name5]],'Data Options'!$R$1:$S$100,2,FALSE), " ")</f>
        <v xml:space="preserve"> </v>
      </c>
      <c r="BA164" s="55"/>
      <c r="BB164" s="32"/>
      <c r="BC164" s="32"/>
      <c r="BD164" s="55"/>
      <c r="BE164" s="32"/>
      <c r="BF164" s="54"/>
      <c r="BG164" s="56" t="str">
        <f>IFERROR(VLOOKUP(June[[#This Row],[Drug Name6]],'Data Options'!$R$1:$S$100,2,FALSE), " ")</f>
        <v xml:space="preserve"> </v>
      </c>
      <c r="BH164" s="55"/>
      <c r="BI164" s="32"/>
      <c r="BJ164" s="32"/>
      <c r="BK164" s="55"/>
      <c r="BL164" s="32"/>
      <c r="BM164" s="32"/>
      <c r="BN164" s="32"/>
      <c r="BO164" s="32"/>
      <c r="BP164" s="32"/>
      <c r="BQ164" s="31"/>
      <c r="BR164" s="31"/>
      <c r="BS164" s="54"/>
      <c r="BT164" s="56" t="str">
        <f>IFERROR(VLOOKUP(June[[#This Row],[Drug Name7]],'Data Options'!$R$1:$S$100,2,FALSE), " ")</f>
        <v xml:space="preserve"> </v>
      </c>
      <c r="BU164" s="55"/>
      <c r="BV164" s="32"/>
      <c r="BW164" s="32"/>
      <c r="BX164" s="55"/>
      <c r="BY164" s="32"/>
      <c r="BZ164" s="54"/>
      <c r="CA164" s="56" t="str">
        <f>IFERROR(VLOOKUP(June[[#This Row],[Drug Name8]],'Data Options'!$R$1:$S$100,2,FALSE), " ")</f>
        <v xml:space="preserve"> </v>
      </c>
      <c r="CB164" s="55"/>
      <c r="CC164" s="32"/>
      <c r="CD164" s="32"/>
      <c r="CE164" s="55"/>
      <c r="CF164" s="32"/>
      <c r="CG164" s="54"/>
      <c r="CH164" s="56" t="str">
        <f>IFERROR(VLOOKUP(June[[#This Row],[Drug Name9]],'Data Options'!$R$1:$S$100,2,FALSE), " ")</f>
        <v xml:space="preserve"> </v>
      </c>
      <c r="CI164" s="55"/>
      <c r="CJ164" s="32"/>
      <c r="CK164" s="32"/>
      <c r="CL164" s="55"/>
      <c r="CM164" s="32"/>
    </row>
    <row r="165" spans="1:91">
      <c r="A165" s="5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1"/>
      <c r="P165" s="31"/>
      <c r="Q165" s="54"/>
      <c r="R165" s="56" t="str">
        <f>IFERROR(VLOOKUP(June[[#This Row],[Drug Name]],'Data Options'!$R$1:$S$100,2,FALSE), " ")</f>
        <v xml:space="preserve"> </v>
      </c>
      <c r="S165" s="55"/>
      <c r="T165" s="32"/>
      <c r="U165" s="32"/>
      <c r="V165" s="55"/>
      <c r="W165" s="32"/>
      <c r="X165" s="54"/>
      <c r="Y165" s="56" t="str">
        <f>IFERROR(VLOOKUP(June[[#This Row],[Drug Name2]],'Data Options'!$R$1:$S$100,2,FALSE), " ")</f>
        <v xml:space="preserve"> </v>
      </c>
      <c r="Z165" s="55"/>
      <c r="AA165" s="32"/>
      <c r="AB165" s="32"/>
      <c r="AC165" s="55"/>
      <c r="AD165" s="32"/>
      <c r="AE165" s="54"/>
      <c r="AF165" s="56" t="str">
        <f>IFERROR(VLOOKUP(June[[#This Row],[Drug Name3]],'Data Options'!$R$1:$S$100,2,FALSE), " ")</f>
        <v xml:space="preserve"> </v>
      </c>
      <c r="AG165" s="55"/>
      <c r="AH165" s="32"/>
      <c r="AI165" s="32"/>
      <c r="AJ165" s="55"/>
      <c r="AK165" s="32"/>
      <c r="AL165" s="32"/>
      <c r="AM165" s="32"/>
      <c r="AN165" s="32"/>
      <c r="AO165" s="32"/>
      <c r="AP165" s="31"/>
      <c r="AQ165" s="31"/>
      <c r="AR165" s="54"/>
      <c r="AS165" s="56" t="str">
        <f>IFERROR(VLOOKUP(June[[#This Row],[Drug Name4]],'Data Options'!$R$1:$S$100,2,FALSE), " ")</f>
        <v xml:space="preserve"> </v>
      </c>
      <c r="AT165" s="55"/>
      <c r="AU165" s="32"/>
      <c r="AV165" s="32"/>
      <c r="AW165" s="55"/>
      <c r="AX165" s="32"/>
      <c r="AY165" s="54"/>
      <c r="AZ165" s="56" t="str">
        <f>IFERROR(VLOOKUP(June[[#This Row],[Drug Name5]],'Data Options'!$R$1:$S$100,2,FALSE), " ")</f>
        <v xml:space="preserve"> </v>
      </c>
      <c r="BA165" s="55"/>
      <c r="BB165" s="32"/>
      <c r="BC165" s="32"/>
      <c r="BD165" s="55"/>
      <c r="BE165" s="32"/>
      <c r="BF165" s="54"/>
      <c r="BG165" s="56" t="str">
        <f>IFERROR(VLOOKUP(June[[#This Row],[Drug Name6]],'Data Options'!$R$1:$S$100,2,FALSE), " ")</f>
        <v xml:space="preserve"> </v>
      </c>
      <c r="BH165" s="55"/>
      <c r="BI165" s="32"/>
      <c r="BJ165" s="32"/>
      <c r="BK165" s="55"/>
      <c r="BL165" s="32"/>
      <c r="BM165" s="32"/>
      <c r="BN165" s="32"/>
      <c r="BO165" s="32"/>
      <c r="BP165" s="32"/>
      <c r="BQ165" s="31"/>
      <c r="BR165" s="31"/>
      <c r="BS165" s="54"/>
      <c r="BT165" s="56" t="str">
        <f>IFERROR(VLOOKUP(June[[#This Row],[Drug Name7]],'Data Options'!$R$1:$S$100,2,FALSE), " ")</f>
        <v xml:space="preserve"> </v>
      </c>
      <c r="BU165" s="55"/>
      <c r="BV165" s="32"/>
      <c r="BW165" s="32"/>
      <c r="BX165" s="55"/>
      <c r="BY165" s="32"/>
      <c r="BZ165" s="54"/>
      <c r="CA165" s="56" t="str">
        <f>IFERROR(VLOOKUP(June[[#This Row],[Drug Name8]],'Data Options'!$R$1:$S$100,2,FALSE), " ")</f>
        <v xml:space="preserve"> </v>
      </c>
      <c r="CB165" s="55"/>
      <c r="CC165" s="32"/>
      <c r="CD165" s="32"/>
      <c r="CE165" s="55"/>
      <c r="CF165" s="32"/>
      <c r="CG165" s="54"/>
      <c r="CH165" s="56" t="str">
        <f>IFERROR(VLOOKUP(June[[#This Row],[Drug Name9]],'Data Options'!$R$1:$S$100,2,FALSE), " ")</f>
        <v xml:space="preserve"> </v>
      </c>
      <c r="CI165" s="55"/>
      <c r="CJ165" s="32"/>
      <c r="CK165" s="32"/>
      <c r="CL165" s="55"/>
      <c r="CM165" s="32"/>
    </row>
    <row r="166" spans="1:91">
      <c r="A166" s="5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1"/>
      <c r="P166" s="31"/>
      <c r="Q166" s="54"/>
      <c r="R166" s="56" t="str">
        <f>IFERROR(VLOOKUP(June[[#This Row],[Drug Name]],'Data Options'!$R$1:$S$100,2,FALSE), " ")</f>
        <v xml:space="preserve"> </v>
      </c>
      <c r="S166" s="55"/>
      <c r="T166" s="32"/>
      <c r="U166" s="32"/>
      <c r="V166" s="55"/>
      <c r="W166" s="32"/>
      <c r="X166" s="54"/>
      <c r="Y166" s="56" t="str">
        <f>IFERROR(VLOOKUP(June[[#This Row],[Drug Name2]],'Data Options'!$R$1:$S$100,2,FALSE), " ")</f>
        <v xml:space="preserve"> </v>
      </c>
      <c r="Z166" s="55"/>
      <c r="AA166" s="32"/>
      <c r="AB166" s="32"/>
      <c r="AC166" s="55"/>
      <c r="AD166" s="32"/>
      <c r="AE166" s="54"/>
      <c r="AF166" s="56" t="str">
        <f>IFERROR(VLOOKUP(June[[#This Row],[Drug Name3]],'Data Options'!$R$1:$S$100,2,FALSE), " ")</f>
        <v xml:space="preserve"> </v>
      </c>
      <c r="AG166" s="55"/>
      <c r="AH166" s="32"/>
      <c r="AI166" s="32"/>
      <c r="AJ166" s="55"/>
      <c r="AK166" s="32"/>
      <c r="AL166" s="32"/>
      <c r="AM166" s="32"/>
      <c r="AN166" s="32"/>
      <c r="AO166" s="32"/>
      <c r="AP166" s="31"/>
      <c r="AQ166" s="31"/>
      <c r="AR166" s="54"/>
      <c r="AS166" s="56" t="str">
        <f>IFERROR(VLOOKUP(June[[#This Row],[Drug Name4]],'Data Options'!$R$1:$S$100,2,FALSE), " ")</f>
        <v xml:space="preserve"> </v>
      </c>
      <c r="AT166" s="55"/>
      <c r="AU166" s="32"/>
      <c r="AV166" s="32"/>
      <c r="AW166" s="55"/>
      <c r="AX166" s="32"/>
      <c r="AY166" s="54"/>
      <c r="AZ166" s="56" t="str">
        <f>IFERROR(VLOOKUP(June[[#This Row],[Drug Name5]],'Data Options'!$R$1:$S$100,2,FALSE), " ")</f>
        <v xml:space="preserve"> </v>
      </c>
      <c r="BA166" s="55"/>
      <c r="BB166" s="32"/>
      <c r="BC166" s="32"/>
      <c r="BD166" s="55"/>
      <c r="BE166" s="32"/>
      <c r="BF166" s="54"/>
      <c r="BG166" s="56" t="str">
        <f>IFERROR(VLOOKUP(June[[#This Row],[Drug Name6]],'Data Options'!$R$1:$S$100,2,FALSE), " ")</f>
        <v xml:space="preserve"> </v>
      </c>
      <c r="BH166" s="55"/>
      <c r="BI166" s="32"/>
      <c r="BJ166" s="32"/>
      <c r="BK166" s="55"/>
      <c r="BL166" s="32"/>
      <c r="BM166" s="32"/>
      <c r="BN166" s="32"/>
      <c r="BO166" s="32"/>
      <c r="BP166" s="32"/>
      <c r="BQ166" s="31"/>
      <c r="BR166" s="31"/>
      <c r="BS166" s="54"/>
      <c r="BT166" s="56" t="str">
        <f>IFERROR(VLOOKUP(June[[#This Row],[Drug Name7]],'Data Options'!$R$1:$S$100,2,FALSE), " ")</f>
        <v xml:space="preserve"> </v>
      </c>
      <c r="BU166" s="55"/>
      <c r="BV166" s="32"/>
      <c r="BW166" s="32"/>
      <c r="BX166" s="55"/>
      <c r="BY166" s="32"/>
      <c r="BZ166" s="54"/>
      <c r="CA166" s="56" t="str">
        <f>IFERROR(VLOOKUP(June[[#This Row],[Drug Name8]],'Data Options'!$R$1:$S$100,2,FALSE), " ")</f>
        <v xml:space="preserve"> </v>
      </c>
      <c r="CB166" s="55"/>
      <c r="CC166" s="32"/>
      <c r="CD166" s="32"/>
      <c r="CE166" s="55"/>
      <c r="CF166" s="32"/>
      <c r="CG166" s="54"/>
      <c r="CH166" s="56" t="str">
        <f>IFERROR(VLOOKUP(June[[#This Row],[Drug Name9]],'Data Options'!$R$1:$S$100,2,FALSE), " ")</f>
        <v xml:space="preserve"> </v>
      </c>
      <c r="CI166" s="55"/>
      <c r="CJ166" s="32"/>
      <c r="CK166" s="32"/>
      <c r="CL166" s="55"/>
      <c r="CM166" s="32"/>
    </row>
    <row r="167" spans="1:91">
      <c r="A167" s="5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1"/>
      <c r="P167" s="31"/>
      <c r="Q167" s="54"/>
      <c r="R167" s="56" t="str">
        <f>IFERROR(VLOOKUP(June[[#This Row],[Drug Name]],'Data Options'!$R$1:$S$100,2,FALSE), " ")</f>
        <v xml:space="preserve"> </v>
      </c>
      <c r="S167" s="55"/>
      <c r="T167" s="32"/>
      <c r="U167" s="32"/>
      <c r="V167" s="55"/>
      <c r="W167" s="32"/>
      <c r="X167" s="54"/>
      <c r="Y167" s="56" t="str">
        <f>IFERROR(VLOOKUP(June[[#This Row],[Drug Name2]],'Data Options'!$R$1:$S$100,2,FALSE), " ")</f>
        <v xml:space="preserve"> </v>
      </c>
      <c r="Z167" s="55"/>
      <c r="AA167" s="32"/>
      <c r="AB167" s="32"/>
      <c r="AC167" s="55"/>
      <c r="AD167" s="32"/>
      <c r="AE167" s="54"/>
      <c r="AF167" s="56" t="str">
        <f>IFERROR(VLOOKUP(June[[#This Row],[Drug Name3]],'Data Options'!$R$1:$S$100,2,FALSE), " ")</f>
        <v xml:space="preserve"> </v>
      </c>
      <c r="AG167" s="55"/>
      <c r="AH167" s="32"/>
      <c r="AI167" s="32"/>
      <c r="AJ167" s="55"/>
      <c r="AK167" s="32"/>
      <c r="AL167" s="32"/>
      <c r="AM167" s="32"/>
      <c r="AN167" s="32"/>
      <c r="AO167" s="32"/>
      <c r="AP167" s="31"/>
      <c r="AQ167" s="31"/>
      <c r="AR167" s="54"/>
      <c r="AS167" s="56" t="str">
        <f>IFERROR(VLOOKUP(June[[#This Row],[Drug Name4]],'Data Options'!$R$1:$S$100,2,FALSE), " ")</f>
        <v xml:space="preserve"> </v>
      </c>
      <c r="AT167" s="55"/>
      <c r="AU167" s="32"/>
      <c r="AV167" s="32"/>
      <c r="AW167" s="55"/>
      <c r="AX167" s="32"/>
      <c r="AY167" s="54"/>
      <c r="AZ167" s="56" t="str">
        <f>IFERROR(VLOOKUP(June[[#This Row],[Drug Name5]],'Data Options'!$R$1:$S$100,2,FALSE), " ")</f>
        <v xml:space="preserve"> </v>
      </c>
      <c r="BA167" s="55"/>
      <c r="BB167" s="32"/>
      <c r="BC167" s="32"/>
      <c r="BD167" s="55"/>
      <c r="BE167" s="32"/>
      <c r="BF167" s="54"/>
      <c r="BG167" s="56" t="str">
        <f>IFERROR(VLOOKUP(June[[#This Row],[Drug Name6]],'Data Options'!$R$1:$S$100,2,FALSE), " ")</f>
        <v xml:space="preserve"> </v>
      </c>
      <c r="BH167" s="55"/>
      <c r="BI167" s="32"/>
      <c r="BJ167" s="32"/>
      <c r="BK167" s="55"/>
      <c r="BL167" s="32"/>
      <c r="BM167" s="32"/>
      <c r="BN167" s="32"/>
      <c r="BO167" s="32"/>
      <c r="BP167" s="32"/>
      <c r="BQ167" s="31"/>
      <c r="BR167" s="31"/>
      <c r="BS167" s="54"/>
      <c r="BT167" s="56" t="str">
        <f>IFERROR(VLOOKUP(June[[#This Row],[Drug Name7]],'Data Options'!$R$1:$S$100,2,FALSE), " ")</f>
        <v xml:space="preserve"> </v>
      </c>
      <c r="BU167" s="55"/>
      <c r="BV167" s="32"/>
      <c r="BW167" s="32"/>
      <c r="BX167" s="55"/>
      <c r="BY167" s="32"/>
      <c r="BZ167" s="54"/>
      <c r="CA167" s="56" t="str">
        <f>IFERROR(VLOOKUP(June[[#This Row],[Drug Name8]],'Data Options'!$R$1:$S$100,2,FALSE), " ")</f>
        <v xml:space="preserve"> </v>
      </c>
      <c r="CB167" s="55"/>
      <c r="CC167" s="32"/>
      <c r="CD167" s="32"/>
      <c r="CE167" s="55"/>
      <c r="CF167" s="32"/>
      <c r="CG167" s="54"/>
      <c r="CH167" s="56" t="str">
        <f>IFERROR(VLOOKUP(June[[#This Row],[Drug Name9]],'Data Options'!$R$1:$S$100,2,FALSE), " ")</f>
        <v xml:space="preserve"> </v>
      </c>
      <c r="CI167" s="55"/>
      <c r="CJ167" s="32"/>
      <c r="CK167" s="32"/>
      <c r="CL167" s="55"/>
      <c r="CM167" s="32"/>
    </row>
    <row r="168" spans="1:91">
      <c r="A168" s="5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1"/>
      <c r="P168" s="31"/>
      <c r="Q168" s="54"/>
      <c r="R168" s="56" t="str">
        <f>IFERROR(VLOOKUP(June[[#This Row],[Drug Name]],'Data Options'!$R$1:$S$100,2,FALSE), " ")</f>
        <v xml:space="preserve"> </v>
      </c>
      <c r="S168" s="55"/>
      <c r="T168" s="32"/>
      <c r="U168" s="32"/>
      <c r="V168" s="55"/>
      <c r="W168" s="32"/>
      <c r="X168" s="54"/>
      <c r="Y168" s="56" t="str">
        <f>IFERROR(VLOOKUP(June[[#This Row],[Drug Name2]],'Data Options'!$R$1:$S$100,2,FALSE), " ")</f>
        <v xml:space="preserve"> </v>
      </c>
      <c r="Z168" s="55"/>
      <c r="AA168" s="32"/>
      <c r="AB168" s="32"/>
      <c r="AC168" s="55"/>
      <c r="AD168" s="32"/>
      <c r="AE168" s="54"/>
      <c r="AF168" s="56" t="str">
        <f>IFERROR(VLOOKUP(June[[#This Row],[Drug Name3]],'Data Options'!$R$1:$S$100,2,FALSE), " ")</f>
        <v xml:space="preserve"> </v>
      </c>
      <c r="AG168" s="55"/>
      <c r="AH168" s="32"/>
      <c r="AI168" s="32"/>
      <c r="AJ168" s="55"/>
      <c r="AK168" s="32"/>
      <c r="AL168" s="32"/>
      <c r="AM168" s="32"/>
      <c r="AN168" s="32"/>
      <c r="AO168" s="32"/>
      <c r="AP168" s="31"/>
      <c r="AQ168" s="31"/>
      <c r="AR168" s="54"/>
      <c r="AS168" s="56" t="str">
        <f>IFERROR(VLOOKUP(June[[#This Row],[Drug Name4]],'Data Options'!$R$1:$S$100,2,FALSE), " ")</f>
        <v xml:space="preserve"> </v>
      </c>
      <c r="AT168" s="55"/>
      <c r="AU168" s="32"/>
      <c r="AV168" s="32"/>
      <c r="AW168" s="55"/>
      <c r="AX168" s="32"/>
      <c r="AY168" s="54"/>
      <c r="AZ168" s="56" t="str">
        <f>IFERROR(VLOOKUP(June[[#This Row],[Drug Name5]],'Data Options'!$R$1:$S$100,2,FALSE), " ")</f>
        <v xml:space="preserve"> </v>
      </c>
      <c r="BA168" s="55"/>
      <c r="BB168" s="32"/>
      <c r="BC168" s="32"/>
      <c r="BD168" s="55"/>
      <c r="BE168" s="32"/>
      <c r="BF168" s="54"/>
      <c r="BG168" s="56" t="str">
        <f>IFERROR(VLOOKUP(June[[#This Row],[Drug Name6]],'Data Options'!$R$1:$S$100,2,FALSE), " ")</f>
        <v xml:space="preserve"> </v>
      </c>
      <c r="BH168" s="55"/>
      <c r="BI168" s="32"/>
      <c r="BJ168" s="32"/>
      <c r="BK168" s="55"/>
      <c r="BL168" s="32"/>
      <c r="BM168" s="32"/>
      <c r="BN168" s="32"/>
      <c r="BO168" s="32"/>
      <c r="BP168" s="32"/>
      <c r="BQ168" s="31"/>
      <c r="BR168" s="31"/>
      <c r="BS168" s="54"/>
      <c r="BT168" s="56" t="str">
        <f>IFERROR(VLOOKUP(June[[#This Row],[Drug Name7]],'Data Options'!$R$1:$S$100,2,FALSE), " ")</f>
        <v xml:space="preserve"> </v>
      </c>
      <c r="BU168" s="55"/>
      <c r="BV168" s="32"/>
      <c r="BW168" s="32"/>
      <c r="BX168" s="55"/>
      <c r="BY168" s="32"/>
      <c r="BZ168" s="54"/>
      <c r="CA168" s="56" t="str">
        <f>IFERROR(VLOOKUP(June[[#This Row],[Drug Name8]],'Data Options'!$R$1:$S$100,2,FALSE), " ")</f>
        <v xml:space="preserve"> </v>
      </c>
      <c r="CB168" s="55"/>
      <c r="CC168" s="32"/>
      <c r="CD168" s="32"/>
      <c r="CE168" s="55"/>
      <c r="CF168" s="32"/>
      <c r="CG168" s="54"/>
      <c r="CH168" s="56" t="str">
        <f>IFERROR(VLOOKUP(June[[#This Row],[Drug Name9]],'Data Options'!$R$1:$S$100,2,FALSE), " ")</f>
        <v xml:space="preserve"> </v>
      </c>
      <c r="CI168" s="55"/>
      <c r="CJ168" s="32"/>
      <c r="CK168" s="32"/>
      <c r="CL168" s="55"/>
      <c r="CM168" s="32"/>
    </row>
    <row r="169" spans="1:91">
      <c r="A169" s="5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1"/>
      <c r="P169" s="31"/>
      <c r="Q169" s="54"/>
      <c r="R169" s="56" t="str">
        <f>IFERROR(VLOOKUP(June[[#This Row],[Drug Name]],'Data Options'!$R$1:$S$100,2,FALSE), " ")</f>
        <v xml:space="preserve"> </v>
      </c>
      <c r="S169" s="55"/>
      <c r="T169" s="32"/>
      <c r="U169" s="32"/>
      <c r="V169" s="55"/>
      <c r="W169" s="32"/>
      <c r="X169" s="54"/>
      <c r="Y169" s="56" t="str">
        <f>IFERROR(VLOOKUP(June[[#This Row],[Drug Name2]],'Data Options'!$R$1:$S$100,2,FALSE), " ")</f>
        <v xml:space="preserve"> </v>
      </c>
      <c r="Z169" s="55"/>
      <c r="AA169" s="32"/>
      <c r="AB169" s="32"/>
      <c r="AC169" s="55"/>
      <c r="AD169" s="32"/>
      <c r="AE169" s="54"/>
      <c r="AF169" s="56" t="str">
        <f>IFERROR(VLOOKUP(June[[#This Row],[Drug Name3]],'Data Options'!$R$1:$S$100,2,FALSE), " ")</f>
        <v xml:space="preserve"> </v>
      </c>
      <c r="AG169" s="55"/>
      <c r="AH169" s="32"/>
      <c r="AI169" s="32"/>
      <c r="AJ169" s="55"/>
      <c r="AK169" s="32"/>
      <c r="AL169" s="32"/>
      <c r="AM169" s="32"/>
      <c r="AN169" s="32"/>
      <c r="AO169" s="32"/>
      <c r="AP169" s="31"/>
      <c r="AQ169" s="31"/>
      <c r="AR169" s="54"/>
      <c r="AS169" s="56" t="str">
        <f>IFERROR(VLOOKUP(June[[#This Row],[Drug Name4]],'Data Options'!$R$1:$S$100,2,FALSE), " ")</f>
        <v xml:space="preserve"> </v>
      </c>
      <c r="AT169" s="55"/>
      <c r="AU169" s="32"/>
      <c r="AV169" s="32"/>
      <c r="AW169" s="55"/>
      <c r="AX169" s="32"/>
      <c r="AY169" s="54"/>
      <c r="AZ169" s="56" t="str">
        <f>IFERROR(VLOOKUP(June[[#This Row],[Drug Name5]],'Data Options'!$R$1:$S$100,2,FALSE), " ")</f>
        <v xml:space="preserve"> </v>
      </c>
      <c r="BA169" s="55"/>
      <c r="BB169" s="32"/>
      <c r="BC169" s="32"/>
      <c r="BD169" s="55"/>
      <c r="BE169" s="32"/>
      <c r="BF169" s="54"/>
      <c r="BG169" s="56" t="str">
        <f>IFERROR(VLOOKUP(June[[#This Row],[Drug Name6]],'Data Options'!$R$1:$S$100,2,FALSE), " ")</f>
        <v xml:space="preserve"> </v>
      </c>
      <c r="BH169" s="55"/>
      <c r="BI169" s="32"/>
      <c r="BJ169" s="32"/>
      <c r="BK169" s="55"/>
      <c r="BL169" s="32"/>
      <c r="BM169" s="32"/>
      <c r="BN169" s="32"/>
      <c r="BO169" s="32"/>
      <c r="BP169" s="32"/>
      <c r="BQ169" s="31"/>
      <c r="BR169" s="31"/>
      <c r="BS169" s="54"/>
      <c r="BT169" s="56" t="str">
        <f>IFERROR(VLOOKUP(June[[#This Row],[Drug Name7]],'Data Options'!$R$1:$S$100,2,FALSE), " ")</f>
        <v xml:space="preserve"> </v>
      </c>
      <c r="BU169" s="55"/>
      <c r="BV169" s="32"/>
      <c r="BW169" s="32"/>
      <c r="BX169" s="55"/>
      <c r="BY169" s="32"/>
      <c r="BZ169" s="54"/>
      <c r="CA169" s="56" t="str">
        <f>IFERROR(VLOOKUP(June[[#This Row],[Drug Name8]],'Data Options'!$R$1:$S$100,2,FALSE), " ")</f>
        <v xml:space="preserve"> </v>
      </c>
      <c r="CB169" s="55"/>
      <c r="CC169" s="32"/>
      <c r="CD169" s="32"/>
      <c r="CE169" s="55"/>
      <c r="CF169" s="32"/>
      <c r="CG169" s="54"/>
      <c r="CH169" s="56" t="str">
        <f>IFERROR(VLOOKUP(June[[#This Row],[Drug Name9]],'Data Options'!$R$1:$S$100,2,FALSE), " ")</f>
        <v xml:space="preserve"> </v>
      </c>
      <c r="CI169" s="55"/>
      <c r="CJ169" s="32"/>
      <c r="CK169" s="32"/>
      <c r="CL169" s="55"/>
      <c r="CM169" s="32"/>
    </row>
    <row r="170" spans="1:91">
      <c r="A170" s="5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1"/>
      <c r="P170" s="31"/>
      <c r="Q170" s="54"/>
      <c r="R170" s="56" t="str">
        <f>IFERROR(VLOOKUP(June[[#This Row],[Drug Name]],'Data Options'!$R$1:$S$100,2,FALSE), " ")</f>
        <v xml:space="preserve"> </v>
      </c>
      <c r="S170" s="55"/>
      <c r="T170" s="32"/>
      <c r="U170" s="32"/>
      <c r="V170" s="55"/>
      <c r="W170" s="32"/>
      <c r="X170" s="54"/>
      <c r="Y170" s="56" t="str">
        <f>IFERROR(VLOOKUP(June[[#This Row],[Drug Name2]],'Data Options'!$R$1:$S$100,2,FALSE), " ")</f>
        <v xml:space="preserve"> </v>
      </c>
      <c r="Z170" s="55"/>
      <c r="AA170" s="32"/>
      <c r="AB170" s="32"/>
      <c r="AC170" s="55"/>
      <c r="AD170" s="32"/>
      <c r="AE170" s="54"/>
      <c r="AF170" s="56" t="str">
        <f>IFERROR(VLOOKUP(June[[#This Row],[Drug Name3]],'Data Options'!$R$1:$S$100,2,FALSE), " ")</f>
        <v xml:space="preserve"> </v>
      </c>
      <c r="AG170" s="55"/>
      <c r="AH170" s="32"/>
      <c r="AI170" s="32"/>
      <c r="AJ170" s="55"/>
      <c r="AK170" s="32"/>
      <c r="AL170" s="32"/>
      <c r="AM170" s="32"/>
      <c r="AN170" s="32"/>
      <c r="AO170" s="32"/>
      <c r="AP170" s="31"/>
      <c r="AQ170" s="31"/>
      <c r="AR170" s="54"/>
      <c r="AS170" s="56" t="str">
        <f>IFERROR(VLOOKUP(June[[#This Row],[Drug Name4]],'Data Options'!$R$1:$S$100,2,FALSE), " ")</f>
        <v xml:space="preserve"> </v>
      </c>
      <c r="AT170" s="55"/>
      <c r="AU170" s="32"/>
      <c r="AV170" s="32"/>
      <c r="AW170" s="55"/>
      <c r="AX170" s="32"/>
      <c r="AY170" s="54"/>
      <c r="AZ170" s="56" t="str">
        <f>IFERROR(VLOOKUP(June[[#This Row],[Drug Name5]],'Data Options'!$R$1:$S$100,2,FALSE), " ")</f>
        <v xml:space="preserve"> </v>
      </c>
      <c r="BA170" s="55"/>
      <c r="BB170" s="32"/>
      <c r="BC170" s="32"/>
      <c r="BD170" s="55"/>
      <c r="BE170" s="32"/>
      <c r="BF170" s="54"/>
      <c r="BG170" s="56" t="str">
        <f>IFERROR(VLOOKUP(June[[#This Row],[Drug Name6]],'Data Options'!$R$1:$S$100,2,FALSE), " ")</f>
        <v xml:space="preserve"> </v>
      </c>
      <c r="BH170" s="55"/>
      <c r="BI170" s="32"/>
      <c r="BJ170" s="32"/>
      <c r="BK170" s="55"/>
      <c r="BL170" s="32"/>
      <c r="BM170" s="32"/>
      <c r="BN170" s="32"/>
      <c r="BO170" s="32"/>
      <c r="BP170" s="32"/>
      <c r="BQ170" s="31"/>
      <c r="BR170" s="31"/>
      <c r="BS170" s="54"/>
      <c r="BT170" s="56" t="str">
        <f>IFERROR(VLOOKUP(June[[#This Row],[Drug Name7]],'Data Options'!$R$1:$S$100,2,FALSE), " ")</f>
        <v xml:space="preserve"> </v>
      </c>
      <c r="BU170" s="55"/>
      <c r="BV170" s="32"/>
      <c r="BW170" s="32"/>
      <c r="BX170" s="55"/>
      <c r="BY170" s="32"/>
      <c r="BZ170" s="54"/>
      <c r="CA170" s="56" t="str">
        <f>IFERROR(VLOOKUP(June[[#This Row],[Drug Name8]],'Data Options'!$R$1:$S$100,2,FALSE), " ")</f>
        <v xml:space="preserve"> </v>
      </c>
      <c r="CB170" s="55"/>
      <c r="CC170" s="32"/>
      <c r="CD170" s="32"/>
      <c r="CE170" s="55"/>
      <c r="CF170" s="32"/>
      <c r="CG170" s="54"/>
      <c r="CH170" s="56" t="str">
        <f>IFERROR(VLOOKUP(June[[#This Row],[Drug Name9]],'Data Options'!$R$1:$S$100,2,FALSE), " ")</f>
        <v xml:space="preserve"> </v>
      </c>
      <c r="CI170" s="55"/>
      <c r="CJ170" s="32"/>
      <c r="CK170" s="32"/>
      <c r="CL170" s="55"/>
      <c r="CM170" s="32"/>
    </row>
    <row r="171" spans="1:91">
      <c r="A171" s="5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1"/>
      <c r="P171" s="31"/>
      <c r="Q171" s="54"/>
      <c r="R171" s="56" t="str">
        <f>IFERROR(VLOOKUP(June[[#This Row],[Drug Name]],'Data Options'!$R$1:$S$100,2,FALSE), " ")</f>
        <v xml:space="preserve"> </v>
      </c>
      <c r="S171" s="55"/>
      <c r="T171" s="32"/>
      <c r="U171" s="32"/>
      <c r="V171" s="55"/>
      <c r="W171" s="32"/>
      <c r="X171" s="54"/>
      <c r="Y171" s="56" t="str">
        <f>IFERROR(VLOOKUP(June[[#This Row],[Drug Name2]],'Data Options'!$R$1:$S$100,2,FALSE), " ")</f>
        <v xml:space="preserve"> </v>
      </c>
      <c r="Z171" s="55"/>
      <c r="AA171" s="32"/>
      <c r="AB171" s="32"/>
      <c r="AC171" s="55"/>
      <c r="AD171" s="32"/>
      <c r="AE171" s="54"/>
      <c r="AF171" s="56" t="str">
        <f>IFERROR(VLOOKUP(June[[#This Row],[Drug Name3]],'Data Options'!$R$1:$S$100,2,FALSE), " ")</f>
        <v xml:space="preserve"> </v>
      </c>
      <c r="AG171" s="55"/>
      <c r="AH171" s="32"/>
      <c r="AI171" s="32"/>
      <c r="AJ171" s="55"/>
      <c r="AK171" s="32"/>
      <c r="AL171" s="32"/>
      <c r="AM171" s="32"/>
      <c r="AN171" s="32"/>
      <c r="AO171" s="32"/>
      <c r="AP171" s="31"/>
      <c r="AQ171" s="31"/>
      <c r="AR171" s="54"/>
      <c r="AS171" s="56" t="str">
        <f>IFERROR(VLOOKUP(June[[#This Row],[Drug Name4]],'Data Options'!$R$1:$S$100,2,FALSE), " ")</f>
        <v xml:space="preserve"> </v>
      </c>
      <c r="AT171" s="55"/>
      <c r="AU171" s="32"/>
      <c r="AV171" s="32"/>
      <c r="AW171" s="55"/>
      <c r="AX171" s="32"/>
      <c r="AY171" s="54"/>
      <c r="AZ171" s="56" t="str">
        <f>IFERROR(VLOOKUP(June[[#This Row],[Drug Name5]],'Data Options'!$R$1:$S$100,2,FALSE), " ")</f>
        <v xml:space="preserve"> </v>
      </c>
      <c r="BA171" s="55"/>
      <c r="BB171" s="32"/>
      <c r="BC171" s="32"/>
      <c r="BD171" s="55"/>
      <c r="BE171" s="32"/>
      <c r="BF171" s="54"/>
      <c r="BG171" s="56" t="str">
        <f>IFERROR(VLOOKUP(June[[#This Row],[Drug Name6]],'Data Options'!$R$1:$S$100,2,FALSE), " ")</f>
        <v xml:space="preserve"> </v>
      </c>
      <c r="BH171" s="55"/>
      <c r="BI171" s="32"/>
      <c r="BJ171" s="32"/>
      <c r="BK171" s="55"/>
      <c r="BL171" s="32"/>
      <c r="BM171" s="32"/>
      <c r="BN171" s="32"/>
      <c r="BO171" s="32"/>
      <c r="BP171" s="32"/>
      <c r="BQ171" s="31"/>
      <c r="BR171" s="31"/>
      <c r="BS171" s="54"/>
      <c r="BT171" s="56" t="str">
        <f>IFERROR(VLOOKUP(June[[#This Row],[Drug Name7]],'Data Options'!$R$1:$S$100,2,FALSE), " ")</f>
        <v xml:space="preserve"> </v>
      </c>
      <c r="BU171" s="55"/>
      <c r="BV171" s="32"/>
      <c r="BW171" s="32"/>
      <c r="BX171" s="55"/>
      <c r="BY171" s="32"/>
      <c r="BZ171" s="54"/>
      <c r="CA171" s="56" t="str">
        <f>IFERROR(VLOOKUP(June[[#This Row],[Drug Name8]],'Data Options'!$R$1:$S$100,2,FALSE), " ")</f>
        <v xml:space="preserve"> </v>
      </c>
      <c r="CB171" s="55"/>
      <c r="CC171" s="32"/>
      <c r="CD171" s="32"/>
      <c r="CE171" s="55"/>
      <c r="CF171" s="32"/>
      <c r="CG171" s="54"/>
      <c r="CH171" s="56" t="str">
        <f>IFERROR(VLOOKUP(June[[#This Row],[Drug Name9]],'Data Options'!$R$1:$S$100,2,FALSE), " ")</f>
        <v xml:space="preserve"> </v>
      </c>
      <c r="CI171" s="55"/>
      <c r="CJ171" s="32"/>
      <c r="CK171" s="32"/>
      <c r="CL171" s="55"/>
      <c r="CM171" s="32"/>
    </row>
    <row r="172" spans="1:91">
      <c r="A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1"/>
      <c r="P172" s="31"/>
      <c r="Q172" s="54"/>
      <c r="R172" s="56" t="str">
        <f>IFERROR(VLOOKUP(June[[#This Row],[Drug Name]],'Data Options'!$R$1:$S$100,2,FALSE), " ")</f>
        <v xml:space="preserve"> </v>
      </c>
      <c r="S172" s="55"/>
      <c r="T172" s="32"/>
      <c r="U172" s="32"/>
      <c r="V172" s="55"/>
      <c r="W172" s="32"/>
      <c r="X172" s="54"/>
      <c r="Y172" s="56" t="str">
        <f>IFERROR(VLOOKUP(June[[#This Row],[Drug Name2]],'Data Options'!$R$1:$S$100,2,FALSE), " ")</f>
        <v xml:space="preserve"> </v>
      </c>
      <c r="Z172" s="55"/>
      <c r="AA172" s="32"/>
      <c r="AB172" s="32"/>
      <c r="AC172" s="55"/>
      <c r="AD172" s="32"/>
      <c r="AE172" s="54"/>
      <c r="AF172" s="56" t="str">
        <f>IFERROR(VLOOKUP(June[[#This Row],[Drug Name3]],'Data Options'!$R$1:$S$100,2,FALSE), " ")</f>
        <v xml:space="preserve"> </v>
      </c>
      <c r="AG172" s="55"/>
      <c r="AH172" s="32"/>
      <c r="AI172" s="32"/>
      <c r="AJ172" s="55"/>
      <c r="AK172" s="32"/>
      <c r="AL172" s="32"/>
      <c r="AM172" s="32"/>
      <c r="AN172" s="32"/>
      <c r="AO172" s="32"/>
      <c r="AP172" s="31"/>
      <c r="AQ172" s="31"/>
      <c r="AR172" s="54"/>
      <c r="AS172" s="56" t="str">
        <f>IFERROR(VLOOKUP(June[[#This Row],[Drug Name4]],'Data Options'!$R$1:$S$100,2,FALSE), " ")</f>
        <v xml:space="preserve"> </v>
      </c>
      <c r="AT172" s="55"/>
      <c r="AU172" s="32"/>
      <c r="AV172" s="32"/>
      <c r="AW172" s="55"/>
      <c r="AX172" s="32"/>
      <c r="AY172" s="54"/>
      <c r="AZ172" s="56" t="str">
        <f>IFERROR(VLOOKUP(June[[#This Row],[Drug Name5]],'Data Options'!$R$1:$S$100,2,FALSE), " ")</f>
        <v xml:space="preserve"> </v>
      </c>
      <c r="BA172" s="55"/>
      <c r="BB172" s="32"/>
      <c r="BC172" s="32"/>
      <c r="BD172" s="55"/>
      <c r="BE172" s="32"/>
      <c r="BF172" s="54"/>
      <c r="BG172" s="56" t="str">
        <f>IFERROR(VLOOKUP(June[[#This Row],[Drug Name6]],'Data Options'!$R$1:$S$100,2,FALSE), " ")</f>
        <v xml:space="preserve"> </v>
      </c>
      <c r="BH172" s="55"/>
      <c r="BI172" s="32"/>
      <c r="BJ172" s="32"/>
      <c r="BK172" s="55"/>
      <c r="BL172" s="32"/>
      <c r="BM172" s="32"/>
      <c r="BN172" s="32"/>
      <c r="BO172" s="32"/>
      <c r="BP172" s="32"/>
      <c r="BQ172" s="31"/>
      <c r="BR172" s="31"/>
      <c r="BS172" s="54"/>
      <c r="BT172" s="56" t="str">
        <f>IFERROR(VLOOKUP(June[[#This Row],[Drug Name7]],'Data Options'!$R$1:$S$100,2,FALSE), " ")</f>
        <v xml:space="preserve"> </v>
      </c>
      <c r="BU172" s="55"/>
      <c r="BV172" s="32"/>
      <c r="BW172" s="32"/>
      <c r="BX172" s="55"/>
      <c r="BY172" s="32"/>
      <c r="BZ172" s="54"/>
      <c r="CA172" s="56" t="str">
        <f>IFERROR(VLOOKUP(June[[#This Row],[Drug Name8]],'Data Options'!$R$1:$S$100,2,FALSE), " ")</f>
        <v xml:space="preserve"> </v>
      </c>
      <c r="CB172" s="55"/>
      <c r="CC172" s="32"/>
      <c r="CD172" s="32"/>
      <c r="CE172" s="55"/>
      <c r="CF172" s="32"/>
      <c r="CG172" s="54"/>
      <c r="CH172" s="56" t="str">
        <f>IFERROR(VLOOKUP(June[[#This Row],[Drug Name9]],'Data Options'!$R$1:$S$100,2,FALSE), " ")</f>
        <v xml:space="preserve"> </v>
      </c>
      <c r="CI172" s="55"/>
      <c r="CJ172" s="32"/>
      <c r="CK172" s="32"/>
      <c r="CL172" s="55"/>
      <c r="CM172" s="32"/>
    </row>
    <row r="173" spans="1:91">
      <c r="A173" s="5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1"/>
      <c r="P173" s="31"/>
      <c r="Q173" s="54"/>
      <c r="R173" s="56" t="str">
        <f>IFERROR(VLOOKUP(June[[#This Row],[Drug Name]],'Data Options'!$R$1:$S$100,2,FALSE), " ")</f>
        <v xml:space="preserve"> </v>
      </c>
      <c r="S173" s="55"/>
      <c r="T173" s="32"/>
      <c r="U173" s="32"/>
      <c r="V173" s="55"/>
      <c r="W173" s="32"/>
      <c r="X173" s="54"/>
      <c r="Y173" s="56" t="str">
        <f>IFERROR(VLOOKUP(June[[#This Row],[Drug Name2]],'Data Options'!$R$1:$S$100,2,FALSE), " ")</f>
        <v xml:space="preserve"> </v>
      </c>
      <c r="Z173" s="55"/>
      <c r="AA173" s="32"/>
      <c r="AB173" s="32"/>
      <c r="AC173" s="55"/>
      <c r="AD173" s="32"/>
      <c r="AE173" s="54"/>
      <c r="AF173" s="56" t="str">
        <f>IFERROR(VLOOKUP(June[[#This Row],[Drug Name3]],'Data Options'!$R$1:$S$100,2,FALSE), " ")</f>
        <v xml:space="preserve"> </v>
      </c>
      <c r="AG173" s="55"/>
      <c r="AH173" s="32"/>
      <c r="AI173" s="32"/>
      <c r="AJ173" s="55"/>
      <c r="AK173" s="32"/>
      <c r="AL173" s="32"/>
      <c r="AM173" s="32"/>
      <c r="AN173" s="32"/>
      <c r="AO173" s="32"/>
      <c r="AP173" s="31"/>
      <c r="AQ173" s="31"/>
      <c r="AR173" s="54"/>
      <c r="AS173" s="56" t="str">
        <f>IFERROR(VLOOKUP(June[[#This Row],[Drug Name4]],'Data Options'!$R$1:$S$100,2,FALSE), " ")</f>
        <v xml:space="preserve"> </v>
      </c>
      <c r="AT173" s="55"/>
      <c r="AU173" s="32"/>
      <c r="AV173" s="32"/>
      <c r="AW173" s="55"/>
      <c r="AX173" s="32"/>
      <c r="AY173" s="54"/>
      <c r="AZ173" s="56" t="str">
        <f>IFERROR(VLOOKUP(June[[#This Row],[Drug Name5]],'Data Options'!$R$1:$S$100,2,FALSE), " ")</f>
        <v xml:space="preserve"> </v>
      </c>
      <c r="BA173" s="55"/>
      <c r="BB173" s="32"/>
      <c r="BC173" s="32"/>
      <c r="BD173" s="55"/>
      <c r="BE173" s="32"/>
      <c r="BF173" s="54"/>
      <c r="BG173" s="56" t="str">
        <f>IFERROR(VLOOKUP(June[[#This Row],[Drug Name6]],'Data Options'!$R$1:$S$100,2,FALSE), " ")</f>
        <v xml:space="preserve"> </v>
      </c>
      <c r="BH173" s="55"/>
      <c r="BI173" s="32"/>
      <c r="BJ173" s="32"/>
      <c r="BK173" s="55"/>
      <c r="BL173" s="32"/>
      <c r="BM173" s="32"/>
      <c r="BN173" s="32"/>
      <c r="BO173" s="32"/>
      <c r="BP173" s="32"/>
      <c r="BQ173" s="31"/>
      <c r="BR173" s="31"/>
      <c r="BS173" s="54"/>
      <c r="BT173" s="56" t="str">
        <f>IFERROR(VLOOKUP(June[[#This Row],[Drug Name7]],'Data Options'!$R$1:$S$100,2,FALSE), " ")</f>
        <v xml:space="preserve"> </v>
      </c>
      <c r="BU173" s="55"/>
      <c r="BV173" s="32"/>
      <c r="BW173" s="32"/>
      <c r="BX173" s="55"/>
      <c r="BY173" s="32"/>
      <c r="BZ173" s="54"/>
      <c r="CA173" s="56" t="str">
        <f>IFERROR(VLOOKUP(June[[#This Row],[Drug Name8]],'Data Options'!$R$1:$S$100,2,FALSE), " ")</f>
        <v xml:space="preserve"> </v>
      </c>
      <c r="CB173" s="55"/>
      <c r="CC173" s="32"/>
      <c r="CD173" s="32"/>
      <c r="CE173" s="55"/>
      <c r="CF173" s="32"/>
      <c r="CG173" s="54"/>
      <c r="CH173" s="56" t="str">
        <f>IFERROR(VLOOKUP(June[[#This Row],[Drug Name9]],'Data Options'!$R$1:$S$100,2,FALSE), " ")</f>
        <v xml:space="preserve"> </v>
      </c>
      <c r="CI173" s="55"/>
      <c r="CJ173" s="32"/>
      <c r="CK173" s="32"/>
      <c r="CL173" s="55"/>
      <c r="CM173" s="32"/>
    </row>
    <row r="174" spans="1:91">
      <c r="A174" s="5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1"/>
      <c r="P174" s="31"/>
      <c r="Q174" s="54"/>
      <c r="R174" s="56" t="str">
        <f>IFERROR(VLOOKUP(June[[#This Row],[Drug Name]],'Data Options'!$R$1:$S$100,2,FALSE), " ")</f>
        <v xml:space="preserve"> </v>
      </c>
      <c r="S174" s="55"/>
      <c r="T174" s="32"/>
      <c r="U174" s="32"/>
      <c r="V174" s="55"/>
      <c r="W174" s="32"/>
      <c r="X174" s="54"/>
      <c r="Y174" s="56" t="str">
        <f>IFERROR(VLOOKUP(June[[#This Row],[Drug Name2]],'Data Options'!$R$1:$S$100,2,FALSE), " ")</f>
        <v xml:space="preserve"> </v>
      </c>
      <c r="Z174" s="55"/>
      <c r="AA174" s="32"/>
      <c r="AB174" s="32"/>
      <c r="AC174" s="55"/>
      <c r="AD174" s="32"/>
      <c r="AE174" s="54"/>
      <c r="AF174" s="56" t="str">
        <f>IFERROR(VLOOKUP(June[[#This Row],[Drug Name3]],'Data Options'!$R$1:$S$100,2,FALSE), " ")</f>
        <v xml:space="preserve"> </v>
      </c>
      <c r="AG174" s="55"/>
      <c r="AH174" s="32"/>
      <c r="AI174" s="32"/>
      <c r="AJ174" s="55"/>
      <c r="AK174" s="32"/>
      <c r="AL174" s="32"/>
      <c r="AM174" s="32"/>
      <c r="AN174" s="32"/>
      <c r="AO174" s="32"/>
      <c r="AP174" s="31"/>
      <c r="AQ174" s="31"/>
      <c r="AR174" s="54"/>
      <c r="AS174" s="56" t="str">
        <f>IFERROR(VLOOKUP(June[[#This Row],[Drug Name4]],'Data Options'!$R$1:$S$100,2,FALSE), " ")</f>
        <v xml:space="preserve"> </v>
      </c>
      <c r="AT174" s="55"/>
      <c r="AU174" s="32"/>
      <c r="AV174" s="32"/>
      <c r="AW174" s="55"/>
      <c r="AX174" s="32"/>
      <c r="AY174" s="54"/>
      <c r="AZ174" s="56" t="str">
        <f>IFERROR(VLOOKUP(June[[#This Row],[Drug Name5]],'Data Options'!$R$1:$S$100,2,FALSE), " ")</f>
        <v xml:space="preserve"> </v>
      </c>
      <c r="BA174" s="55"/>
      <c r="BB174" s="32"/>
      <c r="BC174" s="32"/>
      <c r="BD174" s="55"/>
      <c r="BE174" s="32"/>
      <c r="BF174" s="54"/>
      <c r="BG174" s="56" t="str">
        <f>IFERROR(VLOOKUP(June[[#This Row],[Drug Name6]],'Data Options'!$R$1:$S$100,2,FALSE), " ")</f>
        <v xml:space="preserve"> </v>
      </c>
      <c r="BH174" s="55"/>
      <c r="BI174" s="32"/>
      <c r="BJ174" s="32"/>
      <c r="BK174" s="55"/>
      <c r="BL174" s="32"/>
      <c r="BM174" s="32"/>
      <c r="BN174" s="32"/>
      <c r="BO174" s="32"/>
      <c r="BP174" s="32"/>
      <c r="BQ174" s="31"/>
      <c r="BR174" s="31"/>
      <c r="BS174" s="54"/>
      <c r="BT174" s="56" t="str">
        <f>IFERROR(VLOOKUP(June[[#This Row],[Drug Name7]],'Data Options'!$R$1:$S$100,2,FALSE), " ")</f>
        <v xml:space="preserve"> </v>
      </c>
      <c r="BU174" s="55"/>
      <c r="BV174" s="32"/>
      <c r="BW174" s="32"/>
      <c r="BX174" s="55"/>
      <c r="BY174" s="32"/>
      <c r="BZ174" s="54"/>
      <c r="CA174" s="56" t="str">
        <f>IFERROR(VLOOKUP(June[[#This Row],[Drug Name8]],'Data Options'!$R$1:$S$100,2,FALSE), " ")</f>
        <v xml:space="preserve"> </v>
      </c>
      <c r="CB174" s="55"/>
      <c r="CC174" s="32"/>
      <c r="CD174" s="32"/>
      <c r="CE174" s="55"/>
      <c r="CF174" s="32"/>
      <c r="CG174" s="54"/>
      <c r="CH174" s="56" t="str">
        <f>IFERROR(VLOOKUP(June[[#This Row],[Drug Name9]],'Data Options'!$R$1:$S$100,2,FALSE), " ")</f>
        <v xml:space="preserve"> </v>
      </c>
      <c r="CI174" s="55"/>
      <c r="CJ174" s="32"/>
      <c r="CK174" s="32"/>
      <c r="CL174" s="55"/>
      <c r="CM174" s="32"/>
    </row>
    <row r="175" spans="1:91">
      <c r="A175" s="5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1"/>
      <c r="P175" s="31"/>
      <c r="Q175" s="54"/>
      <c r="R175" s="56" t="str">
        <f>IFERROR(VLOOKUP(June[[#This Row],[Drug Name]],'Data Options'!$R$1:$S$100,2,FALSE), " ")</f>
        <v xml:space="preserve"> </v>
      </c>
      <c r="S175" s="55"/>
      <c r="T175" s="32"/>
      <c r="U175" s="32"/>
      <c r="V175" s="55"/>
      <c r="W175" s="32"/>
      <c r="X175" s="54"/>
      <c r="Y175" s="56" t="str">
        <f>IFERROR(VLOOKUP(June[[#This Row],[Drug Name2]],'Data Options'!$R$1:$S$100,2,FALSE), " ")</f>
        <v xml:space="preserve"> </v>
      </c>
      <c r="Z175" s="55"/>
      <c r="AA175" s="32"/>
      <c r="AB175" s="32"/>
      <c r="AC175" s="55"/>
      <c r="AD175" s="32"/>
      <c r="AE175" s="54"/>
      <c r="AF175" s="56" t="str">
        <f>IFERROR(VLOOKUP(June[[#This Row],[Drug Name3]],'Data Options'!$R$1:$S$100,2,FALSE), " ")</f>
        <v xml:space="preserve"> </v>
      </c>
      <c r="AG175" s="55"/>
      <c r="AH175" s="32"/>
      <c r="AI175" s="32"/>
      <c r="AJ175" s="55"/>
      <c r="AK175" s="32"/>
      <c r="AL175" s="32"/>
      <c r="AM175" s="32"/>
      <c r="AN175" s="32"/>
      <c r="AO175" s="32"/>
      <c r="AP175" s="31"/>
      <c r="AQ175" s="31"/>
      <c r="AR175" s="54"/>
      <c r="AS175" s="56" t="str">
        <f>IFERROR(VLOOKUP(June[[#This Row],[Drug Name4]],'Data Options'!$R$1:$S$100,2,FALSE), " ")</f>
        <v xml:space="preserve"> </v>
      </c>
      <c r="AT175" s="55"/>
      <c r="AU175" s="32"/>
      <c r="AV175" s="32"/>
      <c r="AW175" s="55"/>
      <c r="AX175" s="32"/>
      <c r="AY175" s="54"/>
      <c r="AZ175" s="56" t="str">
        <f>IFERROR(VLOOKUP(June[[#This Row],[Drug Name5]],'Data Options'!$R$1:$S$100,2,FALSE), " ")</f>
        <v xml:space="preserve"> </v>
      </c>
      <c r="BA175" s="55"/>
      <c r="BB175" s="32"/>
      <c r="BC175" s="32"/>
      <c r="BD175" s="55"/>
      <c r="BE175" s="32"/>
      <c r="BF175" s="54"/>
      <c r="BG175" s="56" t="str">
        <f>IFERROR(VLOOKUP(June[[#This Row],[Drug Name6]],'Data Options'!$R$1:$S$100,2,FALSE), " ")</f>
        <v xml:space="preserve"> </v>
      </c>
      <c r="BH175" s="55"/>
      <c r="BI175" s="32"/>
      <c r="BJ175" s="32"/>
      <c r="BK175" s="55"/>
      <c r="BL175" s="32"/>
      <c r="BM175" s="32"/>
      <c r="BN175" s="32"/>
      <c r="BO175" s="32"/>
      <c r="BP175" s="32"/>
      <c r="BQ175" s="31"/>
      <c r="BR175" s="31"/>
      <c r="BS175" s="54"/>
      <c r="BT175" s="56" t="str">
        <f>IFERROR(VLOOKUP(June[[#This Row],[Drug Name7]],'Data Options'!$R$1:$S$100,2,FALSE), " ")</f>
        <v xml:space="preserve"> </v>
      </c>
      <c r="BU175" s="55"/>
      <c r="BV175" s="32"/>
      <c r="BW175" s="32"/>
      <c r="BX175" s="55"/>
      <c r="BY175" s="32"/>
      <c r="BZ175" s="54"/>
      <c r="CA175" s="56" t="str">
        <f>IFERROR(VLOOKUP(June[[#This Row],[Drug Name8]],'Data Options'!$R$1:$S$100,2,FALSE), " ")</f>
        <v xml:space="preserve"> </v>
      </c>
      <c r="CB175" s="55"/>
      <c r="CC175" s="32"/>
      <c r="CD175" s="32"/>
      <c r="CE175" s="55"/>
      <c r="CF175" s="32"/>
      <c r="CG175" s="54"/>
      <c r="CH175" s="56" t="str">
        <f>IFERROR(VLOOKUP(June[[#This Row],[Drug Name9]],'Data Options'!$R$1:$S$100,2,FALSE), " ")</f>
        <v xml:space="preserve"> </v>
      </c>
      <c r="CI175" s="55"/>
      <c r="CJ175" s="32"/>
      <c r="CK175" s="32"/>
      <c r="CL175" s="55"/>
      <c r="CM175" s="32"/>
    </row>
    <row r="176" spans="1:91">
      <c r="A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1"/>
      <c r="P176" s="31"/>
      <c r="Q176" s="54"/>
      <c r="R176" s="56" t="str">
        <f>IFERROR(VLOOKUP(June[[#This Row],[Drug Name]],'Data Options'!$R$1:$S$100,2,FALSE), " ")</f>
        <v xml:space="preserve"> </v>
      </c>
      <c r="S176" s="55"/>
      <c r="T176" s="32"/>
      <c r="U176" s="32"/>
      <c r="V176" s="55"/>
      <c r="W176" s="32"/>
      <c r="X176" s="54"/>
      <c r="Y176" s="56" t="str">
        <f>IFERROR(VLOOKUP(June[[#This Row],[Drug Name2]],'Data Options'!$R$1:$S$100,2,FALSE), " ")</f>
        <v xml:space="preserve"> </v>
      </c>
      <c r="Z176" s="55"/>
      <c r="AA176" s="32"/>
      <c r="AB176" s="32"/>
      <c r="AC176" s="55"/>
      <c r="AD176" s="32"/>
      <c r="AE176" s="54"/>
      <c r="AF176" s="56" t="str">
        <f>IFERROR(VLOOKUP(June[[#This Row],[Drug Name3]],'Data Options'!$R$1:$S$100,2,FALSE), " ")</f>
        <v xml:space="preserve"> </v>
      </c>
      <c r="AG176" s="55"/>
      <c r="AH176" s="32"/>
      <c r="AI176" s="32"/>
      <c r="AJ176" s="55"/>
      <c r="AK176" s="32"/>
      <c r="AL176" s="32"/>
      <c r="AM176" s="32"/>
      <c r="AN176" s="32"/>
      <c r="AO176" s="32"/>
      <c r="AP176" s="31"/>
      <c r="AQ176" s="31"/>
      <c r="AR176" s="54"/>
      <c r="AS176" s="56" t="str">
        <f>IFERROR(VLOOKUP(June[[#This Row],[Drug Name4]],'Data Options'!$R$1:$S$100,2,FALSE), " ")</f>
        <v xml:space="preserve"> </v>
      </c>
      <c r="AT176" s="55"/>
      <c r="AU176" s="32"/>
      <c r="AV176" s="32"/>
      <c r="AW176" s="55"/>
      <c r="AX176" s="32"/>
      <c r="AY176" s="54"/>
      <c r="AZ176" s="56" t="str">
        <f>IFERROR(VLOOKUP(June[[#This Row],[Drug Name5]],'Data Options'!$R$1:$S$100,2,FALSE), " ")</f>
        <v xml:space="preserve"> </v>
      </c>
      <c r="BA176" s="55"/>
      <c r="BB176" s="32"/>
      <c r="BC176" s="32"/>
      <c r="BD176" s="55"/>
      <c r="BE176" s="32"/>
      <c r="BF176" s="54"/>
      <c r="BG176" s="56" t="str">
        <f>IFERROR(VLOOKUP(June[[#This Row],[Drug Name6]],'Data Options'!$R$1:$S$100,2,FALSE), " ")</f>
        <v xml:space="preserve"> </v>
      </c>
      <c r="BH176" s="55"/>
      <c r="BI176" s="32"/>
      <c r="BJ176" s="32"/>
      <c r="BK176" s="55"/>
      <c r="BL176" s="32"/>
      <c r="BM176" s="32"/>
      <c r="BN176" s="32"/>
      <c r="BO176" s="32"/>
      <c r="BP176" s="32"/>
      <c r="BQ176" s="31"/>
      <c r="BR176" s="31"/>
      <c r="BS176" s="54"/>
      <c r="BT176" s="56" t="str">
        <f>IFERROR(VLOOKUP(June[[#This Row],[Drug Name7]],'Data Options'!$R$1:$S$100,2,FALSE), " ")</f>
        <v xml:space="preserve"> </v>
      </c>
      <c r="BU176" s="55"/>
      <c r="BV176" s="32"/>
      <c r="BW176" s="32"/>
      <c r="BX176" s="55"/>
      <c r="BY176" s="32"/>
      <c r="BZ176" s="54"/>
      <c r="CA176" s="56" t="str">
        <f>IFERROR(VLOOKUP(June[[#This Row],[Drug Name8]],'Data Options'!$R$1:$S$100,2,FALSE), " ")</f>
        <v xml:space="preserve"> </v>
      </c>
      <c r="CB176" s="55"/>
      <c r="CC176" s="32"/>
      <c r="CD176" s="32"/>
      <c r="CE176" s="55"/>
      <c r="CF176" s="32"/>
      <c r="CG176" s="54"/>
      <c r="CH176" s="56" t="str">
        <f>IFERROR(VLOOKUP(June[[#This Row],[Drug Name9]],'Data Options'!$R$1:$S$100,2,FALSE), " ")</f>
        <v xml:space="preserve"> </v>
      </c>
      <c r="CI176" s="55"/>
      <c r="CJ176" s="32"/>
      <c r="CK176" s="32"/>
      <c r="CL176" s="55"/>
      <c r="CM176" s="32"/>
    </row>
    <row r="177" spans="1:91">
      <c r="A177" s="5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1"/>
      <c r="P177" s="31"/>
      <c r="Q177" s="54"/>
      <c r="R177" s="56" t="str">
        <f>IFERROR(VLOOKUP(June[[#This Row],[Drug Name]],'Data Options'!$R$1:$S$100,2,FALSE), " ")</f>
        <v xml:space="preserve"> </v>
      </c>
      <c r="S177" s="55"/>
      <c r="T177" s="32"/>
      <c r="U177" s="32"/>
      <c r="V177" s="55"/>
      <c r="W177" s="32"/>
      <c r="X177" s="54"/>
      <c r="Y177" s="56" t="str">
        <f>IFERROR(VLOOKUP(June[[#This Row],[Drug Name2]],'Data Options'!$R$1:$S$100,2,FALSE), " ")</f>
        <v xml:space="preserve"> </v>
      </c>
      <c r="Z177" s="55"/>
      <c r="AA177" s="32"/>
      <c r="AB177" s="32"/>
      <c r="AC177" s="55"/>
      <c r="AD177" s="32"/>
      <c r="AE177" s="54"/>
      <c r="AF177" s="56" t="str">
        <f>IFERROR(VLOOKUP(June[[#This Row],[Drug Name3]],'Data Options'!$R$1:$S$100,2,FALSE), " ")</f>
        <v xml:space="preserve"> </v>
      </c>
      <c r="AG177" s="55"/>
      <c r="AH177" s="32"/>
      <c r="AI177" s="32"/>
      <c r="AJ177" s="55"/>
      <c r="AK177" s="32"/>
      <c r="AL177" s="32"/>
      <c r="AM177" s="32"/>
      <c r="AN177" s="32"/>
      <c r="AO177" s="32"/>
      <c r="AP177" s="31"/>
      <c r="AQ177" s="31"/>
      <c r="AR177" s="54"/>
      <c r="AS177" s="56" t="str">
        <f>IFERROR(VLOOKUP(June[[#This Row],[Drug Name4]],'Data Options'!$R$1:$S$100,2,FALSE), " ")</f>
        <v xml:space="preserve"> </v>
      </c>
      <c r="AT177" s="55"/>
      <c r="AU177" s="32"/>
      <c r="AV177" s="32"/>
      <c r="AW177" s="55"/>
      <c r="AX177" s="32"/>
      <c r="AY177" s="54"/>
      <c r="AZ177" s="56" t="str">
        <f>IFERROR(VLOOKUP(June[[#This Row],[Drug Name5]],'Data Options'!$R$1:$S$100,2,FALSE), " ")</f>
        <v xml:space="preserve"> </v>
      </c>
      <c r="BA177" s="55"/>
      <c r="BB177" s="32"/>
      <c r="BC177" s="32"/>
      <c r="BD177" s="55"/>
      <c r="BE177" s="32"/>
      <c r="BF177" s="54"/>
      <c r="BG177" s="56" t="str">
        <f>IFERROR(VLOOKUP(June[[#This Row],[Drug Name6]],'Data Options'!$R$1:$S$100,2,FALSE), " ")</f>
        <v xml:space="preserve"> </v>
      </c>
      <c r="BH177" s="55"/>
      <c r="BI177" s="32"/>
      <c r="BJ177" s="32"/>
      <c r="BK177" s="55"/>
      <c r="BL177" s="32"/>
      <c r="BM177" s="32"/>
      <c r="BN177" s="32"/>
      <c r="BO177" s="32"/>
      <c r="BP177" s="32"/>
      <c r="BQ177" s="31"/>
      <c r="BR177" s="31"/>
      <c r="BS177" s="54"/>
      <c r="BT177" s="56" t="str">
        <f>IFERROR(VLOOKUP(June[[#This Row],[Drug Name7]],'Data Options'!$R$1:$S$100,2,FALSE), " ")</f>
        <v xml:space="preserve"> </v>
      </c>
      <c r="BU177" s="55"/>
      <c r="BV177" s="32"/>
      <c r="BW177" s="32"/>
      <c r="BX177" s="55"/>
      <c r="BY177" s="32"/>
      <c r="BZ177" s="54"/>
      <c r="CA177" s="56" t="str">
        <f>IFERROR(VLOOKUP(June[[#This Row],[Drug Name8]],'Data Options'!$R$1:$S$100,2,FALSE), " ")</f>
        <v xml:space="preserve"> </v>
      </c>
      <c r="CB177" s="55"/>
      <c r="CC177" s="32"/>
      <c r="CD177" s="32"/>
      <c r="CE177" s="55"/>
      <c r="CF177" s="32"/>
      <c r="CG177" s="54"/>
      <c r="CH177" s="56" t="str">
        <f>IFERROR(VLOOKUP(June[[#This Row],[Drug Name9]],'Data Options'!$R$1:$S$100,2,FALSE), " ")</f>
        <v xml:space="preserve"> </v>
      </c>
      <c r="CI177" s="55"/>
      <c r="CJ177" s="32"/>
      <c r="CK177" s="32"/>
      <c r="CL177" s="55"/>
      <c r="CM177" s="32"/>
    </row>
    <row r="178" spans="1:91">
      <c r="A178" s="5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1"/>
      <c r="P178" s="31"/>
      <c r="Q178" s="54"/>
      <c r="R178" s="56" t="str">
        <f>IFERROR(VLOOKUP(June[[#This Row],[Drug Name]],'Data Options'!$R$1:$S$100,2,FALSE), " ")</f>
        <v xml:space="preserve"> </v>
      </c>
      <c r="S178" s="55"/>
      <c r="T178" s="32"/>
      <c r="U178" s="32"/>
      <c r="V178" s="55"/>
      <c r="W178" s="32"/>
      <c r="X178" s="54"/>
      <c r="Y178" s="56" t="str">
        <f>IFERROR(VLOOKUP(June[[#This Row],[Drug Name2]],'Data Options'!$R$1:$S$100,2,FALSE), " ")</f>
        <v xml:space="preserve"> </v>
      </c>
      <c r="Z178" s="55"/>
      <c r="AA178" s="32"/>
      <c r="AB178" s="32"/>
      <c r="AC178" s="55"/>
      <c r="AD178" s="32"/>
      <c r="AE178" s="54"/>
      <c r="AF178" s="56" t="str">
        <f>IFERROR(VLOOKUP(June[[#This Row],[Drug Name3]],'Data Options'!$R$1:$S$100,2,FALSE), " ")</f>
        <v xml:space="preserve"> </v>
      </c>
      <c r="AG178" s="55"/>
      <c r="AH178" s="32"/>
      <c r="AI178" s="32"/>
      <c r="AJ178" s="55"/>
      <c r="AK178" s="32"/>
      <c r="AL178" s="32"/>
      <c r="AM178" s="32"/>
      <c r="AN178" s="32"/>
      <c r="AO178" s="32"/>
      <c r="AP178" s="31"/>
      <c r="AQ178" s="31"/>
      <c r="AR178" s="54"/>
      <c r="AS178" s="56" t="str">
        <f>IFERROR(VLOOKUP(June[[#This Row],[Drug Name4]],'Data Options'!$R$1:$S$100,2,FALSE), " ")</f>
        <v xml:space="preserve"> </v>
      </c>
      <c r="AT178" s="55"/>
      <c r="AU178" s="32"/>
      <c r="AV178" s="32"/>
      <c r="AW178" s="55"/>
      <c r="AX178" s="32"/>
      <c r="AY178" s="54"/>
      <c r="AZ178" s="56" t="str">
        <f>IFERROR(VLOOKUP(June[[#This Row],[Drug Name5]],'Data Options'!$R$1:$S$100,2,FALSE), " ")</f>
        <v xml:space="preserve"> </v>
      </c>
      <c r="BA178" s="55"/>
      <c r="BB178" s="32"/>
      <c r="BC178" s="32"/>
      <c r="BD178" s="55"/>
      <c r="BE178" s="32"/>
      <c r="BF178" s="54"/>
      <c r="BG178" s="56" t="str">
        <f>IFERROR(VLOOKUP(June[[#This Row],[Drug Name6]],'Data Options'!$R$1:$S$100,2,FALSE), " ")</f>
        <v xml:space="preserve"> </v>
      </c>
      <c r="BH178" s="55"/>
      <c r="BI178" s="32"/>
      <c r="BJ178" s="32"/>
      <c r="BK178" s="55"/>
      <c r="BL178" s="32"/>
      <c r="BM178" s="32"/>
      <c r="BN178" s="32"/>
      <c r="BO178" s="32"/>
      <c r="BP178" s="32"/>
      <c r="BQ178" s="31"/>
      <c r="BR178" s="31"/>
      <c r="BS178" s="54"/>
      <c r="BT178" s="56" t="str">
        <f>IFERROR(VLOOKUP(June[[#This Row],[Drug Name7]],'Data Options'!$R$1:$S$100,2,FALSE), " ")</f>
        <v xml:space="preserve"> </v>
      </c>
      <c r="BU178" s="55"/>
      <c r="BV178" s="32"/>
      <c r="BW178" s="32"/>
      <c r="BX178" s="55"/>
      <c r="BY178" s="32"/>
      <c r="BZ178" s="54"/>
      <c r="CA178" s="56" t="str">
        <f>IFERROR(VLOOKUP(June[[#This Row],[Drug Name8]],'Data Options'!$R$1:$S$100,2,FALSE), " ")</f>
        <v xml:space="preserve"> </v>
      </c>
      <c r="CB178" s="55"/>
      <c r="CC178" s="32"/>
      <c r="CD178" s="32"/>
      <c r="CE178" s="55"/>
      <c r="CF178" s="32"/>
      <c r="CG178" s="54"/>
      <c r="CH178" s="56" t="str">
        <f>IFERROR(VLOOKUP(June[[#This Row],[Drug Name9]],'Data Options'!$R$1:$S$100,2,FALSE), " ")</f>
        <v xml:space="preserve"> </v>
      </c>
      <c r="CI178" s="55"/>
      <c r="CJ178" s="32"/>
      <c r="CK178" s="32"/>
      <c r="CL178" s="55"/>
      <c r="CM178" s="32"/>
    </row>
    <row r="179" spans="1:91">
      <c r="A179" s="5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1"/>
      <c r="P179" s="31"/>
      <c r="Q179" s="54"/>
      <c r="R179" s="56" t="str">
        <f>IFERROR(VLOOKUP(June[[#This Row],[Drug Name]],'Data Options'!$R$1:$S$100,2,FALSE), " ")</f>
        <v xml:space="preserve"> </v>
      </c>
      <c r="S179" s="55"/>
      <c r="T179" s="32"/>
      <c r="U179" s="32"/>
      <c r="V179" s="55"/>
      <c r="W179" s="32"/>
      <c r="X179" s="54"/>
      <c r="Y179" s="56" t="str">
        <f>IFERROR(VLOOKUP(June[[#This Row],[Drug Name2]],'Data Options'!$R$1:$S$100,2,FALSE), " ")</f>
        <v xml:space="preserve"> </v>
      </c>
      <c r="Z179" s="55"/>
      <c r="AA179" s="32"/>
      <c r="AB179" s="32"/>
      <c r="AC179" s="55"/>
      <c r="AD179" s="32"/>
      <c r="AE179" s="54"/>
      <c r="AF179" s="56" t="str">
        <f>IFERROR(VLOOKUP(June[[#This Row],[Drug Name3]],'Data Options'!$R$1:$S$100,2,FALSE), " ")</f>
        <v xml:space="preserve"> </v>
      </c>
      <c r="AG179" s="55"/>
      <c r="AH179" s="32"/>
      <c r="AI179" s="32"/>
      <c r="AJ179" s="55"/>
      <c r="AK179" s="32"/>
      <c r="AL179" s="32"/>
      <c r="AM179" s="32"/>
      <c r="AN179" s="32"/>
      <c r="AO179" s="32"/>
      <c r="AP179" s="31"/>
      <c r="AQ179" s="31"/>
      <c r="AR179" s="54"/>
      <c r="AS179" s="56" t="str">
        <f>IFERROR(VLOOKUP(June[[#This Row],[Drug Name4]],'Data Options'!$R$1:$S$100,2,FALSE), " ")</f>
        <v xml:space="preserve"> </v>
      </c>
      <c r="AT179" s="55"/>
      <c r="AU179" s="32"/>
      <c r="AV179" s="32"/>
      <c r="AW179" s="55"/>
      <c r="AX179" s="32"/>
      <c r="AY179" s="54"/>
      <c r="AZ179" s="56" t="str">
        <f>IFERROR(VLOOKUP(June[[#This Row],[Drug Name5]],'Data Options'!$R$1:$S$100,2,FALSE), " ")</f>
        <v xml:space="preserve"> </v>
      </c>
      <c r="BA179" s="55"/>
      <c r="BB179" s="32"/>
      <c r="BC179" s="32"/>
      <c r="BD179" s="55"/>
      <c r="BE179" s="32"/>
      <c r="BF179" s="54"/>
      <c r="BG179" s="56" t="str">
        <f>IFERROR(VLOOKUP(June[[#This Row],[Drug Name6]],'Data Options'!$R$1:$S$100,2,FALSE), " ")</f>
        <v xml:space="preserve"> </v>
      </c>
      <c r="BH179" s="55"/>
      <c r="BI179" s="32"/>
      <c r="BJ179" s="32"/>
      <c r="BK179" s="55"/>
      <c r="BL179" s="32"/>
      <c r="BM179" s="32"/>
      <c r="BN179" s="32"/>
      <c r="BO179" s="32"/>
      <c r="BP179" s="32"/>
      <c r="BQ179" s="31"/>
      <c r="BR179" s="31"/>
      <c r="BS179" s="54"/>
      <c r="BT179" s="56" t="str">
        <f>IFERROR(VLOOKUP(June[[#This Row],[Drug Name7]],'Data Options'!$R$1:$S$100,2,FALSE), " ")</f>
        <v xml:space="preserve"> </v>
      </c>
      <c r="BU179" s="55"/>
      <c r="BV179" s="32"/>
      <c r="BW179" s="32"/>
      <c r="BX179" s="55"/>
      <c r="BY179" s="32"/>
      <c r="BZ179" s="54"/>
      <c r="CA179" s="56" t="str">
        <f>IFERROR(VLOOKUP(June[[#This Row],[Drug Name8]],'Data Options'!$R$1:$S$100,2,FALSE), " ")</f>
        <v xml:space="preserve"> </v>
      </c>
      <c r="CB179" s="55"/>
      <c r="CC179" s="32"/>
      <c r="CD179" s="32"/>
      <c r="CE179" s="55"/>
      <c r="CF179" s="32"/>
      <c r="CG179" s="54"/>
      <c r="CH179" s="56" t="str">
        <f>IFERROR(VLOOKUP(June[[#This Row],[Drug Name9]],'Data Options'!$R$1:$S$100,2,FALSE), " ")</f>
        <v xml:space="preserve"> </v>
      </c>
      <c r="CI179" s="55"/>
      <c r="CJ179" s="32"/>
      <c r="CK179" s="32"/>
      <c r="CL179" s="55"/>
      <c r="CM179" s="32"/>
    </row>
    <row r="180" spans="1:91">
      <c r="A180" s="5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1"/>
      <c r="P180" s="31"/>
      <c r="Q180" s="54"/>
      <c r="R180" s="56" t="str">
        <f>IFERROR(VLOOKUP(June[[#This Row],[Drug Name]],'Data Options'!$R$1:$S$100,2,FALSE), " ")</f>
        <v xml:space="preserve"> </v>
      </c>
      <c r="S180" s="55"/>
      <c r="T180" s="32"/>
      <c r="U180" s="32"/>
      <c r="V180" s="55"/>
      <c r="W180" s="32"/>
      <c r="X180" s="54"/>
      <c r="Y180" s="56" t="str">
        <f>IFERROR(VLOOKUP(June[[#This Row],[Drug Name2]],'Data Options'!$R$1:$S$100,2,FALSE), " ")</f>
        <v xml:space="preserve"> </v>
      </c>
      <c r="Z180" s="55"/>
      <c r="AA180" s="32"/>
      <c r="AB180" s="32"/>
      <c r="AC180" s="55"/>
      <c r="AD180" s="32"/>
      <c r="AE180" s="54"/>
      <c r="AF180" s="56" t="str">
        <f>IFERROR(VLOOKUP(June[[#This Row],[Drug Name3]],'Data Options'!$R$1:$S$100,2,FALSE), " ")</f>
        <v xml:space="preserve"> </v>
      </c>
      <c r="AG180" s="55"/>
      <c r="AH180" s="32"/>
      <c r="AI180" s="32"/>
      <c r="AJ180" s="55"/>
      <c r="AK180" s="32"/>
      <c r="AL180" s="32"/>
      <c r="AM180" s="32"/>
      <c r="AN180" s="32"/>
      <c r="AO180" s="32"/>
      <c r="AP180" s="31"/>
      <c r="AQ180" s="31"/>
      <c r="AR180" s="54"/>
      <c r="AS180" s="56" t="str">
        <f>IFERROR(VLOOKUP(June[[#This Row],[Drug Name4]],'Data Options'!$R$1:$S$100,2,FALSE), " ")</f>
        <v xml:space="preserve"> </v>
      </c>
      <c r="AT180" s="55"/>
      <c r="AU180" s="32"/>
      <c r="AV180" s="32"/>
      <c r="AW180" s="55"/>
      <c r="AX180" s="32"/>
      <c r="AY180" s="54"/>
      <c r="AZ180" s="56" t="str">
        <f>IFERROR(VLOOKUP(June[[#This Row],[Drug Name5]],'Data Options'!$R$1:$S$100,2,FALSE), " ")</f>
        <v xml:space="preserve"> </v>
      </c>
      <c r="BA180" s="55"/>
      <c r="BB180" s="32"/>
      <c r="BC180" s="32"/>
      <c r="BD180" s="55"/>
      <c r="BE180" s="32"/>
      <c r="BF180" s="54"/>
      <c r="BG180" s="56" t="str">
        <f>IFERROR(VLOOKUP(June[[#This Row],[Drug Name6]],'Data Options'!$R$1:$S$100,2,FALSE), " ")</f>
        <v xml:space="preserve"> </v>
      </c>
      <c r="BH180" s="55"/>
      <c r="BI180" s="32"/>
      <c r="BJ180" s="32"/>
      <c r="BK180" s="55"/>
      <c r="BL180" s="32"/>
      <c r="BM180" s="32"/>
      <c r="BN180" s="32"/>
      <c r="BO180" s="32"/>
      <c r="BP180" s="32"/>
      <c r="BQ180" s="31"/>
      <c r="BR180" s="31"/>
      <c r="BS180" s="54"/>
      <c r="BT180" s="56" t="str">
        <f>IFERROR(VLOOKUP(June[[#This Row],[Drug Name7]],'Data Options'!$R$1:$S$100,2,FALSE), " ")</f>
        <v xml:space="preserve"> </v>
      </c>
      <c r="BU180" s="55"/>
      <c r="BV180" s="32"/>
      <c r="BW180" s="32"/>
      <c r="BX180" s="55"/>
      <c r="BY180" s="32"/>
      <c r="BZ180" s="54"/>
      <c r="CA180" s="56" t="str">
        <f>IFERROR(VLOOKUP(June[[#This Row],[Drug Name8]],'Data Options'!$R$1:$S$100,2,FALSE), " ")</f>
        <v xml:space="preserve"> </v>
      </c>
      <c r="CB180" s="55"/>
      <c r="CC180" s="32"/>
      <c r="CD180" s="32"/>
      <c r="CE180" s="55"/>
      <c r="CF180" s="32"/>
      <c r="CG180" s="54"/>
      <c r="CH180" s="56" t="str">
        <f>IFERROR(VLOOKUP(June[[#This Row],[Drug Name9]],'Data Options'!$R$1:$S$100,2,FALSE), " ")</f>
        <v xml:space="preserve"> </v>
      </c>
      <c r="CI180" s="55"/>
      <c r="CJ180" s="32"/>
      <c r="CK180" s="32"/>
      <c r="CL180" s="55"/>
      <c r="CM180" s="32"/>
    </row>
    <row r="181" spans="1:91">
      <c r="A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1"/>
      <c r="P181" s="31"/>
      <c r="Q181" s="54"/>
      <c r="R181" s="56" t="str">
        <f>IFERROR(VLOOKUP(June[[#This Row],[Drug Name]],'Data Options'!$R$1:$S$100,2,FALSE), " ")</f>
        <v xml:space="preserve"> </v>
      </c>
      <c r="S181" s="55"/>
      <c r="T181" s="32"/>
      <c r="U181" s="32"/>
      <c r="V181" s="55"/>
      <c r="W181" s="32"/>
      <c r="X181" s="54"/>
      <c r="Y181" s="56" t="str">
        <f>IFERROR(VLOOKUP(June[[#This Row],[Drug Name2]],'Data Options'!$R$1:$S$100,2,FALSE), " ")</f>
        <v xml:space="preserve"> </v>
      </c>
      <c r="Z181" s="55"/>
      <c r="AA181" s="32"/>
      <c r="AB181" s="32"/>
      <c r="AC181" s="55"/>
      <c r="AD181" s="32"/>
      <c r="AE181" s="54"/>
      <c r="AF181" s="56" t="str">
        <f>IFERROR(VLOOKUP(June[[#This Row],[Drug Name3]],'Data Options'!$R$1:$S$100,2,FALSE), " ")</f>
        <v xml:space="preserve"> </v>
      </c>
      <c r="AG181" s="55"/>
      <c r="AH181" s="32"/>
      <c r="AI181" s="32"/>
      <c r="AJ181" s="55"/>
      <c r="AK181" s="32"/>
      <c r="AL181" s="32"/>
      <c r="AM181" s="32"/>
      <c r="AN181" s="32"/>
      <c r="AO181" s="32"/>
      <c r="AP181" s="31"/>
      <c r="AQ181" s="31"/>
      <c r="AR181" s="54"/>
      <c r="AS181" s="56" t="str">
        <f>IFERROR(VLOOKUP(June[[#This Row],[Drug Name4]],'Data Options'!$R$1:$S$100,2,FALSE), " ")</f>
        <v xml:space="preserve"> </v>
      </c>
      <c r="AT181" s="55"/>
      <c r="AU181" s="32"/>
      <c r="AV181" s="32"/>
      <c r="AW181" s="55"/>
      <c r="AX181" s="32"/>
      <c r="AY181" s="54"/>
      <c r="AZ181" s="56" t="str">
        <f>IFERROR(VLOOKUP(June[[#This Row],[Drug Name5]],'Data Options'!$R$1:$S$100,2,FALSE), " ")</f>
        <v xml:space="preserve"> </v>
      </c>
      <c r="BA181" s="55"/>
      <c r="BB181" s="32"/>
      <c r="BC181" s="32"/>
      <c r="BD181" s="55"/>
      <c r="BE181" s="32"/>
      <c r="BF181" s="54"/>
      <c r="BG181" s="56" t="str">
        <f>IFERROR(VLOOKUP(June[[#This Row],[Drug Name6]],'Data Options'!$R$1:$S$100,2,FALSE), " ")</f>
        <v xml:space="preserve"> </v>
      </c>
      <c r="BH181" s="55"/>
      <c r="BI181" s="32"/>
      <c r="BJ181" s="32"/>
      <c r="BK181" s="55"/>
      <c r="BL181" s="32"/>
      <c r="BM181" s="32"/>
      <c r="BN181" s="32"/>
      <c r="BO181" s="32"/>
      <c r="BP181" s="32"/>
      <c r="BQ181" s="31"/>
      <c r="BR181" s="31"/>
      <c r="BS181" s="54"/>
      <c r="BT181" s="56" t="str">
        <f>IFERROR(VLOOKUP(June[[#This Row],[Drug Name7]],'Data Options'!$R$1:$S$100,2,FALSE), " ")</f>
        <v xml:space="preserve"> </v>
      </c>
      <c r="BU181" s="55"/>
      <c r="BV181" s="32"/>
      <c r="BW181" s="32"/>
      <c r="BX181" s="55"/>
      <c r="BY181" s="32"/>
      <c r="BZ181" s="54"/>
      <c r="CA181" s="56" t="str">
        <f>IFERROR(VLOOKUP(June[[#This Row],[Drug Name8]],'Data Options'!$R$1:$S$100,2,FALSE), " ")</f>
        <v xml:space="preserve"> </v>
      </c>
      <c r="CB181" s="55"/>
      <c r="CC181" s="32"/>
      <c r="CD181" s="32"/>
      <c r="CE181" s="55"/>
      <c r="CF181" s="32"/>
      <c r="CG181" s="54"/>
      <c r="CH181" s="56" t="str">
        <f>IFERROR(VLOOKUP(June[[#This Row],[Drug Name9]],'Data Options'!$R$1:$S$100,2,FALSE), " ")</f>
        <v xml:space="preserve"> </v>
      </c>
      <c r="CI181" s="55"/>
      <c r="CJ181" s="32"/>
      <c r="CK181" s="32"/>
      <c r="CL181" s="55"/>
      <c r="CM181" s="32"/>
    </row>
    <row r="182" spans="1:91">
      <c r="A182" s="5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1"/>
      <c r="P182" s="31"/>
      <c r="Q182" s="54"/>
      <c r="R182" s="56" t="str">
        <f>IFERROR(VLOOKUP(June[[#This Row],[Drug Name]],'Data Options'!$R$1:$S$100,2,FALSE), " ")</f>
        <v xml:space="preserve"> </v>
      </c>
      <c r="S182" s="55"/>
      <c r="T182" s="32"/>
      <c r="U182" s="32"/>
      <c r="V182" s="55"/>
      <c r="W182" s="32"/>
      <c r="X182" s="54"/>
      <c r="Y182" s="56" t="str">
        <f>IFERROR(VLOOKUP(June[[#This Row],[Drug Name2]],'Data Options'!$R$1:$S$100,2,FALSE), " ")</f>
        <v xml:space="preserve"> </v>
      </c>
      <c r="Z182" s="55"/>
      <c r="AA182" s="32"/>
      <c r="AB182" s="32"/>
      <c r="AC182" s="55"/>
      <c r="AD182" s="32"/>
      <c r="AE182" s="54"/>
      <c r="AF182" s="56" t="str">
        <f>IFERROR(VLOOKUP(June[[#This Row],[Drug Name3]],'Data Options'!$R$1:$S$100,2,FALSE), " ")</f>
        <v xml:space="preserve"> </v>
      </c>
      <c r="AG182" s="55"/>
      <c r="AH182" s="32"/>
      <c r="AI182" s="32"/>
      <c r="AJ182" s="55"/>
      <c r="AK182" s="32"/>
      <c r="AL182" s="32"/>
      <c r="AM182" s="32"/>
      <c r="AN182" s="32"/>
      <c r="AO182" s="32"/>
      <c r="AP182" s="31"/>
      <c r="AQ182" s="31"/>
      <c r="AR182" s="54"/>
      <c r="AS182" s="56" t="str">
        <f>IFERROR(VLOOKUP(June[[#This Row],[Drug Name4]],'Data Options'!$R$1:$S$100,2,FALSE), " ")</f>
        <v xml:space="preserve"> </v>
      </c>
      <c r="AT182" s="55"/>
      <c r="AU182" s="32"/>
      <c r="AV182" s="32"/>
      <c r="AW182" s="55"/>
      <c r="AX182" s="32"/>
      <c r="AY182" s="54"/>
      <c r="AZ182" s="56" t="str">
        <f>IFERROR(VLOOKUP(June[[#This Row],[Drug Name5]],'Data Options'!$R$1:$S$100,2,FALSE), " ")</f>
        <v xml:space="preserve"> </v>
      </c>
      <c r="BA182" s="55"/>
      <c r="BB182" s="32"/>
      <c r="BC182" s="32"/>
      <c r="BD182" s="55"/>
      <c r="BE182" s="32"/>
      <c r="BF182" s="54"/>
      <c r="BG182" s="56" t="str">
        <f>IFERROR(VLOOKUP(June[[#This Row],[Drug Name6]],'Data Options'!$R$1:$S$100,2,FALSE), " ")</f>
        <v xml:space="preserve"> </v>
      </c>
      <c r="BH182" s="55"/>
      <c r="BI182" s="32"/>
      <c r="BJ182" s="32"/>
      <c r="BK182" s="55"/>
      <c r="BL182" s="32"/>
      <c r="BM182" s="32"/>
      <c r="BN182" s="32"/>
      <c r="BO182" s="32"/>
      <c r="BP182" s="32"/>
      <c r="BQ182" s="31"/>
      <c r="BR182" s="31"/>
      <c r="BS182" s="54"/>
      <c r="BT182" s="56" t="str">
        <f>IFERROR(VLOOKUP(June[[#This Row],[Drug Name7]],'Data Options'!$R$1:$S$100,2,FALSE), " ")</f>
        <v xml:space="preserve"> </v>
      </c>
      <c r="BU182" s="55"/>
      <c r="BV182" s="32"/>
      <c r="BW182" s="32"/>
      <c r="BX182" s="55"/>
      <c r="BY182" s="32"/>
      <c r="BZ182" s="54"/>
      <c r="CA182" s="56" t="str">
        <f>IFERROR(VLOOKUP(June[[#This Row],[Drug Name8]],'Data Options'!$R$1:$S$100,2,FALSE), " ")</f>
        <v xml:space="preserve"> </v>
      </c>
      <c r="CB182" s="55"/>
      <c r="CC182" s="32"/>
      <c r="CD182" s="32"/>
      <c r="CE182" s="55"/>
      <c r="CF182" s="32"/>
      <c r="CG182" s="54"/>
      <c r="CH182" s="56" t="str">
        <f>IFERROR(VLOOKUP(June[[#This Row],[Drug Name9]],'Data Options'!$R$1:$S$100,2,FALSE), " ")</f>
        <v xml:space="preserve"> </v>
      </c>
      <c r="CI182" s="55"/>
      <c r="CJ182" s="32"/>
      <c r="CK182" s="32"/>
      <c r="CL182" s="55"/>
      <c r="CM182" s="32"/>
    </row>
    <row r="183" spans="1:91">
      <c r="A183" s="5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1"/>
      <c r="P183" s="31"/>
      <c r="Q183" s="54"/>
      <c r="R183" s="56" t="str">
        <f>IFERROR(VLOOKUP(June[[#This Row],[Drug Name]],'Data Options'!$R$1:$S$100,2,FALSE), " ")</f>
        <v xml:space="preserve"> </v>
      </c>
      <c r="S183" s="55"/>
      <c r="T183" s="32"/>
      <c r="U183" s="32"/>
      <c r="V183" s="55"/>
      <c r="W183" s="32"/>
      <c r="X183" s="54"/>
      <c r="Y183" s="56" t="str">
        <f>IFERROR(VLOOKUP(June[[#This Row],[Drug Name2]],'Data Options'!$R$1:$S$100,2,FALSE), " ")</f>
        <v xml:space="preserve"> </v>
      </c>
      <c r="Z183" s="55"/>
      <c r="AA183" s="32"/>
      <c r="AB183" s="32"/>
      <c r="AC183" s="55"/>
      <c r="AD183" s="32"/>
      <c r="AE183" s="54"/>
      <c r="AF183" s="56" t="str">
        <f>IFERROR(VLOOKUP(June[[#This Row],[Drug Name3]],'Data Options'!$R$1:$S$100,2,FALSE), " ")</f>
        <v xml:space="preserve"> </v>
      </c>
      <c r="AG183" s="55"/>
      <c r="AH183" s="32"/>
      <c r="AI183" s="32"/>
      <c r="AJ183" s="55"/>
      <c r="AK183" s="32"/>
      <c r="AL183" s="32"/>
      <c r="AM183" s="32"/>
      <c r="AN183" s="32"/>
      <c r="AO183" s="32"/>
      <c r="AP183" s="31"/>
      <c r="AQ183" s="31"/>
      <c r="AR183" s="54"/>
      <c r="AS183" s="56" t="str">
        <f>IFERROR(VLOOKUP(June[[#This Row],[Drug Name4]],'Data Options'!$R$1:$S$100,2,FALSE), " ")</f>
        <v xml:space="preserve"> </v>
      </c>
      <c r="AT183" s="55"/>
      <c r="AU183" s="32"/>
      <c r="AV183" s="32"/>
      <c r="AW183" s="55"/>
      <c r="AX183" s="32"/>
      <c r="AY183" s="54"/>
      <c r="AZ183" s="56" t="str">
        <f>IFERROR(VLOOKUP(June[[#This Row],[Drug Name5]],'Data Options'!$R$1:$S$100,2,FALSE), " ")</f>
        <v xml:space="preserve"> </v>
      </c>
      <c r="BA183" s="55"/>
      <c r="BB183" s="32"/>
      <c r="BC183" s="32"/>
      <c r="BD183" s="55"/>
      <c r="BE183" s="32"/>
      <c r="BF183" s="54"/>
      <c r="BG183" s="56" t="str">
        <f>IFERROR(VLOOKUP(June[[#This Row],[Drug Name6]],'Data Options'!$R$1:$S$100,2,FALSE), " ")</f>
        <v xml:space="preserve"> </v>
      </c>
      <c r="BH183" s="55"/>
      <c r="BI183" s="32"/>
      <c r="BJ183" s="32"/>
      <c r="BK183" s="55"/>
      <c r="BL183" s="32"/>
      <c r="BM183" s="32"/>
      <c r="BN183" s="32"/>
      <c r="BO183" s="32"/>
      <c r="BP183" s="32"/>
      <c r="BQ183" s="31"/>
      <c r="BR183" s="31"/>
      <c r="BS183" s="54"/>
      <c r="BT183" s="56" t="str">
        <f>IFERROR(VLOOKUP(June[[#This Row],[Drug Name7]],'Data Options'!$R$1:$S$100,2,FALSE), " ")</f>
        <v xml:space="preserve"> </v>
      </c>
      <c r="BU183" s="55"/>
      <c r="BV183" s="32"/>
      <c r="BW183" s="32"/>
      <c r="BX183" s="55"/>
      <c r="BY183" s="32"/>
      <c r="BZ183" s="54"/>
      <c r="CA183" s="56" t="str">
        <f>IFERROR(VLOOKUP(June[[#This Row],[Drug Name8]],'Data Options'!$R$1:$S$100,2,FALSE), " ")</f>
        <v xml:space="preserve"> </v>
      </c>
      <c r="CB183" s="55"/>
      <c r="CC183" s="32"/>
      <c r="CD183" s="32"/>
      <c r="CE183" s="55"/>
      <c r="CF183" s="32"/>
      <c r="CG183" s="54"/>
      <c r="CH183" s="56" t="str">
        <f>IFERROR(VLOOKUP(June[[#This Row],[Drug Name9]],'Data Options'!$R$1:$S$100,2,FALSE), " ")</f>
        <v xml:space="preserve"> </v>
      </c>
      <c r="CI183" s="55"/>
      <c r="CJ183" s="32"/>
      <c r="CK183" s="32"/>
      <c r="CL183" s="55"/>
      <c r="CM183" s="32"/>
    </row>
    <row r="184" spans="1:91">
      <c r="A184" s="5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1"/>
      <c r="P184" s="31"/>
      <c r="Q184" s="54"/>
      <c r="R184" s="56" t="str">
        <f>IFERROR(VLOOKUP(June[[#This Row],[Drug Name]],'Data Options'!$R$1:$S$100,2,FALSE), " ")</f>
        <v xml:space="preserve"> </v>
      </c>
      <c r="S184" s="55"/>
      <c r="T184" s="32"/>
      <c r="U184" s="32"/>
      <c r="V184" s="55"/>
      <c r="W184" s="32"/>
      <c r="X184" s="54"/>
      <c r="Y184" s="56" t="str">
        <f>IFERROR(VLOOKUP(June[[#This Row],[Drug Name2]],'Data Options'!$R$1:$S$100,2,FALSE), " ")</f>
        <v xml:space="preserve"> </v>
      </c>
      <c r="Z184" s="55"/>
      <c r="AA184" s="32"/>
      <c r="AB184" s="32"/>
      <c r="AC184" s="55"/>
      <c r="AD184" s="32"/>
      <c r="AE184" s="54"/>
      <c r="AF184" s="56" t="str">
        <f>IFERROR(VLOOKUP(June[[#This Row],[Drug Name3]],'Data Options'!$R$1:$S$100,2,FALSE), " ")</f>
        <v xml:space="preserve"> </v>
      </c>
      <c r="AG184" s="55"/>
      <c r="AH184" s="32"/>
      <c r="AI184" s="32"/>
      <c r="AJ184" s="55"/>
      <c r="AK184" s="32"/>
      <c r="AL184" s="32"/>
      <c r="AM184" s="32"/>
      <c r="AN184" s="32"/>
      <c r="AO184" s="32"/>
      <c r="AP184" s="31"/>
      <c r="AQ184" s="31"/>
      <c r="AR184" s="54"/>
      <c r="AS184" s="56" t="str">
        <f>IFERROR(VLOOKUP(June[[#This Row],[Drug Name4]],'Data Options'!$R$1:$S$100,2,FALSE), " ")</f>
        <v xml:space="preserve"> </v>
      </c>
      <c r="AT184" s="55"/>
      <c r="AU184" s="32"/>
      <c r="AV184" s="32"/>
      <c r="AW184" s="55"/>
      <c r="AX184" s="32"/>
      <c r="AY184" s="54"/>
      <c r="AZ184" s="56" t="str">
        <f>IFERROR(VLOOKUP(June[[#This Row],[Drug Name5]],'Data Options'!$R$1:$S$100,2,FALSE), " ")</f>
        <v xml:space="preserve"> </v>
      </c>
      <c r="BA184" s="55"/>
      <c r="BB184" s="32"/>
      <c r="BC184" s="32"/>
      <c r="BD184" s="55"/>
      <c r="BE184" s="32"/>
      <c r="BF184" s="54"/>
      <c r="BG184" s="56" t="str">
        <f>IFERROR(VLOOKUP(June[[#This Row],[Drug Name6]],'Data Options'!$R$1:$S$100,2,FALSE), " ")</f>
        <v xml:space="preserve"> </v>
      </c>
      <c r="BH184" s="55"/>
      <c r="BI184" s="32"/>
      <c r="BJ184" s="32"/>
      <c r="BK184" s="55"/>
      <c r="BL184" s="32"/>
      <c r="BM184" s="32"/>
      <c r="BN184" s="32"/>
      <c r="BO184" s="32"/>
      <c r="BP184" s="32"/>
      <c r="BQ184" s="31"/>
      <c r="BR184" s="31"/>
      <c r="BS184" s="54"/>
      <c r="BT184" s="56" t="str">
        <f>IFERROR(VLOOKUP(June[[#This Row],[Drug Name7]],'Data Options'!$R$1:$S$100,2,FALSE), " ")</f>
        <v xml:space="preserve"> </v>
      </c>
      <c r="BU184" s="55"/>
      <c r="BV184" s="32"/>
      <c r="BW184" s="32"/>
      <c r="BX184" s="55"/>
      <c r="BY184" s="32"/>
      <c r="BZ184" s="54"/>
      <c r="CA184" s="56" t="str">
        <f>IFERROR(VLOOKUP(June[[#This Row],[Drug Name8]],'Data Options'!$R$1:$S$100,2,FALSE), " ")</f>
        <v xml:space="preserve"> </v>
      </c>
      <c r="CB184" s="55"/>
      <c r="CC184" s="32"/>
      <c r="CD184" s="32"/>
      <c r="CE184" s="55"/>
      <c r="CF184" s="32"/>
      <c r="CG184" s="54"/>
      <c r="CH184" s="56" t="str">
        <f>IFERROR(VLOOKUP(June[[#This Row],[Drug Name9]],'Data Options'!$R$1:$S$100,2,FALSE), " ")</f>
        <v xml:space="preserve"> </v>
      </c>
      <c r="CI184" s="55"/>
      <c r="CJ184" s="32"/>
      <c r="CK184" s="32"/>
      <c r="CL184" s="55"/>
      <c r="CM184" s="32"/>
    </row>
    <row r="185" spans="1:91">
      <c r="A185" s="5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1"/>
      <c r="P185" s="31"/>
      <c r="Q185" s="54"/>
      <c r="R185" s="56" t="str">
        <f>IFERROR(VLOOKUP(June[[#This Row],[Drug Name]],'Data Options'!$R$1:$S$100,2,FALSE), " ")</f>
        <v xml:space="preserve"> </v>
      </c>
      <c r="S185" s="55"/>
      <c r="T185" s="32"/>
      <c r="U185" s="32"/>
      <c r="V185" s="55"/>
      <c r="W185" s="32"/>
      <c r="X185" s="54"/>
      <c r="Y185" s="56" t="str">
        <f>IFERROR(VLOOKUP(June[[#This Row],[Drug Name2]],'Data Options'!$R$1:$S$100,2,FALSE), " ")</f>
        <v xml:space="preserve"> </v>
      </c>
      <c r="Z185" s="55"/>
      <c r="AA185" s="32"/>
      <c r="AB185" s="32"/>
      <c r="AC185" s="55"/>
      <c r="AD185" s="32"/>
      <c r="AE185" s="54"/>
      <c r="AF185" s="56" t="str">
        <f>IFERROR(VLOOKUP(June[[#This Row],[Drug Name3]],'Data Options'!$R$1:$S$100,2,FALSE), " ")</f>
        <v xml:space="preserve"> </v>
      </c>
      <c r="AG185" s="55"/>
      <c r="AH185" s="32"/>
      <c r="AI185" s="32"/>
      <c r="AJ185" s="55"/>
      <c r="AK185" s="32"/>
      <c r="AL185" s="32"/>
      <c r="AM185" s="32"/>
      <c r="AN185" s="32"/>
      <c r="AO185" s="32"/>
      <c r="AP185" s="31"/>
      <c r="AQ185" s="31"/>
      <c r="AR185" s="54"/>
      <c r="AS185" s="56" t="str">
        <f>IFERROR(VLOOKUP(June[[#This Row],[Drug Name4]],'Data Options'!$R$1:$S$100,2,FALSE), " ")</f>
        <v xml:space="preserve"> </v>
      </c>
      <c r="AT185" s="55"/>
      <c r="AU185" s="32"/>
      <c r="AV185" s="32"/>
      <c r="AW185" s="55"/>
      <c r="AX185" s="32"/>
      <c r="AY185" s="54"/>
      <c r="AZ185" s="56" t="str">
        <f>IFERROR(VLOOKUP(June[[#This Row],[Drug Name5]],'Data Options'!$R$1:$S$100,2,FALSE), " ")</f>
        <v xml:space="preserve"> </v>
      </c>
      <c r="BA185" s="55"/>
      <c r="BB185" s="32"/>
      <c r="BC185" s="32"/>
      <c r="BD185" s="55"/>
      <c r="BE185" s="32"/>
      <c r="BF185" s="54"/>
      <c r="BG185" s="56" t="str">
        <f>IFERROR(VLOOKUP(June[[#This Row],[Drug Name6]],'Data Options'!$R$1:$S$100,2,FALSE), " ")</f>
        <v xml:space="preserve"> </v>
      </c>
      <c r="BH185" s="55"/>
      <c r="BI185" s="32"/>
      <c r="BJ185" s="32"/>
      <c r="BK185" s="55"/>
      <c r="BL185" s="32"/>
      <c r="BM185" s="32"/>
      <c r="BN185" s="32"/>
      <c r="BO185" s="32"/>
      <c r="BP185" s="32"/>
      <c r="BQ185" s="31"/>
      <c r="BR185" s="31"/>
      <c r="BS185" s="54"/>
      <c r="BT185" s="56" t="str">
        <f>IFERROR(VLOOKUP(June[[#This Row],[Drug Name7]],'Data Options'!$R$1:$S$100,2,FALSE), " ")</f>
        <v xml:space="preserve"> </v>
      </c>
      <c r="BU185" s="55"/>
      <c r="BV185" s="32"/>
      <c r="BW185" s="32"/>
      <c r="BX185" s="55"/>
      <c r="BY185" s="32"/>
      <c r="BZ185" s="54"/>
      <c r="CA185" s="56" t="str">
        <f>IFERROR(VLOOKUP(June[[#This Row],[Drug Name8]],'Data Options'!$R$1:$S$100,2,FALSE), " ")</f>
        <v xml:space="preserve"> </v>
      </c>
      <c r="CB185" s="55"/>
      <c r="CC185" s="32"/>
      <c r="CD185" s="32"/>
      <c r="CE185" s="55"/>
      <c r="CF185" s="32"/>
      <c r="CG185" s="54"/>
      <c r="CH185" s="56" t="str">
        <f>IFERROR(VLOOKUP(June[[#This Row],[Drug Name9]],'Data Options'!$R$1:$S$100,2,FALSE), " ")</f>
        <v xml:space="preserve"> </v>
      </c>
      <c r="CI185" s="55"/>
      <c r="CJ185" s="32"/>
      <c r="CK185" s="32"/>
      <c r="CL185" s="55"/>
      <c r="CM185" s="32"/>
    </row>
    <row r="186" spans="1:91">
      <c r="A186" s="5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1"/>
      <c r="P186" s="31"/>
      <c r="Q186" s="54"/>
      <c r="R186" s="56" t="str">
        <f>IFERROR(VLOOKUP(June[[#This Row],[Drug Name]],'Data Options'!$R$1:$S$100,2,FALSE), " ")</f>
        <v xml:space="preserve"> </v>
      </c>
      <c r="S186" s="55"/>
      <c r="T186" s="32"/>
      <c r="U186" s="32"/>
      <c r="V186" s="55"/>
      <c r="W186" s="32"/>
      <c r="X186" s="54"/>
      <c r="Y186" s="56" t="str">
        <f>IFERROR(VLOOKUP(June[[#This Row],[Drug Name2]],'Data Options'!$R$1:$S$100,2,FALSE), " ")</f>
        <v xml:space="preserve"> </v>
      </c>
      <c r="Z186" s="55"/>
      <c r="AA186" s="32"/>
      <c r="AB186" s="32"/>
      <c r="AC186" s="55"/>
      <c r="AD186" s="32"/>
      <c r="AE186" s="54"/>
      <c r="AF186" s="56" t="str">
        <f>IFERROR(VLOOKUP(June[[#This Row],[Drug Name3]],'Data Options'!$R$1:$S$100,2,FALSE), " ")</f>
        <v xml:space="preserve"> </v>
      </c>
      <c r="AG186" s="55"/>
      <c r="AH186" s="32"/>
      <c r="AI186" s="32"/>
      <c r="AJ186" s="55"/>
      <c r="AK186" s="32"/>
      <c r="AL186" s="32"/>
      <c r="AM186" s="32"/>
      <c r="AN186" s="32"/>
      <c r="AO186" s="32"/>
      <c r="AP186" s="31"/>
      <c r="AQ186" s="31"/>
      <c r="AR186" s="54"/>
      <c r="AS186" s="56" t="str">
        <f>IFERROR(VLOOKUP(June[[#This Row],[Drug Name4]],'Data Options'!$R$1:$S$100,2,FALSE), " ")</f>
        <v xml:space="preserve"> </v>
      </c>
      <c r="AT186" s="55"/>
      <c r="AU186" s="32"/>
      <c r="AV186" s="32"/>
      <c r="AW186" s="55"/>
      <c r="AX186" s="32"/>
      <c r="AY186" s="54"/>
      <c r="AZ186" s="56" t="str">
        <f>IFERROR(VLOOKUP(June[[#This Row],[Drug Name5]],'Data Options'!$R$1:$S$100,2,FALSE), " ")</f>
        <v xml:space="preserve"> </v>
      </c>
      <c r="BA186" s="55"/>
      <c r="BB186" s="32"/>
      <c r="BC186" s="32"/>
      <c r="BD186" s="55"/>
      <c r="BE186" s="32"/>
      <c r="BF186" s="54"/>
      <c r="BG186" s="56" t="str">
        <f>IFERROR(VLOOKUP(June[[#This Row],[Drug Name6]],'Data Options'!$R$1:$S$100,2,FALSE), " ")</f>
        <v xml:space="preserve"> </v>
      </c>
      <c r="BH186" s="55"/>
      <c r="BI186" s="32"/>
      <c r="BJ186" s="32"/>
      <c r="BK186" s="55"/>
      <c r="BL186" s="32"/>
      <c r="BM186" s="32"/>
      <c r="BN186" s="32"/>
      <c r="BO186" s="32"/>
      <c r="BP186" s="32"/>
      <c r="BQ186" s="31"/>
      <c r="BR186" s="31"/>
      <c r="BS186" s="54"/>
      <c r="BT186" s="56" t="str">
        <f>IFERROR(VLOOKUP(June[[#This Row],[Drug Name7]],'Data Options'!$R$1:$S$100,2,FALSE), " ")</f>
        <v xml:space="preserve"> </v>
      </c>
      <c r="BU186" s="55"/>
      <c r="BV186" s="32"/>
      <c r="BW186" s="32"/>
      <c r="BX186" s="55"/>
      <c r="BY186" s="32"/>
      <c r="BZ186" s="54"/>
      <c r="CA186" s="56" t="str">
        <f>IFERROR(VLOOKUP(June[[#This Row],[Drug Name8]],'Data Options'!$R$1:$S$100,2,FALSE), " ")</f>
        <v xml:space="preserve"> </v>
      </c>
      <c r="CB186" s="55"/>
      <c r="CC186" s="32"/>
      <c r="CD186" s="32"/>
      <c r="CE186" s="55"/>
      <c r="CF186" s="32"/>
      <c r="CG186" s="54"/>
      <c r="CH186" s="56" t="str">
        <f>IFERROR(VLOOKUP(June[[#This Row],[Drug Name9]],'Data Options'!$R$1:$S$100,2,FALSE), " ")</f>
        <v xml:space="preserve"> </v>
      </c>
      <c r="CI186" s="55"/>
      <c r="CJ186" s="32"/>
      <c r="CK186" s="32"/>
      <c r="CL186" s="55"/>
      <c r="CM186" s="32"/>
    </row>
    <row r="187" spans="1:91">
      <c r="A187" s="5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1"/>
      <c r="P187" s="31"/>
      <c r="Q187" s="54"/>
      <c r="R187" s="56" t="str">
        <f>IFERROR(VLOOKUP(June[[#This Row],[Drug Name]],'Data Options'!$R$1:$S$100,2,FALSE), " ")</f>
        <v xml:space="preserve"> </v>
      </c>
      <c r="S187" s="55"/>
      <c r="T187" s="32"/>
      <c r="U187" s="32"/>
      <c r="V187" s="55"/>
      <c r="W187" s="32"/>
      <c r="X187" s="54"/>
      <c r="Y187" s="56" t="str">
        <f>IFERROR(VLOOKUP(June[[#This Row],[Drug Name2]],'Data Options'!$R$1:$S$100,2,FALSE), " ")</f>
        <v xml:space="preserve"> </v>
      </c>
      <c r="Z187" s="55"/>
      <c r="AA187" s="32"/>
      <c r="AB187" s="32"/>
      <c r="AC187" s="55"/>
      <c r="AD187" s="32"/>
      <c r="AE187" s="54"/>
      <c r="AF187" s="56" t="str">
        <f>IFERROR(VLOOKUP(June[[#This Row],[Drug Name3]],'Data Options'!$R$1:$S$100,2,FALSE), " ")</f>
        <v xml:space="preserve"> </v>
      </c>
      <c r="AG187" s="55"/>
      <c r="AH187" s="32"/>
      <c r="AI187" s="32"/>
      <c r="AJ187" s="55"/>
      <c r="AK187" s="32"/>
      <c r="AL187" s="32"/>
      <c r="AM187" s="32"/>
      <c r="AN187" s="32"/>
      <c r="AO187" s="32"/>
      <c r="AP187" s="31"/>
      <c r="AQ187" s="31"/>
      <c r="AR187" s="54"/>
      <c r="AS187" s="56" t="str">
        <f>IFERROR(VLOOKUP(June[[#This Row],[Drug Name4]],'Data Options'!$R$1:$S$100,2,FALSE), " ")</f>
        <v xml:space="preserve"> </v>
      </c>
      <c r="AT187" s="55"/>
      <c r="AU187" s="32"/>
      <c r="AV187" s="32"/>
      <c r="AW187" s="55"/>
      <c r="AX187" s="32"/>
      <c r="AY187" s="54"/>
      <c r="AZ187" s="56" t="str">
        <f>IFERROR(VLOOKUP(June[[#This Row],[Drug Name5]],'Data Options'!$R$1:$S$100,2,FALSE), " ")</f>
        <v xml:space="preserve"> </v>
      </c>
      <c r="BA187" s="55"/>
      <c r="BB187" s="32"/>
      <c r="BC187" s="32"/>
      <c r="BD187" s="55"/>
      <c r="BE187" s="32"/>
      <c r="BF187" s="54"/>
      <c r="BG187" s="56" t="str">
        <f>IFERROR(VLOOKUP(June[[#This Row],[Drug Name6]],'Data Options'!$R$1:$S$100,2,FALSE), " ")</f>
        <v xml:space="preserve"> </v>
      </c>
      <c r="BH187" s="55"/>
      <c r="BI187" s="32"/>
      <c r="BJ187" s="32"/>
      <c r="BK187" s="55"/>
      <c r="BL187" s="32"/>
      <c r="BM187" s="32"/>
      <c r="BN187" s="32"/>
      <c r="BO187" s="32"/>
      <c r="BP187" s="32"/>
      <c r="BQ187" s="31"/>
      <c r="BR187" s="31"/>
      <c r="BS187" s="54"/>
      <c r="BT187" s="56" t="str">
        <f>IFERROR(VLOOKUP(June[[#This Row],[Drug Name7]],'Data Options'!$R$1:$S$100,2,FALSE), " ")</f>
        <v xml:space="preserve"> </v>
      </c>
      <c r="BU187" s="55"/>
      <c r="BV187" s="32"/>
      <c r="BW187" s="32"/>
      <c r="BX187" s="55"/>
      <c r="BY187" s="32"/>
      <c r="BZ187" s="54"/>
      <c r="CA187" s="56" t="str">
        <f>IFERROR(VLOOKUP(June[[#This Row],[Drug Name8]],'Data Options'!$R$1:$S$100,2,FALSE), " ")</f>
        <v xml:space="preserve"> </v>
      </c>
      <c r="CB187" s="55"/>
      <c r="CC187" s="32"/>
      <c r="CD187" s="32"/>
      <c r="CE187" s="55"/>
      <c r="CF187" s="32"/>
      <c r="CG187" s="54"/>
      <c r="CH187" s="56" t="str">
        <f>IFERROR(VLOOKUP(June[[#This Row],[Drug Name9]],'Data Options'!$R$1:$S$100,2,FALSE), " ")</f>
        <v xml:space="preserve"> </v>
      </c>
      <c r="CI187" s="55"/>
      <c r="CJ187" s="32"/>
      <c r="CK187" s="32"/>
      <c r="CL187" s="55"/>
      <c r="CM187" s="32"/>
    </row>
    <row r="188" spans="1:91">
      <c r="A188" s="5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1"/>
      <c r="P188" s="31"/>
      <c r="Q188" s="54"/>
      <c r="R188" s="56" t="str">
        <f>IFERROR(VLOOKUP(June[[#This Row],[Drug Name]],'Data Options'!$R$1:$S$100,2,FALSE), " ")</f>
        <v xml:space="preserve"> </v>
      </c>
      <c r="S188" s="55"/>
      <c r="T188" s="32"/>
      <c r="U188" s="32"/>
      <c r="V188" s="55"/>
      <c r="W188" s="32"/>
      <c r="X188" s="54"/>
      <c r="Y188" s="56" t="str">
        <f>IFERROR(VLOOKUP(June[[#This Row],[Drug Name2]],'Data Options'!$R$1:$S$100,2,FALSE), " ")</f>
        <v xml:space="preserve"> </v>
      </c>
      <c r="Z188" s="55"/>
      <c r="AA188" s="32"/>
      <c r="AB188" s="32"/>
      <c r="AC188" s="55"/>
      <c r="AD188" s="32"/>
      <c r="AE188" s="54"/>
      <c r="AF188" s="56" t="str">
        <f>IFERROR(VLOOKUP(June[[#This Row],[Drug Name3]],'Data Options'!$R$1:$S$100,2,FALSE), " ")</f>
        <v xml:space="preserve"> </v>
      </c>
      <c r="AG188" s="55"/>
      <c r="AH188" s="32"/>
      <c r="AI188" s="32"/>
      <c r="AJ188" s="55"/>
      <c r="AK188" s="32"/>
      <c r="AL188" s="32"/>
      <c r="AM188" s="32"/>
      <c r="AN188" s="32"/>
      <c r="AO188" s="32"/>
      <c r="AP188" s="31"/>
      <c r="AQ188" s="31"/>
      <c r="AR188" s="54"/>
      <c r="AS188" s="56" t="str">
        <f>IFERROR(VLOOKUP(June[[#This Row],[Drug Name4]],'Data Options'!$R$1:$S$100,2,FALSE), " ")</f>
        <v xml:space="preserve"> </v>
      </c>
      <c r="AT188" s="55"/>
      <c r="AU188" s="32"/>
      <c r="AV188" s="32"/>
      <c r="AW188" s="55"/>
      <c r="AX188" s="32"/>
      <c r="AY188" s="54"/>
      <c r="AZ188" s="56" t="str">
        <f>IFERROR(VLOOKUP(June[[#This Row],[Drug Name5]],'Data Options'!$R$1:$S$100,2,FALSE), " ")</f>
        <v xml:space="preserve"> </v>
      </c>
      <c r="BA188" s="55"/>
      <c r="BB188" s="32"/>
      <c r="BC188" s="32"/>
      <c r="BD188" s="55"/>
      <c r="BE188" s="32"/>
      <c r="BF188" s="54"/>
      <c r="BG188" s="56" t="str">
        <f>IFERROR(VLOOKUP(June[[#This Row],[Drug Name6]],'Data Options'!$R$1:$S$100,2,FALSE), " ")</f>
        <v xml:space="preserve"> </v>
      </c>
      <c r="BH188" s="55"/>
      <c r="BI188" s="32"/>
      <c r="BJ188" s="32"/>
      <c r="BK188" s="55"/>
      <c r="BL188" s="32"/>
      <c r="BM188" s="32"/>
      <c r="BN188" s="32"/>
      <c r="BO188" s="32"/>
      <c r="BP188" s="32"/>
      <c r="BQ188" s="31"/>
      <c r="BR188" s="31"/>
      <c r="BS188" s="54"/>
      <c r="BT188" s="56" t="str">
        <f>IFERROR(VLOOKUP(June[[#This Row],[Drug Name7]],'Data Options'!$R$1:$S$100,2,FALSE), " ")</f>
        <v xml:space="preserve"> </v>
      </c>
      <c r="BU188" s="55"/>
      <c r="BV188" s="32"/>
      <c r="BW188" s="32"/>
      <c r="BX188" s="55"/>
      <c r="BY188" s="32"/>
      <c r="BZ188" s="54"/>
      <c r="CA188" s="56" t="str">
        <f>IFERROR(VLOOKUP(June[[#This Row],[Drug Name8]],'Data Options'!$R$1:$S$100,2,FALSE), " ")</f>
        <v xml:space="preserve"> </v>
      </c>
      <c r="CB188" s="55"/>
      <c r="CC188" s="32"/>
      <c r="CD188" s="32"/>
      <c r="CE188" s="55"/>
      <c r="CF188" s="32"/>
      <c r="CG188" s="54"/>
      <c r="CH188" s="56" t="str">
        <f>IFERROR(VLOOKUP(June[[#This Row],[Drug Name9]],'Data Options'!$R$1:$S$100,2,FALSE), " ")</f>
        <v xml:space="preserve"> </v>
      </c>
      <c r="CI188" s="55"/>
      <c r="CJ188" s="32"/>
      <c r="CK188" s="32"/>
      <c r="CL188" s="55"/>
      <c r="CM188" s="32"/>
    </row>
    <row r="189" spans="1:91">
      <c r="A189" s="5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/>
      <c r="P189" s="31"/>
      <c r="Q189" s="54"/>
      <c r="R189" s="56" t="str">
        <f>IFERROR(VLOOKUP(June[[#This Row],[Drug Name]],'Data Options'!$R$1:$S$100,2,FALSE), " ")</f>
        <v xml:space="preserve"> </v>
      </c>
      <c r="S189" s="55"/>
      <c r="T189" s="32"/>
      <c r="U189" s="32"/>
      <c r="V189" s="55"/>
      <c r="W189" s="32"/>
      <c r="X189" s="54"/>
      <c r="Y189" s="56" t="str">
        <f>IFERROR(VLOOKUP(June[[#This Row],[Drug Name2]],'Data Options'!$R$1:$S$100,2,FALSE), " ")</f>
        <v xml:space="preserve"> </v>
      </c>
      <c r="Z189" s="55"/>
      <c r="AA189" s="32"/>
      <c r="AB189" s="32"/>
      <c r="AC189" s="55"/>
      <c r="AD189" s="32"/>
      <c r="AE189" s="54"/>
      <c r="AF189" s="56" t="str">
        <f>IFERROR(VLOOKUP(June[[#This Row],[Drug Name3]],'Data Options'!$R$1:$S$100,2,FALSE), " ")</f>
        <v xml:space="preserve"> </v>
      </c>
      <c r="AG189" s="55"/>
      <c r="AH189" s="32"/>
      <c r="AI189" s="32"/>
      <c r="AJ189" s="55"/>
      <c r="AK189" s="32"/>
      <c r="AL189" s="32"/>
      <c r="AM189" s="32"/>
      <c r="AN189" s="32"/>
      <c r="AO189" s="32"/>
      <c r="AP189" s="31"/>
      <c r="AQ189" s="31"/>
      <c r="AR189" s="54"/>
      <c r="AS189" s="56" t="str">
        <f>IFERROR(VLOOKUP(June[[#This Row],[Drug Name4]],'Data Options'!$R$1:$S$100,2,FALSE), " ")</f>
        <v xml:space="preserve"> </v>
      </c>
      <c r="AT189" s="55"/>
      <c r="AU189" s="32"/>
      <c r="AV189" s="32"/>
      <c r="AW189" s="55"/>
      <c r="AX189" s="32"/>
      <c r="AY189" s="54"/>
      <c r="AZ189" s="56" t="str">
        <f>IFERROR(VLOOKUP(June[[#This Row],[Drug Name5]],'Data Options'!$R$1:$S$100,2,FALSE), " ")</f>
        <v xml:space="preserve"> </v>
      </c>
      <c r="BA189" s="55"/>
      <c r="BB189" s="32"/>
      <c r="BC189" s="32"/>
      <c r="BD189" s="55"/>
      <c r="BE189" s="32"/>
      <c r="BF189" s="54"/>
      <c r="BG189" s="56" t="str">
        <f>IFERROR(VLOOKUP(June[[#This Row],[Drug Name6]],'Data Options'!$R$1:$S$100,2,FALSE), " ")</f>
        <v xml:space="preserve"> </v>
      </c>
      <c r="BH189" s="55"/>
      <c r="BI189" s="32"/>
      <c r="BJ189" s="32"/>
      <c r="BK189" s="55"/>
      <c r="BL189" s="32"/>
      <c r="BM189" s="32"/>
      <c r="BN189" s="32"/>
      <c r="BO189" s="32"/>
      <c r="BP189" s="32"/>
      <c r="BQ189" s="31"/>
      <c r="BR189" s="31"/>
      <c r="BS189" s="54"/>
      <c r="BT189" s="56" t="str">
        <f>IFERROR(VLOOKUP(June[[#This Row],[Drug Name7]],'Data Options'!$R$1:$S$100,2,FALSE), " ")</f>
        <v xml:space="preserve"> </v>
      </c>
      <c r="BU189" s="55"/>
      <c r="BV189" s="32"/>
      <c r="BW189" s="32"/>
      <c r="BX189" s="55"/>
      <c r="BY189" s="32"/>
      <c r="BZ189" s="54"/>
      <c r="CA189" s="56" t="str">
        <f>IFERROR(VLOOKUP(June[[#This Row],[Drug Name8]],'Data Options'!$R$1:$S$100,2,FALSE), " ")</f>
        <v xml:space="preserve"> </v>
      </c>
      <c r="CB189" s="55"/>
      <c r="CC189" s="32"/>
      <c r="CD189" s="32"/>
      <c r="CE189" s="55"/>
      <c r="CF189" s="32"/>
      <c r="CG189" s="54"/>
      <c r="CH189" s="56" t="str">
        <f>IFERROR(VLOOKUP(June[[#This Row],[Drug Name9]],'Data Options'!$R$1:$S$100,2,FALSE), " ")</f>
        <v xml:space="preserve"> </v>
      </c>
      <c r="CI189" s="55"/>
      <c r="CJ189" s="32"/>
      <c r="CK189" s="32"/>
      <c r="CL189" s="55"/>
      <c r="CM189" s="32"/>
    </row>
    <row r="190" spans="1:91">
      <c r="A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54"/>
      <c r="R190" s="56" t="str">
        <f>IFERROR(VLOOKUP(June[[#This Row],[Drug Name]],'Data Options'!$R$1:$S$100,2,FALSE), " ")</f>
        <v xml:space="preserve"> </v>
      </c>
      <c r="S190" s="55"/>
      <c r="T190" s="32"/>
      <c r="U190" s="32"/>
      <c r="V190" s="55"/>
      <c r="W190" s="32"/>
      <c r="X190" s="54"/>
      <c r="Y190" s="56" t="str">
        <f>IFERROR(VLOOKUP(June[[#This Row],[Drug Name2]],'Data Options'!$R$1:$S$100,2,FALSE), " ")</f>
        <v xml:space="preserve"> </v>
      </c>
      <c r="Z190" s="55"/>
      <c r="AA190" s="32"/>
      <c r="AB190" s="32"/>
      <c r="AC190" s="55"/>
      <c r="AD190" s="32"/>
      <c r="AE190" s="54"/>
      <c r="AF190" s="56" t="str">
        <f>IFERROR(VLOOKUP(June[[#This Row],[Drug Name3]],'Data Options'!$R$1:$S$100,2,FALSE), " ")</f>
        <v xml:space="preserve"> </v>
      </c>
      <c r="AG190" s="55"/>
      <c r="AH190" s="32"/>
      <c r="AI190" s="32"/>
      <c r="AJ190" s="55"/>
      <c r="AK190" s="32"/>
      <c r="AL190" s="32"/>
      <c r="AM190" s="32"/>
      <c r="AN190" s="32"/>
      <c r="AO190" s="32"/>
      <c r="AP190" s="31"/>
      <c r="AQ190" s="31"/>
      <c r="AR190" s="54"/>
      <c r="AS190" s="56" t="str">
        <f>IFERROR(VLOOKUP(June[[#This Row],[Drug Name4]],'Data Options'!$R$1:$S$100,2,FALSE), " ")</f>
        <v xml:space="preserve"> </v>
      </c>
      <c r="AT190" s="55"/>
      <c r="AU190" s="32"/>
      <c r="AV190" s="32"/>
      <c r="AW190" s="55"/>
      <c r="AX190" s="32"/>
      <c r="AY190" s="54"/>
      <c r="AZ190" s="56" t="str">
        <f>IFERROR(VLOOKUP(June[[#This Row],[Drug Name5]],'Data Options'!$R$1:$S$100,2,FALSE), " ")</f>
        <v xml:space="preserve"> </v>
      </c>
      <c r="BA190" s="55"/>
      <c r="BB190" s="32"/>
      <c r="BC190" s="32"/>
      <c r="BD190" s="55"/>
      <c r="BE190" s="32"/>
      <c r="BF190" s="54"/>
      <c r="BG190" s="56" t="str">
        <f>IFERROR(VLOOKUP(June[[#This Row],[Drug Name6]],'Data Options'!$R$1:$S$100,2,FALSE), " ")</f>
        <v xml:space="preserve"> </v>
      </c>
      <c r="BH190" s="55"/>
      <c r="BI190" s="32"/>
      <c r="BJ190" s="32"/>
      <c r="BK190" s="55"/>
      <c r="BL190" s="32"/>
      <c r="BM190" s="32"/>
      <c r="BN190" s="32"/>
      <c r="BO190" s="32"/>
      <c r="BP190" s="32"/>
      <c r="BQ190" s="31"/>
      <c r="BR190" s="31"/>
      <c r="BS190" s="54"/>
      <c r="BT190" s="56" t="str">
        <f>IFERROR(VLOOKUP(June[[#This Row],[Drug Name7]],'Data Options'!$R$1:$S$100,2,FALSE), " ")</f>
        <v xml:space="preserve"> </v>
      </c>
      <c r="BU190" s="55"/>
      <c r="BV190" s="32"/>
      <c r="BW190" s="32"/>
      <c r="BX190" s="55"/>
      <c r="BY190" s="32"/>
      <c r="BZ190" s="54"/>
      <c r="CA190" s="56" t="str">
        <f>IFERROR(VLOOKUP(June[[#This Row],[Drug Name8]],'Data Options'!$R$1:$S$100,2,FALSE), " ")</f>
        <v xml:space="preserve"> </v>
      </c>
      <c r="CB190" s="55"/>
      <c r="CC190" s="32"/>
      <c r="CD190" s="32"/>
      <c r="CE190" s="55"/>
      <c r="CF190" s="32"/>
      <c r="CG190" s="54"/>
      <c r="CH190" s="56" t="str">
        <f>IFERROR(VLOOKUP(June[[#This Row],[Drug Name9]],'Data Options'!$R$1:$S$100,2,FALSE), " ")</f>
        <v xml:space="preserve"> </v>
      </c>
      <c r="CI190" s="55"/>
      <c r="CJ190" s="32"/>
      <c r="CK190" s="32"/>
      <c r="CL190" s="55"/>
      <c r="CM190" s="32"/>
    </row>
    <row r="191" spans="1:91">
      <c r="A191" s="5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1"/>
      <c r="P191" s="31"/>
      <c r="Q191" s="54"/>
      <c r="R191" s="56" t="str">
        <f>IFERROR(VLOOKUP(June[[#This Row],[Drug Name]],'Data Options'!$R$1:$S$100,2,FALSE), " ")</f>
        <v xml:space="preserve"> </v>
      </c>
      <c r="S191" s="55"/>
      <c r="T191" s="32"/>
      <c r="U191" s="32"/>
      <c r="V191" s="55"/>
      <c r="W191" s="32"/>
      <c r="X191" s="54"/>
      <c r="Y191" s="56" t="str">
        <f>IFERROR(VLOOKUP(June[[#This Row],[Drug Name2]],'Data Options'!$R$1:$S$100,2,FALSE), " ")</f>
        <v xml:space="preserve"> </v>
      </c>
      <c r="Z191" s="55"/>
      <c r="AA191" s="32"/>
      <c r="AB191" s="32"/>
      <c r="AC191" s="55"/>
      <c r="AD191" s="32"/>
      <c r="AE191" s="54"/>
      <c r="AF191" s="56" t="str">
        <f>IFERROR(VLOOKUP(June[[#This Row],[Drug Name3]],'Data Options'!$R$1:$S$100,2,FALSE), " ")</f>
        <v xml:space="preserve"> </v>
      </c>
      <c r="AG191" s="55"/>
      <c r="AH191" s="32"/>
      <c r="AI191" s="32"/>
      <c r="AJ191" s="55"/>
      <c r="AK191" s="32"/>
      <c r="AL191" s="32"/>
      <c r="AM191" s="32"/>
      <c r="AN191" s="32"/>
      <c r="AO191" s="32"/>
      <c r="AP191" s="31"/>
      <c r="AQ191" s="31"/>
      <c r="AR191" s="54"/>
      <c r="AS191" s="56" t="str">
        <f>IFERROR(VLOOKUP(June[[#This Row],[Drug Name4]],'Data Options'!$R$1:$S$100,2,FALSE), " ")</f>
        <v xml:space="preserve"> </v>
      </c>
      <c r="AT191" s="55"/>
      <c r="AU191" s="32"/>
      <c r="AV191" s="32"/>
      <c r="AW191" s="55"/>
      <c r="AX191" s="32"/>
      <c r="AY191" s="54"/>
      <c r="AZ191" s="56" t="str">
        <f>IFERROR(VLOOKUP(June[[#This Row],[Drug Name5]],'Data Options'!$R$1:$S$100,2,FALSE), " ")</f>
        <v xml:space="preserve"> </v>
      </c>
      <c r="BA191" s="55"/>
      <c r="BB191" s="32"/>
      <c r="BC191" s="32"/>
      <c r="BD191" s="55"/>
      <c r="BE191" s="32"/>
      <c r="BF191" s="54"/>
      <c r="BG191" s="56" t="str">
        <f>IFERROR(VLOOKUP(June[[#This Row],[Drug Name6]],'Data Options'!$R$1:$S$100,2,FALSE), " ")</f>
        <v xml:space="preserve"> </v>
      </c>
      <c r="BH191" s="55"/>
      <c r="BI191" s="32"/>
      <c r="BJ191" s="32"/>
      <c r="BK191" s="55"/>
      <c r="BL191" s="32"/>
      <c r="BM191" s="32"/>
      <c r="BN191" s="32"/>
      <c r="BO191" s="32"/>
      <c r="BP191" s="32"/>
      <c r="BQ191" s="31"/>
      <c r="BR191" s="31"/>
      <c r="BS191" s="54"/>
      <c r="BT191" s="56" t="str">
        <f>IFERROR(VLOOKUP(June[[#This Row],[Drug Name7]],'Data Options'!$R$1:$S$100,2,FALSE), " ")</f>
        <v xml:space="preserve"> </v>
      </c>
      <c r="BU191" s="55"/>
      <c r="BV191" s="32"/>
      <c r="BW191" s="32"/>
      <c r="BX191" s="55"/>
      <c r="BY191" s="32"/>
      <c r="BZ191" s="54"/>
      <c r="CA191" s="56" t="str">
        <f>IFERROR(VLOOKUP(June[[#This Row],[Drug Name8]],'Data Options'!$R$1:$S$100,2,FALSE), " ")</f>
        <v xml:space="preserve"> </v>
      </c>
      <c r="CB191" s="55"/>
      <c r="CC191" s="32"/>
      <c r="CD191" s="32"/>
      <c r="CE191" s="55"/>
      <c r="CF191" s="32"/>
      <c r="CG191" s="54"/>
      <c r="CH191" s="56" t="str">
        <f>IFERROR(VLOOKUP(June[[#This Row],[Drug Name9]],'Data Options'!$R$1:$S$100,2,FALSE), " ")</f>
        <v xml:space="preserve"> </v>
      </c>
      <c r="CI191" s="55"/>
      <c r="CJ191" s="32"/>
      <c r="CK191" s="32"/>
      <c r="CL191" s="55"/>
      <c r="CM191" s="32"/>
    </row>
    <row r="192" spans="1:91">
      <c r="A192" s="5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1"/>
      <c r="P192" s="31"/>
      <c r="Q192" s="54"/>
      <c r="R192" s="56" t="str">
        <f>IFERROR(VLOOKUP(June[[#This Row],[Drug Name]],'Data Options'!$R$1:$S$100,2,FALSE), " ")</f>
        <v xml:space="preserve"> </v>
      </c>
      <c r="S192" s="55"/>
      <c r="T192" s="32"/>
      <c r="U192" s="32"/>
      <c r="V192" s="55"/>
      <c r="W192" s="32"/>
      <c r="X192" s="54"/>
      <c r="Y192" s="56" t="str">
        <f>IFERROR(VLOOKUP(June[[#This Row],[Drug Name2]],'Data Options'!$R$1:$S$100,2,FALSE), " ")</f>
        <v xml:space="preserve"> </v>
      </c>
      <c r="Z192" s="55"/>
      <c r="AA192" s="32"/>
      <c r="AB192" s="32"/>
      <c r="AC192" s="55"/>
      <c r="AD192" s="32"/>
      <c r="AE192" s="54"/>
      <c r="AF192" s="56" t="str">
        <f>IFERROR(VLOOKUP(June[[#This Row],[Drug Name3]],'Data Options'!$R$1:$S$100,2,FALSE), " ")</f>
        <v xml:space="preserve"> </v>
      </c>
      <c r="AG192" s="55"/>
      <c r="AH192" s="32"/>
      <c r="AI192" s="32"/>
      <c r="AJ192" s="55"/>
      <c r="AK192" s="32"/>
      <c r="AL192" s="32"/>
      <c r="AM192" s="32"/>
      <c r="AN192" s="32"/>
      <c r="AO192" s="32"/>
      <c r="AP192" s="31"/>
      <c r="AQ192" s="31"/>
      <c r="AR192" s="54"/>
      <c r="AS192" s="56" t="str">
        <f>IFERROR(VLOOKUP(June[[#This Row],[Drug Name4]],'Data Options'!$R$1:$S$100,2,FALSE), " ")</f>
        <v xml:space="preserve"> </v>
      </c>
      <c r="AT192" s="55"/>
      <c r="AU192" s="32"/>
      <c r="AV192" s="32"/>
      <c r="AW192" s="55"/>
      <c r="AX192" s="32"/>
      <c r="AY192" s="54"/>
      <c r="AZ192" s="56" t="str">
        <f>IFERROR(VLOOKUP(June[[#This Row],[Drug Name5]],'Data Options'!$R$1:$S$100,2,FALSE), " ")</f>
        <v xml:space="preserve"> </v>
      </c>
      <c r="BA192" s="55"/>
      <c r="BB192" s="32"/>
      <c r="BC192" s="32"/>
      <c r="BD192" s="55"/>
      <c r="BE192" s="32"/>
      <c r="BF192" s="54"/>
      <c r="BG192" s="56" t="str">
        <f>IFERROR(VLOOKUP(June[[#This Row],[Drug Name6]],'Data Options'!$R$1:$S$100,2,FALSE), " ")</f>
        <v xml:space="preserve"> </v>
      </c>
      <c r="BH192" s="55"/>
      <c r="BI192" s="32"/>
      <c r="BJ192" s="32"/>
      <c r="BK192" s="55"/>
      <c r="BL192" s="32"/>
      <c r="BM192" s="32"/>
      <c r="BN192" s="32"/>
      <c r="BO192" s="32"/>
      <c r="BP192" s="32"/>
      <c r="BQ192" s="31"/>
      <c r="BR192" s="31"/>
      <c r="BS192" s="54"/>
      <c r="BT192" s="56" t="str">
        <f>IFERROR(VLOOKUP(June[[#This Row],[Drug Name7]],'Data Options'!$R$1:$S$100,2,FALSE), " ")</f>
        <v xml:space="preserve"> </v>
      </c>
      <c r="BU192" s="55"/>
      <c r="BV192" s="32"/>
      <c r="BW192" s="32"/>
      <c r="BX192" s="55"/>
      <c r="BY192" s="32"/>
      <c r="BZ192" s="54"/>
      <c r="CA192" s="56" t="str">
        <f>IFERROR(VLOOKUP(June[[#This Row],[Drug Name8]],'Data Options'!$R$1:$S$100,2,FALSE), " ")</f>
        <v xml:space="preserve"> </v>
      </c>
      <c r="CB192" s="55"/>
      <c r="CC192" s="32"/>
      <c r="CD192" s="32"/>
      <c r="CE192" s="55"/>
      <c r="CF192" s="32"/>
      <c r="CG192" s="54"/>
      <c r="CH192" s="56" t="str">
        <f>IFERROR(VLOOKUP(June[[#This Row],[Drug Name9]],'Data Options'!$R$1:$S$100,2,FALSE), " ")</f>
        <v xml:space="preserve"> </v>
      </c>
      <c r="CI192" s="55"/>
      <c r="CJ192" s="32"/>
      <c r="CK192" s="32"/>
      <c r="CL192" s="55"/>
      <c r="CM192" s="32"/>
    </row>
    <row r="193" spans="1:91">
      <c r="A193" s="5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1"/>
      <c r="P193" s="31"/>
      <c r="Q193" s="54"/>
      <c r="R193" s="56" t="str">
        <f>IFERROR(VLOOKUP(June[[#This Row],[Drug Name]],'Data Options'!$R$1:$S$100,2,FALSE), " ")</f>
        <v xml:space="preserve"> </v>
      </c>
      <c r="S193" s="55"/>
      <c r="T193" s="32"/>
      <c r="U193" s="32"/>
      <c r="V193" s="55"/>
      <c r="W193" s="32"/>
      <c r="X193" s="54"/>
      <c r="Y193" s="56" t="str">
        <f>IFERROR(VLOOKUP(June[[#This Row],[Drug Name2]],'Data Options'!$R$1:$S$100,2,FALSE), " ")</f>
        <v xml:space="preserve"> </v>
      </c>
      <c r="Z193" s="55"/>
      <c r="AA193" s="32"/>
      <c r="AB193" s="32"/>
      <c r="AC193" s="55"/>
      <c r="AD193" s="32"/>
      <c r="AE193" s="54"/>
      <c r="AF193" s="56" t="str">
        <f>IFERROR(VLOOKUP(June[[#This Row],[Drug Name3]],'Data Options'!$R$1:$S$100,2,FALSE), " ")</f>
        <v xml:space="preserve"> </v>
      </c>
      <c r="AG193" s="55"/>
      <c r="AH193" s="32"/>
      <c r="AI193" s="32"/>
      <c r="AJ193" s="55"/>
      <c r="AK193" s="32"/>
      <c r="AL193" s="32"/>
      <c r="AM193" s="32"/>
      <c r="AN193" s="32"/>
      <c r="AO193" s="32"/>
      <c r="AP193" s="31"/>
      <c r="AQ193" s="31"/>
      <c r="AR193" s="54"/>
      <c r="AS193" s="56" t="str">
        <f>IFERROR(VLOOKUP(June[[#This Row],[Drug Name4]],'Data Options'!$R$1:$S$100,2,FALSE), " ")</f>
        <v xml:space="preserve"> </v>
      </c>
      <c r="AT193" s="55"/>
      <c r="AU193" s="32"/>
      <c r="AV193" s="32"/>
      <c r="AW193" s="55"/>
      <c r="AX193" s="32"/>
      <c r="AY193" s="54"/>
      <c r="AZ193" s="56" t="str">
        <f>IFERROR(VLOOKUP(June[[#This Row],[Drug Name5]],'Data Options'!$R$1:$S$100,2,FALSE), " ")</f>
        <v xml:space="preserve"> </v>
      </c>
      <c r="BA193" s="55"/>
      <c r="BB193" s="32"/>
      <c r="BC193" s="32"/>
      <c r="BD193" s="55"/>
      <c r="BE193" s="32"/>
      <c r="BF193" s="54"/>
      <c r="BG193" s="56" t="str">
        <f>IFERROR(VLOOKUP(June[[#This Row],[Drug Name6]],'Data Options'!$R$1:$S$100,2,FALSE), " ")</f>
        <v xml:space="preserve"> </v>
      </c>
      <c r="BH193" s="55"/>
      <c r="BI193" s="32"/>
      <c r="BJ193" s="32"/>
      <c r="BK193" s="55"/>
      <c r="BL193" s="32"/>
      <c r="BM193" s="32"/>
      <c r="BN193" s="32"/>
      <c r="BO193" s="32"/>
      <c r="BP193" s="32"/>
      <c r="BQ193" s="31"/>
      <c r="BR193" s="31"/>
      <c r="BS193" s="54"/>
      <c r="BT193" s="56" t="str">
        <f>IFERROR(VLOOKUP(June[[#This Row],[Drug Name7]],'Data Options'!$R$1:$S$100,2,FALSE), " ")</f>
        <v xml:space="preserve"> </v>
      </c>
      <c r="BU193" s="55"/>
      <c r="BV193" s="32"/>
      <c r="BW193" s="32"/>
      <c r="BX193" s="55"/>
      <c r="BY193" s="32"/>
      <c r="BZ193" s="54"/>
      <c r="CA193" s="56" t="str">
        <f>IFERROR(VLOOKUP(June[[#This Row],[Drug Name8]],'Data Options'!$R$1:$S$100,2,FALSE), " ")</f>
        <v xml:space="preserve"> </v>
      </c>
      <c r="CB193" s="55"/>
      <c r="CC193" s="32"/>
      <c r="CD193" s="32"/>
      <c r="CE193" s="55"/>
      <c r="CF193" s="32"/>
      <c r="CG193" s="54"/>
      <c r="CH193" s="56" t="str">
        <f>IFERROR(VLOOKUP(June[[#This Row],[Drug Name9]],'Data Options'!$R$1:$S$100,2,FALSE), " ")</f>
        <v xml:space="preserve"> </v>
      </c>
      <c r="CI193" s="55"/>
      <c r="CJ193" s="32"/>
      <c r="CK193" s="32"/>
      <c r="CL193" s="55"/>
      <c r="CM193" s="32"/>
    </row>
    <row r="194" spans="1:91">
      <c r="A194" s="5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1"/>
      <c r="P194" s="31"/>
      <c r="Q194" s="54"/>
      <c r="R194" s="56" t="str">
        <f>IFERROR(VLOOKUP(June[[#This Row],[Drug Name]],'Data Options'!$R$1:$S$100,2,FALSE), " ")</f>
        <v xml:space="preserve"> </v>
      </c>
      <c r="S194" s="55"/>
      <c r="T194" s="32"/>
      <c r="U194" s="32"/>
      <c r="V194" s="55"/>
      <c r="W194" s="32"/>
      <c r="X194" s="54"/>
      <c r="Y194" s="56" t="str">
        <f>IFERROR(VLOOKUP(June[[#This Row],[Drug Name2]],'Data Options'!$R$1:$S$100,2,FALSE), " ")</f>
        <v xml:space="preserve"> </v>
      </c>
      <c r="Z194" s="55"/>
      <c r="AA194" s="32"/>
      <c r="AB194" s="32"/>
      <c r="AC194" s="55"/>
      <c r="AD194" s="32"/>
      <c r="AE194" s="54"/>
      <c r="AF194" s="56" t="str">
        <f>IFERROR(VLOOKUP(June[[#This Row],[Drug Name3]],'Data Options'!$R$1:$S$100,2,FALSE), " ")</f>
        <v xml:space="preserve"> </v>
      </c>
      <c r="AG194" s="55"/>
      <c r="AH194" s="32"/>
      <c r="AI194" s="32"/>
      <c r="AJ194" s="55"/>
      <c r="AK194" s="32"/>
      <c r="AL194" s="32"/>
      <c r="AM194" s="32"/>
      <c r="AN194" s="32"/>
      <c r="AO194" s="32"/>
      <c r="AP194" s="31"/>
      <c r="AQ194" s="31"/>
      <c r="AR194" s="54"/>
      <c r="AS194" s="56" t="str">
        <f>IFERROR(VLOOKUP(June[[#This Row],[Drug Name4]],'Data Options'!$R$1:$S$100,2,FALSE), " ")</f>
        <v xml:space="preserve"> </v>
      </c>
      <c r="AT194" s="55"/>
      <c r="AU194" s="32"/>
      <c r="AV194" s="32"/>
      <c r="AW194" s="55"/>
      <c r="AX194" s="32"/>
      <c r="AY194" s="54"/>
      <c r="AZ194" s="56" t="str">
        <f>IFERROR(VLOOKUP(June[[#This Row],[Drug Name5]],'Data Options'!$R$1:$S$100,2,FALSE), " ")</f>
        <v xml:space="preserve"> </v>
      </c>
      <c r="BA194" s="55"/>
      <c r="BB194" s="32"/>
      <c r="BC194" s="32"/>
      <c r="BD194" s="55"/>
      <c r="BE194" s="32"/>
      <c r="BF194" s="54"/>
      <c r="BG194" s="56" t="str">
        <f>IFERROR(VLOOKUP(June[[#This Row],[Drug Name6]],'Data Options'!$R$1:$S$100,2,FALSE), " ")</f>
        <v xml:space="preserve"> </v>
      </c>
      <c r="BH194" s="55"/>
      <c r="BI194" s="32"/>
      <c r="BJ194" s="32"/>
      <c r="BK194" s="55"/>
      <c r="BL194" s="32"/>
      <c r="BM194" s="32"/>
      <c r="BN194" s="32"/>
      <c r="BO194" s="32"/>
      <c r="BP194" s="32"/>
      <c r="BQ194" s="31"/>
      <c r="BR194" s="31"/>
      <c r="BS194" s="54"/>
      <c r="BT194" s="56" t="str">
        <f>IFERROR(VLOOKUP(June[[#This Row],[Drug Name7]],'Data Options'!$R$1:$S$100,2,FALSE), " ")</f>
        <v xml:space="preserve"> </v>
      </c>
      <c r="BU194" s="55"/>
      <c r="BV194" s="32"/>
      <c r="BW194" s="32"/>
      <c r="BX194" s="55"/>
      <c r="BY194" s="32"/>
      <c r="BZ194" s="54"/>
      <c r="CA194" s="56" t="str">
        <f>IFERROR(VLOOKUP(June[[#This Row],[Drug Name8]],'Data Options'!$R$1:$S$100,2,FALSE), " ")</f>
        <v xml:space="preserve"> </v>
      </c>
      <c r="CB194" s="55"/>
      <c r="CC194" s="32"/>
      <c r="CD194" s="32"/>
      <c r="CE194" s="55"/>
      <c r="CF194" s="32"/>
      <c r="CG194" s="54"/>
      <c r="CH194" s="56" t="str">
        <f>IFERROR(VLOOKUP(June[[#This Row],[Drug Name9]],'Data Options'!$R$1:$S$100,2,FALSE), " ")</f>
        <v xml:space="preserve"> </v>
      </c>
      <c r="CI194" s="55"/>
      <c r="CJ194" s="32"/>
      <c r="CK194" s="32"/>
      <c r="CL194" s="55"/>
      <c r="CM194" s="32"/>
    </row>
    <row r="195" spans="1:91">
      <c r="A195" s="5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1"/>
      <c r="P195" s="31"/>
      <c r="Q195" s="54"/>
      <c r="R195" s="56" t="str">
        <f>IFERROR(VLOOKUP(June[[#This Row],[Drug Name]],'Data Options'!$R$1:$S$100,2,FALSE), " ")</f>
        <v xml:space="preserve"> </v>
      </c>
      <c r="S195" s="55"/>
      <c r="T195" s="32"/>
      <c r="U195" s="32"/>
      <c r="V195" s="55"/>
      <c r="W195" s="32"/>
      <c r="X195" s="54"/>
      <c r="Y195" s="56" t="str">
        <f>IFERROR(VLOOKUP(June[[#This Row],[Drug Name2]],'Data Options'!$R$1:$S$100,2,FALSE), " ")</f>
        <v xml:space="preserve"> </v>
      </c>
      <c r="Z195" s="55"/>
      <c r="AA195" s="32"/>
      <c r="AB195" s="32"/>
      <c r="AC195" s="55"/>
      <c r="AD195" s="32"/>
      <c r="AE195" s="54"/>
      <c r="AF195" s="56" t="str">
        <f>IFERROR(VLOOKUP(June[[#This Row],[Drug Name3]],'Data Options'!$R$1:$S$100,2,FALSE), " ")</f>
        <v xml:space="preserve"> </v>
      </c>
      <c r="AG195" s="55"/>
      <c r="AH195" s="32"/>
      <c r="AI195" s="32"/>
      <c r="AJ195" s="55"/>
      <c r="AK195" s="32"/>
      <c r="AL195" s="32"/>
      <c r="AM195" s="32"/>
      <c r="AN195" s="32"/>
      <c r="AO195" s="32"/>
      <c r="AP195" s="31"/>
      <c r="AQ195" s="31"/>
      <c r="AR195" s="54"/>
      <c r="AS195" s="56" t="str">
        <f>IFERROR(VLOOKUP(June[[#This Row],[Drug Name4]],'Data Options'!$R$1:$S$100,2,FALSE), " ")</f>
        <v xml:space="preserve"> </v>
      </c>
      <c r="AT195" s="55"/>
      <c r="AU195" s="32"/>
      <c r="AV195" s="32"/>
      <c r="AW195" s="55"/>
      <c r="AX195" s="32"/>
      <c r="AY195" s="54"/>
      <c r="AZ195" s="56" t="str">
        <f>IFERROR(VLOOKUP(June[[#This Row],[Drug Name5]],'Data Options'!$R$1:$S$100,2,FALSE), " ")</f>
        <v xml:space="preserve"> </v>
      </c>
      <c r="BA195" s="55"/>
      <c r="BB195" s="32"/>
      <c r="BC195" s="32"/>
      <c r="BD195" s="55"/>
      <c r="BE195" s="32"/>
      <c r="BF195" s="54"/>
      <c r="BG195" s="56" t="str">
        <f>IFERROR(VLOOKUP(June[[#This Row],[Drug Name6]],'Data Options'!$R$1:$S$100,2,FALSE), " ")</f>
        <v xml:space="preserve"> </v>
      </c>
      <c r="BH195" s="55"/>
      <c r="BI195" s="32"/>
      <c r="BJ195" s="32"/>
      <c r="BK195" s="55"/>
      <c r="BL195" s="32"/>
      <c r="BM195" s="32"/>
      <c r="BN195" s="32"/>
      <c r="BO195" s="32"/>
      <c r="BP195" s="32"/>
      <c r="BQ195" s="31"/>
      <c r="BR195" s="31"/>
      <c r="BS195" s="54"/>
      <c r="BT195" s="56" t="str">
        <f>IFERROR(VLOOKUP(June[[#This Row],[Drug Name7]],'Data Options'!$R$1:$S$100,2,FALSE), " ")</f>
        <v xml:space="preserve"> </v>
      </c>
      <c r="BU195" s="55"/>
      <c r="BV195" s="32"/>
      <c r="BW195" s="32"/>
      <c r="BX195" s="55"/>
      <c r="BY195" s="32"/>
      <c r="BZ195" s="54"/>
      <c r="CA195" s="56" t="str">
        <f>IFERROR(VLOOKUP(June[[#This Row],[Drug Name8]],'Data Options'!$R$1:$S$100,2,FALSE), " ")</f>
        <v xml:space="preserve"> </v>
      </c>
      <c r="CB195" s="55"/>
      <c r="CC195" s="32"/>
      <c r="CD195" s="32"/>
      <c r="CE195" s="55"/>
      <c r="CF195" s="32"/>
      <c r="CG195" s="54"/>
      <c r="CH195" s="56" t="str">
        <f>IFERROR(VLOOKUP(June[[#This Row],[Drug Name9]],'Data Options'!$R$1:$S$100,2,FALSE), " ")</f>
        <v xml:space="preserve"> </v>
      </c>
      <c r="CI195" s="55"/>
      <c r="CJ195" s="32"/>
      <c r="CK195" s="32"/>
      <c r="CL195" s="55"/>
      <c r="CM195" s="32"/>
    </row>
    <row r="196" spans="1:91">
      <c r="A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1"/>
      <c r="P196" s="31"/>
      <c r="Q196" s="54"/>
      <c r="R196" s="56" t="str">
        <f>IFERROR(VLOOKUP(June[[#This Row],[Drug Name]],'Data Options'!$R$1:$S$100,2,FALSE), " ")</f>
        <v xml:space="preserve"> </v>
      </c>
      <c r="S196" s="55"/>
      <c r="T196" s="32"/>
      <c r="U196" s="32"/>
      <c r="V196" s="55"/>
      <c r="W196" s="32"/>
      <c r="X196" s="54"/>
      <c r="Y196" s="56" t="str">
        <f>IFERROR(VLOOKUP(June[[#This Row],[Drug Name2]],'Data Options'!$R$1:$S$100,2,FALSE), " ")</f>
        <v xml:space="preserve"> </v>
      </c>
      <c r="Z196" s="55"/>
      <c r="AA196" s="32"/>
      <c r="AB196" s="32"/>
      <c r="AC196" s="55"/>
      <c r="AD196" s="32"/>
      <c r="AE196" s="54"/>
      <c r="AF196" s="56" t="str">
        <f>IFERROR(VLOOKUP(June[[#This Row],[Drug Name3]],'Data Options'!$R$1:$S$100,2,FALSE), " ")</f>
        <v xml:space="preserve"> </v>
      </c>
      <c r="AG196" s="55"/>
      <c r="AH196" s="32"/>
      <c r="AI196" s="32"/>
      <c r="AJ196" s="55"/>
      <c r="AK196" s="32"/>
      <c r="AL196" s="32"/>
      <c r="AM196" s="32"/>
      <c r="AN196" s="32"/>
      <c r="AO196" s="32"/>
      <c r="AP196" s="31"/>
      <c r="AQ196" s="31"/>
      <c r="AR196" s="54"/>
      <c r="AS196" s="56" t="str">
        <f>IFERROR(VLOOKUP(June[[#This Row],[Drug Name4]],'Data Options'!$R$1:$S$100,2,FALSE), " ")</f>
        <v xml:space="preserve"> </v>
      </c>
      <c r="AT196" s="55"/>
      <c r="AU196" s="32"/>
      <c r="AV196" s="32"/>
      <c r="AW196" s="55"/>
      <c r="AX196" s="32"/>
      <c r="AY196" s="54"/>
      <c r="AZ196" s="56" t="str">
        <f>IFERROR(VLOOKUP(June[[#This Row],[Drug Name5]],'Data Options'!$R$1:$S$100,2,FALSE), " ")</f>
        <v xml:space="preserve"> </v>
      </c>
      <c r="BA196" s="55"/>
      <c r="BB196" s="32"/>
      <c r="BC196" s="32"/>
      <c r="BD196" s="55"/>
      <c r="BE196" s="32"/>
      <c r="BF196" s="54"/>
      <c r="BG196" s="56" t="str">
        <f>IFERROR(VLOOKUP(June[[#This Row],[Drug Name6]],'Data Options'!$R$1:$S$100,2,FALSE), " ")</f>
        <v xml:space="preserve"> </v>
      </c>
      <c r="BH196" s="55"/>
      <c r="BI196" s="32"/>
      <c r="BJ196" s="32"/>
      <c r="BK196" s="55"/>
      <c r="BL196" s="32"/>
      <c r="BM196" s="32"/>
      <c r="BN196" s="32"/>
      <c r="BO196" s="32"/>
      <c r="BP196" s="32"/>
      <c r="BQ196" s="31"/>
      <c r="BR196" s="31"/>
      <c r="BS196" s="54"/>
      <c r="BT196" s="56" t="str">
        <f>IFERROR(VLOOKUP(June[[#This Row],[Drug Name7]],'Data Options'!$R$1:$S$100,2,FALSE), " ")</f>
        <v xml:space="preserve"> </v>
      </c>
      <c r="BU196" s="55"/>
      <c r="BV196" s="32"/>
      <c r="BW196" s="32"/>
      <c r="BX196" s="55"/>
      <c r="BY196" s="32"/>
      <c r="BZ196" s="54"/>
      <c r="CA196" s="56" t="str">
        <f>IFERROR(VLOOKUP(June[[#This Row],[Drug Name8]],'Data Options'!$R$1:$S$100,2,FALSE), " ")</f>
        <v xml:space="preserve"> </v>
      </c>
      <c r="CB196" s="55"/>
      <c r="CC196" s="32"/>
      <c r="CD196" s="32"/>
      <c r="CE196" s="55"/>
      <c r="CF196" s="32"/>
      <c r="CG196" s="54"/>
      <c r="CH196" s="56" t="str">
        <f>IFERROR(VLOOKUP(June[[#This Row],[Drug Name9]],'Data Options'!$R$1:$S$100,2,FALSE), " ")</f>
        <v xml:space="preserve"> </v>
      </c>
      <c r="CI196" s="55"/>
      <c r="CJ196" s="32"/>
      <c r="CK196" s="32"/>
      <c r="CL196" s="55"/>
      <c r="CM196" s="32"/>
    </row>
    <row r="197" spans="1:91">
      <c r="A197" s="5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1"/>
      <c r="P197" s="31"/>
      <c r="Q197" s="54"/>
      <c r="R197" s="56" t="str">
        <f>IFERROR(VLOOKUP(June[[#This Row],[Drug Name]],'Data Options'!$R$1:$S$100,2,FALSE), " ")</f>
        <v xml:space="preserve"> </v>
      </c>
      <c r="S197" s="55"/>
      <c r="T197" s="32"/>
      <c r="U197" s="32"/>
      <c r="V197" s="55"/>
      <c r="W197" s="32"/>
      <c r="X197" s="54"/>
      <c r="Y197" s="56" t="str">
        <f>IFERROR(VLOOKUP(June[[#This Row],[Drug Name2]],'Data Options'!$R$1:$S$100,2,FALSE), " ")</f>
        <v xml:space="preserve"> </v>
      </c>
      <c r="Z197" s="55"/>
      <c r="AA197" s="32"/>
      <c r="AB197" s="32"/>
      <c r="AC197" s="55"/>
      <c r="AD197" s="32"/>
      <c r="AE197" s="54"/>
      <c r="AF197" s="56" t="str">
        <f>IFERROR(VLOOKUP(June[[#This Row],[Drug Name3]],'Data Options'!$R$1:$S$100,2,FALSE), " ")</f>
        <v xml:space="preserve"> </v>
      </c>
      <c r="AG197" s="55"/>
      <c r="AH197" s="32"/>
      <c r="AI197" s="32"/>
      <c r="AJ197" s="55"/>
      <c r="AK197" s="32"/>
      <c r="AL197" s="32"/>
      <c r="AM197" s="32"/>
      <c r="AN197" s="32"/>
      <c r="AO197" s="32"/>
      <c r="AP197" s="31"/>
      <c r="AQ197" s="31"/>
      <c r="AR197" s="54"/>
      <c r="AS197" s="56" t="str">
        <f>IFERROR(VLOOKUP(June[[#This Row],[Drug Name4]],'Data Options'!$R$1:$S$100,2,FALSE), " ")</f>
        <v xml:space="preserve"> </v>
      </c>
      <c r="AT197" s="55"/>
      <c r="AU197" s="32"/>
      <c r="AV197" s="32"/>
      <c r="AW197" s="55"/>
      <c r="AX197" s="32"/>
      <c r="AY197" s="54"/>
      <c r="AZ197" s="56" t="str">
        <f>IFERROR(VLOOKUP(June[[#This Row],[Drug Name5]],'Data Options'!$R$1:$S$100,2,FALSE), " ")</f>
        <v xml:space="preserve"> </v>
      </c>
      <c r="BA197" s="55"/>
      <c r="BB197" s="32"/>
      <c r="BC197" s="32"/>
      <c r="BD197" s="55"/>
      <c r="BE197" s="32"/>
      <c r="BF197" s="54"/>
      <c r="BG197" s="56" t="str">
        <f>IFERROR(VLOOKUP(June[[#This Row],[Drug Name6]],'Data Options'!$R$1:$S$100,2,FALSE), " ")</f>
        <v xml:space="preserve"> </v>
      </c>
      <c r="BH197" s="55"/>
      <c r="BI197" s="32"/>
      <c r="BJ197" s="32"/>
      <c r="BK197" s="55"/>
      <c r="BL197" s="32"/>
      <c r="BM197" s="32"/>
      <c r="BN197" s="32"/>
      <c r="BO197" s="32"/>
      <c r="BP197" s="32"/>
      <c r="BQ197" s="31"/>
      <c r="BR197" s="31"/>
      <c r="BS197" s="54"/>
      <c r="BT197" s="56" t="str">
        <f>IFERROR(VLOOKUP(June[[#This Row],[Drug Name7]],'Data Options'!$R$1:$S$100,2,FALSE), " ")</f>
        <v xml:space="preserve"> </v>
      </c>
      <c r="BU197" s="55"/>
      <c r="BV197" s="32"/>
      <c r="BW197" s="32"/>
      <c r="BX197" s="55"/>
      <c r="BY197" s="32"/>
      <c r="BZ197" s="54"/>
      <c r="CA197" s="56" t="str">
        <f>IFERROR(VLOOKUP(June[[#This Row],[Drug Name8]],'Data Options'!$R$1:$S$100,2,FALSE), " ")</f>
        <v xml:space="preserve"> </v>
      </c>
      <c r="CB197" s="55"/>
      <c r="CC197" s="32"/>
      <c r="CD197" s="32"/>
      <c r="CE197" s="55"/>
      <c r="CF197" s="32"/>
      <c r="CG197" s="54"/>
      <c r="CH197" s="56" t="str">
        <f>IFERROR(VLOOKUP(June[[#This Row],[Drug Name9]],'Data Options'!$R$1:$S$100,2,FALSE), " ")</f>
        <v xml:space="preserve"> </v>
      </c>
      <c r="CI197" s="55"/>
      <c r="CJ197" s="32"/>
      <c r="CK197" s="32"/>
      <c r="CL197" s="55"/>
      <c r="CM197" s="32"/>
    </row>
    <row r="198" spans="1:91">
      <c r="A198" s="5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1"/>
      <c r="P198" s="31"/>
      <c r="Q198" s="54"/>
      <c r="R198" s="56" t="str">
        <f>IFERROR(VLOOKUP(June[[#This Row],[Drug Name]],'Data Options'!$R$1:$S$100,2,FALSE), " ")</f>
        <v xml:space="preserve"> </v>
      </c>
      <c r="S198" s="55"/>
      <c r="T198" s="32"/>
      <c r="U198" s="32"/>
      <c r="V198" s="55"/>
      <c r="W198" s="32"/>
      <c r="X198" s="54"/>
      <c r="Y198" s="56" t="str">
        <f>IFERROR(VLOOKUP(June[[#This Row],[Drug Name2]],'Data Options'!$R$1:$S$100,2,FALSE), " ")</f>
        <v xml:space="preserve"> </v>
      </c>
      <c r="Z198" s="55"/>
      <c r="AA198" s="32"/>
      <c r="AB198" s="32"/>
      <c r="AC198" s="55"/>
      <c r="AD198" s="32"/>
      <c r="AE198" s="54"/>
      <c r="AF198" s="56" t="str">
        <f>IFERROR(VLOOKUP(June[[#This Row],[Drug Name3]],'Data Options'!$R$1:$S$100,2,FALSE), " ")</f>
        <v xml:space="preserve"> </v>
      </c>
      <c r="AG198" s="55"/>
      <c r="AH198" s="32"/>
      <c r="AI198" s="32"/>
      <c r="AJ198" s="55"/>
      <c r="AK198" s="32"/>
      <c r="AL198" s="32"/>
      <c r="AM198" s="32"/>
      <c r="AN198" s="32"/>
      <c r="AO198" s="32"/>
      <c r="AP198" s="31"/>
      <c r="AQ198" s="31"/>
      <c r="AR198" s="54"/>
      <c r="AS198" s="56" t="str">
        <f>IFERROR(VLOOKUP(June[[#This Row],[Drug Name4]],'Data Options'!$R$1:$S$100,2,FALSE), " ")</f>
        <v xml:space="preserve"> </v>
      </c>
      <c r="AT198" s="55"/>
      <c r="AU198" s="32"/>
      <c r="AV198" s="32"/>
      <c r="AW198" s="55"/>
      <c r="AX198" s="32"/>
      <c r="AY198" s="54"/>
      <c r="AZ198" s="56" t="str">
        <f>IFERROR(VLOOKUP(June[[#This Row],[Drug Name5]],'Data Options'!$R$1:$S$100,2,FALSE), " ")</f>
        <v xml:space="preserve"> </v>
      </c>
      <c r="BA198" s="55"/>
      <c r="BB198" s="32"/>
      <c r="BC198" s="32"/>
      <c r="BD198" s="55"/>
      <c r="BE198" s="32"/>
      <c r="BF198" s="54"/>
      <c r="BG198" s="56" t="str">
        <f>IFERROR(VLOOKUP(June[[#This Row],[Drug Name6]],'Data Options'!$R$1:$S$100,2,FALSE), " ")</f>
        <v xml:space="preserve"> </v>
      </c>
      <c r="BH198" s="55"/>
      <c r="BI198" s="32"/>
      <c r="BJ198" s="32"/>
      <c r="BK198" s="55"/>
      <c r="BL198" s="32"/>
      <c r="BM198" s="32"/>
      <c r="BN198" s="32"/>
      <c r="BO198" s="32"/>
      <c r="BP198" s="32"/>
      <c r="BQ198" s="31"/>
      <c r="BR198" s="31"/>
      <c r="BS198" s="54"/>
      <c r="BT198" s="56" t="str">
        <f>IFERROR(VLOOKUP(June[[#This Row],[Drug Name7]],'Data Options'!$R$1:$S$100,2,FALSE), " ")</f>
        <v xml:space="preserve"> </v>
      </c>
      <c r="BU198" s="55"/>
      <c r="BV198" s="32"/>
      <c r="BW198" s="32"/>
      <c r="BX198" s="55"/>
      <c r="BY198" s="32"/>
      <c r="BZ198" s="54"/>
      <c r="CA198" s="56" t="str">
        <f>IFERROR(VLOOKUP(June[[#This Row],[Drug Name8]],'Data Options'!$R$1:$S$100,2,FALSE), " ")</f>
        <v xml:space="preserve"> </v>
      </c>
      <c r="CB198" s="55"/>
      <c r="CC198" s="32"/>
      <c r="CD198" s="32"/>
      <c r="CE198" s="55"/>
      <c r="CF198" s="32"/>
      <c r="CG198" s="54"/>
      <c r="CH198" s="56" t="str">
        <f>IFERROR(VLOOKUP(June[[#This Row],[Drug Name9]],'Data Options'!$R$1:$S$100,2,FALSE), " ")</f>
        <v xml:space="preserve"> </v>
      </c>
      <c r="CI198" s="55"/>
      <c r="CJ198" s="32"/>
      <c r="CK198" s="32"/>
      <c r="CL198" s="55"/>
      <c r="CM198" s="32"/>
    </row>
    <row r="199" spans="1:91">
      <c r="A199" s="5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1"/>
      <c r="P199" s="31"/>
      <c r="Q199" s="54"/>
      <c r="R199" s="56" t="str">
        <f>IFERROR(VLOOKUP(June[[#This Row],[Drug Name]],'Data Options'!$R$1:$S$100,2,FALSE), " ")</f>
        <v xml:space="preserve"> </v>
      </c>
      <c r="S199" s="55"/>
      <c r="T199" s="32"/>
      <c r="U199" s="32"/>
      <c r="V199" s="55"/>
      <c r="W199" s="32"/>
      <c r="X199" s="54"/>
      <c r="Y199" s="56" t="str">
        <f>IFERROR(VLOOKUP(June[[#This Row],[Drug Name2]],'Data Options'!$R$1:$S$100,2,FALSE), " ")</f>
        <v xml:space="preserve"> </v>
      </c>
      <c r="Z199" s="55"/>
      <c r="AA199" s="32"/>
      <c r="AB199" s="32"/>
      <c r="AC199" s="55"/>
      <c r="AD199" s="32"/>
      <c r="AE199" s="54"/>
      <c r="AF199" s="56" t="str">
        <f>IFERROR(VLOOKUP(June[[#This Row],[Drug Name3]],'Data Options'!$R$1:$S$100,2,FALSE), " ")</f>
        <v xml:space="preserve"> </v>
      </c>
      <c r="AG199" s="55"/>
      <c r="AH199" s="32"/>
      <c r="AI199" s="32"/>
      <c r="AJ199" s="55"/>
      <c r="AK199" s="32"/>
      <c r="AL199" s="32"/>
      <c r="AM199" s="32"/>
      <c r="AN199" s="32"/>
      <c r="AO199" s="32"/>
      <c r="AP199" s="31"/>
      <c r="AQ199" s="31"/>
      <c r="AR199" s="54"/>
      <c r="AS199" s="56" t="str">
        <f>IFERROR(VLOOKUP(June[[#This Row],[Drug Name4]],'Data Options'!$R$1:$S$100,2,FALSE), " ")</f>
        <v xml:space="preserve"> </v>
      </c>
      <c r="AT199" s="55"/>
      <c r="AU199" s="32"/>
      <c r="AV199" s="32"/>
      <c r="AW199" s="55"/>
      <c r="AX199" s="32"/>
      <c r="AY199" s="54"/>
      <c r="AZ199" s="56" t="str">
        <f>IFERROR(VLOOKUP(June[[#This Row],[Drug Name5]],'Data Options'!$R$1:$S$100,2,FALSE), " ")</f>
        <v xml:space="preserve"> </v>
      </c>
      <c r="BA199" s="55"/>
      <c r="BB199" s="32"/>
      <c r="BC199" s="32"/>
      <c r="BD199" s="55"/>
      <c r="BE199" s="32"/>
      <c r="BF199" s="54"/>
      <c r="BG199" s="56" t="str">
        <f>IFERROR(VLOOKUP(June[[#This Row],[Drug Name6]],'Data Options'!$R$1:$S$100,2,FALSE), " ")</f>
        <v xml:space="preserve"> </v>
      </c>
      <c r="BH199" s="55"/>
      <c r="BI199" s="32"/>
      <c r="BJ199" s="32"/>
      <c r="BK199" s="55"/>
      <c r="BL199" s="32"/>
      <c r="BM199" s="32"/>
      <c r="BN199" s="32"/>
      <c r="BO199" s="32"/>
      <c r="BP199" s="32"/>
      <c r="BQ199" s="31"/>
      <c r="BR199" s="31"/>
      <c r="BS199" s="54"/>
      <c r="BT199" s="56" t="str">
        <f>IFERROR(VLOOKUP(June[[#This Row],[Drug Name7]],'Data Options'!$R$1:$S$100,2,FALSE), " ")</f>
        <v xml:space="preserve"> </v>
      </c>
      <c r="BU199" s="55"/>
      <c r="BV199" s="32"/>
      <c r="BW199" s="32"/>
      <c r="BX199" s="55"/>
      <c r="BY199" s="32"/>
      <c r="BZ199" s="54"/>
      <c r="CA199" s="56" t="str">
        <f>IFERROR(VLOOKUP(June[[#This Row],[Drug Name8]],'Data Options'!$R$1:$S$100,2,FALSE), " ")</f>
        <v xml:space="preserve"> </v>
      </c>
      <c r="CB199" s="55"/>
      <c r="CC199" s="32"/>
      <c r="CD199" s="32"/>
      <c r="CE199" s="55"/>
      <c r="CF199" s="32"/>
      <c r="CG199" s="54"/>
      <c r="CH199" s="56" t="str">
        <f>IFERROR(VLOOKUP(June[[#This Row],[Drug Name9]],'Data Options'!$R$1:$S$100,2,FALSE), " ")</f>
        <v xml:space="preserve"> </v>
      </c>
      <c r="CI199" s="55"/>
      <c r="CJ199" s="32"/>
      <c r="CK199" s="32"/>
      <c r="CL199" s="55"/>
      <c r="CM199" s="32"/>
    </row>
    <row r="200" spans="1:91">
      <c r="A200" s="5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1"/>
      <c r="P200" s="31"/>
      <c r="Q200" s="54"/>
      <c r="R200" s="56" t="str">
        <f>IFERROR(VLOOKUP(June[[#This Row],[Drug Name]],'Data Options'!$R$1:$S$100,2,FALSE), " ")</f>
        <v xml:space="preserve"> </v>
      </c>
      <c r="S200" s="55"/>
      <c r="T200" s="32"/>
      <c r="U200" s="32"/>
      <c r="V200" s="55"/>
      <c r="W200" s="32"/>
      <c r="X200" s="54"/>
      <c r="Y200" s="56" t="str">
        <f>IFERROR(VLOOKUP(June[[#This Row],[Drug Name2]],'Data Options'!$R$1:$S$100,2,FALSE), " ")</f>
        <v xml:space="preserve"> </v>
      </c>
      <c r="Z200" s="55"/>
      <c r="AA200" s="32"/>
      <c r="AB200" s="32"/>
      <c r="AC200" s="55"/>
      <c r="AD200" s="32"/>
      <c r="AE200" s="54"/>
      <c r="AF200" s="56" t="str">
        <f>IFERROR(VLOOKUP(June[[#This Row],[Drug Name3]],'Data Options'!$R$1:$S$100,2,FALSE), " ")</f>
        <v xml:space="preserve"> </v>
      </c>
      <c r="AG200" s="55"/>
      <c r="AH200" s="32"/>
      <c r="AI200" s="32"/>
      <c r="AJ200" s="55"/>
      <c r="AK200" s="32"/>
      <c r="AL200" s="32"/>
      <c r="AM200" s="32"/>
      <c r="AN200" s="32"/>
      <c r="AO200" s="32"/>
      <c r="AP200" s="31"/>
      <c r="AQ200" s="31"/>
      <c r="AR200" s="54"/>
      <c r="AS200" s="56" t="str">
        <f>IFERROR(VLOOKUP(June[[#This Row],[Drug Name4]],'Data Options'!$R$1:$S$100,2,FALSE), " ")</f>
        <v xml:space="preserve"> </v>
      </c>
      <c r="AT200" s="55"/>
      <c r="AU200" s="32"/>
      <c r="AV200" s="32"/>
      <c r="AW200" s="55"/>
      <c r="AX200" s="32"/>
      <c r="AY200" s="54"/>
      <c r="AZ200" s="56" t="str">
        <f>IFERROR(VLOOKUP(June[[#This Row],[Drug Name5]],'Data Options'!$R$1:$S$100,2,FALSE), " ")</f>
        <v xml:space="preserve"> </v>
      </c>
      <c r="BA200" s="55"/>
      <c r="BB200" s="32"/>
      <c r="BC200" s="32"/>
      <c r="BD200" s="55"/>
      <c r="BE200" s="32"/>
      <c r="BF200" s="54"/>
      <c r="BG200" s="56" t="str">
        <f>IFERROR(VLOOKUP(June[[#This Row],[Drug Name6]],'Data Options'!$R$1:$S$100,2,FALSE), " ")</f>
        <v xml:space="preserve"> </v>
      </c>
      <c r="BH200" s="55"/>
      <c r="BI200" s="32"/>
      <c r="BJ200" s="32"/>
      <c r="BK200" s="55"/>
      <c r="BL200" s="32"/>
      <c r="BM200" s="32"/>
      <c r="BN200" s="32"/>
      <c r="BO200" s="32"/>
      <c r="BP200" s="32"/>
      <c r="BQ200" s="31"/>
      <c r="BR200" s="31"/>
      <c r="BS200" s="54"/>
      <c r="BT200" s="56" t="str">
        <f>IFERROR(VLOOKUP(June[[#This Row],[Drug Name7]],'Data Options'!$R$1:$S$100,2,FALSE), " ")</f>
        <v xml:space="preserve"> </v>
      </c>
      <c r="BU200" s="55"/>
      <c r="BV200" s="32"/>
      <c r="BW200" s="32"/>
      <c r="BX200" s="55"/>
      <c r="BY200" s="32"/>
      <c r="BZ200" s="54"/>
      <c r="CA200" s="56" t="str">
        <f>IFERROR(VLOOKUP(June[[#This Row],[Drug Name8]],'Data Options'!$R$1:$S$100,2,FALSE), " ")</f>
        <v xml:space="preserve"> </v>
      </c>
      <c r="CB200" s="55"/>
      <c r="CC200" s="32"/>
      <c r="CD200" s="32"/>
      <c r="CE200" s="55"/>
      <c r="CF200" s="32"/>
      <c r="CG200" s="54"/>
      <c r="CH200" s="56" t="str">
        <f>IFERROR(VLOOKUP(June[[#This Row],[Drug Name9]],'Data Options'!$R$1:$S$100,2,FALSE), " ")</f>
        <v xml:space="preserve"> </v>
      </c>
      <c r="CI200" s="55"/>
      <c r="CJ200" s="32"/>
      <c r="CK200" s="32"/>
      <c r="CL200" s="55"/>
      <c r="CM200" s="32"/>
    </row>
    <row r="201" spans="1:91">
      <c r="A201" s="5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1"/>
      <c r="P201" s="31"/>
      <c r="Q201" s="54"/>
      <c r="R201" s="56" t="str">
        <f>IFERROR(VLOOKUP(June[[#This Row],[Drug Name]],'Data Options'!$R$1:$S$100,2,FALSE), " ")</f>
        <v xml:space="preserve"> </v>
      </c>
      <c r="S201" s="55"/>
      <c r="T201" s="32"/>
      <c r="U201" s="32"/>
      <c r="V201" s="55"/>
      <c r="W201" s="32"/>
      <c r="X201" s="54"/>
      <c r="Y201" s="56" t="str">
        <f>IFERROR(VLOOKUP(June[[#This Row],[Drug Name2]],'Data Options'!$R$1:$S$100,2,FALSE), " ")</f>
        <v xml:space="preserve"> </v>
      </c>
      <c r="Z201" s="55"/>
      <c r="AA201" s="32"/>
      <c r="AB201" s="32"/>
      <c r="AC201" s="55"/>
      <c r="AD201" s="32"/>
      <c r="AE201" s="54"/>
      <c r="AF201" s="56" t="str">
        <f>IFERROR(VLOOKUP(June[[#This Row],[Drug Name3]],'Data Options'!$R$1:$S$100,2,FALSE), " ")</f>
        <v xml:space="preserve"> </v>
      </c>
      <c r="AG201" s="55"/>
      <c r="AH201" s="32"/>
      <c r="AI201" s="32"/>
      <c r="AJ201" s="55"/>
      <c r="AK201" s="32"/>
      <c r="AL201" s="32"/>
      <c r="AM201" s="32"/>
      <c r="AN201" s="32"/>
      <c r="AO201" s="32"/>
      <c r="AP201" s="31"/>
      <c r="AQ201" s="31"/>
      <c r="AR201" s="54"/>
      <c r="AS201" s="56" t="str">
        <f>IFERROR(VLOOKUP(June[[#This Row],[Drug Name4]],'Data Options'!$R$1:$S$100,2,FALSE), " ")</f>
        <v xml:space="preserve"> </v>
      </c>
      <c r="AT201" s="55"/>
      <c r="AU201" s="32"/>
      <c r="AV201" s="32"/>
      <c r="AW201" s="55"/>
      <c r="AX201" s="32"/>
      <c r="AY201" s="54"/>
      <c r="AZ201" s="56" t="str">
        <f>IFERROR(VLOOKUP(June[[#This Row],[Drug Name5]],'Data Options'!$R$1:$S$100,2,FALSE), " ")</f>
        <v xml:space="preserve"> </v>
      </c>
      <c r="BA201" s="55"/>
      <c r="BB201" s="32"/>
      <c r="BC201" s="32"/>
      <c r="BD201" s="55"/>
      <c r="BE201" s="32"/>
      <c r="BF201" s="54"/>
      <c r="BG201" s="56" t="str">
        <f>IFERROR(VLOOKUP(June[[#This Row],[Drug Name6]],'Data Options'!$R$1:$S$100,2,FALSE), " ")</f>
        <v xml:space="preserve"> </v>
      </c>
      <c r="BH201" s="55"/>
      <c r="BI201" s="32"/>
      <c r="BJ201" s="32"/>
      <c r="BK201" s="55"/>
      <c r="BL201" s="32"/>
      <c r="BM201" s="32"/>
      <c r="BN201" s="32"/>
      <c r="BO201" s="32"/>
      <c r="BP201" s="32"/>
      <c r="BQ201" s="31"/>
      <c r="BR201" s="31"/>
      <c r="BS201" s="54"/>
      <c r="BT201" s="56" t="str">
        <f>IFERROR(VLOOKUP(June[[#This Row],[Drug Name7]],'Data Options'!$R$1:$S$100,2,FALSE), " ")</f>
        <v xml:space="preserve"> </v>
      </c>
      <c r="BU201" s="55"/>
      <c r="BV201" s="32"/>
      <c r="BW201" s="32"/>
      <c r="BX201" s="55"/>
      <c r="BY201" s="32"/>
      <c r="BZ201" s="54"/>
      <c r="CA201" s="56" t="str">
        <f>IFERROR(VLOOKUP(June[[#This Row],[Drug Name8]],'Data Options'!$R$1:$S$100,2,FALSE), " ")</f>
        <v xml:space="preserve"> </v>
      </c>
      <c r="CB201" s="55"/>
      <c r="CC201" s="32"/>
      <c r="CD201" s="32"/>
      <c r="CE201" s="55"/>
      <c r="CF201" s="32"/>
      <c r="CG201" s="54"/>
      <c r="CH201" s="56" t="str">
        <f>IFERROR(VLOOKUP(June[[#This Row],[Drug Name9]],'Data Options'!$R$1:$S$100,2,FALSE), " ")</f>
        <v xml:space="preserve"> </v>
      </c>
      <c r="CI201" s="55"/>
      <c r="CJ201" s="32"/>
      <c r="CK201" s="32"/>
      <c r="CL201" s="55"/>
      <c r="CM201" s="32"/>
    </row>
    <row r="202" spans="1:91">
      <c r="A202" s="24" t="s">
        <v>239</v>
      </c>
      <c r="X202" s="54"/>
      <c r="Z202" s="32"/>
      <c r="AA202" s="32"/>
      <c r="AB202" s="32"/>
      <c r="AC202" s="32"/>
      <c r="AD202" s="32"/>
      <c r="AE202" s="54"/>
      <c r="AG202" s="32"/>
      <c r="AH202" s="32"/>
      <c r="AI202" s="32"/>
      <c r="AJ202" s="32"/>
      <c r="AK202" s="32"/>
      <c r="AL202" s="32"/>
      <c r="AN202" s="32"/>
      <c r="AO202" s="32"/>
      <c r="AP202" s="31"/>
      <c r="AQ202" s="31"/>
      <c r="AR202" s="54"/>
      <c r="AT202" s="32"/>
      <c r="AU202" s="32"/>
      <c r="AV202" s="32"/>
      <c r="AW202" s="32"/>
      <c r="AX202" s="32"/>
      <c r="AY202" s="54"/>
      <c r="BA202" s="32"/>
      <c r="BB202" s="32"/>
      <c r="BC202" s="32"/>
      <c r="BD202" s="32"/>
      <c r="BE202" s="32"/>
      <c r="BF202" s="54"/>
      <c r="BH202" s="32"/>
      <c r="BI202" s="32"/>
      <c r="BJ202" s="32"/>
      <c r="BK202" s="32"/>
      <c r="BL202" s="32"/>
      <c r="BM202" s="32"/>
      <c r="BO202" s="32"/>
      <c r="BP202" s="32"/>
      <c r="BQ202" s="31"/>
      <c r="BR202" s="31"/>
      <c r="BS202" s="54"/>
      <c r="BU202" s="32"/>
      <c r="BV202" s="32"/>
      <c r="BW202" s="32"/>
      <c r="BX202" s="32"/>
      <c r="BY202" s="32"/>
      <c r="BZ202" s="54"/>
      <c r="CB202" s="32"/>
      <c r="CC202" s="32"/>
      <c r="CD202" s="32"/>
      <c r="CE202" s="32"/>
      <c r="CF202" s="32"/>
      <c r="CG202" s="54"/>
      <c r="CI202" s="32"/>
      <c r="CJ202" s="32"/>
      <c r="CK202" s="32"/>
      <c r="CL202" s="32"/>
      <c r="CM202" s="57">
        <f>SUBTOTAL(103,June[Location Filled9])</f>
        <v>0</v>
      </c>
    </row>
  </sheetData>
  <sheetProtection algorithmName="SHA-512" hashValue="TADoVPS6tDl1u7fVPKgenZVkG+Cam0O0t5G4xK/r/29G1fv82wFfwLNEDl2w+MWUADyZZSisVFr61e/zqXXS1A==" saltValue="9HxULFdfp8ez/miEj7QxMw==" spinCount="100000" sheet="1" objects="1" scenarios="1"/>
  <mergeCells count="13">
    <mergeCell ref="AR2:AX2"/>
    <mergeCell ref="BS2:BY2"/>
    <mergeCell ref="BZ2:CF2"/>
    <mergeCell ref="CG2:CM2"/>
    <mergeCell ref="AL1:AQ2"/>
    <mergeCell ref="BM1:BR2"/>
    <mergeCell ref="BF2:BL2"/>
    <mergeCell ref="A1:J2"/>
    <mergeCell ref="K1:AF1"/>
    <mergeCell ref="K2:P2"/>
    <mergeCell ref="Q2:V2"/>
    <mergeCell ref="X2:AD2"/>
    <mergeCell ref="AE2:AK2"/>
  </mergeCells>
  <phoneticPr fontId="5" type="noConversion"/>
  <dataValidations count="19">
    <dataValidation type="list" allowBlank="1" showInputMessage="1" showErrorMessage="1" sqref="D4:D201">
      <formula1>INDIRECT("Species")</formula1>
    </dataValidation>
    <dataValidation type="list" allowBlank="1" showInputMessage="1" showErrorMessage="1" sqref="E4:E201">
      <formula1>INDIRECT("Sex")</formula1>
    </dataValidation>
    <dataValidation type="list" allowBlank="1" showInputMessage="1" showErrorMessage="1" sqref="F4:F201">
      <formula1>INDIRECT("Age")</formula1>
    </dataValidation>
    <dataValidation type="list" allowBlank="1" showInputMessage="1" showErrorMessage="1" sqref="G4:G201">
      <formula1>INDIRECT("Visit_Reason")</formula1>
    </dataValidation>
    <dataValidation type="list" allowBlank="1" showInputMessage="1" showErrorMessage="1" sqref="I4:I201">
      <formula1>INDIRECT("ABX_YN")</formula1>
    </dataValidation>
    <dataValidation type="list" allowBlank="1" showInputMessage="1" showErrorMessage="1" sqref="K4:K201 AL4:AL201 BM4:BM201">
      <formula1>INDIRECT("Disease_Type")</formula1>
    </dataValidation>
    <dataValidation type="list" allowBlank="1" showInputMessage="1" showErrorMessage="1" sqref="M4:M201 AN4:AN201 BO4:BO201">
      <formula1>INDIRECT("Disease_Descrip")</formula1>
    </dataValidation>
    <dataValidation type="list" allowBlank="1" showInputMessage="1" showErrorMessage="1" sqref="N4:N201 AO4:AO201 BP4:BP201">
      <formula1>INDIRECT("Dz_Abx_Num")</formula1>
    </dataValidation>
    <dataValidation type="list" allowBlank="1" showInputMessage="1" showErrorMessage="1" sqref="O4:O201 AP4:AP201 BQ4:BQ201">
      <formula1>INDIRECT("Diagnostics_Offer_YN")</formula1>
    </dataValidation>
    <dataValidation type="list" allowBlank="1" showInputMessage="1" showErrorMessage="1" sqref="P4:P201 AQ4:AQ201 BR4:BR201">
      <formula1>INDIRECT("Diagnostics_Performed_YN")</formula1>
    </dataValidation>
    <dataValidation type="list" allowBlank="1" showInputMessage="1" showErrorMessage="1" sqref="Q4:Q201 X4:X201 AE4:AE201 AR4:AR201 AY4:AY201 BF4:BF201 BS4:BS201 BZ4:BZ201 CG4:CG201">
      <formula1>INDIRECT("Drug_Name")</formula1>
    </dataValidation>
    <dataValidation type="list" allowBlank="1" showInputMessage="1" showErrorMessage="1" sqref="T4:T201 AA4:AA201 AH4:AH201 AU4:AU201 BB4:BB201 BI4:BI201 BV4:BV201 CC4:CC201 CJ4:CJ201">
      <formula1>INDIRECT("Abx_Freq")</formula1>
    </dataValidation>
    <dataValidation type="list" allowBlank="1" showInputMessage="1" showErrorMessage="1" sqref="U4:U201 AB4:AB201 AI4:AI201 AV4:AV201 BC4:BC201 BJ4:BJ201 BW4:BW201 CD4:CD201 CK4:CK201">
      <formula1>INDIRECT("Abx_Route")</formula1>
    </dataValidation>
    <dataValidation type="list" allowBlank="1" showInputMessage="1" showErrorMessage="1" sqref="W4:W201 AD4:AD201 AK4:AK201 AX4:AX201 BE4:BE201 BL4:BL201 BY4:BY201 CF4:CF201 CM4:CM201">
      <formula1>INDIRECT("Prescription_Type")</formula1>
    </dataValidation>
    <dataValidation allowBlank="1" showInputMessage="1" showErrorMessage="1" prompt="Only type here IF Reason for Visit is Other " sqref="H5:H201"/>
    <dataValidation type="whole" allowBlank="1" showInputMessage="1" showErrorMessage="1" promptTitle="Total Number of Antibiotics" prompt="This should include ALL antibiotics prescribed to this patient during this visit for ALL conditions. " sqref="J4:J201">
      <formula1>0</formula1>
      <formula2>9</formula2>
    </dataValidation>
    <dataValidation allowBlank="1" showInputMessage="1" showErrorMessage="1" prompt="Only type in this column IF Disease/Infection Type is Other" sqref="L4:L201 AM4:AM201 BN4:BN201"/>
    <dataValidation allowBlank="1" showInputMessage="1" showErrorMessage="1" prompt="Only type in this column IF Reason for Visit is Other " sqref="H4"/>
    <dataValidation type="decimal" allowBlank="1" showInputMessage="1" showErrorMessage="1" sqref="S4:S201 Z4:Z201 V4:V201 AC4:AC201 AG4:AG201 AJ4:AJ201 AT4:AT201 AW4:AW201 BD4:BD201 BA4:BA201 BH4:BH201 BK4:BK201 BU4:BU201 BX4:BX201 CB4:CB201 CE4:CE201 CI4:CI201 CL4:CL201">
      <formula1>0</formula1>
      <formula2>5000</formula2>
    </dataValidation>
  </dataValidation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02"/>
  <sheetViews>
    <sheetView workbookViewId="0">
      <pane ySplit="3" topLeftCell="A4" activePane="bottomLeft" state="frozen"/>
      <selection activeCell="L1" sqref="L1"/>
      <selection pane="bottomLeft" activeCell="A4" sqref="A4"/>
    </sheetView>
  </sheetViews>
  <sheetFormatPr defaultColWidth="10.83203125" defaultRowHeight="15.5"/>
  <cols>
    <col min="1" max="16384" width="10.83203125" style="24"/>
  </cols>
  <sheetData>
    <row r="1" spans="1:91" ht="21">
      <c r="A1" s="60" t="s">
        <v>103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43"/>
      <c r="AH1" s="43"/>
      <c r="AI1" s="43"/>
      <c r="AJ1" s="43"/>
      <c r="AK1" s="43"/>
      <c r="AL1" s="70" t="s">
        <v>154</v>
      </c>
      <c r="AM1" s="70"/>
      <c r="AN1" s="70"/>
      <c r="AO1" s="70"/>
      <c r="AP1" s="70"/>
      <c r="AQ1" s="70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5"/>
      <c r="BI1" s="45"/>
      <c r="BJ1" s="45"/>
      <c r="BK1" s="45"/>
      <c r="BL1" s="45"/>
      <c r="BM1" s="71" t="s">
        <v>156</v>
      </c>
      <c r="BN1" s="71"/>
      <c r="BO1" s="71"/>
      <c r="BP1" s="71"/>
      <c r="BQ1" s="71"/>
      <c r="BR1" s="71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7"/>
      <c r="CJ1" s="47"/>
      <c r="CK1" s="47"/>
      <c r="CL1" s="47"/>
      <c r="CM1" s="47"/>
    </row>
    <row r="2" spans="1:91" ht="21">
      <c r="A2" s="60"/>
      <c r="B2" s="60"/>
      <c r="C2" s="60"/>
      <c r="D2" s="60"/>
      <c r="E2" s="60"/>
      <c r="F2" s="60"/>
      <c r="G2" s="60"/>
      <c r="H2" s="60"/>
      <c r="I2" s="60"/>
      <c r="J2" s="60"/>
      <c r="K2" s="62" t="s">
        <v>153</v>
      </c>
      <c r="L2" s="62"/>
      <c r="M2" s="62"/>
      <c r="N2" s="62"/>
      <c r="O2" s="62"/>
      <c r="P2" s="62"/>
      <c r="Q2" s="63" t="s">
        <v>104</v>
      </c>
      <c r="R2" s="63"/>
      <c r="S2" s="63"/>
      <c r="T2" s="63"/>
      <c r="U2" s="63"/>
      <c r="V2" s="63"/>
      <c r="W2" s="48"/>
      <c r="X2" s="64" t="s">
        <v>105</v>
      </c>
      <c r="Y2" s="64"/>
      <c r="Z2" s="64"/>
      <c r="AA2" s="64"/>
      <c r="AB2" s="64"/>
      <c r="AC2" s="64"/>
      <c r="AD2" s="64"/>
      <c r="AE2" s="65" t="s">
        <v>106</v>
      </c>
      <c r="AF2" s="65"/>
      <c r="AG2" s="65"/>
      <c r="AH2" s="65"/>
      <c r="AI2" s="65"/>
      <c r="AJ2" s="65"/>
      <c r="AK2" s="65"/>
      <c r="AL2" s="70"/>
      <c r="AM2" s="70"/>
      <c r="AN2" s="70"/>
      <c r="AO2" s="70"/>
      <c r="AP2" s="70"/>
      <c r="AQ2" s="70"/>
      <c r="AR2" s="66" t="s">
        <v>107</v>
      </c>
      <c r="AS2" s="66"/>
      <c r="AT2" s="66"/>
      <c r="AU2" s="66"/>
      <c r="AV2" s="66"/>
      <c r="AW2" s="66"/>
      <c r="AX2" s="66"/>
      <c r="AY2" s="49" t="s">
        <v>216</v>
      </c>
      <c r="AZ2" s="49"/>
      <c r="BA2" s="49"/>
      <c r="BB2" s="49"/>
      <c r="BC2" s="49"/>
      <c r="BD2" s="49"/>
      <c r="BE2" s="49"/>
      <c r="BF2" s="69" t="s">
        <v>155</v>
      </c>
      <c r="BG2" s="69"/>
      <c r="BH2" s="69"/>
      <c r="BI2" s="69"/>
      <c r="BJ2" s="69"/>
      <c r="BK2" s="69"/>
      <c r="BL2" s="69"/>
      <c r="BM2" s="71"/>
      <c r="BN2" s="71"/>
      <c r="BO2" s="71"/>
      <c r="BP2" s="71"/>
      <c r="BQ2" s="71"/>
      <c r="BR2" s="71"/>
      <c r="BS2" s="67" t="s">
        <v>109</v>
      </c>
      <c r="BT2" s="67"/>
      <c r="BU2" s="67"/>
      <c r="BV2" s="67"/>
      <c r="BW2" s="67"/>
      <c r="BX2" s="67"/>
      <c r="BY2" s="67"/>
      <c r="BZ2" s="68" t="s">
        <v>110</v>
      </c>
      <c r="CA2" s="68"/>
      <c r="CB2" s="68"/>
      <c r="CC2" s="68"/>
      <c r="CD2" s="68"/>
      <c r="CE2" s="68"/>
      <c r="CF2" s="68"/>
      <c r="CG2" s="69" t="s">
        <v>108</v>
      </c>
      <c r="CH2" s="69"/>
      <c r="CI2" s="69"/>
      <c r="CJ2" s="69"/>
      <c r="CK2" s="69"/>
      <c r="CL2" s="69"/>
      <c r="CM2" s="69"/>
    </row>
    <row r="3" spans="1:91" ht="93.5" thickBot="1">
      <c r="A3" s="50" t="s">
        <v>4</v>
      </c>
      <c r="B3" s="50" t="s">
        <v>217</v>
      </c>
      <c r="C3" s="50" t="s">
        <v>5</v>
      </c>
      <c r="D3" s="50" t="s">
        <v>6</v>
      </c>
      <c r="E3" s="50" t="s">
        <v>0</v>
      </c>
      <c r="F3" s="50" t="s">
        <v>111</v>
      </c>
      <c r="G3" s="50" t="s">
        <v>1</v>
      </c>
      <c r="H3" s="50" t="s">
        <v>150</v>
      </c>
      <c r="I3" s="50" t="s">
        <v>218</v>
      </c>
      <c r="J3" s="50" t="s">
        <v>214</v>
      </c>
      <c r="K3" s="50" t="s">
        <v>82</v>
      </c>
      <c r="L3" s="50" t="s">
        <v>215</v>
      </c>
      <c r="M3" s="50" t="s">
        <v>83</v>
      </c>
      <c r="N3" s="50" t="s">
        <v>211</v>
      </c>
      <c r="O3" s="50" t="s">
        <v>212</v>
      </c>
      <c r="P3" s="50" t="s">
        <v>213</v>
      </c>
      <c r="Q3" s="51" t="s">
        <v>8</v>
      </c>
      <c r="R3" s="51" t="s">
        <v>3</v>
      </c>
      <c r="S3" s="50" t="s">
        <v>84</v>
      </c>
      <c r="T3" s="50" t="s">
        <v>65</v>
      </c>
      <c r="U3" s="50" t="s">
        <v>85</v>
      </c>
      <c r="V3" s="50" t="s">
        <v>9</v>
      </c>
      <c r="W3" s="50" t="s">
        <v>219</v>
      </c>
      <c r="X3" s="51" t="s">
        <v>157</v>
      </c>
      <c r="Y3" s="51" t="s">
        <v>164</v>
      </c>
      <c r="Z3" s="50" t="s">
        <v>163</v>
      </c>
      <c r="AA3" s="50" t="s">
        <v>166</v>
      </c>
      <c r="AB3" s="50" t="s">
        <v>167</v>
      </c>
      <c r="AC3" s="50" t="s">
        <v>171</v>
      </c>
      <c r="AD3" s="50" t="s">
        <v>220</v>
      </c>
      <c r="AE3" s="51" t="s">
        <v>168</v>
      </c>
      <c r="AF3" s="51" t="s">
        <v>158</v>
      </c>
      <c r="AG3" s="50" t="s">
        <v>169</v>
      </c>
      <c r="AH3" s="50" t="s">
        <v>165</v>
      </c>
      <c r="AI3" s="50" t="s">
        <v>170</v>
      </c>
      <c r="AJ3" s="50" t="s">
        <v>172</v>
      </c>
      <c r="AK3" s="50" t="s">
        <v>221</v>
      </c>
      <c r="AL3" s="50" t="s">
        <v>173</v>
      </c>
      <c r="AM3" s="50" t="s">
        <v>222</v>
      </c>
      <c r="AN3" s="50" t="s">
        <v>174</v>
      </c>
      <c r="AO3" s="50" t="s">
        <v>175</v>
      </c>
      <c r="AP3" s="50" t="s">
        <v>223</v>
      </c>
      <c r="AQ3" s="50" t="s">
        <v>224</v>
      </c>
      <c r="AR3" s="51" t="s">
        <v>176</v>
      </c>
      <c r="AS3" s="51" t="s">
        <v>177</v>
      </c>
      <c r="AT3" s="50" t="s">
        <v>159</v>
      </c>
      <c r="AU3" s="50" t="s">
        <v>178</v>
      </c>
      <c r="AV3" s="50" t="s">
        <v>179</v>
      </c>
      <c r="AW3" s="50" t="s">
        <v>180</v>
      </c>
      <c r="AX3" s="50" t="s">
        <v>225</v>
      </c>
      <c r="AY3" s="51" t="s">
        <v>181</v>
      </c>
      <c r="AZ3" s="51" t="s">
        <v>182</v>
      </c>
      <c r="BA3" s="50" t="s">
        <v>183</v>
      </c>
      <c r="BB3" s="50" t="s">
        <v>160</v>
      </c>
      <c r="BC3" s="50" t="s">
        <v>184</v>
      </c>
      <c r="BD3" s="50" t="s">
        <v>185</v>
      </c>
      <c r="BE3" s="50" t="s">
        <v>226</v>
      </c>
      <c r="BF3" s="51" t="s">
        <v>186</v>
      </c>
      <c r="BG3" s="51" t="s">
        <v>187</v>
      </c>
      <c r="BH3" s="50" t="s">
        <v>188</v>
      </c>
      <c r="BI3" s="50" t="s">
        <v>189</v>
      </c>
      <c r="BJ3" s="50" t="s">
        <v>161</v>
      </c>
      <c r="BK3" s="50" t="s">
        <v>190</v>
      </c>
      <c r="BL3" s="50" t="s">
        <v>227</v>
      </c>
      <c r="BM3" s="50" t="s">
        <v>191</v>
      </c>
      <c r="BN3" s="50" t="s">
        <v>233</v>
      </c>
      <c r="BO3" s="50" t="s">
        <v>192</v>
      </c>
      <c r="BP3" s="50" t="s">
        <v>193</v>
      </c>
      <c r="BQ3" s="50" t="s">
        <v>228</v>
      </c>
      <c r="BR3" s="50" t="s">
        <v>229</v>
      </c>
      <c r="BS3" s="50" t="s">
        <v>194</v>
      </c>
      <c r="BT3" s="50" t="s">
        <v>195</v>
      </c>
      <c r="BU3" s="50" t="s">
        <v>196</v>
      </c>
      <c r="BV3" s="50" t="s">
        <v>197</v>
      </c>
      <c r="BW3" s="50" t="s">
        <v>198</v>
      </c>
      <c r="BX3" s="50" t="s">
        <v>162</v>
      </c>
      <c r="BY3" s="50" t="s">
        <v>230</v>
      </c>
      <c r="BZ3" s="50" t="s">
        <v>199</v>
      </c>
      <c r="CA3" s="50" t="s">
        <v>200</v>
      </c>
      <c r="CB3" s="50" t="s">
        <v>201</v>
      </c>
      <c r="CC3" s="50" t="s">
        <v>202</v>
      </c>
      <c r="CD3" s="50" t="s">
        <v>203</v>
      </c>
      <c r="CE3" s="50" t="s">
        <v>204</v>
      </c>
      <c r="CF3" s="50" t="s">
        <v>231</v>
      </c>
      <c r="CG3" s="50" t="s">
        <v>205</v>
      </c>
      <c r="CH3" s="50" t="s">
        <v>206</v>
      </c>
      <c r="CI3" s="50" t="s">
        <v>207</v>
      </c>
      <c r="CJ3" s="50" t="s">
        <v>208</v>
      </c>
      <c r="CK3" s="50" t="s">
        <v>209</v>
      </c>
      <c r="CL3" s="50" t="s">
        <v>210</v>
      </c>
      <c r="CM3" s="50" t="s">
        <v>232</v>
      </c>
    </row>
    <row r="4" spans="1:91">
      <c r="A4" s="52"/>
      <c r="B4" s="5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1"/>
      <c r="P4" s="31"/>
      <c r="Q4" s="54"/>
      <c r="R4" s="21" t="str">
        <f>IFERROR(VLOOKUP(July[[#This Row],[Drug Name]],'Data Options'!$R$1:$S$100,2,FALSE), " ")</f>
        <v xml:space="preserve"> </v>
      </c>
      <c r="S4" s="55"/>
      <c r="T4" s="32"/>
      <c r="U4" s="32"/>
      <c r="V4" s="55"/>
      <c r="W4" s="32"/>
      <c r="X4" s="54"/>
      <c r="Y4" s="21" t="str">
        <f>IFERROR(VLOOKUP(July[[#This Row],[Drug Name2]],'Data Options'!$R$1:$S$100,2,FALSE), " ")</f>
        <v xml:space="preserve"> </v>
      </c>
      <c r="Z4" s="55"/>
      <c r="AA4" s="32"/>
      <c r="AB4" s="32"/>
      <c r="AC4" s="55"/>
      <c r="AD4" s="32"/>
      <c r="AE4" s="54"/>
      <c r="AF4" s="21" t="str">
        <f>IFERROR(VLOOKUP(July[[#This Row],[Drug Name3]],'Data Options'!$R$1:$S$100,2,FALSE), " ")</f>
        <v xml:space="preserve"> </v>
      </c>
      <c r="AG4" s="55"/>
      <c r="AH4" s="32"/>
      <c r="AI4" s="32"/>
      <c r="AJ4" s="55"/>
      <c r="AK4" s="32"/>
      <c r="AL4" s="32"/>
      <c r="AM4" s="32"/>
      <c r="AN4" s="32"/>
      <c r="AO4" s="32"/>
      <c r="AP4" s="31"/>
      <c r="AQ4" s="31"/>
      <c r="AR4" s="54"/>
      <c r="AS4" s="21" t="str">
        <f>IFERROR(VLOOKUP(July[[#This Row],[Drug Name4]],'Data Options'!$R$1:$S$100,2,FALSE), " ")</f>
        <v xml:space="preserve"> </v>
      </c>
      <c r="AT4" s="55"/>
      <c r="AU4" s="32"/>
      <c r="AV4" s="32"/>
      <c r="AW4" s="55"/>
      <c r="AX4" s="32"/>
      <c r="AY4" s="54"/>
      <c r="AZ4" s="21" t="str">
        <f>IFERROR(VLOOKUP(July[[#This Row],[Drug Name5]],'Data Options'!$R$1:$S$100,2,FALSE), " ")</f>
        <v xml:space="preserve"> </v>
      </c>
      <c r="BA4" s="55"/>
      <c r="BB4" s="32"/>
      <c r="BC4" s="32"/>
      <c r="BD4" s="55"/>
      <c r="BE4" s="32"/>
      <c r="BF4" s="54"/>
      <c r="BG4" s="21" t="str">
        <f>IFERROR(VLOOKUP(July[[#This Row],[Drug Name6]],'Data Options'!$R$1:$S$100,2,FALSE), " ")</f>
        <v xml:space="preserve"> </v>
      </c>
      <c r="BH4" s="55"/>
      <c r="BI4" s="32"/>
      <c r="BJ4" s="32"/>
      <c r="BK4" s="55"/>
      <c r="BL4" s="32"/>
      <c r="BM4" s="32"/>
      <c r="BN4" s="32"/>
      <c r="BO4" s="32"/>
      <c r="BP4" s="32"/>
      <c r="BQ4" s="31"/>
      <c r="BR4" s="31"/>
      <c r="BS4" s="54"/>
      <c r="BT4" s="21" t="str">
        <f>IFERROR(VLOOKUP(July[[#This Row],[Drug Name7]],'Data Options'!$R$1:$S$100,2,FALSE), " ")</f>
        <v xml:space="preserve"> </v>
      </c>
      <c r="BU4" s="55"/>
      <c r="BV4" s="32"/>
      <c r="BW4" s="32"/>
      <c r="BX4" s="55"/>
      <c r="BY4" s="32"/>
      <c r="BZ4" s="54"/>
      <c r="CA4" s="21" t="str">
        <f>IFERROR(VLOOKUP(July[[#This Row],[Drug Name8]],'Data Options'!$R$1:$S$100,2,FALSE), " ")</f>
        <v xml:space="preserve"> </v>
      </c>
      <c r="CB4" s="55"/>
      <c r="CC4" s="32"/>
      <c r="CD4" s="32"/>
      <c r="CE4" s="55"/>
      <c r="CF4" s="32"/>
      <c r="CG4" s="54"/>
      <c r="CH4" s="21" t="str">
        <f>IFERROR(VLOOKUP(July[[#This Row],[Drug Name9]],'Data Options'!$R$1:$S$100,2,FALSE), " ")</f>
        <v xml:space="preserve"> </v>
      </c>
      <c r="CI4" s="55"/>
      <c r="CJ4" s="32"/>
      <c r="CK4" s="32"/>
      <c r="CL4" s="55"/>
      <c r="CM4" s="32"/>
    </row>
    <row r="5" spans="1:91">
      <c r="A5" s="5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1"/>
      <c r="P5" s="31"/>
      <c r="Q5" s="54"/>
      <c r="R5" s="21" t="str">
        <f>IFERROR(VLOOKUP(July[[#This Row],[Drug Name]],'Data Options'!$R$1:$S$100,2,FALSE), " ")</f>
        <v xml:space="preserve"> </v>
      </c>
      <c r="S5" s="55"/>
      <c r="T5" s="32"/>
      <c r="U5" s="32"/>
      <c r="V5" s="55"/>
      <c r="W5" s="32"/>
      <c r="X5" s="54"/>
      <c r="Y5" s="21" t="str">
        <f>IFERROR(VLOOKUP(July[[#This Row],[Drug Name2]],'Data Options'!$R$1:$S$100,2,FALSE), " ")</f>
        <v xml:space="preserve"> </v>
      </c>
      <c r="Z5" s="55"/>
      <c r="AA5" s="32"/>
      <c r="AB5" s="32"/>
      <c r="AC5" s="55"/>
      <c r="AD5" s="32"/>
      <c r="AE5" s="54"/>
      <c r="AF5" s="21" t="str">
        <f>IFERROR(VLOOKUP(July[[#This Row],[Drug Name3]],'Data Options'!$R$1:$S$100,2,FALSE), " ")</f>
        <v xml:space="preserve"> </v>
      </c>
      <c r="AG5" s="55"/>
      <c r="AH5" s="32"/>
      <c r="AI5" s="32"/>
      <c r="AJ5" s="55"/>
      <c r="AK5" s="32"/>
      <c r="AL5" s="32"/>
      <c r="AM5" s="32"/>
      <c r="AN5" s="32"/>
      <c r="AO5" s="32"/>
      <c r="AP5" s="31"/>
      <c r="AQ5" s="31"/>
      <c r="AR5" s="54"/>
      <c r="AS5" s="21" t="str">
        <f>IFERROR(VLOOKUP(July[[#This Row],[Drug Name4]],'Data Options'!$R$1:$S$100,2,FALSE), " ")</f>
        <v xml:space="preserve"> </v>
      </c>
      <c r="AT5" s="55"/>
      <c r="AU5" s="32"/>
      <c r="AV5" s="32"/>
      <c r="AW5" s="55"/>
      <c r="AX5" s="32"/>
      <c r="AY5" s="54"/>
      <c r="AZ5" s="21" t="str">
        <f>IFERROR(VLOOKUP(July[[#This Row],[Drug Name5]],'Data Options'!$R$1:$S$100,2,FALSE), " ")</f>
        <v xml:space="preserve"> </v>
      </c>
      <c r="BA5" s="55"/>
      <c r="BB5" s="32"/>
      <c r="BC5" s="32"/>
      <c r="BD5" s="55"/>
      <c r="BE5" s="32"/>
      <c r="BF5" s="54"/>
      <c r="BG5" s="21" t="str">
        <f>IFERROR(VLOOKUP(July[[#This Row],[Drug Name6]],'Data Options'!$R$1:$S$100,2,FALSE), " ")</f>
        <v xml:space="preserve"> </v>
      </c>
      <c r="BH5" s="55"/>
      <c r="BI5" s="32"/>
      <c r="BJ5" s="32"/>
      <c r="BK5" s="55"/>
      <c r="BL5" s="32"/>
      <c r="BM5" s="32"/>
      <c r="BN5" s="32"/>
      <c r="BO5" s="32"/>
      <c r="BP5" s="32"/>
      <c r="BQ5" s="31"/>
      <c r="BR5" s="31"/>
      <c r="BS5" s="54"/>
      <c r="BT5" s="21" t="str">
        <f>IFERROR(VLOOKUP(July[[#This Row],[Drug Name7]],'Data Options'!$R$1:$S$100,2,FALSE), " ")</f>
        <v xml:space="preserve"> </v>
      </c>
      <c r="BU5" s="55"/>
      <c r="BV5" s="32"/>
      <c r="BW5" s="32"/>
      <c r="BX5" s="55"/>
      <c r="BY5" s="32"/>
      <c r="BZ5" s="54"/>
      <c r="CA5" s="21" t="str">
        <f>IFERROR(VLOOKUP(July[[#This Row],[Drug Name8]],'Data Options'!$R$1:$S$100,2,FALSE), " ")</f>
        <v xml:space="preserve"> </v>
      </c>
      <c r="CB5" s="55"/>
      <c r="CC5" s="32"/>
      <c r="CD5" s="32"/>
      <c r="CE5" s="55"/>
      <c r="CF5" s="32"/>
      <c r="CG5" s="54"/>
      <c r="CH5" s="21" t="str">
        <f>IFERROR(VLOOKUP(July[[#This Row],[Drug Name9]],'Data Options'!$R$1:$S$100,2,FALSE), " ")</f>
        <v xml:space="preserve"> </v>
      </c>
      <c r="CI5" s="55"/>
      <c r="CJ5" s="32"/>
      <c r="CK5" s="32"/>
      <c r="CL5" s="55"/>
      <c r="CM5" s="32"/>
    </row>
    <row r="6" spans="1:91">
      <c r="A6" s="5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1"/>
      <c r="P6" s="31"/>
      <c r="Q6" s="54"/>
      <c r="R6" s="21" t="str">
        <f>IFERROR(VLOOKUP(July[[#This Row],[Drug Name]],'Data Options'!$R$1:$S$100,2,FALSE), " ")</f>
        <v xml:space="preserve"> </v>
      </c>
      <c r="S6" s="55"/>
      <c r="T6" s="32"/>
      <c r="U6" s="32"/>
      <c r="V6" s="55"/>
      <c r="W6" s="32"/>
      <c r="X6" s="54"/>
      <c r="Y6" s="21" t="str">
        <f>IFERROR(VLOOKUP(July[[#This Row],[Drug Name2]],'Data Options'!$R$1:$S$100,2,FALSE), " ")</f>
        <v xml:space="preserve"> </v>
      </c>
      <c r="Z6" s="55"/>
      <c r="AA6" s="32"/>
      <c r="AB6" s="32"/>
      <c r="AC6" s="55"/>
      <c r="AD6" s="32"/>
      <c r="AE6" s="54"/>
      <c r="AF6" s="21" t="str">
        <f>IFERROR(VLOOKUP(July[[#This Row],[Drug Name3]],'Data Options'!$R$1:$S$100,2,FALSE), " ")</f>
        <v xml:space="preserve"> </v>
      </c>
      <c r="AG6" s="55"/>
      <c r="AH6" s="32"/>
      <c r="AI6" s="32"/>
      <c r="AJ6" s="55"/>
      <c r="AK6" s="32"/>
      <c r="AL6" s="32"/>
      <c r="AM6" s="32"/>
      <c r="AN6" s="32"/>
      <c r="AO6" s="32"/>
      <c r="AP6" s="31"/>
      <c r="AQ6" s="31"/>
      <c r="AR6" s="54"/>
      <c r="AS6" s="21" t="str">
        <f>IFERROR(VLOOKUP(July[[#This Row],[Drug Name4]],'Data Options'!$R$1:$S$100,2,FALSE), " ")</f>
        <v xml:space="preserve"> </v>
      </c>
      <c r="AT6" s="55"/>
      <c r="AU6" s="32"/>
      <c r="AV6" s="32"/>
      <c r="AW6" s="55"/>
      <c r="AX6" s="32"/>
      <c r="AY6" s="54"/>
      <c r="AZ6" s="21" t="str">
        <f>IFERROR(VLOOKUP(July[[#This Row],[Drug Name5]],'Data Options'!$R$1:$S$100,2,FALSE), " ")</f>
        <v xml:space="preserve"> </v>
      </c>
      <c r="BA6" s="55"/>
      <c r="BB6" s="32"/>
      <c r="BC6" s="32"/>
      <c r="BD6" s="55"/>
      <c r="BE6" s="32"/>
      <c r="BF6" s="54"/>
      <c r="BG6" s="21" t="str">
        <f>IFERROR(VLOOKUP(July[[#This Row],[Drug Name6]],'Data Options'!$R$1:$S$100,2,FALSE), " ")</f>
        <v xml:space="preserve"> </v>
      </c>
      <c r="BH6" s="55"/>
      <c r="BI6" s="32"/>
      <c r="BJ6" s="32"/>
      <c r="BK6" s="55"/>
      <c r="BL6" s="32"/>
      <c r="BM6" s="32"/>
      <c r="BN6" s="32"/>
      <c r="BO6" s="32"/>
      <c r="BP6" s="32"/>
      <c r="BQ6" s="31"/>
      <c r="BR6" s="31"/>
      <c r="BS6" s="54"/>
      <c r="BT6" s="21" t="str">
        <f>IFERROR(VLOOKUP(July[[#This Row],[Drug Name7]],'Data Options'!$R$1:$S$100,2,FALSE), " ")</f>
        <v xml:space="preserve"> </v>
      </c>
      <c r="BU6" s="55"/>
      <c r="BV6" s="32"/>
      <c r="BW6" s="32"/>
      <c r="BX6" s="55"/>
      <c r="BY6" s="32"/>
      <c r="BZ6" s="54"/>
      <c r="CA6" s="21" t="str">
        <f>IFERROR(VLOOKUP(July[[#This Row],[Drug Name8]],'Data Options'!$R$1:$S$100,2,FALSE), " ")</f>
        <v xml:space="preserve"> </v>
      </c>
      <c r="CB6" s="55"/>
      <c r="CC6" s="32"/>
      <c r="CD6" s="32"/>
      <c r="CE6" s="55"/>
      <c r="CF6" s="32"/>
      <c r="CG6" s="54"/>
      <c r="CH6" s="21" t="str">
        <f>IFERROR(VLOOKUP(July[[#This Row],[Drug Name9]],'Data Options'!$R$1:$S$100,2,FALSE), " ")</f>
        <v xml:space="preserve"> </v>
      </c>
      <c r="CI6" s="55"/>
      <c r="CJ6" s="32"/>
      <c r="CK6" s="32"/>
      <c r="CL6" s="55"/>
      <c r="CM6" s="32"/>
    </row>
    <row r="7" spans="1:91">
      <c r="A7" s="5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1"/>
      <c r="P7" s="31"/>
      <c r="Q7" s="54"/>
      <c r="R7" s="21" t="str">
        <f>IFERROR(VLOOKUP(July[[#This Row],[Drug Name]],'Data Options'!$R$1:$S$100,2,FALSE), " ")</f>
        <v xml:space="preserve"> </v>
      </c>
      <c r="S7" s="55"/>
      <c r="T7" s="32"/>
      <c r="U7" s="32"/>
      <c r="V7" s="55"/>
      <c r="W7" s="32"/>
      <c r="X7" s="54"/>
      <c r="Y7" s="21" t="str">
        <f>IFERROR(VLOOKUP(July[[#This Row],[Drug Name2]],'Data Options'!$R$1:$S$100,2,FALSE), " ")</f>
        <v xml:space="preserve"> </v>
      </c>
      <c r="Z7" s="55"/>
      <c r="AA7" s="32"/>
      <c r="AB7" s="32"/>
      <c r="AC7" s="55"/>
      <c r="AD7" s="32"/>
      <c r="AE7" s="54"/>
      <c r="AF7" s="21" t="str">
        <f>IFERROR(VLOOKUP(July[[#This Row],[Drug Name3]],'Data Options'!$R$1:$S$100,2,FALSE), " ")</f>
        <v xml:space="preserve"> </v>
      </c>
      <c r="AG7" s="55"/>
      <c r="AH7" s="32"/>
      <c r="AI7" s="32"/>
      <c r="AJ7" s="55"/>
      <c r="AK7" s="32"/>
      <c r="AL7" s="32"/>
      <c r="AM7" s="32"/>
      <c r="AN7" s="32"/>
      <c r="AO7" s="32"/>
      <c r="AP7" s="31"/>
      <c r="AQ7" s="31"/>
      <c r="AR7" s="54"/>
      <c r="AS7" s="21" t="str">
        <f>IFERROR(VLOOKUP(July[[#This Row],[Drug Name4]],'Data Options'!$R$1:$S$100,2,FALSE), " ")</f>
        <v xml:space="preserve"> </v>
      </c>
      <c r="AT7" s="55"/>
      <c r="AU7" s="32"/>
      <c r="AV7" s="32"/>
      <c r="AW7" s="55"/>
      <c r="AX7" s="32"/>
      <c r="AY7" s="54"/>
      <c r="AZ7" s="21" t="str">
        <f>IFERROR(VLOOKUP(July[[#This Row],[Drug Name5]],'Data Options'!$R$1:$S$100,2,FALSE), " ")</f>
        <v xml:space="preserve"> </v>
      </c>
      <c r="BA7" s="55"/>
      <c r="BB7" s="32"/>
      <c r="BC7" s="32"/>
      <c r="BD7" s="55"/>
      <c r="BE7" s="32"/>
      <c r="BF7" s="54"/>
      <c r="BG7" s="21" t="str">
        <f>IFERROR(VLOOKUP(July[[#This Row],[Drug Name6]],'Data Options'!$R$1:$S$100,2,FALSE), " ")</f>
        <v xml:space="preserve"> </v>
      </c>
      <c r="BH7" s="55"/>
      <c r="BI7" s="32"/>
      <c r="BJ7" s="32"/>
      <c r="BK7" s="55"/>
      <c r="BL7" s="32"/>
      <c r="BM7" s="32"/>
      <c r="BN7" s="32"/>
      <c r="BO7" s="32"/>
      <c r="BP7" s="32"/>
      <c r="BQ7" s="31"/>
      <c r="BR7" s="31"/>
      <c r="BS7" s="54"/>
      <c r="BT7" s="21" t="str">
        <f>IFERROR(VLOOKUP(July[[#This Row],[Drug Name7]],'Data Options'!$R$1:$S$100,2,FALSE), " ")</f>
        <v xml:space="preserve"> </v>
      </c>
      <c r="BU7" s="55"/>
      <c r="BV7" s="32"/>
      <c r="BW7" s="32"/>
      <c r="BX7" s="55"/>
      <c r="BY7" s="32"/>
      <c r="BZ7" s="54"/>
      <c r="CA7" s="21" t="str">
        <f>IFERROR(VLOOKUP(July[[#This Row],[Drug Name8]],'Data Options'!$R$1:$S$100,2,FALSE), " ")</f>
        <v xml:space="preserve"> </v>
      </c>
      <c r="CB7" s="55"/>
      <c r="CC7" s="32"/>
      <c r="CD7" s="32"/>
      <c r="CE7" s="55"/>
      <c r="CF7" s="32"/>
      <c r="CG7" s="54"/>
      <c r="CH7" s="21" t="str">
        <f>IFERROR(VLOOKUP(July[[#This Row],[Drug Name9]],'Data Options'!$R$1:$S$100,2,FALSE), " ")</f>
        <v xml:space="preserve"> </v>
      </c>
      <c r="CI7" s="55"/>
      <c r="CJ7" s="32"/>
      <c r="CK7" s="32"/>
      <c r="CL7" s="55"/>
      <c r="CM7" s="32"/>
    </row>
    <row r="8" spans="1:91">
      <c r="A8" s="5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1"/>
      <c r="P8" s="31"/>
      <c r="Q8" s="54"/>
      <c r="R8" s="21" t="str">
        <f>IFERROR(VLOOKUP(July[[#This Row],[Drug Name]],'Data Options'!$R$1:$S$100,2,FALSE), " ")</f>
        <v xml:space="preserve"> </v>
      </c>
      <c r="S8" s="55"/>
      <c r="T8" s="32"/>
      <c r="U8" s="32"/>
      <c r="V8" s="55"/>
      <c r="W8" s="32"/>
      <c r="X8" s="54"/>
      <c r="Y8" s="21" t="str">
        <f>IFERROR(VLOOKUP(July[[#This Row],[Drug Name2]],'Data Options'!$R$1:$S$100,2,FALSE), " ")</f>
        <v xml:space="preserve"> </v>
      </c>
      <c r="Z8" s="55"/>
      <c r="AA8" s="32"/>
      <c r="AB8" s="32"/>
      <c r="AC8" s="55"/>
      <c r="AD8" s="32"/>
      <c r="AE8" s="54"/>
      <c r="AF8" s="21" t="str">
        <f>IFERROR(VLOOKUP(July[[#This Row],[Drug Name3]],'Data Options'!$R$1:$S$100,2,FALSE), " ")</f>
        <v xml:space="preserve"> </v>
      </c>
      <c r="AG8" s="55"/>
      <c r="AH8" s="32"/>
      <c r="AI8" s="32"/>
      <c r="AJ8" s="55"/>
      <c r="AK8" s="32"/>
      <c r="AL8" s="32"/>
      <c r="AM8" s="32"/>
      <c r="AN8" s="32"/>
      <c r="AO8" s="32"/>
      <c r="AP8" s="31"/>
      <c r="AQ8" s="31"/>
      <c r="AR8" s="54"/>
      <c r="AS8" s="21" t="str">
        <f>IFERROR(VLOOKUP(July[[#This Row],[Drug Name4]],'Data Options'!$R$1:$S$100,2,FALSE), " ")</f>
        <v xml:space="preserve"> </v>
      </c>
      <c r="AT8" s="55"/>
      <c r="AU8" s="32"/>
      <c r="AV8" s="32"/>
      <c r="AW8" s="55"/>
      <c r="AX8" s="32"/>
      <c r="AY8" s="54"/>
      <c r="AZ8" s="21" t="str">
        <f>IFERROR(VLOOKUP(July[[#This Row],[Drug Name5]],'Data Options'!$R$1:$S$100,2,FALSE), " ")</f>
        <v xml:space="preserve"> </v>
      </c>
      <c r="BA8" s="55"/>
      <c r="BB8" s="32"/>
      <c r="BC8" s="32"/>
      <c r="BD8" s="55"/>
      <c r="BE8" s="32"/>
      <c r="BF8" s="54"/>
      <c r="BG8" s="21" t="str">
        <f>IFERROR(VLOOKUP(July[[#This Row],[Drug Name6]],'Data Options'!$R$1:$S$100,2,FALSE), " ")</f>
        <v xml:space="preserve"> </v>
      </c>
      <c r="BH8" s="55"/>
      <c r="BI8" s="32"/>
      <c r="BJ8" s="32"/>
      <c r="BK8" s="55"/>
      <c r="BL8" s="32"/>
      <c r="BM8" s="32"/>
      <c r="BN8" s="32"/>
      <c r="BO8" s="32"/>
      <c r="BP8" s="32"/>
      <c r="BQ8" s="31"/>
      <c r="BR8" s="31"/>
      <c r="BS8" s="54"/>
      <c r="BT8" s="21" t="str">
        <f>IFERROR(VLOOKUP(July[[#This Row],[Drug Name7]],'Data Options'!$R$1:$S$100,2,FALSE), " ")</f>
        <v xml:space="preserve"> </v>
      </c>
      <c r="BU8" s="55"/>
      <c r="BV8" s="32"/>
      <c r="BW8" s="32"/>
      <c r="BX8" s="55"/>
      <c r="BY8" s="32"/>
      <c r="BZ8" s="54"/>
      <c r="CA8" s="21" t="str">
        <f>IFERROR(VLOOKUP(July[[#This Row],[Drug Name8]],'Data Options'!$R$1:$S$100,2,FALSE), " ")</f>
        <v xml:space="preserve"> </v>
      </c>
      <c r="CB8" s="55"/>
      <c r="CC8" s="32"/>
      <c r="CD8" s="32"/>
      <c r="CE8" s="55"/>
      <c r="CF8" s="32"/>
      <c r="CG8" s="54"/>
      <c r="CH8" s="21" t="str">
        <f>IFERROR(VLOOKUP(July[[#This Row],[Drug Name9]],'Data Options'!$R$1:$S$100,2,FALSE), " ")</f>
        <v xml:space="preserve"> </v>
      </c>
      <c r="CI8" s="55"/>
      <c r="CJ8" s="32"/>
      <c r="CK8" s="32"/>
      <c r="CL8" s="55"/>
      <c r="CM8" s="32"/>
    </row>
    <row r="9" spans="1:91">
      <c r="A9" s="5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1"/>
      <c r="P9" s="31"/>
      <c r="Q9" s="54"/>
      <c r="R9" s="21" t="str">
        <f>IFERROR(VLOOKUP(July[[#This Row],[Drug Name]],'Data Options'!$R$1:$S$100,2,FALSE), " ")</f>
        <v xml:space="preserve"> </v>
      </c>
      <c r="S9" s="55"/>
      <c r="T9" s="32"/>
      <c r="U9" s="32"/>
      <c r="V9" s="55"/>
      <c r="W9" s="32"/>
      <c r="X9" s="54"/>
      <c r="Y9" s="21" t="str">
        <f>IFERROR(VLOOKUP(July[[#This Row],[Drug Name2]],'Data Options'!$R$1:$S$100,2,FALSE), " ")</f>
        <v xml:space="preserve"> </v>
      </c>
      <c r="Z9" s="55"/>
      <c r="AA9" s="32"/>
      <c r="AB9" s="32"/>
      <c r="AC9" s="55"/>
      <c r="AD9" s="32"/>
      <c r="AE9" s="54"/>
      <c r="AF9" s="21" t="str">
        <f>IFERROR(VLOOKUP(July[[#This Row],[Drug Name3]],'Data Options'!$R$1:$S$100,2,FALSE), " ")</f>
        <v xml:space="preserve"> </v>
      </c>
      <c r="AG9" s="55"/>
      <c r="AH9" s="32"/>
      <c r="AI9" s="32"/>
      <c r="AJ9" s="55"/>
      <c r="AK9" s="32"/>
      <c r="AL9" s="32"/>
      <c r="AM9" s="32"/>
      <c r="AN9" s="32"/>
      <c r="AO9" s="32"/>
      <c r="AP9" s="31"/>
      <c r="AQ9" s="31"/>
      <c r="AR9" s="54"/>
      <c r="AS9" s="21" t="str">
        <f>IFERROR(VLOOKUP(July[[#This Row],[Drug Name4]],'Data Options'!$R$1:$S$100,2,FALSE), " ")</f>
        <v xml:space="preserve"> </v>
      </c>
      <c r="AT9" s="55"/>
      <c r="AU9" s="32"/>
      <c r="AV9" s="32"/>
      <c r="AW9" s="55"/>
      <c r="AX9" s="32"/>
      <c r="AY9" s="54"/>
      <c r="AZ9" s="21" t="str">
        <f>IFERROR(VLOOKUP(July[[#This Row],[Drug Name5]],'Data Options'!$R$1:$S$100,2,FALSE), " ")</f>
        <v xml:space="preserve"> </v>
      </c>
      <c r="BA9" s="55"/>
      <c r="BB9" s="32"/>
      <c r="BC9" s="32"/>
      <c r="BD9" s="55"/>
      <c r="BE9" s="32"/>
      <c r="BF9" s="54"/>
      <c r="BG9" s="21" t="str">
        <f>IFERROR(VLOOKUP(July[[#This Row],[Drug Name6]],'Data Options'!$R$1:$S$100,2,FALSE), " ")</f>
        <v xml:space="preserve"> </v>
      </c>
      <c r="BH9" s="55"/>
      <c r="BI9" s="32"/>
      <c r="BJ9" s="32"/>
      <c r="BK9" s="55"/>
      <c r="BL9" s="32"/>
      <c r="BM9" s="32"/>
      <c r="BN9" s="32"/>
      <c r="BO9" s="32"/>
      <c r="BP9" s="32"/>
      <c r="BQ9" s="31"/>
      <c r="BR9" s="31"/>
      <c r="BS9" s="54"/>
      <c r="BT9" s="21" t="str">
        <f>IFERROR(VLOOKUP(July[[#This Row],[Drug Name7]],'Data Options'!$R$1:$S$100,2,FALSE), " ")</f>
        <v xml:space="preserve"> </v>
      </c>
      <c r="BU9" s="55"/>
      <c r="BV9" s="32"/>
      <c r="BW9" s="32"/>
      <c r="BX9" s="55"/>
      <c r="BY9" s="32"/>
      <c r="BZ9" s="54"/>
      <c r="CA9" s="21" t="str">
        <f>IFERROR(VLOOKUP(July[[#This Row],[Drug Name8]],'Data Options'!$R$1:$S$100,2,FALSE), " ")</f>
        <v xml:space="preserve"> </v>
      </c>
      <c r="CB9" s="55"/>
      <c r="CC9" s="32"/>
      <c r="CD9" s="32"/>
      <c r="CE9" s="55"/>
      <c r="CF9" s="32"/>
      <c r="CG9" s="54"/>
      <c r="CH9" s="21" t="str">
        <f>IFERROR(VLOOKUP(July[[#This Row],[Drug Name9]],'Data Options'!$R$1:$S$100,2,FALSE), " ")</f>
        <v xml:space="preserve"> </v>
      </c>
      <c r="CI9" s="55"/>
      <c r="CJ9" s="32"/>
      <c r="CK9" s="32"/>
      <c r="CL9" s="55"/>
      <c r="CM9" s="32"/>
    </row>
    <row r="10" spans="1:91">
      <c r="A10" s="5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1"/>
      <c r="P10" s="31"/>
      <c r="Q10" s="54"/>
      <c r="R10" s="21" t="str">
        <f>IFERROR(VLOOKUP(July[[#This Row],[Drug Name]],'Data Options'!$R$1:$S$100,2,FALSE), " ")</f>
        <v xml:space="preserve"> </v>
      </c>
      <c r="S10" s="55"/>
      <c r="T10" s="32"/>
      <c r="U10" s="32"/>
      <c r="V10" s="55"/>
      <c r="W10" s="32"/>
      <c r="X10" s="54"/>
      <c r="Y10" s="21" t="str">
        <f>IFERROR(VLOOKUP(July[[#This Row],[Drug Name2]],'Data Options'!$R$1:$S$100,2,FALSE), " ")</f>
        <v xml:space="preserve"> </v>
      </c>
      <c r="Z10" s="55"/>
      <c r="AA10" s="32"/>
      <c r="AB10" s="32"/>
      <c r="AC10" s="55"/>
      <c r="AD10" s="32"/>
      <c r="AE10" s="54"/>
      <c r="AF10" s="21" t="str">
        <f>IFERROR(VLOOKUP(July[[#This Row],[Drug Name3]],'Data Options'!$R$1:$S$100,2,FALSE), " ")</f>
        <v xml:space="preserve"> </v>
      </c>
      <c r="AG10" s="55"/>
      <c r="AH10" s="32"/>
      <c r="AI10" s="32"/>
      <c r="AJ10" s="55"/>
      <c r="AK10" s="32"/>
      <c r="AL10" s="32"/>
      <c r="AM10" s="32"/>
      <c r="AN10" s="32"/>
      <c r="AO10" s="32"/>
      <c r="AP10" s="31"/>
      <c r="AQ10" s="31"/>
      <c r="AR10" s="54"/>
      <c r="AS10" s="21" t="str">
        <f>IFERROR(VLOOKUP(July[[#This Row],[Drug Name4]],'Data Options'!$R$1:$S$100,2,FALSE), " ")</f>
        <v xml:space="preserve"> </v>
      </c>
      <c r="AT10" s="55"/>
      <c r="AU10" s="32"/>
      <c r="AV10" s="32"/>
      <c r="AW10" s="55"/>
      <c r="AX10" s="32"/>
      <c r="AY10" s="54"/>
      <c r="AZ10" s="21" t="str">
        <f>IFERROR(VLOOKUP(July[[#This Row],[Drug Name5]],'Data Options'!$R$1:$S$100,2,FALSE), " ")</f>
        <v xml:space="preserve"> </v>
      </c>
      <c r="BA10" s="55"/>
      <c r="BB10" s="32"/>
      <c r="BC10" s="32"/>
      <c r="BD10" s="55"/>
      <c r="BE10" s="32"/>
      <c r="BF10" s="54"/>
      <c r="BG10" s="21" t="str">
        <f>IFERROR(VLOOKUP(July[[#This Row],[Drug Name6]],'Data Options'!$R$1:$S$100,2,FALSE), " ")</f>
        <v xml:space="preserve"> </v>
      </c>
      <c r="BH10" s="55"/>
      <c r="BI10" s="32"/>
      <c r="BJ10" s="32"/>
      <c r="BK10" s="55"/>
      <c r="BL10" s="32"/>
      <c r="BM10" s="32"/>
      <c r="BN10" s="32"/>
      <c r="BO10" s="32"/>
      <c r="BP10" s="32"/>
      <c r="BQ10" s="31"/>
      <c r="BR10" s="31"/>
      <c r="BS10" s="54"/>
      <c r="BT10" s="21" t="str">
        <f>IFERROR(VLOOKUP(July[[#This Row],[Drug Name7]],'Data Options'!$R$1:$S$100,2,FALSE), " ")</f>
        <v xml:space="preserve"> </v>
      </c>
      <c r="BU10" s="55"/>
      <c r="BV10" s="32"/>
      <c r="BW10" s="32"/>
      <c r="BX10" s="55"/>
      <c r="BY10" s="32"/>
      <c r="BZ10" s="54"/>
      <c r="CA10" s="21" t="str">
        <f>IFERROR(VLOOKUP(July[[#This Row],[Drug Name8]],'Data Options'!$R$1:$S$100,2,FALSE), " ")</f>
        <v xml:space="preserve"> </v>
      </c>
      <c r="CB10" s="55"/>
      <c r="CC10" s="32"/>
      <c r="CD10" s="32"/>
      <c r="CE10" s="55"/>
      <c r="CF10" s="32"/>
      <c r="CG10" s="54"/>
      <c r="CH10" s="21" t="str">
        <f>IFERROR(VLOOKUP(July[[#This Row],[Drug Name9]],'Data Options'!$R$1:$S$100,2,FALSE), " ")</f>
        <v xml:space="preserve"> </v>
      </c>
      <c r="CI10" s="55"/>
      <c r="CJ10" s="32"/>
      <c r="CK10" s="32"/>
      <c r="CL10" s="55"/>
      <c r="CM10" s="32"/>
    </row>
    <row r="11" spans="1:91">
      <c r="A11" s="5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1"/>
      <c r="P11" s="31"/>
      <c r="Q11" s="54"/>
      <c r="R11" s="21" t="str">
        <f>IFERROR(VLOOKUP(July[[#This Row],[Drug Name]],'Data Options'!$R$1:$S$100,2,FALSE), " ")</f>
        <v xml:space="preserve"> </v>
      </c>
      <c r="S11" s="55"/>
      <c r="T11" s="32"/>
      <c r="U11" s="32"/>
      <c r="V11" s="55"/>
      <c r="W11" s="32"/>
      <c r="X11" s="54"/>
      <c r="Y11" s="21" t="str">
        <f>IFERROR(VLOOKUP(July[[#This Row],[Drug Name2]],'Data Options'!$R$1:$S$100,2,FALSE), " ")</f>
        <v xml:space="preserve"> </v>
      </c>
      <c r="Z11" s="55"/>
      <c r="AA11" s="32"/>
      <c r="AB11" s="32"/>
      <c r="AC11" s="55"/>
      <c r="AD11" s="32"/>
      <c r="AE11" s="54"/>
      <c r="AF11" s="21" t="str">
        <f>IFERROR(VLOOKUP(July[[#This Row],[Drug Name3]],'Data Options'!$R$1:$S$100,2,FALSE), " ")</f>
        <v xml:space="preserve"> </v>
      </c>
      <c r="AG11" s="55"/>
      <c r="AH11" s="32"/>
      <c r="AI11" s="32"/>
      <c r="AJ11" s="55"/>
      <c r="AK11" s="32"/>
      <c r="AL11" s="32"/>
      <c r="AM11" s="32"/>
      <c r="AN11" s="32"/>
      <c r="AO11" s="32"/>
      <c r="AP11" s="31"/>
      <c r="AQ11" s="31"/>
      <c r="AR11" s="54"/>
      <c r="AS11" s="21" t="str">
        <f>IFERROR(VLOOKUP(July[[#This Row],[Drug Name4]],'Data Options'!$R$1:$S$100,2,FALSE), " ")</f>
        <v xml:space="preserve"> </v>
      </c>
      <c r="AT11" s="55"/>
      <c r="AU11" s="32"/>
      <c r="AV11" s="32"/>
      <c r="AW11" s="55"/>
      <c r="AX11" s="32"/>
      <c r="AY11" s="54"/>
      <c r="AZ11" s="21" t="str">
        <f>IFERROR(VLOOKUP(July[[#This Row],[Drug Name5]],'Data Options'!$R$1:$S$100,2,FALSE), " ")</f>
        <v xml:space="preserve"> </v>
      </c>
      <c r="BA11" s="55"/>
      <c r="BB11" s="32"/>
      <c r="BC11" s="32"/>
      <c r="BD11" s="55"/>
      <c r="BE11" s="32"/>
      <c r="BF11" s="54"/>
      <c r="BG11" s="21" t="str">
        <f>IFERROR(VLOOKUP(July[[#This Row],[Drug Name6]],'Data Options'!$R$1:$S$100,2,FALSE), " ")</f>
        <v xml:space="preserve"> </v>
      </c>
      <c r="BH11" s="55"/>
      <c r="BI11" s="32"/>
      <c r="BJ11" s="32"/>
      <c r="BK11" s="55"/>
      <c r="BL11" s="32"/>
      <c r="BM11" s="32"/>
      <c r="BN11" s="32"/>
      <c r="BO11" s="32"/>
      <c r="BP11" s="32"/>
      <c r="BQ11" s="31"/>
      <c r="BR11" s="31"/>
      <c r="BS11" s="54"/>
      <c r="BT11" s="21" t="str">
        <f>IFERROR(VLOOKUP(July[[#This Row],[Drug Name7]],'Data Options'!$R$1:$S$100,2,FALSE), " ")</f>
        <v xml:space="preserve"> </v>
      </c>
      <c r="BU11" s="55"/>
      <c r="BV11" s="32"/>
      <c r="BW11" s="32"/>
      <c r="BX11" s="55"/>
      <c r="BY11" s="32"/>
      <c r="BZ11" s="54"/>
      <c r="CA11" s="21" t="str">
        <f>IFERROR(VLOOKUP(July[[#This Row],[Drug Name8]],'Data Options'!$R$1:$S$100,2,FALSE), " ")</f>
        <v xml:space="preserve"> </v>
      </c>
      <c r="CB11" s="55"/>
      <c r="CC11" s="32"/>
      <c r="CD11" s="32"/>
      <c r="CE11" s="55"/>
      <c r="CF11" s="32"/>
      <c r="CG11" s="54"/>
      <c r="CH11" s="21" t="str">
        <f>IFERROR(VLOOKUP(July[[#This Row],[Drug Name9]],'Data Options'!$R$1:$S$100,2,FALSE), " ")</f>
        <v xml:space="preserve"> </v>
      </c>
      <c r="CI11" s="55"/>
      <c r="CJ11" s="32"/>
      <c r="CK11" s="32"/>
      <c r="CL11" s="55"/>
      <c r="CM11" s="32"/>
    </row>
    <row r="12" spans="1:91">
      <c r="A12" s="5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1"/>
      <c r="P12" s="31"/>
      <c r="Q12" s="54"/>
      <c r="R12" s="21" t="str">
        <f>IFERROR(VLOOKUP(July[[#This Row],[Drug Name]],'Data Options'!$R$1:$S$100,2,FALSE), " ")</f>
        <v xml:space="preserve"> </v>
      </c>
      <c r="S12" s="55"/>
      <c r="T12" s="32"/>
      <c r="U12" s="32"/>
      <c r="V12" s="55"/>
      <c r="W12" s="32"/>
      <c r="X12" s="54"/>
      <c r="Y12" s="21" t="str">
        <f>IFERROR(VLOOKUP(July[[#This Row],[Drug Name2]],'Data Options'!$R$1:$S$100,2,FALSE), " ")</f>
        <v xml:space="preserve"> </v>
      </c>
      <c r="Z12" s="55"/>
      <c r="AA12" s="32"/>
      <c r="AB12" s="32"/>
      <c r="AC12" s="55"/>
      <c r="AD12" s="32"/>
      <c r="AE12" s="54"/>
      <c r="AF12" s="21" t="str">
        <f>IFERROR(VLOOKUP(July[[#This Row],[Drug Name3]],'Data Options'!$R$1:$S$100,2,FALSE), " ")</f>
        <v xml:space="preserve"> </v>
      </c>
      <c r="AG12" s="55"/>
      <c r="AH12" s="32"/>
      <c r="AI12" s="32"/>
      <c r="AJ12" s="55"/>
      <c r="AK12" s="32"/>
      <c r="AL12" s="32"/>
      <c r="AM12" s="32"/>
      <c r="AN12" s="32"/>
      <c r="AO12" s="32"/>
      <c r="AP12" s="31"/>
      <c r="AQ12" s="31"/>
      <c r="AR12" s="54"/>
      <c r="AS12" s="21" t="str">
        <f>IFERROR(VLOOKUP(July[[#This Row],[Drug Name4]],'Data Options'!$R$1:$S$100,2,FALSE), " ")</f>
        <v xml:space="preserve"> </v>
      </c>
      <c r="AT12" s="55"/>
      <c r="AU12" s="32"/>
      <c r="AV12" s="32"/>
      <c r="AW12" s="55"/>
      <c r="AX12" s="32"/>
      <c r="AY12" s="54"/>
      <c r="AZ12" s="21" t="str">
        <f>IFERROR(VLOOKUP(July[[#This Row],[Drug Name5]],'Data Options'!$R$1:$S$100,2,FALSE), " ")</f>
        <v xml:space="preserve"> </v>
      </c>
      <c r="BA12" s="55"/>
      <c r="BB12" s="32"/>
      <c r="BC12" s="32"/>
      <c r="BD12" s="55"/>
      <c r="BE12" s="32"/>
      <c r="BF12" s="54"/>
      <c r="BG12" s="21" t="str">
        <f>IFERROR(VLOOKUP(July[[#This Row],[Drug Name6]],'Data Options'!$R$1:$S$100,2,FALSE), " ")</f>
        <v xml:space="preserve"> </v>
      </c>
      <c r="BH12" s="55"/>
      <c r="BI12" s="32"/>
      <c r="BJ12" s="32"/>
      <c r="BK12" s="55"/>
      <c r="BL12" s="32"/>
      <c r="BM12" s="32"/>
      <c r="BN12" s="32"/>
      <c r="BO12" s="32"/>
      <c r="BP12" s="32"/>
      <c r="BQ12" s="31"/>
      <c r="BR12" s="31"/>
      <c r="BS12" s="54"/>
      <c r="BT12" s="21" t="str">
        <f>IFERROR(VLOOKUP(July[[#This Row],[Drug Name7]],'Data Options'!$R$1:$S$100,2,FALSE), " ")</f>
        <v xml:space="preserve"> </v>
      </c>
      <c r="BU12" s="55"/>
      <c r="BV12" s="32"/>
      <c r="BW12" s="32"/>
      <c r="BX12" s="55"/>
      <c r="BY12" s="32"/>
      <c r="BZ12" s="54"/>
      <c r="CA12" s="21" t="str">
        <f>IFERROR(VLOOKUP(July[[#This Row],[Drug Name8]],'Data Options'!$R$1:$S$100,2,FALSE), " ")</f>
        <v xml:space="preserve"> </v>
      </c>
      <c r="CB12" s="55"/>
      <c r="CC12" s="32"/>
      <c r="CD12" s="32"/>
      <c r="CE12" s="55"/>
      <c r="CF12" s="32"/>
      <c r="CG12" s="54"/>
      <c r="CH12" s="21" t="str">
        <f>IFERROR(VLOOKUP(July[[#This Row],[Drug Name9]],'Data Options'!$R$1:$S$100,2,FALSE), " ")</f>
        <v xml:space="preserve"> </v>
      </c>
      <c r="CI12" s="55"/>
      <c r="CJ12" s="32"/>
      <c r="CK12" s="32"/>
      <c r="CL12" s="55"/>
      <c r="CM12" s="32"/>
    </row>
    <row r="13" spans="1:91">
      <c r="A13" s="5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1"/>
      <c r="P13" s="31"/>
      <c r="Q13" s="54"/>
      <c r="R13" s="21" t="str">
        <f>IFERROR(VLOOKUP(July[[#This Row],[Drug Name]],'Data Options'!$R$1:$S$100,2,FALSE), " ")</f>
        <v xml:space="preserve"> </v>
      </c>
      <c r="S13" s="55"/>
      <c r="T13" s="32"/>
      <c r="U13" s="32"/>
      <c r="V13" s="55"/>
      <c r="W13" s="32"/>
      <c r="X13" s="54"/>
      <c r="Y13" s="21" t="str">
        <f>IFERROR(VLOOKUP(July[[#This Row],[Drug Name2]],'Data Options'!$R$1:$S$100,2,FALSE), " ")</f>
        <v xml:space="preserve"> </v>
      </c>
      <c r="Z13" s="55"/>
      <c r="AA13" s="32"/>
      <c r="AB13" s="32"/>
      <c r="AC13" s="55"/>
      <c r="AD13" s="32"/>
      <c r="AE13" s="54"/>
      <c r="AF13" s="21" t="str">
        <f>IFERROR(VLOOKUP(July[[#This Row],[Drug Name3]],'Data Options'!$R$1:$S$100,2,FALSE), " ")</f>
        <v xml:space="preserve"> </v>
      </c>
      <c r="AG13" s="55"/>
      <c r="AH13" s="32"/>
      <c r="AI13" s="32"/>
      <c r="AJ13" s="55"/>
      <c r="AK13" s="32"/>
      <c r="AL13" s="32"/>
      <c r="AM13" s="32"/>
      <c r="AN13" s="32"/>
      <c r="AO13" s="32"/>
      <c r="AP13" s="31"/>
      <c r="AQ13" s="31"/>
      <c r="AR13" s="54"/>
      <c r="AS13" s="21" t="str">
        <f>IFERROR(VLOOKUP(July[[#This Row],[Drug Name4]],'Data Options'!$R$1:$S$100,2,FALSE), " ")</f>
        <v xml:space="preserve"> </v>
      </c>
      <c r="AT13" s="55"/>
      <c r="AU13" s="32"/>
      <c r="AV13" s="32"/>
      <c r="AW13" s="55"/>
      <c r="AX13" s="32"/>
      <c r="AY13" s="54"/>
      <c r="AZ13" s="21" t="str">
        <f>IFERROR(VLOOKUP(July[[#This Row],[Drug Name5]],'Data Options'!$R$1:$S$100,2,FALSE), " ")</f>
        <v xml:space="preserve"> </v>
      </c>
      <c r="BA13" s="55"/>
      <c r="BB13" s="32"/>
      <c r="BC13" s="32"/>
      <c r="BD13" s="55"/>
      <c r="BE13" s="32"/>
      <c r="BF13" s="54"/>
      <c r="BG13" s="21" t="str">
        <f>IFERROR(VLOOKUP(July[[#This Row],[Drug Name6]],'Data Options'!$R$1:$S$100,2,FALSE), " ")</f>
        <v xml:space="preserve"> </v>
      </c>
      <c r="BH13" s="55"/>
      <c r="BI13" s="32"/>
      <c r="BJ13" s="32"/>
      <c r="BK13" s="55"/>
      <c r="BL13" s="32"/>
      <c r="BM13" s="32"/>
      <c r="BN13" s="32"/>
      <c r="BO13" s="32"/>
      <c r="BP13" s="32"/>
      <c r="BQ13" s="31"/>
      <c r="BR13" s="31"/>
      <c r="BS13" s="54"/>
      <c r="BT13" s="21" t="str">
        <f>IFERROR(VLOOKUP(July[[#This Row],[Drug Name7]],'Data Options'!$R$1:$S$100,2,FALSE), " ")</f>
        <v xml:space="preserve"> </v>
      </c>
      <c r="BU13" s="55"/>
      <c r="BV13" s="32"/>
      <c r="BW13" s="32"/>
      <c r="BX13" s="55"/>
      <c r="BY13" s="32"/>
      <c r="BZ13" s="54"/>
      <c r="CA13" s="21" t="str">
        <f>IFERROR(VLOOKUP(July[[#This Row],[Drug Name8]],'Data Options'!$R$1:$S$100,2,FALSE), " ")</f>
        <v xml:space="preserve"> </v>
      </c>
      <c r="CB13" s="55"/>
      <c r="CC13" s="32"/>
      <c r="CD13" s="32"/>
      <c r="CE13" s="55"/>
      <c r="CF13" s="32"/>
      <c r="CG13" s="54"/>
      <c r="CH13" s="21" t="str">
        <f>IFERROR(VLOOKUP(July[[#This Row],[Drug Name9]],'Data Options'!$R$1:$S$100,2,FALSE), " ")</f>
        <v xml:space="preserve"> </v>
      </c>
      <c r="CI13" s="55"/>
      <c r="CJ13" s="32"/>
      <c r="CK13" s="32"/>
      <c r="CL13" s="55"/>
      <c r="CM13" s="32"/>
    </row>
    <row r="14" spans="1:91">
      <c r="A14" s="5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54"/>
      <c r="R14" s="21" t="str">
        <f>IFERROR(VLOOKUP(July[[#This Row],[Drug Name]],'Data Options'!$R$1:$S$100,2,FALSE), " ")</f>
        <v xml:space="preserve"> </v>
      </c>
      <c r="S14" s="55"/>
      <c r="T14" s="32"/>
      <c r="U14" s="32"/>
      <c r="V14" s="55"/>
      <c r="W14" s="32"/>
      <c r="X14" s="54"/>
      <c r="Y14" s="21" t="str">
        <f>IFERROR(VLOOKUP(July[[#This Row],[Drug Name2]],'Data Options'!$R$1:$S$100,2,FALSE), " ")</f>
        <v xml:space="preserve"> </v>
      </c>
      <c r="Z14" s="55"/>
      <c r="AA14" s="32"/>
      <c r="AB14" s="32"/>
      <c r="AC14" s="55"/>
      <c r="AD14" s="32"/>
      <c r="AE14" s="54"/>
      <c r="AF14" s="21" t="str">
        <f>IFERROR(VLOOKUP(July[[#This Row],[Drug Name3]],'Data Options'!$R$1:$S$100,2,FALSE), " ")</f>
        <v xml:space="preserve"> </v>
      </c>
      <c r="AG14" s="55"/>
      <c r="AH14" s="32"/>
      <c r="AI14" s="32"/>
      <c r="AJ14" s="55"/>
      <c r="AK14" s="32"/>
      <c r="AL14" s="32"/>
      <c r="AM14" s="32"/>
      <c r="AN14" s="32"/>
      <c r="AO14" s="32"/>
      <c r="AP14" s="31"/>
      <c r="AQ14" s="31"/>
      <c r="AR14" s="54"/>
      <c r="AS14" s="21" t="str">
        <f>IFERROR(VLOOKUP(July[[#This Row],[Drug Name4]],'Data Options'!$R$1:$S$100,2,FALSE), " ")</f>
        <v xml:space="preserve"> </v>
      </c>
      <c r="AT14" s="55"/>
      <c r="AU14" s="32"/>
      <c r="AV14" s="32"/>
      <c r="AW14" s="55"/>
      <c r="AX14" s="32"/>
      <c r="AY14" s="54"/>
      <c r="AZ14" s="21" t="str">
        <f>IFERROR(VLOOKUP(July[[#This Row],[Drug Name5]],'Data Options'!$R$1:$S$100,2,FALSE), " ")</f>
        <v xml:space="preserve"> </v>
      </c>
      <c r="BA14" s="55"/>
      <c r="BB14" s="32"/>
      <c r="BC14" s="32"/>
      <c r="BD14" s="55"/>
      <c r="BE14" s="32"/>
      <c r="BF14" s="54"/>
      <c r="BG14" s="21" t="str">
        <f>IFERROR(VLOOKUP(July[[#This Row],[Drug Name6]],'Data Options'!$R$1:$S$100,2,FALSE), " ")</f>
        <v xml:space="preserve"> </v>
      </c>
      <c r="BH14" s="55"/>
      <c r="BI14" s="32"/>
      <c r="BJ14" s="32"/>
      <c r="BK14" s="55"/>
      <c r="BL14" s="32"/>
      <c r="BM14" s="32"/>
      <c r="BN14" s="32"/>
      <c r="BO14" s="32"/>
      <c r="BP14" s="32"/>
      <c r="BQ14" s="31"/>
      <c r="BR14" s="31"/>
      <c r="BS14" s="54"/>
      <c r="BT14" s="21" t="str">
        <f>IFERROR(VLOOKUP(July[[#This Row],[Drug Name7]],'Data Options'!$R$1:$S$100,2,FALSE), " ")</f>
        <v xml:space="preserve"> </v>
      </c>
      <c r="BU14" s="55"/>
      <c r="BV14" s="32"/>
      <c r="BW14" s="32"/>
      <c r="BX14" s="55"/>
      <c r="BY14" s="32"/>
      <c r="BZ14" s="54"/>
      <c r="CA14" s="21" t="str">
        <f>IFERROR(VLOOKUP(July[[#This Row],[Drug Name8]],'Data Options'!$R$1:$S$100,2,FALSE), " ")</f>
        <v xml:space="preserve"> </v>
      </c>
      <c r="CB14" s="55"/>
      <c r="CC14" s="32"/>
      <c r="CD14" s="32"/>
      <c r="CE14" s="55"/>
      <c r="CF14" s="32"/>
      <c r="CG14" s="54"/>
      <c r="CH14" s="21" t="str">
        <f>IFERROR(VLOOKUP(July[[#This Row],[Drug Name9]],'Data Options'!$R$1:$S$100,2,FALSE), " ")</f>
        <v xml:space="preserve"> </v>
      </c>
      <c r="CI14" s="55"/>
      <c r="CJ14" s="32"/>
      <c r="CK14" s="32"/>
      <c r="CL14" s="55"/>
      <c r="CM14" s="32"/>
    </row>
    <row r="15" spans="1:91">
      <c r="A15" s="5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54"/>
      <c r="R15" s="21" t="str">
        <f>IFERROR(VLOOKUP(July[[#This Row],[Drug Name]],'Data Options'!$R$1:$S$100,2,FALSE), " ")</f>
        <v xml:space="preserve"> </v>
      </c>
      <c r="S15" s="55"/>
      <c r="T15" s="32"/>
      <c r="U15" s="32"/>
      <c r="V15" s="55"/>
      <c r="W15" s="32"/>
      <c r="X15" s="54"/>
      <c r="Y15" s="21" t="str">
        <f>IFERROR(VLOOKUP(July[[#This Row],[Drug Name2]],'Data Options'!$R$1:$S$100,2,FALSE), " ")</f>
        <v xml:space="preserve"> </v>
      </c>
      <c r="Z15" s="55"/>
      <c r="AA15" s="32"/>
      <c r="AB15" s="32"/>
      <c r="AC15" s="55"/>
      <c r="AD15" s="32"/>
      <c r="AE15" s="54"/>
      <c r="AF15" s="21" t="str">
        <f>IFERROR(VLOOKUP(July[[#This Row],[Drug Name3]],'Data Options'!$R$1:$S$100,2,FALSE), " ")</f>
        <v xml:space="preserve"> </v>
      </c>
      <c r="AG15" s="55"/>
      <c r="AH15" s="32"/>
      <c r="AI15" s="32"/>
      <c r="AJ15" s="55"/>
      <c r="AK15" s="32"/>
      <c r="AL15" s="32"/>
      <c r="AM15" s="32"/>
      <c r="AN15" s="32"/>
      <c r="AO15" s="32"/>
      <c r="AP15" s="31"/>
      <c r="AQ15" s="31"/>
      <c r="AR15" s="54"/>
      <c r="AS15" s="21" t="str">
        <f>IFERROR(VLOOKUP(July[[#This Row],[Drug Name4]],'Data Options'!$R$1:$S$100,2,FALSE), " ")</f>
        <v xml:space="preserve"> </v>
      </c>
      <c r="AT15" s="55"/>
      <c r="AU15" s="32"/>
      <c r="AV15" s="32"/>
      <c r="AW15" s="55"/>
      <c r="AX15" s="32"/>
      <c r="AY15" s="54"/>
      <c r="AZ15" s="21" t="str">
        <f>IFERROR(VLOOKUP(July[[#This Row],[Drug Name5]],'Data Options'!$R$1:$S$100,2,FALSE), " ")</f>
        <v xml:space="preserve"> </v>
      </c>
      <c r="BA15" s="55"/>
      <c r="BB15" s="32"/>
      <c r="BC15" s="32"/>
      <c r="BD15" s="55"/>
      <c r="BE15" s="32"/>
      <c r="BF15" s="54"/>
      <c r="BG15" s="21" t="str">
        <f>IFERROR(VLOOKUP(July[[#This Row],[Drug Name6]],'Data Options'!$R$1:$S$100,2,FALSE), " ")</f>
        <v xml:space="preserve"> </v>
      </c>
      <c r="BH15" s="55"/>
      <c r="BI15" s="32"/>
      <c r="BJ15" s="32"/>
      <c r="BK15" s="55"/>
      <c r="BL15" s="32"/>
      <c r="BM15" s="32"/>
      <c r="BN15" s="32"/>
      <c r="BO15" s="32"/>
      <c r="BP15" s="32"/>
      <c r="BQ15" s="31"/>
      <c r="BR15" s="31"/>
      <c r="BS15" s="54"/>
      <c r="BT15" s="21" t="str">
        <f>IFERROR(VLOOKUP(July[[#This Row],[Drug Name7]],'Data Options'!$R$1:$S$100,2,FALSE), " ")</f>
        <v xml:space="preserve"> </v>
      </c>
      <c r="BU15" s="55"/>
      <c r="BV15" s="32"/>
      <c r="BW15" s="32"/>
      <c r="BX15" s="55"/>
      <c r="BY15" s="32"/>
      <c r="BZ15" s="54"/>
      <c r="CA15" s="21" t="str">
        <f>IFERROR(VLOOKUP(July[[#This Row],[Drug Name8]],'Data Options'!$R$1:$S$100,2,FALSE), " ")</f>
        <v xml:space="preserve"> </v>
      </c>
      <c r="CB15" s="55"/>
      <c r="CC15" s="32"/>
      <c r="CD15" s="32"/>
      <c r="CE15" s="55"/>
      <c r="CF15" s="32"/>
      <c r="CG15" s="54"/>
      <c r="CH15" s="21" t="str">
        <f>IFERROR(VLOOKUP(July[[#This Row],[Drug Name9]],'Data Options'!$R$1:$S$100,2,FALSE), " ")</f>
        <v xml:space="preserve"> </v>
      </c>
      <c r="CI15" s="55"/>
      <c r="CJ15" s="32"/>
      <c r="CK15" s="32"/>
      <c r="CL15" s="55"/>
      <c r="CM15" s="32"/>
    </row>
    <row r="16" spans="1:91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1"/>
      <c r="Q16" s="54"/>
      <c r="R16" s="21" t="str">
        <f>IFERROR(VLOOKUP(July[[#This Row],[Drug Name]],'Data Options'!$R$1:$S$100,2,FALSE), " ")</f>
        <v xml:space="preserve"> </v>
      </c>
      <c r="S16" s="55"/>
      <c r="T16" s="32"/>
      <c r="U16" s="32"/>
      <c r="V16" s="55"/>
      <c r="W16" s="32"/>
      <c r="X16" s="54"/>
      <c r="Y16" s="21" t="str">
        <f>IFERROR(VLOOKUP(July[[#This Row],[Drug Name2]],'Data Options'!$R$1:$S$100,2,FALSE), " ")</f>
        <v xml:space="preserve"> </v>
      </c>
      <c r="Z16" s="55"/>
      <c r="AA16" s="32"/>
      <c r="AB16" s="32"/>
      <c r="AC16" s="55"/>
      <c r="AD16" s="32"/>
      <c r="AE16" s="54"/>
      <c r="AF16" s="21" t="str">
        <f>IFERROR(VLOOKUP(July[[#This Row],[Drug Name3]],'Data Options'!$R$1:$S$100,2,FALSE), " ")</f>
        <v xml:space="preserve"> </v>
      </c>
      <c r="AG16" s="55"/>
      <c r="AH16" s="32"/>
      <c r="AI16" s="32"/>
      <c r="AJ16" s="55"/>
      <c r="AK16" s="32"/>
      <c r="AL16" s="32"/>
      <c r="AM16" s="32"/>
      <c r="AN16" s="32"/>
      <c r="AO16" s="32"/>
      <c r="AP16" s="31"/>
      <c r="AQ16" s="31"/>
      <c r="AR16" s="54"/>
      <c r="AS16" s="21" t="str">
        <f>IFERROR(VLOOKUP(July[[#This Row],[Drug Name4]],'Data Options'!$R$1:$S$100,2,FALSE), " ")</f>
        <v xml:space="preserve"> </v>
      </c>
      <c r="AT16" s="55"/>
      <c r="AU16" s="32"/>
      <c r="AV16" s="32"/>
      <c r="AW16" s="55"/>
      <c r="AX16" s="32"/>
      <c r="AY16" s="54"/>
      <c r="AZ16" s="21" t="str">
        <f>IFERROR(VLOOKUP(July[[#This Row],[Drug Name5]],'Data Options'!$R$1:$S$100,2,FALSE), " ")</f>
        <v xml:space="preserve"> </v>
      </c>
      <c r="BA16" s="55"/>
      <c r="BB16" s="32"/>
      <c r="BC16" s="32"/>
      <c r="BD16" s="55"/>
      <c r="BE16" s="32"/>
      <c r="BF16" s="54"/>
      <c r="BG16" s="21" t="str">
        <f>IFERROR(VLOOKUP(July[[#This Row],[Drug Name6]],'Data Options'!$R$1:$S$100,2,FALSE), " ")</f>
        <v xml:space="preserve"> </v>
      </c>
      <c r="BH16" s="55"/>
      <c r="BI16" s="32"/>
      <c r="BJ16" s="32"/>
      <c r="BK16" s="55"/>
      <c r="BL16" s="32"/>
      <c r="BM16" s="32"/>
      <c r="BN16" s="32"/>
      <c r="BO16" s="32"/>
      <c r="BP16" s="32"/>
      <c r="BQ16" s="31"/>
      <c r="BR16" s="31"/>
      <c r="BS16" s="54"/>
      <c r="BT16" s="21" t="str">
        <f>IFERROR(VLOOKUP(July[[#This Row],[Drug Name7]],'Data Options'!$R$1:$S$100,2,FALSE), " ")</f>
        <v xml:space="preserve"> </v>
      </c>
      <c r="BU16" s="55"/>
      <c r="BV16" s="32"/>
      <c r="BW16" s="32"/>
      <c r="BX16" s="55"/>
      <c r="BY16" s="32"/>
      <c r="BZ16" s="54"/>
      <c r="CA16" s="21" t="str">
        <f>IFERROR(VLOOKUP(July[[#This Row],[Drug Name8]],'Data Options'!$R$1:$S$100,2,FALSE), " ")</f>
        <v xml:space="preserve"> </v>
      </c>
      <c r="CB16" s="55"/>
      <c r="CC16" s="32"/>
      <c r="CD16" s="32"/>
      <c r="CE16" s="55"/>
      <c r="CF16" s="32"/>
      <c r="CG16" s="54"/>
      <c r="CH16" s="21" t="str">
        <f>IFERROR(VLOOKUP(July[[#This Row],[Drug Name9]],'Data Options'!$R$1:$S$100,2,FALSE), " ")</f>
        <v xml:space="preserve"> </v>
      </c>
      <c r="CI16" s="55"/>
      <c r="CJ16" s="32"/>
      <c r="CK16" s="32"/>
      <c r="CL16" s="55"/>
      <c r="CM16" s="32"/>
    </row>
    <row r="17" spans="1:91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1"/>
      <c r="Q17" s="54"/>
      <c r="R17" s="21" t="str">
        <f>IFERROR(VLOOKUP(July[[#This Row],[Drug Name]],'Data Options'!$R$1:$S$100,2,FALSE), " ")</f>
        <v xml:space="preserve"> </v>
      </c>
      <c r="S17" s="55"/>
      <c r="T17" s="32"/>
      <c r="U17" s="32"/>
      <c r="V17" s="55"/>
      <c r="W17" s="32"/>
      <c r="X17" s="54"/>
      <c r="Y17" s="21" t="str">
        <f>IFERROR(VLOOKUP(July[[#This Row],[Drug Name2]],'Data Options'!$R$1:$S$100,2,FALSE), " ")</f>
        <v xml:space="preserve"> </v>
      </c>
      <c r="Z17" s="55"/>
      <c r="AA17" s="32"/>
      <c r="AB17" s="32"/>
      <c r="AC17" s="55"/>
      <c r="AD17" s="32"/>
      <c r="AE17" s="54"/>
      <c r="AF17" s="21" t="str">
        <f>IFERROR(VLOOKUP(July[[#This Row],[Drug Name3]],'Data Options'!$R$1:$S$100,2,FALSE), " ")</f>
        <v xml:space="preserve"> </v>
      </c>
      <c r="AG17" s="55"/>
      <c r="AH17" s="32"/>
      <c r="AI17" s="32"/>
      <c r="AJ17" s="55"/>
      <c r="AK17" s="32"/>
      <c r="AL17" s="32"/>
      <c r="AM17" s="32"/>
      <c r="AN17" s="32"/>
      <c r="AO17" s="32"/>
      <c r="AP17" s="31"/>
      <c r="AQ17" s="31"/>
      <c r="AR17" s="54"/>
      <c r="AS17" s="21" t="str">
        <f>IFERROR(VLOOKUP(July[[#This Row],[Drug Name4]],'Data Options'!$R$1:$S$100,2,FALSE), " ")</f>
        <v xml:space="preserve"> </v>
      </c>
      <c r="AT17" s="55"/>
      <c r="AU17" s="32"/>
      <c r="AV17" s="32"/>
      <c r="AW17" s="55"/>
      <c r="AX17" s="32"/>
      <c r="AY17" s="54"/>
      <c r="AZ17" s="21" t="str">
        <f>IFERROR(VLOOKUP(July[[#This Row],[Drug Name5]],'Data Options'!$R$1:$S$100,2,FALSE), " ")</f>
        <v xml:space="preserve"> </v>
      </c>
      <c r="BA17" s="55"/>
      <c r="BB17" s="32"/>
      <c r="BC17" s="32"/>
      <c r="BD17" s="55"/>
      <c r="BE17" s="32"/>
      <c r="BF17" s="54"/>
      <c r="BG17" s="21" t="str">
        <f>IFERROR(VLOOKUP(July[[#This Row],[Drug Name6]],'Data Options'!$R$1:$S$100,2,FALSE), " ")</f>
        <v xml:space="preserve"> </v>
      </c>
      <c r="BH17" s="55"/>
      <c r="BI17" s="32"/>
      <c r="BJ17" s="32"/>
      <c r="BK17" s="55"/>
      <c r="BL17" s="32"/>
      <c r="BM17" s="32"/>
      <c r="BN17" s="32"/>
      <c r="BO17" s="32"/>
      <c r="BP17" s="32"/>
      <c r="BQ17" s="31"/>
      <c r="BR17" s="31"/>
      <c r="BS17" s="54"/>
      <c r="BT17" s="21" t="str">
        <f>IFERROR(VLOOKUP(July[[#This Row],[Drug Name7]],'Data Options'!$R$1:$S$100,2,FALSE), " ")</f>
        <v xml:space="preserve"> </v>
      </c>
      <c r="BU17" s="55"/>
      <c r="BV17" s="32"/>
      <c r="BW17" s="32"/>
      <c r="BX17" s="55"/>
      <c r="BY17" s="32"/>
      <c r="BZ17" s="54"/>
      <c r="CA17" s="21" t="str">
        <f>IFERROR(VLOOKUP(July[[#This Row],[Drug Name8]],'Data Options'!$R$1:$S$100,2,FALSE), " ")</f>
        <v xml:space="preserve"> </v>
      </c>
      <c r="CB17" s="55"/>
      <c r="CC17" s="32"/>
      <c r="CD17" s="32"/>
      <c r="CE17" s="55"/>
      <c r="CF17" s="32"/>
      <c r="CG17" s="54"/>
      <c r="CH17" s="21" t="str">
        <f>IFERROR(VLOOKUP(July[[#This Row],[Drug Name9]],'Data Options'!$R$1:$S$100,2,FALSE), " ")</f>
        <v xml:space="preserve"> </v>
      </c>
      <c r="CI17" s="55"/>
      <c r="CJ17" s="32"/>
      <c r="CK17" s="32"/>
      <c r="CL17" s="55"/>
      <c r="CM17" s="32"/>
    </row>
    <row r="18" spans="1:9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1"/>
      <c r="Q18" s="54"/>
      <c r="R18" s="21" t="str">
        <f>IFERROR(VLOOKUP(July[[#This Row],[Drug Name]],'Data Options'!$R$1:$S$100,2,FALSE), " ")</f>
        <v xml:space="preserve"> </v>
      </c>
      <c r="S18" s="55"/>
      <c r="T18" s="32"/>
      <c r="U18" s="32"/>
      <c r="V18" s="55"/>
      <c r="W18" s="32"/>
      <c r="X18" s="54"/>
      <c r="Y18" s="21" t="str">
        <f>IFERROR(VLOOKUP(July[[#This Row],[Drug Name2]],'Data Options'!$R$1:$S$100,2,FALSE), " ")</f>
        <v xml:space="preserve"> </v>
      </c>
      <c r="Z18" s="55"/>
      <c r="AA18" s="32"/>
      <c r="AB18" s="32"/>
      <c r="AC18" s="55"/>
      <c r="AD18" s="32"/>
      <c r="AE18" s="54"/>
      <c r="AF18" s="21" t="str">
        <f>IFERROR(VLOOKUP(July[[#This Row],[Drug Name3]],'Data Options'!$R$1:$S$100,2,FALSE), " ")</f>
        <v xml:space="preserve"> </v>
      </c>
      <c r="AG18" s="55"/>
      <c r="AH18" s="32"/>
      <c r="AI18" s="32"/>
      <c r="AJ18" s="55"/>
      <c r="AK18" s="32"/>
      <c r="AL18" s="32"/>
      <c r="AM18" s="32"/>
      <c r="AN18" s="32"/>
      <c r="AO18" s="32"/>
      <c r="AP18" s="31"/>
      <c r="AQ18" s="31"/>
      <c r="AR18" s="54"/>
      <c r="AS18" s="21" t="str">
        <f>IFERROR(VLOOKUP(July[[#This Row],[Drug Name4]],'Data Options'!$R$1:$S$100,2,FALSE), " ")</f>
        <v xml:space="preserve"> </v>
      </c>
      <c r="AT18" s="55"/>
      <c r="AU18" s="32"/>
      <c r="AV18" s="32"/>
      <c r="AW18" s="55"/>
      <c r="AX18" s="32"/>
      <c r="AY18" s="54"/>
      <c r="AZ18" s="21" t="str">
        <f>IFERROR(VLOOKUP(July[[#This Row],[Drug Name5]],'Data Options'!$R$1:$S$100,2,FALSE), " ")</f>
        <v xml:space="preserve"> </v>
      </c>
      <c r="BA18" s="55"/>
      <c r="BB18" s="32"/>
      <c r="BC18" s="32"/>
      <c r="BD18" s="55"/>
      <c r="BE18" s="32"/>
      <c r="BF18" s="54"/>
      <c r="BG18" s="21" t="str">
        <f>IFERROR(VLOOKUP(July[[#This Row],[Drug Name6]],'Data Options'!$R$1:$S$100,2,FALSE), " ")</f>
        <v xml:space="preserve"> </v>
      </c>
      <c r="BH18" s="55"/>
      <c r="BI18" s="32"/>
      <c r="BJ18" s="32"/>
      <c r="BK18" s="55"/>
      <c r="BL18" s="32"/>
      <c r="BM18" s="32"/>
      <c r="BN18" s="32"/>
      <c r="BO18" s="32"/>
      <c r="BP18" s="32"/>
      <c r="BQ18" s="31"/>
      <c r="BR18" s="31"/>
      <c r="BS18" s="54"/>
      <c r="BT18" s="21" t="str">
        <f>IFERROR(VLOOKUP(July[[#This Row],[Drug Name7]],'Data Options'!$R$1:$S$100,2,FALSE), " ")</f>
        <v xml:space="preserve"> </v>
      </c>
      <c r="BU18" s="55"/>
      <c r="BV18" s="32"/>
      <c r="BW18" s="32"/>
      <c r="BX18" s="55"/>
      <c r="BY18" s="32"/>
      <c r="BZ18" s="54"/>
      <c r="CA18" s="21" t="str">
        <f>IFERROR(VLOOKUP(July[[#This Row],[Drug Name8]],'Data Options'!$R$1:$S$100,2,FALSE), " ")</f>
        <v xml:space="preserve"> </v>
      </c>
      <c r="CB18" s="55"/>
      <c r="CC18" s="32"/>
      <c r="CD18" s="32"/>
      <c r="CE18" s="55"/>
      <c r="CF18" s="32"/>
      <c r="CG18" s="54"/>
      <c r="CH18" s="21" t="str">
        <f>IFERROR(VLOOKUP(July[[#This Row],[Drug Name9]],'Data Options'!$R$1:$S$100,2,FALSE), " ")</f>
        <v xml:space="preserve"> </v>
      </c>
      <c r="CI18" s="55"/>
      <c r="CJ18" s="32"/>
      <c r="CK18" s="32"/>
      <c r="CL18" s="55"/>
      <c r="CM18" s="32"/>
    </row>
    <row r="19" spans="1:9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54"/>
      <c r="R19" s="21" t="str">
        <f>IFERROR(VLOOKUP(July[[#This Row],[Drug Name]],'Data Options'!$R$1:$S$100,2,FALSE), " ")</f>
        <v xml:space="preserve"> </v>
      </c>
      <c r="S19" s="55"/>
      <c r="T19" s="32"/>
      <c r="U19" s="32"/>
      <c r="V19" s="55"/>
      <c r="W19" s="32"/>
      <c r="X19" s="54"/>
      <c r="Y19" s="21" t="str">
        <f>IFERROR(VLOOKUP(July[[#This Row],[Drug Name2]],'Data Options'!$R$1:$S$100,2,FALSE), " ")</f>
        <v xml:space="preserve"> </v>
      </c>
      <c r="Z19" s="55"/>
      <c r="AA19" s="32"/>
      <c r="AB19" s="32"/>
      <c r="AC19" s="55"/>
      <c r="AD19" s="32"/>
      <c r="AE19" s="54"/>
      <c r="AF19" s="21" t="str">
        <f>IFERROR(VLOOKUP(July[[#This Row],[Drug Name3]],'Data Options'!$R$1:$S$100,2,FALSE), " ")</f>
        <v xml:space="preserve"> </v>
      </c>
      <c r="AG19" s="55"/>
      <c r="AH19" s="32"/>
      <c r="AI19" s="32"/>
      <c r="AJ19" s="55"/>
      <c r="AK19" s="32"/>
      <c r="AL19" s="32"/>
      <c r="AM19" s="32"/>
      <c r="AN19" s="32"/>
      <c r="AO19" s="32"/>
      <c r="AP19" s="31"/>
      <c r="AQ19" s="31"/>
      <c r="AR19" s="54"/>
      <c r="AS19" s="21" t="str">
        <f>IFERROR(VLOOKUP(July[[#This Row],[Drug Name4]],'Data Options'!$R$1:$S$100,2,FALSE), " ")</f>
        <v xml:space="preserve"> </v>
      </c>
      <c r="AT19" s="55"/>
      <c r="AU19" s="32"/>
      <c r="AV19" s="32"/>
      <c r="AW19" s="55"/>
      <c r="AX19" s="32"/>
      <c r="AY19" s="54"/>
      <c r="AZ19" s="21" t="str">
        <f>IFERROR(VLOOKUP(July[[#This Row],[Drug Name5]],'Data Options'!$R$1:$S$100,2,FALSE), " ")</f>
        <v xml:space="preserve"> </v>
      </c>
      <c r="BA19" s="55"/>
      <c r="BB19" s="32"/>
      <c r="BC19" s="32"/>
      <c r="BD19" s="55"/>
      <c r="BE19" s="32"/>
      <c r="BF19" s="54"/>
      <c r="BG19" s="21" t="str">
        <f>IFERROR(VLOOKUP(July[[#This Row],[Drug Name6]],'Data Options'!$R$1:$S$100,2,FALSE), " ")</f>
        <v xml:space="preserve"> </v>
      </c>
      <c r="BH19" s="55"/>
      <c r="BI19" s="32"/>
      <c r="BJ19" s="32"/>
      <c r="BK19" s="55"/>
      <c r="BL19" s="32"/>
      <c r="BM19" s="32"/>
      <c r="BN19" s="32"/>
      <c r="BO19" s="32"/>
      <c r="BP19" s="32"/>
      <c r="BQ19" s="31"/>
      <c r="BR19" s="31"/>
      <c r="BS19" s="54"/>
      <c r="BT19" s="21" t="str">
        <f>IFERROR(VLOOKUP(July[[#This Row],[Drug Name7]],'Data Options'!$R$1:$S$100,2,FALSE), " ")</f>
        <v xml:space="preserve"> </v>
      </c>
      <c r="BU19" s="55"/>
      <c r="BV19" s="32"/>
      <c r="BW19" s="32"/>
      <c r="BX19" s="55"/>
      <c r="BY19" s="32"/>
      <c r="BZ19" s="54"/>
      <c r="CA19" s="21" t="str">
        <f>IFERROR(VLOOKUP(July[[#This Row],[Drug Name8]],'Data Options'!$R$1:$S$100,2,FALSE), " ")</f>
        <v xml:space="preserve"> </v>
      </c>
      <c r="CB19" s="55"/>
      <c r="CC19" s="32"/>
      <c r="CD19" s="32"/>
      <c r="CE19" s="55"/>
      <c r="CF19" s="32"/>
      <c r="CG19" s="54"/>
      <c r="CH19" s="21" t="str">
        <f>IFERROR(VLOOKUP(July[[#This Row],[Drug Name9]],'Data Options'!$R$1:$S$100,2,FALSE), " ")</f>
        <v xml:space="preserve"> </v>
      </c>
      <c r="CI19" s="55"/>
      <c r="CJ19" s="32"/>
      <c r="CK19" s="32"/>
      <c r="CL19" s="55"/>
      <c r="CM19" s="32"/>
    </row>
    <row r="20" spans="1:9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1"/>
      <c r="Q20" s="54"/>
      <c r="R20" s="21" t="str">
        <f>IFERROR(VLOOKUP(July[[#This Row],[Drug Name]],'Data Options'!$R$1:$S$100,2,FALSE), " ")</f>
        <v xml:space="preserve"> </v>
      </c>
      <c r="S20" s="55"/>
      <c r="T20" s="32"/>
      <c r="U20" s="32"/>
      <c r="V20" s="55"/>
      <c r="W20" s="32"/>
      <c r="X20" s="54"/>
      <c r="Y20" s="21" t="str">
        <f>IFERROR(VLOOKUP(July[[#This Row],[Drug Name2]],'Data Options'!$R$1:$S$100,2,FALSE), " ")</f>
        <v xml:space="preserve"> </v>
      </c>
      <c r="Z20" s="55"/>
      <c r="AA20" s="32"/>
      <c r="AB20" s="32"/>
      <c r="AC20" s="55"/>
      <c r="AD20" s="32"/>
      <c r="AE20" s="54"/>
      <c r="AF20" s="21" t="str">
        <f>IFERROR(VLOOKUP(July[[#This Row],[Drug Name3]],'Data Options'!$R$1:$S$100,2,FALSE), " ")</f>
        <v xml:space="preserve"> </v>
      </c>
      <c r="AG20" s="55"/>
      <c r="AH20" s="32"/>
      <c r="AI20" s="32"/>
      <c r="AJ20" s="55"/>
      <c r="AK20" s="32"/>
      <c r="AL20" s="32"/>
      <c r="AM20" s="32"/>
      <c r="AN20" s="32"/>
      <c r="AO20" s="32"/>
      <c r="AP20" s="31"/>
      <c r="AQ20" s="31"/>
      <c r="AR20" s="54"/>
      <c r="AS20" s="21" t="str">
        <f>IFERROR(VLOOKUP(July[[#This Row],[Drug Name4]],'Data Options'!$R$1:$S$100,2,FALSE), " ")</f>
        <v xml:space="preserve"> </v>
      </c>
      <c r="AT20" s="55"/>
      <c r="AU20" s="32"/>
      <c r="AV20" s="32"/>
      <c r="AW20" s="55"/>
      <c r="AX20" s="32"/>
      <c r="AY20" s="54"/>
      <c r="AZ20" s="21" t="str">
        <f>IFERROR(VLOOKUP(July[[#This Row],[Drug Name5]],'Data Options'!$R$1:$S$100,2,FALSE), " ")</f>
        <v xml:space="preserve"> </v>
      </c>
      <c r="BA20" s="55"/>
      <c r="BB20" s="32"/>
      <c r="BC20" s="32"/>
      <c r="BD20" s="55"/>
      <c r="BE20" s="32"/>
      <c r="BF20" s="54"/>
      <c r="BG20" s="21" t="str">
        <f>IFERROR(VLOOKUP(July[[#This Row],[Drug Name6]],'Data Options'!$R$1:$S$100,2,FALSE), " ")</f>
        <v xml:space="preserve"> </v>
      </c>
      <c r="BH20" s="55"/>
      <c r="BI20" s="32"/>
      <c r="BJ20" s="32"/>
      <c r="BK20" s="55"/>
      <c r="BL20" s="32"/>
      <c r="BM20" s="32"/>
      <c r="BN20" s="32"/>
      <c r="BO20" s="32"/>
      <c r="BP20" s="32"/>
      <c r="BQ20" s="31"/>
      <c r="BR20" s="31"/>
      <c r="BS20" s="54"/>
      <c r="BT20" s="21" t="str">
        <f>IFERROR(VLOOKUP(July[[#This Row],[Drug Name7]],'Data Options'!$R$1:$S$100,2,FALSE), " ")</f>
        <v xml:space="preserve"> </v>
      </c>
      <c r="BU20" s="55"/>
      <c r="BV20" s="32"/>
      <c r="BW20" s="32"/>
      <c r="BX20" s="55"/>
      <c r="BY20" s="32"/>
      <c r="BZ20" s="54"/>
      <c r="CA20" s="21" t="str">
        <f>IFERROR(VLOOKUP(July[[#This Row],[Drug Name8]],'Data Options'!$R$1:$S$100,2,FALSE), " ")</f>
        <v xml:space="preserve"> </v>
      </c>
      <c r="CB20" s="55"/>
      <c r="CC20" s="32"/>
      <c r="CD20" s="32"/>
      <c r="CE20" s="55"/>
      <c r="CF20" s="32"/>
      <c r="CG20" s="54"/>
      <c r="CH20" s="21" t="str">
        <f>IFERROR(VLOOKUP(July[[#This Row],[Drug Name9]],'Data Options'!$R$1:$S$100,2,FALSE), " ")</f>
        <v xml:space="preserve"> </v>
      </c>
      <c r="CI20" s="55"/>
      <c r="CJ20" s="32"/>
      <c r="CK20" s="32"/>
      <c r="CL20" s="55"/>
      <c r="CM20" s="32"/>
    </row>
    <row r="21" spans="1:91">
      <c r="A21" s="5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1"/>
      <c r="Q21" s="54"/>
      <c r="R21" s="21" t="str">
        <f>IFERROR(VLOOKUP(July[[#This Row],[Drug Name]],'Data Options'!$R$1:$S$100,2,FALSE), " ")</f>
        <v xml:space="preserve"> </v>
      </c>
      <c r="S21" s="55"/>
      <c r="T21" s="32"/>
      <c r="U21" s="32"/>
      <c r="V21" s="55"/>
      <c r="W21" s="32"/>
      <c r="X21" s="54"/>
      <c r="Y21" s="21" t="str">
        <f>IFERROR(VLOOKUP(July[[#This Row],[Drug Name2]],'Data Options'!$R$1:$S$100,2,FALSE), " ")</f>
        <v xml:space="preserve"> </v>
      </c>
      <c r="Z21" s="55"/>
      <c r="AA21" s="32"/>
      <c r="AB21" s="32"/>
      <c r="AC21" s="55"/>
      <c r="AD21" s="32"/>
      <c r="AE21" s="54"/>
      <c r="AF21" s="21" t="str">
        <f>IFERROR(VLOOKUP(July[[#This Row],[Drug Name3]],'Data Options'!$R$1:$S$100,2,FALSE), " ")</f>
        <v xml:space="preserve"> </v>
      </c>
      <c r="AG21" s="55"/>
      <c r="AH21" s="32"/>
      <c r="AI21" s="32"/>
      <c r="AJ21" s="55"/>
      <c r="AK21" s="32"/>
      <c r="AL21" s="32"/>
      <c r="AM21" s="32"/>
      <c r="AN21" s="32"/>
      <c r="AO21" s="32"/>
      <c r="AP21" s="31"/>
      <c r="AQ21" s="31"/>
      <c r="AR21" s="54"/>
      <c r="AS21" s="21" t="str">
        <f>IFERROR(VLOOKUP(July[[#This Row],[Drug Name4]],'Data Options'!$R$1:$S$100,2,FALSE), " ")</f>
        <v xml:space="preserve"> </v>
      </c>
      <c r="AT21" s="55"/>
      <c r="AU21" s="32"/>
      <c r="AV21" s="32"/>
      <c r="AW21" s="55"/>
      <c r="AX21" s="32"/>
      <c r="AY21" s="54"/>
      <c r="AZ21" s="21" t="str">
        <f>IFERROR(VLOOKUP(July[[#This Row],[Drug Name5]],'Data Options'!$R$1:$S$100,2,FALSE), " ")</f>
        <v xml:space="preserve"> </v>
      </c>
      <c r="BA21" s="55"/>
      <c r="BB21" s="32"/>
      <c r="BC21" s="32"/>
      <c r="BD21" s="55"/>
      <c r="BE21" s="32"/>
      <c r="BF21" s="54"/>
      <c r="BG21" s="21" t="str">
        <f>IFERROR(VLOOKUP(July[[#This Row],[Drug Name6]],'Data Options'!$R$1:$S$100,2,FALSE), " ")</f>
        <v xml:space="preserve"> </v>
      </c>
      <c r="BH21" s="55"/>
      <c r="BI21" s="32"/>
      <c r="BJ21" s="32"/>
      <c r="BK21" s="55"/>
      <c r="BL21" s="32"/>
      <c r="BM21" s="32"/>
      <c r="BN21" s="32"/>
      <c r="BO21" s="32"/>
      <c r="BP21" s="32"/>
      <c r="BQ21" s="31"/>
      <c r="BR21" s="31"/>
      <c r="BS21" s="54"/>
      <c r="BT21" s="21" t="str">
        <f>IFERROR(VLOOKUP(July[[#This Row],[Drug Name7]],'Data Options'!$R$1:$S$100,2,FALSE), " ")</f>
        <v xml:space="preserve"> </v>
      </c>
      <c r="BU21" s="55"/>
      <c r="BV21" s="32"/>
      <c r="BW21" s="32"/>
      <c r="BX21" s="55"/>
      <c r="BY21" s="32"/>
      <c r="BZ21" s="54"/>
      <c r="CA21" s="21" t="str">
        <f>IFERROR(VLOOKUP(July[[#This Row],[Drug Name8]],'Data Options'!$R$1:$S$100,2,FALSE), " ")</f>
        <v xml:space="preserve"> </v>
      </c>
      <c r="CB21" s="55"/>
      <c r="CC21" s="32"/>
      <c r="CD21" s="32"/>
      <c r="CE21" s="55"/>
      <c r="CF21" s="32"/>
      <c r="CG21" s="54"/>
      <c r="CH21" s="21" t="str">
        <f>IFERROR(VLOOKUP(July[[#This Row],[Drug Name9]],'Data Options'!$R$1:$S$100,2,FALSE), " ")</f>
        <v xml:space="preserve"> </v>
      </c>
      <c r="CI21" s="55"/>
      <c r="CJ21" s="32"/>
      <c r="CK21" s="32"/>
      <c r="CL21" s="55"/>
      <c r="CM21" s="32"/>
    </row>
    <row r="22" spans="1:91">
      <c r="A22" s="5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1"/>
      <c r="Q22" s="54"/>
      <c r="R22" s="21" t="str">
        <f>IFERROR(VLOOKUP(July[[#This Row],[Drug Name]],'Data Options'!$R$1:$S$100,2,FALSE), " ")</f>
        <v xml:space="preserve"> </v>
      </c>
      <c r="S22" s="55"/>
      <c r="T22" s="32"/>
      <c r="U22" s="32"/>
      <c r="V22" s="55"/>
      <c r="W22" s="32"/>
      <c r="X22" s="54"/>
      <c r="Y22" s="21" t="str">
        <f>IFERROR(VLOOKUP(July[[#This Row],[Drug Name2]],'Data Options'!$R$1:$S$100,2,FALSE), " ")</f>
        <v xml:space="preserve"> </v>
      </c>
      <c r="Z22" s="55"/>
      <c r="AA22" s="32"/>
      <c r="AB22" s="32"/>
      <c r="AC22" s="55"/>
      <c r="AD22" s="32"/>
      <c r="AE22" s="54"/>
      <c r="AF22" s="21" t="str">
        <f>IFERROR(VLOOKUP(July[[#This Row],[Drug Name3]],'Data Options'!$R$1:$S$100,2,FALSE), " ")</f>
        <v xml:space="preserve"> </v>
      </c>
      <c r="AG22" s="55"/>
      <c r="AH22" s="32"/>
      <c r="AI22" s="32"/>
      <c r="AJ22" s="55"/>
      <c r="AK22" s="32"/>
      <c r="AL22" s="32"/>
      <c r="AM22" s="32"/>
      <c r="AN22" s="32"/>
      <c r="AO22" s="32"/>
      <c r="AP22" s="31"/>
      <c r="AQ22" s="31"/>
      <c r="AR22" s="54"/>
      <c r="AS22" s="21" t="str">
        <f>IFERROR(VLOOKUP(July[[#This Row],[Drug Name4]],'Data Options'!$R$1:$S$100,2,FALSE), " ")</f>
        <v xml:space="preserve"> </v>
      </c>
      <c r="AT22" s="55"/>
      <c r="AU22" s="32"/>
      <c r="AV22" s="32"/>
      <c r="AW22" s="55"/>
      <c r="AX22" s="32"/>
      <c r="AY22" s="54"/>
      <c r="AZ22" s="21" t="str">
        <f>IFERROR(VLOOKUP(July[[#This Row],[Drug Name5]],'Data Options'!$R$1:$S$100,2,FALSE), " ")</f>
        <v xml:space="preserve"> </v>
      </c>
      <c r="BA22" s="55"/>
      <c r="BB22" s="32"/>
      <c r="BC22" s="32"/>
      <c r="BD22" s="55"/>
      <c r="BE22" s="32"/>
      <c r="BF22" s="54"/>
      <c r="BG22" s="21" t="str">
        <f>IFERROR(VLOOKUP(July[[#This Row],[Drug Name6]],'Data Options'!$R$1:$S$100,2,FALSE), " ")</f>
        <v xml:space="preserve"> </v>
      </c>
      <c r="BH22" s="55"/>
      <c r="BI22" s="32"/>
      <c r="BJ22" s="32"/>
      <c r="BK22" s="55"/>
      <c r="BL22" s="32"/>
      <c r="BM22" s="32"/>
      <c r="BN22" s="32"/>
      <c r="BO22" s="32"/>
      <c r="BP22" s="32"/>
      <c r="BQ22" s="31"/>
      <c r="BR22" s="31"/>
      <c r="BS22" s="54"/>
      <c r="BT22" s="21" t="str">
        <f>IFERROR(VLOOKUP(July[[#This Row],[Drug Name7]],'Data Options'!$R$1:$S$100,2,FALSE), " ")</f>
        <v xml:space="preserve"> </v>
      </c>
      <c r="BU22" s="55"/>
      <c r="BV22" s="32"/>
      <c r="BW22" s="32"/>
      <c r="BX22" s="55"/>
      <c r="BY22" s="32"/>
      <c r="BZ22" s="54"/>
      <c r="CA22" s="21" t="str">
        <f>IFERROR(VLOOKUP(July[[#This Row],[Drug Name8]],'Data Options'!$R$1:$S$100,2,FALSE), " ")</f>
        <v xml:space="preserve"> </v>
      </c>
      <c r="CB22" s="55"/>
      <c r="CC22" s="32"/>
      <c r="CD22" s="32"/>
      <c r="CE22" s="55"/>
      <c r="CF22" s="32"/>
      <c r="CG22" s="54"/>
      <c r="CH22" s="21" t="str">
        <f>IFERROR(VLOOKUP(July[[#This Row],[Drug Name9]],'Data Options'!$R$1:$S$100,2,FALSE), " ")</f>
        <v xml:space="preserve"> </v>
      </c>
      <c r="CI22" s="55"/>
      <c r="CJ22" s="32"/>
      <c r="CK22" s="32"/>
      <c r="CL22" s="55"/>
      <c r="CM22" s="32"/>
    </row>
    <row r="23" spans="1:9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54"/>
      <c r="R23" s="21" t="str">
        <f>IFERROR(VLOOKUP(July[[#This Row],[Drug Name]],'Data Options'!$R$1:$S$100,2,FALSE), " ")</f>
        <v xml:space="preserve"> </v>
      </c>
      <c r="S23" s="55"/>
      <c r="T23" s="32"/>
      <c r="U23" s="32"/>
      <c r="V23" s="55"/>
      <c r="W23" s="32"/>
      <c r="X23" s="54"/>
      <c r="Y23" s="21" t="str">
        <f>IFERROR(VLOOKUP(July[[#This Row],[Drug Name2]],'Data Options'!$R$1:$S$100,2,FALSE), " ")</f>
        <v xml:space="preserve"> </v>
      </c>
      <c r="Z23" s="55"/>
      <c r="AA23" s="32"/>
      <c r="AB23" s="32"/>
      <c r="AC23" s="55"/>
      <c r="AD23" s="32"/>
      <c r="AE23" s="54"/>
      <c r="AF23" s="21" t="str">
        <f>IFERROR(VLOOKUP(July[[#This Row],[Drug Name3]],'Data Options'!$R$1:$S$100,2,FALSE), " ")</f>
        <v xml:space="preserve"> </v>
      </c>
      <c r="AG23" s="55"/>
      <c r="AH23" s="32"/>
      <c r="AI23" s="32"/>
      <c r="AJ23" s="55"/>
      <c r="AK23" s="32"/>
      <c r="AL23" s="32"/>
      <c r="AM23" s="32"/>
      <c r="AN23" s="32"/>
      <c r="AO23" s="32"/>
      <c r="AP23" s="31"/>
      <c r="AQ23" s="31"/>
      <c r="AR23" s="54"/>
      <c r="AS23" s="21" t="str">
        <f>IFERROR(VLOOKUP(July[[#This Row],[Drug Name4]],'Data Options'!$R$1:$S$100,2,FALSE), " ")</f>
        <v xml:space="preserve"> </v>
      </c>
      <c r="AT23" s="55"/>
      <c r="AU23" s="32"/>
      <c r="AV23" s="32"/>
      <c r="AW23" s="55"/>
      <c r="AX23" s="32"/>
      <c r="AY23" s="54"/>
      <c r="AZ23" s="21" t="str">
        <f>IFERROR(VLOOKUP(July[[#This Row],[Drug Name5]],'Data Options'!$R$1:$S$100,2,FALSE), " ")</f>
        <v xml:space="preserve"> </v>
      </c>
      <c r="BA23" s="55"/>
      <c r="BB23" s="32"/>
      <c r="BC23" s="32"/>
      <c r="BD23" s="55"/>
      <c r="BE23" s="32"/>
      <c r="BF23" s="54"/>
      <c r="BG23" s="21" t="str">
        <f>IFERROR(VLOOKUP(July[[#This Row],[Drug Name6]],'Data Options'!$R$1:$S$100,2,FALSE), " ")</f>
        <v xml:space="preserve"> </v>
      </c>
      <c r="BH23" s="55"/>
      <c r="BI23" s="32"/>
      <c r="BJ23" s="32"/>
      <c r="BK23" s="55"/>
      <c r="BL23" s="32"/>
      <c r="BM23" s="32"/>
      <c r="BN23" s="32"/>
      <c r="BO23" s="32"/>
      <c r="BP23" s="32"/>
      <c r="BQ23" s="31"/>
      <c r="BR23" s="31"/>
      <c r="BS23" s="54"/>
      <c r="BT23" s="21" t="str">
        <f>IFERROR(VLOOKUP(July[[#This Row],[Drug Name7]],'Data Options'!$R$1:$S$100,2,FALSE), " ")</f>
        <v xml:space="preserve"> </v>
      </c>
      <c r="BU23" s="55"/>
      <c r="BV23" s="32"/>
      <c r="BW23" s="32"/>
      <c r="BX23" s="55"/>
      <c r="BY23" s="32"/>
      <c r="BZ23" s="54"/>
      <c r="CA23" s="21" t="str">
        <f>IFERROR(VLOOKUP(July[[#This Row],[Drug Name8]],'Data Options'!$R$1:$S$100,2,FALSE), " ")</f>
        <v xml:space="preserve"> </v>
      </c>
      <c r="CB23" s="55"/>
      <c r="CC23" s="32"/>
      <c r="CD23" s="32"/>
      <c r="CE23" s="55"/>
      <c r="CF23" s="32"/>
      <c r="CG23" s="54"/>
      <c r="CH23" s="21" t="str">
        <f>IFERROR(VLOOKUP(July[[#This Row],[Drug Name9]],'Data Options'!$R$1:$S$100,2,FALSE), " ")</f>
        <v xml:space="preserve"> </v>
      </c>
      <c r="CI23" s="55"/>
      <c r="CJ23" s="32"/>
      <c r="CK23" s="32"/>
      <c r="CL23" s="55"/>
      <c r="CM23" s="32"/>
    </row>
    <row r="24" spans="1:91">
      <c r="A24" s="5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54"/>
      <c r="R24" s="21" t="str">
        <f>IFERROR(VLOOKUP(July[[#This Row],[Drug Name]],'Data Options'!$R$1:$S$100,2,FALSE), " ")</f>
        <v xml:space="preserve"> </v>
      </c>
      <c r="S24" s="55"/>
      <c r="T24" s="32"/>
      <c r="U24" s="32"/>
      <c r="V24" s="55"/>
      <c r="W24" s="32"/>
      <c r="X24" s="54"/>
      <c r="Y24" s="21" t="str">
        <f>IFERROR(VLOOKUP(July[[#This Row],[Drug Name2]],'Data Options'!$R$1:$S$100,2,FALSE), " ")</f>
        <v xml:space="preserve"> </v>
      </c>
      <c r="Z24" s="55"/>
      <c r="AA24" s="32"/>
      <c r="AB24" s="32"/>
      <c r="AC24" s="55"/>
      <c r="AD24" s="32"/>
      <c r="AE24" s="54"/>
      <c r="AF24" s="21" t="str">
        <f>IFERROR(VLOOKUP(July[[#This Row],[Drug Name3]],'Data Options'!$R$1:$S$100,2,FALSE), " ")</f>
        <v xml:space="preserve"> </v>
      </c>
      <c r="AG24" s="55"/>
      <c r="AH24" s="32"/>
      <c r="AI24" s="32"/>
      <c r="AJ24" s="55"/>
      <c r="AK24" s="32"/>
      <c r="AL24" s="32"/>
      <c r="AM24" s="32"/>
      <c r="AN24" s="32"/>
      <c r="AO24" s="32"/>
      <c r="AP24" s="31"/>
      <c r="AQ24" s="31"/>
      <c r="AR24" s="54"/>
      <c r="AS24" s="21" t="str">
        <f>IFERROR(VLOOKUP(July[[#This Row],[Drug Name4]],'Data Options'!$R$1:$S$100,2,FALSE), " ")</f>
        <v xml:space="preserve"> </v>
      </c>
      <c r="AT24" s="55"/>
      <c r="AU24" s="32"/>
      <c r="AV24" s="32"/>
      <c r="AW24" s="55"/>
      <c r="AX24" s="32"/>
      <c r="AY24" s="54"/>
      <c r="AZ24" s="21" t="str">
        <f>IFERROR(VLOOKUP(July[[#This Row],[Drug Name5]],'Data Options'!$R$1:$S$100,2,FALSE), " ")</f>
        <v xml:space="preserve"> </v>
      </c>
      <c r="BA24" s="55"/>
      <c r="BB24" s="32"/>
      <c r="BC24" s="32"/>
      <c r="BD24" s="55"/>
      <c r="BE24" s="32"/>
      <c r="BF24" s="54"/>
      <c r="BG24" s="21" t="str">
        <f>IFERROR(VLOOKUP(July[[#This Row],[Drug Name6]],'Data Options'!$R$1:$S$100,2,FALSE), " ")</f>
        <v xml:space="preserve"> </v>
      </c>
      <c r="BH24" s="55"/>
      <c r="BI24" s="32"/>
      <c r="BJ24" s="32"/>
      <c r="BK24" s="55"/>
      <c r="BL24" s="32"/>
      <c r="BM24" s="32"/>
      <c r="BN24" s="32"/>
      <c r="BO24" s="32"/>
      <c r="BP24" s="32"/>
      <c r="BQ24" s="31"/>
      <c r="BR24" s="31"/>
      <c r="BS24" s="54"/>
      <c r="BT24" s="21" t="str">
        <f>IFERROR(VLOOKUP(July[[#This Row],[Drug Name7]],'Data Options'!$R$1:$S$100,2,FALSE), " ")</f>
        <v xml:space="preserve"> </v>
      </c>
      <c r="BU24" s="55"/>
      <c r="BV24" s="32"/>
      <c r="BW24" s="32"/>
      <c r="BX24" s="55"/>
      <c r="BY24" s="32"/>
      <c r="BZ24" s="54"/>
      <c r="CA24" s="21" t="str">
        <f>IFERROR(VLOOKUP(July[[#This Row],[Drug Name8]],'Data Options'!$R$1:$S$100,2,FALSE), " ")</f>
        <v xml:space="preserve"> </v>
      </c>
      <c r="CB24" s="55"/>
      <c r="CC24" s="32"/>
      <c r="CD24" s="32"/>
      <c r="CE24" s="55"/>
      <c r="CF24" s="32"/>
      <c r="CG24" s="54"/>
      <c r="CH24" s="21" t="str">
        <f>IFERROR(VLOOKUP(July[[#This Row],[Drug Name9]],'Data Options'!$R$1:$S$100,2,FALSE), " ")</f>
        <v xml:space="preserve"> </v>
      </c>
      <c r="CI24" s="55"/>
      <c r="CJ24" s="32"/>
      <c r="CK24" s="32"/>
      <c r="CL24" s="55"/>
      <c r="CM24" s="32"/>
    </row>
    <row r="25" spans="1:9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54"/>
      <c r="R25" s="21" t="str">
        <f>IFERROR(VLOOKUP(July[[#This Row],[Drug Name]],'Data Options'!$R$1:$S$100,2,FALSE), " ")</f>
        <v xml:space="preserve"> </v>
      </c>
      <c r="S25" s="55"/>
      <c r="T25" s="32"/>
      <c r="U25" s="32"/>
      <c r="V25" s="55"/>
      <c r="W25" s="32"/>
      <c r="X25" s="54"/>
      <c r="Y25" s="21" t="str">
        <f>IFERROR(VLOOKUP(July[[#This Row],[Drug Name2]],'Data Options'!$R$1:$S$100,2,FALSE), " ")</f>
        <v xml:space="preserve"> </v>
      </c>
      <c r="Z25" s="55"/>
      <c r="AA25" s="32"/>
      <c r="AB25" s="32"/>
      <c r="AC25" s="55"/>
      <c r="AD25" s="32"/>
      <c r="AE25" s="54"/>
      <c r="AF25" s="21" t="str">
        <f>IFERROR(VLOOKUP(July[[#This Row],[Drug Name3]],'Data Options'!$R$1:$S$100,2,FALSE), " ")</f>
        <v xml:space="preserve"> </v>
      </c>
      <c r="AG25" s="55"/>
      <c r="AH25" s="32"/>
      <c r="AI25" s="32"/>
      <c r="AJ25" s="55"/>
      <c r="AK25" s="32"/>
      <c r="AL25" s="32"/>
      <c r="AM25" s="32"/>
      <c r="AN25" s="32"/>
      <c r="AO25" s="32"/>
      <c r="AP25" s="31"/>
      <c r="AQ25" s="31"/>
      <c r="AR25" s="54"/>
      <c r="AS25" s="21" t="str">
        <f>IFERROR(VLOOKUP(July[[#This Row],[Drug Name4]],'Data Options'!$R$1:$S$100,2,FALSE), " ")</f>
        <v xml:space="preserve"> </v>
      </c>
      <c r="AT25" s="55"/>
      <c r="AU25" s="32"/>
      <c r="AV25" s="32"/>
      <c r="AW25" s="55"/>
      <c r="AX25" s="32"/>
      <c r="AY25" s="54"/>
      <c r="AZ25" s="21" t="str">
        <f>IFERROR(VLOOKUP(July[[#This Row],[Drug Name5]],'Data Options'!$R$1:$S$100,2,FALSE), " ")</f>
        <v xml:space="preserve"> </v>
      </c>
      <c r="BA25" s="55"/>
      <c r="BB25" s="32"/>
      <c r="BC25" s="32"/>
      <c r="BD25" s="55"/>
      <c r="BE25" s="32"/>
      <c r="BF25" s="54"/>
      <c r="BG25" s="21" t="str">
        <f>IFERROR(VLOOKUP(July[[#This Row],[Drug Name6]],'Data Options'!$R$1:$S$100,2,FALSE), " ")</f>
        <v xml:space="preserve"> </v>
      </c>
      <c r="BH25" s="55"/>
      <c r="BI25" s="32"/>
      <c r="BJ25" s="32"/>
      <c r="BK25" s="55"/>
      <c r="BL25" s="32"/>
      <c r="BM25" s="32"/>
      <c r="BN25" s="32"/>
      <c r="BO25" s="32"/>
      <c r="BP25" s="32"/>
      <c r="BQ25" s="31"/>
      <c r="BR25" s="31"/>
      <c r="BS25" s="54"/>
      <c r="BT25" s="21" t="str">
        <f>IFERROR(VLOOKUP(July[[#This Row],[Drug Name7]],'Data Options'!$R$1:$S$100,2,FALSE), " ")</f>
        <v xml:space="preserve"> </v>
      </c>
      <c r="BU25" s="55"/>
      <c r="BV25" s="32"/>
      <c r="BW25" s="32"/>
      <c r="BX25" s="55"/>
      <c r="BY25" s="32"/>
      <c r="BZ25" s="54"/>
      <c r="CA25" s="21" t="str">
        <f>IFERROR(VLOOKUP(July[[#This Row],[Drug Name8]],'Data Options'!$R$1:$S$100,2,FALSE), " ")</f>
        <v xml:space="preserve"> </v>
      </c>
      <c r="CB25" s="55"/>
      <c r="CC25" s="32"/>
      <c r="CD25" s="32"/>
      <c r="CE25" s="55"/>
      <c r="CF25" s="32"/>
      <c r="CG25" s="54"/>
      <c r="CH25" s="21" t="str">
        <f>IFERROR(VLOOKUP(July[[#This Row],[Drug Name9]],'Data Options'!$R$1:$S$100,2,FALSE), " ")</f>
        <v xml:space="preserve"> </v>
      </c>
      <c r="CI25" s="55"/>
      <c r="CJ25" s="32"/>
      <c r="CK25" s="32"/>
      <c r="CL25" s="55"/>
      <c r="CM25" s="32"/>
    </row>
    <row r="26" spans="1:91">
      <c r="A26" s="5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54"/>
      <c r="R26" s="21" t="str">
        <f>IFERROR(VLOOKUP(July[[#This Row],[Drug Name]],'Data Options'!$R$1:$S$100,2,FALSE), " ")</f>
        <v xml:space="preserve"> </v>
      </c>
      <c r="S26" s="55"/>
      <c r="T26" s="32"/>
      <c r="U26" s="32"/>
      <c r="V26" s="55"/>
      <c r="W26" s="32"/>
      <c r="X26" s="54"/>
      <c r="Y26" s="21" t="str">
        <f>IFERROR(VLOOKUP(July[[#This Row],[Drug Name2]],'Data Options'!$R$1:$S$100,2,FALSE), " ")</f>
        <v xml:space="preserve"> </v>
      </c>
      <c r="Z26" s="55"/>
      <c r="AA26" s="32"/>
      <c r="AB26" s="32"/>
      <c r="AC26" s="55"/>
      <c r="AD26" s="32"/>
      <c r="AE26" s="54"/>
      <c r="AF26" s="21" t="str">
        <f>IFERROR(VLOOKUP(July[[#This Row],[Drug Name3]],'Data Options'!$R$1:$S$100,2,FALSE), " ")</f>
        <v xml:space="preserve"> </v>
      </c>
      <c r="AG26" s="55"/>
      <c r="AH26" s="32"/>
      <c r="AI26" s="32"/>
      <c r="AJ26" s="55"/>
      <c r="AK26" s="32"/>
      <c r="AL26" s="32"/>
      <c r="AM26" s="32"/>
      <c r="AN26" s="32"/>
      <c r="AO26" s="32"/>
      <c r="AP26" s="31"/>
      <c r="AQ26" s="31"/>
      <c r="AR26" s="54"/>
      <c r="AS26" s="21" t="str">
        <f>IFERROR(VLOOKUP(July[[#This Row],[Drug Name4]],'Data Options'!$R$1:$S$100,2,FALSE), " ")</f>
        <v xml:space="preserve"> </v>
      </c>
      <c r="AT26" s="55"/>
      <c r="AU26" s="32"/>
      <c r="AV26" s="32"/>
      <c r="AW26" s="55"/>
      <c r="AX26" s="32"/>
      <c r="AY26" s="54"/>
      <c r="AZ26" s="21" t="str">
        <f>IFERROR(VLOOKUP(July[[#This Row],[Drug Name5]],'Data Options'!$R$1:$S$100,2,FALSE), " ")</f>
        <v xml:space="preserve"> </v>
      </c>
      <c r="BA26" s="55"/>
      <c r="BB26" s="32"/>
      <c r="BC26" s="32"/>
      <c r="BD26" s="55"/>
      <c r="BE26" s="32"/>
      <c r="BF26" s="54"/>
      <c r="BG26" s="21" t="str">
        <f>IFERROR(VLOOKUP(July[[#This Row],[Drug Name6]],'Data Options'!$R$1:$S$100,2,FALSE), " ")</f>
        <v xml:space="preserve"> </v>
      </c>
      <c r="BH26" s="55"/>
      <c r="BI26" s="32"/>
      <c r="BJ26" s="32"/>
      <c r="BK26" s="55"/>
      <c r="BL26" s="32"/>
      <c r="BM26" s="32"/>
      <c r="BN26" s="32"/>
      <c r="BO26" s="32"/>
      <c r="BP26" s="32"/>
      <c r="BQ26" s="31"/>
      <c r="BR26" s="31"/>
      <c r="BS26" s="54"/>
      <c r="BT26" s="21" t="str">
        <f>IFERROR(VLOOKUP(July[[#This Row],[Drug Name7]],'Data Options'!$R$1:$S$100,2,FALSE), " ")</f>
        <v xml:space="preserve"> </v>
      </c>
      <c r="BU26" s="55"/>
      <c r="BV26" s="32"/>
      <c r="BW26" s="32"/>
      <c r="BX26" s="55"/>
      <c r="BY26" s="32"/>
      <c r="BZ26" s="54"/>
      <c r="CA26" s="21" t="str">
        <f>IFERROR(VLOOKUP(July[[#This Row],[Drug Name8]],'Data Options'!$R$1:$S$100,2,FALSE), " ")</f>
        <v xml:space="preserve"> </v>
      </c>
      <c r="CB26" s="55"/>
      <c r="CC26" s="32"/>
      <c r="CD26" s="32"/>
      <c r="CE26" s="55"/>
      <c r="CF26" s="32"/>
      <c r="CG26" s="54"/>
      <c r="CH26" s="21" t="str">
        <f>IFERROR(VLOOKUP(July[[#This Row],[Drug Name9]],'Data Options'!$R$1:$S$100,2,FALSE), " ")</f>
        <v xml:space="preserve"> </v>
      </c>
      <c r="CI26" s="55"/>
      <c r="CJ26" s="32"/>
      <c r="CK26" s="32"/>
      <c r="CL26" s="55"/>
      <c r="CM26" s="32"/>
    </row>
    <row r="27" spans="1:91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54"/>
      <c r="R27" s="21" t="str">
        <f>IFERROR(VLOOKUP(July[[#This Row],[Drug Name]],'Data Options'!$R$1:$S$100,2,FALSE), " ")</f>
        <v xml:space="preserve"> </v>
      </c>
      <c r="S27" s="55"/>
      <c r="T27" s="32"/>
      <c r="U27" s="32"/>
      <c r="V27" s="55"/>
      <c r="W27" s="32"/>
      <c r="X27" s="54"/>
      <c r="Y27" s="21" t="str">
        <f>IFERROR(VLOOKUP(July[[#This Row],[Drug Name2]],'Data Options'!$R$1:$S$100,2,FALSE), " ")</f>
        <v xml:space="preserve"> </v>
      </c>
      <c r="Z27" s="55"/>
      <c r="AA27" s="32"/>
      <c r="AB27" s="32"/>
      <c r="AC27" s="55"/>
      <c r="AD27" s="32"/>
      <c r="AE27" s="54"/>
      <c r="AF27" s="21" t="str">
        <f>IFERROR(VLOOKUP(July[[#This Row],[Drug Name3]],'Data Options'!$R$1:$S$100,2,FALSE), " ")</f>
        <v xml:space="preserve"> </v>
      </c>
      <c r="AG27" s="55"/>
      <c r="AH27" s="32"/>
      <c r="AI27" s="32"/>
      <c r="AJ27" s="55"/>
      <c r="AK27" s="32"/>
      <c r="AL27" s="32"/>
      <c r="AM27" s="32"/>
      <c r="AN27" s="32"/>
      <c r="AO27" s="32"/>
      <c r="AP27" s="31"/>
      <c r="AQ27" s="31"/>
      <c r="AR27" s="54"/>
      <c r="AS27" s="21" t="str">
        <f>IFERROR(VLOOKUP(July[[#This Row],[Drug Name4]],'Data Options'!$R$1:$S$100,2,FALSE), " ")</f>
        <v xml:space="preserve"> </v>
      </c>
      <c r="AT27" s="55"/>
      <c r="AU27" s="32"/>
      <c r="AV27" s="32"/>
      <c r="AW27" s="55"/>
      <c r="AX27" s="32"/>
      <c r="AY27" s="54"/>
      <c r="AZ27" s="21" t="str">
        <f>IFERROR(VLOOKUP(July[[#This Row],[Drug Name5]],'Data Options'!$R$1:$S$100,2,FALSE), " ")</f>
        <v xml:space="preserve"> </v>
      </c>
      <c r="BA27" s="55"/>
      <c r="BB27" s="32"/>
      <c r="BC27" s="32"/>
      <c r="BD27" s="55"/>
      <c r="BE27" s="32"/>
      <c r="BF27" s="54"/>
      <c r="BG27" s="21" t="str">
        <f>IFERROR(VLOOKUP(July[[#This Row],[Drug Name6]],'Data Options'!$R$1:$S$100,2,FALSE), " ")</f>
        <v xml:space="preserve"> </v>
      </c>
      <c r="BH27" s="55"/>
      <c r="BI27" s="32"/>
      <c r="BJ27" s="32"/>
      <c r="BK27" s="55"/>
      <c r="BL27" s="32"/>
      <c r="BM27" s="32"/>
      <c r="BN27" s="32"/>
      <c r="BO27" s="32"/>
      <c r="BP27" s="32"/>
      <c r="BQ27" s="31"/>
      <c r="BR27" s="31"/>
      <c r="BS27" s="54"/>
      <c r="BT27" s="21" t="str">
        <f>IFERROR(VLOOKUP(July[[#This Row],[Drug Name7]],'Data Options'!$R$1:$S$100,2,FALSE), " ")</f>
        <v xml:space="preserve"> </v>
      </c>
      <c r="BU27" s="55"/>
      <c r="BV27" s="32"/>
      <c r="BW27" s="32"/>
      <c r="BX27" s="55"/>
      <c r="BY27" s="32"/>
      <c r="BZ27" s="54"/>
      <c r="CA27" s="21" t="str">
        <f>IFERROR(VLOOKUP(July[[#This Row],[Drug Name8]],'Data Options'!$R$1:$S$100,2,FALSE), " ")</f>
        <v xml:space="preserve"> </v>
      </c>
      <c r="CB27" s="55"/>
      <c r="CC27" s="32"/>
      <c r="CD27" s="32"/>
      <c r="CE27" s="55"/>
      <c r="CF27" s="32"/>
      <c r="CG27" s="54"/>
      <c r="CH27" s="21" t="str">
        <f>IFERROR(VLOOKUP(July[[#This Row],[Drug Name9]],'Data Options'!$R$1:$S$100,2,FALSE), " ")</f>
        <v xml:space="preserve"> </v>
      </c>
      <c r="CI27" s="55"/>
      <c r="CJ27" s="32"/>
      <c r="CK27" s="32"/>
      <c r="CL27" s="55"/>
      <c r="CM27" s="32"/>
    </row>
    <row r="28" spans="1:91">
      <c r="A28" s="5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54"/>
      <c r="R28" s="21" t="str">
        <f>IFERROR(VLOOKUP(July[[#This Row],[Drug Name]],'Data Options'!$R$1:$S$100,2,FALSE), " ")</f>
        <v xml:space="preserve"> </v>
      </c>
      <c r="S28" s="55"/>
      <c r="T28" s="32"/>
      <c r="U28" s="32"/>
      <c r="V28" s="55"/>
      <c r="W28" s="32"/>
      <c r="X28" s="54"/>
      <c r="Y28" s="21" t="str">
        <f>IFERROR(VLOOKUP(July[[#This Row],[Drug Name2]],'Data Options'!$R$1:$S$100,2,FALSE), " ")</f>
        <v xml:space="preserve"> </v>
      </c>
      <c r="Z28" s="55"/>
      <c r="AA28" s="32"/>
      <c r="AB28" s="32"/>
      <c r="AC28" s="55"/>
      <c r="AD28" s="32"/>
      <c r="AE28" s="54"/>
      <c r="AF28" s="21" t="str">
        <f>IFERROR(VLOOKUP(July[[#This Row],[Drug Name3]],'Data Options'!$R$1:$S$100,2,FALSE), " ")</f>
        <v xml:space="preserve"> </v>
      </c>
      <c r="AG28" s="55"/>
      <c r="AH28" s="32"/>
      <c r="AI28" s="32"/>
      <c r="AJ28" s="55"/>
      <c r="AK28" s="32"/>
      <c r="AL28" s="32"/>
      <c r="AM28" s="32"/>
      <c r="AN28" s="32"/>
      <c r="AO28" s="32"/>
      <c r="AP28" s="31"/>
      <c r="AQ28" s="31"/>
      <c r="AR28" s="54"/>
      <c r="AS28" s="21" t="str">
        <f>IFERROR(VLOOKUP(July[[#This Row],[Drug Name4]],'Data Options'!$R$1:$S$100,2,FALSE), " ")</f>
        <v xml:space="preserve"> </v>
      </c>
      <c r="AT28" s="55"/>
      <c r="AU28" s="32"/>
      <c r="AV28" s="32"/>
      <c r="AW28" s="55"/>
      <c r="AX28" s="32"/>
      <c r="AY28" s="54"/>
      <c r="AZ28" s="21" t="str">
        <f>IFERROR(VLOOKUP(July[[#This Row],[Drug Name5]],'Data Options'!$R$1:$S$100,2,FALSE), " ")</f>
        <v xml:space="preserve"> </v>
      </c>
      <c r="BA28" s="55"/>
      <c r="BB28" s="32"/>
      <c r="BC28" s="32"/>
      <c r="BD28" s="55"/>
      <c r="BE28" s="32"/>
      <c r="BF28" s="54"/>
      <c r="BG28" s="21" t="str">
        <f>IFERROR(VLOOKUP(July[[#This Row],[Drug Name6]],'Data Options'!$R$1:$S$100,2,FALSE), " ")</f>
        <v xml:space="preserve"> </v>
      </c>
      <c r="BH28" s="55"/>
      <c r="BI28" s="32"/>
      <c r="BJ28" s="32"/>
      <c r="BK28" s="55"/>
      <c r="BL28" s="32"/>
      <c r="BM28" s="32"/>
      <c r="BN28" s="32"/>
      <c r="BO28" s="32"/>
      <c r="BP28" s="32"/>
      <c r="BQ28" s="31"/>
      <c r="BR28" s="31"/>
      <c r="BS28" s="54"/>
      <c r="BT28" s="21" t="str">
        <f>IFERROR(VLOOKUP(July[[#This Row],[Drug Name7]],'Data Options'!$R$1:$S$100,2,FALSE), " ")</f>
        <v xml:space="preserve"> </v>
      </c>
      <c r="BU28" s="55"/>
      <c r="BV28" s="32"/>
      <c r="BW28" s="32"/>
      <c r="BX28" s="55"/>
      <c r="BY28" s="32"/>
      <c r="BZ28" s="54"/>
      <c r="CA28" s="21" t="str">
        <f>IFERROR(VLOOKUP(July[[#This Row],[Drug Name8]],'Data Options'!$R$1:$S$100,2,FALSE), " ")</f>
        <v xml:space="preserve"> </v>
      </c>
      <c r="CB28" s="55"/>
      <c r="CC28" s="32"/>
      <c r="CD28" s="32"/>
      <c r="CE28" s="55"/>
      <c r="CF28" s="32"/>
      <c r="CG28" s="54"/>
      <c r="CH28" s="21" t="str">
        <f>IFERROR(VLOOKUP(July[[#This Row],[Drug Name9]],'Data Options'!$R$1:$S$100,2,FALSE), " ")</f>
        <v xml:space="preserve"> </v>
      </c>
      <c r="CI28" s="55"/>
      <c r="CJ28" s="32"/>
      <c r="CK28" s="32"/>
      <c r="CL28" s="55"/>
      <c r="CM28" s="32"/>
    </row>
    <row r="29" spans="1:91">
      <c r="A29" s="5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54"/>
      <c r="R29" s="21" t="str">
        <f>IFERROR(VLOOKUP(July[[#This Row],[Drug Name]],'Data Options'!$R$1:$S$100,2,FALSE), " ")</f>
        <v xml:space="preserve"> </v>
      </c>
      <c r="S29" s="55"/>
      <c r="T29" s="32"/>
      <c r="U29" s="32"/>
      <c r="V29" s="55"/>
      <c r="W29" s="32"/>
      <c r="X29" s="54"/>
      <c r="Y29" s="21" t="str">
        <f>IFERROR(VLOOKUP(July[[#This Row],[Drug Name2]],'Data Options'!$R$1:$S$100,2,FALSE), " ")</f>
        <v xml:space="preserve"> </v>
      </c>
      <c r="Z29" s="55"/>
      <c r="AA29" s="32"/>
      <c r="AB29" s="32"/>
      <c r="AC29" s="55"/>
      <c r="AD29" s="32"/>
      <c r="AE29" s="54"/>
      <c r="AF29" s="21" t="str">
        <f>IFERROR(VLOOKUP(July[[#This Row],[Drug Name3]],'Data Options'!$R$1:$S$100,2,FALSE), " ")</f>
        <v xml:space="preserve"> </v>
      </c>
      <c r="AG29" s="55"/>
      <c r="AH29" s="32"/>
      <c r="AI29" s="32"/>
      <c r="AJ29" s="55"/>
      <c r="AK29" s="32"/>
      <c r="AL29" s="32"/>
      <c r="AM29" s="32"/>
      <c r="AN29" s="32"/>
      <c r="AO29" s="32"/>
      <c r="AP29" s="31"/>
      <c r="AQ29" s="31"/>
      <c r="AR29" s="54"/>
      <c r="AS29" s="21" t="str">
        <f>IFERROR(VLOOKUP(July[[#This Row],[Drug Name4]],'Data Options'!$R$1:$S$100,2,FALSE), " ")</f>
        <v xml:space="preserve"> </v>
      </c>
      <c r="AT29" s="55"/>
      <c r="AU29" s="32"/>
      <c r="AV29" s="32"/>
      <c r="AW29" s="55"/>
      <c r="AX29" s="32"/>
      <c r="AY29" s="54"/>
      <c r="AZ29" s="21" t="str">
        <f>IFERROR(VLOOKUP(July[[#This Row],[Drug Name5]],'Data Options'!$R$1:$S$100,2,FALSE), " ")</f>
        <v xml:space="preserve"> </v>
      </c>
      <c r="BA29" s="55"/>
      <c r="BB29" s="32"/>
      <c r="BC29" s="32"/>
      <c r="BD29" s="55"/>
      <c r="BE29" s="32"/>
      <c r="BF29" s="54"/>
      <c r="BG29" s="21" t="str">
        <f>IFERROR(VLOOKUP(July[[#This Row],[Drug Name6]],'Data Options'!$R$1:$S$100,2,FALSE), " ")</f>
        <v xml:space="preserve"> </v>
      </c>
      <c r="BH29" s="55"/>
      <c r="BI29" s="32"/>
      <c r="BJ29" s="32"/>
      <c r="BK29" s="55"/>
      <c r="BL29" s="32"/>
      <c r="BM29" s="32"/>
      <c r="BN29" s="32"/>
      <c r="BO29" s="32"/>
      <c r="BP29" s="32"/>
      <c r="BQ29" s="31"/>
      <c r="BR29" s="31"/>
      <c r="BS29" s="54"/>
      <c r="BT29" s="21" t="str">
        <f>IFERROR(VLOOKUP(July[[#This Row],[Drug Name7]],'Data Options'!$R$1:$S$100,2,FALSE), " ")</f>
        <v xml:space="preserve"> </v>
      </c>
      <c r="BU29" s="55"/>
      <c r="BV29" s="32"/>
      <c r="BW29" s="32"/>
      <c r="BX29" s="55"/>
      <c r="BY29" s="32"/>
      <c r="BZ29" s="54"/>
      <c r="CA29" s="21" t="str">
        <f>IFERROR(VLOOKUP(July[[#This Row],[Drug Name8]],'Data Options'!$R$1:$S$100,2,FALSE), " ")</f>
        <v xml:space="preserve"> </v>
      </c>
      <c r="CB29" s="55"/>
      <c r="CC29" s="32"/>
      <c r="CD29" s="32"/>
      <c r="CE29" s="55"/>
      <c r="CF29" s="32"/>
      <c r="CG29" s="54"/>
      <c r="CH29" s="21" t="str">
        <f>IFERROR(VLOOKUP(July[[#This Row],[Drug Name9]],'Data Options'!$R$1:$S$100,2,FALSE), " ")</f>
        <v xml:space="preserve"> </v>
      </c>
      <c r="CI29" s="55"/>
      <c r="CJ29" s="32"/>
      <c r="CK29" s="32"/>
      <c r="CL29" s="55"/>
      <c r="CM29" s="32"/>
    </row>
    <row r="30" spans="1:91">
      <c r="A30" s="5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54"/>
      <c r="R30" s="21" t="str">
        <f>IFERROR(VLOOKUP(July[[#This Row],[Drug Name]],'Data Options'!$R$1:$S$100,2,FALSE), " ")</f>
        <v xml:space="preserve"> </v>
      </c>
      <c r="S30" s="55"/>
      <c r="T30" s="32"/>
      <c r="U30" s="32"/>
      <c r="V30" s="55"/>
      <c r="W30" s="32"/>
      <c r="X30" s="54"/>
      <c r="Y30" s="21" t="str">
        <f>IFERROR(VLOOKUP(July[[#This Row],[Drug Name2]],'Data Options'!$R$1:$S$100,2,FALSE), " ")</f>
        <v xml:space="preserve"> </v>
      </c>
      <c r="Z30" s="55"/>
      <c r="AA30" s="32"/>
      <c r="AB30" s="32"/>
      <c r="AC30" s="55"/>
      <c r="AD30" s="32"/>
      <c r="AE30" s="54"/>
      <c r="AF30" s="21" t="str">
        <f>IFERROR(VLOOKUP(July[[#This Row],[Drug Name3]],'Data Options'!$R$1:$S$100,2,FALSE), " ")</f>
        <v xml:space="preserve"> </v>
      </c>
      <c r="AG30" s="55"/>
      <c r="AH30" s="32"/>
      <c r="AI30" s="32"/>
      <c r="AJ30" s="55"/>
      <c r="AK30" s="32"/>
      <c r="AL30" s="32"/>
      <c r="AM30" s="32"/>
      <c r="AN30" s="32"/>
      <c r="AO30" s="32"/>
      <c r="AP30" s="31"/>
      <c r="AQ30" s="31"/>
      <c r="AR30" s="54"/>
      <c r="AS30" s="21" t="str">
        <f>IFERROR(VLOOKUP(July[[#This Row],[Drug Name4]],'Data Options'!$R$1:$S$100,2,FALSE), " ")</f>
        <v xml:space="preserve"> </v>
      </c>
      <c r="AT30" s="55"/>
      <c r="AU30" s="32"/>
      <c r="AV30" s="32"/>
      <c r="AW30" s="55"/>
      <c r="AX30" s="32"/>
      <c r="AY30" s="54"/>
      <c r="AZ30" s="21" t="str">
        <f>IFERROR(VLOOKUP(July[[#This Row],[Drug Name5]],'Data Options'!$R$1:$S$100,2,FALSE), " ")</f>
        <v xml:space="preserve"> </v>
      </c>
      <c r="BA30" s="55"/>
      <c r="BB30" s="32"/>
      <c r="BC30" s="32"/>
      <c r="BD30" s="55"/>
      <c r="BE30" s="32"/>
      <c r="BF30" s="54"/>
      <c r="BG30" s="21" t="str">
        <f>IFERROR(VLOOKUP(July[[#This Row],[Drug Name6]],'Data Options'!$R$1:$S$100,2,FALSE), " ")</f>
        <v xml:space="preserve"> </v>
      </c>
      <c r="BH30" s="55"/>
      <c r="BI30" s="32"/>
      <c r="BJ30" s="32"/>
      <c r="BK30" s="55"/>
      <c r="BL30" s="32"/>
      <c r="BM30" s="32"/>
      <c r="BN30" s="32"/>
      <c r="BO30" s="32"/>
      <c r="BP30" s="32"/>
      <c r="BQ30" s="31"/>
      <c r="BR30" s="31"/>
      <c r="BS30" s="54"/>
      <c r="BT30" s="21" t="str">
        <f>IFERROR(VLOOKUP(July[[#This Row],[Drug Name7]],'Data Options'!$R$1:$S$100,2,FALSE), " ")</f>
        <v xml:space="preserve"> </v>
      </c>
      <c r="BU30" s="55"/>
      <c r="BV30" s="32"/>
      <c r="BW30" s="32"/>
      <c r="BX30" s="55"/>
      <c r="BY30" s="32"/>
      <c r="BZ30" s="54"/>
      <c r="CA30" s="21" t="str">
        <f>IFERROR(VLOOKUP(July[[#This Row],[Drug Name8]],'Data Options'!$R$1:$S$100,2,FALSE), " ")</f>
        <v xml:space="preserve"> </v>
      </c>
      <c r="CB30" s="55"/>
      <c r="CC30" s="32"/>
      <c r="CD30" s="32"/>
      <c r="CE30" s="55"/>
      <c r="CF30" s="32"/>
      <c r="CG30" s="54"/>
      <c r="CH30" s="21" t="str">
        <f>IFERROR(VLOOKUP(July[[#This Row],[Drug Name9]],'Data Options'!$R$1:$S$100,2,FALSE), " ")</f>
        <v xml:space="preserve"> </v>
      </c>
      <c r="CI30" s="55"/>
      <c r="CJ30" s="32"/>
      <c r="CK30" s="32"/>
      <c r="CL30" s="55"/>
      <c r="CM30" s="32"/>
    </row>
    <row r="31" spans="1:9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54"/>
      <c r="R31" s="21" t="str">
        <f>IFERROR(VLOOKUP(July[[#This Row],[Drug Name]],'Data Options'!$R$1:$S$100,2,FALSE), " ")</f>
        <v xml:space="preserve"> </v>
      </c>
      <c r="S31" s="55"/>
      <c r="T31" s="32"/>
      <c r="U31" s="32"/>
      <c r="V31" s="55"/>
      <c r="W31" s="32"/>
      <c r="X31" s="54"/>
      <c r="Y31" s="21" t="str">
        <f>IFERROR(VLOOKUP(July[[#This Row],[Drug Name2]],'Data Options'!$R$1:$S$100,2,FALSE), " ")</f>
        <v xml:space="preserve"> </v>
      </c>
      <c r="Z31" s="55"/>
      <c r="AA31" s="32"/>
      <c r="AB31" s="32"/>
      <c r="AC31" s="55"/>
      <c r="AD31" s="32"/>
      <c r="AE31" s="54"/>
      <c r="AF31" s="21" t="str">
        <f>IFERROR(VLOOKUP(July[[#This Row],[Drug Name3]],'Data Options'!$R$1:$S$100,2,FALSE), " ")</f>
        <v xml:space="preserve"> </v>
      </c>
      <c r="AG31" s="55"/>
      <c r="AH31" s="32"/>
      <c r="AI31" s="32"/>
      <c r="AJ31" s="55"/>
      <c r="AK31" s="32"/>
      <c r="AL31" s="32"/>
      <c r="AM31" s="32"/>
      <c r="AN31" s="32"/>
      <c r="AO31" s="32"/>
      <c r="AP31" s="31"/>
      <c r="AQ31" s="31"/>
      <c r="AR31" s="54"/>
      <c r="AS31" s="21" t="str">
        <f>IFERROR(VLOOKUP(July[[#This Row],[Drug Name4]],'Data Options'!$R$1:$S$100,2,FALSE), " ")</f>
        <v xml:space="preserve"> </v>
      </c>
      <c r="AT31" s="55"/>
      <c r="AU31" s="32"/>
      <c r="AV31" s="32"/>
      <c r="AW31" s="55"/>
      <c r="AX31" s="32"/>
      <c r="AY31" s="54"/>
      <c r="AZ31" s="21" t="str">
        <f>IFERROR(VLOOKUP(July[[#This Row],[Drug Name5]],'Data Options'!$R$1:$S$100,2,FALSE), " ")</f>
        <v xml:space="preserve"> </v>
      </c>
      <c r="BA31" s="55"/>
      <c r="BB31" s="32"/>
      <c r="BC31" s="32"/>
      <c r="BD31" s="55"/>
      <c r="BE31" s="32"/>
      <c r="BF31" s="54"/>
      <c r="BG31" s="21" t="str">
        <f>IFERROR(VLOOKUP(July[[#This Row],[Drug Name6]],'Data Options'!$R$1:$S$100,2,FALSE), " ")</f>
        <v xml:space="preserve"> </v>
      </c>
      <c r="BH31" s="55"/>
      <c r="BI31" s="32"/>
      <c r="BJ31" s="32"/>
      <c r="BK31" s="55"/>
      <c r="BL31" s="32"/>
      <c r="BM31" s="32"/>
      <c r="BN31" s="32"/>
      <c r="BO31" s="32"/>
      <c r="BP31" s="32"/>
      <c r="BQ31" s="31"/>
      <c r="BR31" s="31"/>
      <c r="BS31" s="54"/>
      <c r="BT31" s="21" t="str">
        <f>IFERROR(VLOOKUP(July[[#This Row],[Drug Name7]],'Data Options'!$R$1:$S$100,2,FALSE), " ")</f>
        <v xml:space="preserve"> </v>
      </c>
      <c r="BU31" s="55"/>
      <c r="BV31" s="32"/>
      <c r="BW31" s="32"/>
      <c r="BX31" s="55"/>
      <c r="BY31" s="32"/>
      <c r="BZ31" s="54"/>
      <c r="CA31" s="21" t="str">
        <f>IFERROR(VLOOKUP(July[[#This Row],[Drug Name8]],'Data Options'!$R$1:$S$100,2,FALSE), " ")</f>
        <v xml:space="preserve"> </v>
      </c>
      <c r="CB31" s="55"/>
      <c r="CC31" s="32"/>
      <c r="CD31" s="32"/>
      <c r="CE31" s="55"/>
      <c r="CF31" s="32"/>
      <c r="CG31" s="54"/>
      <c r="CH31" s="21" t="str">
        <f>IFERROR(VLOOKUP(July[[#This Row],[Drug Name9]],'Data Options'!$R$1:$S$100,2,FALSE), " ")</f>
        <v xml:space="preserve"> </v>
      </c>
      <c r="CI31" s="55"/>
      <c r="CJ31" s="32"/>
      <c r="CK31" s="32"/>
      <c r="CL31" s="55"/>
      <c r="CM31" s="32"/>
    </row>
    <row r="32" spans="1:91">
      <c r="A32" s="5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54"/>
      <c r="R32" s="21" t="str">
        <f>IFERROR(VLOOKUP(July[[#This Row],[Drug Name]],'Data Options'!$R$1:$S$100,2,FALSE), " ")</f>
        <v xml:space="preserve"> </v>
      </c>
      <c r="S32" s="55"/>
      <c r="T32" s="32"/>
      <c r="U32" s="32"/>
      <c r="V32" s="55"/>
      <c r="W32" s="32"/>
      <c r="X32" s="54"/>
      <c r="Y32" s="21" t="str">
        <f>IFERROR(VLOOKUP(July[[#This Row],[Drug Name2]],'Data Options'!$R$1:$S$100,2,FALSE), " ")</f>
        <v xml:space="preserve"> </v>
      </c>
      <c r="Z32" s="55"/>
      <c r="AA32" s="32"/>
      <c r="AB32" s="32"/>
      <c r="AC32" s="55"/>
      <c r="AD32" s="32"/>
      <c r="AE32" s="54"/>
      <c r="AF32" s="21" t="str">
        <f>IFERROR(VLOOKUP(July[[#This Row],[Drug Name3]],'Data Options'!$R$1:$S$100,2,FALSE), " ")</f>
        <v xml:space="preserve"> </v>
      </c>
      <c r="AG32" s="55"/>
      <c r="AH32" s="32"/>
      <c r="AI32" s="32"/>
      <c r="AJ32" s="55"/>
      <c r="AK32" s="32"/>
      <c r="AL32" s="32"/>
      <c r="AM32" s="32"/>
      <c r="AN32" s="32"/>
      <c r="AO32" s="32"/>
      <c r="AP32" s="31"/>
      <c r="AQ32" s="31"/>
      <c r="AR32" s="54"/>
      <c r="AS32" s="21" t="str">
        <f>IFERROR(VLOOKUP(July[[#This Row],[Drug Name4]],'Data Options'!$R$1:$S$100,2,FALSE), " ")</f>
        <v xml:space="preserve"> </v>
      </c>
      <c r="AT32" s="55"/>
      <c r="AU32" s="32"/>
      <c r="AV32" s="32"/>
      <c r="AW32" s="55"/>
      <c r="AX32" s="32"/>
      <c r="AY32" s="54"/>
      <c r="AZ32" s="21" t="str">
        <f>IFERROR(VLOOKUP(July[[#This Row],[Drug Name5]],'Data Options'!$R$1:$S$100,2,FALSE), " ")</f>
        <v xml:space="preserve"> </v>
      </c>
      <c r="BA32" s="55"/>
      <c r="BB32" s="32"/>
      <c r="BC32" s="32"/>
      <c r="BD32" s="55"/>
      <c r="BE32" s="32"/>
      <c r="BF32" s="54"/>
      <c r="BG32" s="21" t="str">
        <f>IFERROR(VLOOKUP(July[[#This Row],[Drug Name6]],'Data Options'!$R$1:$S$100,2,FALSE), " ")</f>
        <v xml:space="preserve"> </v>
      </c>
      <c r="BH32" s="55"/>
      <c r="BI32" s="32"/>
      <c r="BJ32" s="32"/>
      <c r="BK32" s="55"/>
      <c r="BL32" s="32"/>
      <c r="BM32" s="32"/>
      <c r="BN32" s="32"/>
      <c r="BO32" s="32"/>
      <c r="BP32" s="32"/>
      <c r="BQ32" s="31"/>
      <c r="BR32" s="31"/>
      <c r="BS32" s="54"/>
      <c r="BT32" s="21" t="str">
        <f>IFERROR(VLOOKUP(July[[#This Row],[Drug Name7]],'Data Options'!$R$1:$S$100,2,FALSE), " ")</f>
        <v xml:space="preserve"> </v>
      </c>
      <c r="BU32" s="55"/>
      <c r="BV32" s="32"/>
      <c r="BW32" s="32"/>
      <c r="BX32" s="55"/>
      <c r="BY32" s="32"/>
      <c r="BZ32" s="54"/>
      <c r="CA32" s="21" t="str">
        <f>IFERROR(VLOOKUP(July[[#This Row],[Drug Name8]],'Data Options'!$R$1:$S$100,2,FALSE), " ")</f>
        <v xml:space="preserve"> </v>
      </c>
      <c r="CB32" s="55"/>
      <c r="CC32" s="32"/>
      <c r="CD32" s="32"/>
      <c r="CE32" s="55"/>
      <c r="CF32" s="32"/>
      <c r="CG32" s="54"/>
      <c r="CH32" s="21" t="str">
        <f>IFERROR(VLOOKUP(July[[#This Row],[Drug Name9]],'Data Options'!$R$1:$S$100,2,FALSE), " ")</f>
        <v xml:space="preserve"> </v>
      </c>
      <c r="CI32" s="55"/>
      <c r="CJ32" s="32"/>
      <c r="CK32" s="32"/>
      <c r="CL32" s="55"/>
      <c r="CM32" s="32"/>
    </row>
    <row r="33" spans="1:9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54"/>
      <c r="R33" s="21" t="str">
        <f>IFERROR(VLOOKUP(July[[#This Row],[Drug Name]],'Data Options'!$R$1:$S$100,2,FALSE), " ")</f>
        <v xml:space="preserve"> </v>
      </c>
      <c r="S33" s="55"/>
      <c r="T33" s="32"/>
      <c r="U33" s="32"/>
      <c r="V33" s="55"/>
      <c r="W33" s="32"/>
      <c r="X33" s="54"/>
      <c r="Y33" s="21" t="str">
        <f>IFERROR(VLOOKUP(July[[#This Row],[Drug Name2]],'Data Options'!$R$1:$S$100,2,FALSE), " ")</f>
        <v xml:space="preserve"> </v>
      </c>
      <c r="Z33" s="55"/>
      <c r="AA33" s="32"/>
      <c r="AB33" s="32"/>
      <c r="AC33" s="55"/>
      <c r="AD33" s="32"/>
      <c r="AE33" s="54"/>
      <c r="AF33" s="21" t="str">
        <f>IFERROR(VLOOKUP(July[[#This Row],[Drug Name3]],'Data Options'!$R$1:$S$100,2,FALSE), " ")</f>
        <v xml:space="preserve"> </v>
      </c>
      <c r="AG33" s="55"/>
      <c r="AH33" s="32"/>
      <c r="AI33" s="32"/>
      <c r="AJ33" s="55"/>
      <c r="AK33" s="32"/>
      <c r="AL33" s="32"/>
      <c r="AM33" s="32"/>
      <c r="AN33" s="32"/>
      <c r="AO33" s="32"/>
      <c r="AP33" s="31"/>
      <c r="AQ33" s="31"/>
      <c r="AR33" s="54"/>
      <c r="AS33" s="21" t="str">
        <f>IFERROR(VLOOKUP(July[[#This Row],[Drug Name4]],'Data Options'!$R$1:$S$100,2,FALSE), " ")</f>
        <v xml:space="preserve"> </v>
      </c>
      <c r="AT33" s="55"/>
      <c r="AU33" s="32"/>
      <c r="AV33" s="32"/>
      <c r="AW33" s="55"/>
      <c r="AX33" s="32"/>
      <c r="AY33" s="54"/>
      <c r="AZ33" s="21" t="str">
        <f>IFERROR(VLOOKUP(July[[#This Row],[Drug Name5]],'Data Options'!$R$1:$S$100,2,FALSE), " ")</f>
        <v xml:space="preserve"> </v>
      </c>
      <c r="BA33" s="55"/>
      <c r="BB33" s="32"/>
      <c r="BC33" s="32"/>
      <c r="BD33" s="55"/>
      <c r="BE33" s="32"/>
      <c r="BF33" s="54"/>
      <c r="BG33" s="21" t="str">
        <f>IFERROR(VLOOKUP(July[[#This Row],[Drug Name6]],'Data Options'!$R$1:$S$100,2,FALSE), " ")</f>
        <v xml:space="preserve"> </v>
      </c>
      <c r="BH33" s="55"/>
      <c r="BI33" s="32"/>
      <c r="BJ33" s="32"/>
      <c r="BK33" s="55"/>
      <c r="BL33" s="32"/>
      <c r="BM33" s="32"/>
      <c r="BN33" s="32"/>
      <c r="BO33" s="32"/>
      <c r="BP33" s="32"/>
      <c r="BQ33" s="31"/>
      <c r="BR33" s="31"/>
      <c r="BS33" s="54"/>
      <c r="BT33" s="21" t="str">
        <f>IFERROR(VLOOKUP(July[[#This Row],[Drug Name7]],'Data Options'!$R$1:$S$100,2,FALSE), " ")</f>
        <v xml:space="preserve"> </v>
      </c>
      <c r="BU33" s="55"/>
      <c r="BV33" s="32"/>
      <c r="BW33" s="32"/>
      <c r="BX33" s="55"/>
      <c r="BY33" s="32"/>
      <c r="BZ33" s="54"/>
      <c r="CA33" s="21" t="str">
        <f>IFERROR(VLOOKUP(July[[#This Row],[Drug Name8]],'Data Options'!$R$1:$S$100,2,FALSE), " ")</f>
        <v xml:space="preserve"> </v>
      </c>
      <c r="CB33" s="55"/>
      <c r="CC33" s="32"/>
      <c r="CD33" s="32"/>
      <c r="CE33" s="55"/>
      <c r="CF33" s="32"/>
      <c r="CG33" s="54"/>
      <c r="CH33" s="21" t="str">
        <f>IFERROR(VLOOKUP(July[[#This Row],[Drug Name9]],'Data Options'!$R$1:$S$100,2,FALSE), " ")</f>
        <v xml:space="preserve"> </v>
      </c>
      <c r="CI33" s="55"/>
      <c r="CJ33" s="32"/>
      <c r="CK33" s="32"/>
      <c r="CL33" s="55"/>
      <c r="CM33" s="32"/>
    </row>
    <row r="34" spans="1:9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54"/>
      <c r="R34" s="21" t="str">
        <f>IFERROR(VLOOKUP(July[[#This Row],[Drug Name]],'Data Options'!$R$1:$S$100,2,FALSE), " ")</f>
        <v xml:space="preserve"> </v>
      </c>
      <c r="S34" s="55"/>
      <c r="T34" s="32"/>
      <c r="U34" s="32"/>
      <c r="V34" s="55"/>
      <c r="W34" s="32"/>
      <c r="X34" s="54"/>
      <c r="Y34" s="21" t="str">
        <f>IFERROR(VLOOKUP(July[[#This Row],[Drug Name2]],'Data Options'!$R$1:$S$100,2,FALSE), " ")</f>
        <v xml:space="preserve"> </v>
      </c>
      <c r="Z34" s="55"/>
      <c r="AA34" s="32"/>
      <c r="AB34" s="32"/>
      <c r="AC34" s="55"/>
      <c r="AD34" s="32"/>
      <c r="AE34" s="54"/>
      <c r="AF34" s="21" t="str">
        <f>IFERROR(VLOOKUP(July[[#This Row],[Drug Name3]],'Data Options'!$R$1:$S$100,2,FALSE), " ")</f>
        <v xml:space="preserve"> </v>
      </c>
      <c r="AG34" s="55"/>
      <c r="AH34" s="32"/>
      <c r="AI34" s="32"/>
      <c r="AJ34" s="55"/>
      <c r="AK34" s="32"/>
      <c r="AL34" s="32"/>
      <c r="AM34" s="32"/>
      <c r="AN34" s="32"/>
      <c r="AO34" s="32"/>
      <c r="AP34" s="31"/>
      <c r="AQ34" s="31"/>
      <c r="AR34" s="54"/>
      <c r="AS34" s="21" t="str">
        <f>IFERROR(VLOOKUP(July[[#This Row],[Drug Name4]],'Data Options'!$R$1:$S$100,2,FALSE), " ")</f>
        <v xml:space="preserve"> </v>
      </c>
      <c r="AT34" s="55"/>
      <c r="AU34" s="32"/>
      <c r="AV34" s="32"/>
      <c r="AW34" s="55"/>
      <c r="AX34" s="32"/>
      <c r="AY34" s="54"/>
      <c r="AZ34" s="21" t="str">
        <f>IFERROR(VLOOKUP(July[[#This Row],[Drug Name5]],'Data Options'!$R$1:$S$100,2,FALSE), " ")</f>
        <v xml:space="preserve"> </v>
      </c>
      <c r="BA34" s="55"/>
      <c r="BB34" s="32"/>
      <c r="BC34" s="32"/>
      <c r="BD34" s="55"/>
      <c r="BE34" s="32"/>
      <c r="BF34" s="54"/>
      <c r="BG34" s="21" t="str">
        <f>IFERROR(VLOOKUP(July[[#This Row],[Drug Name6]],'Data Options'!$R$1:$S$100,2,FALSE), " ")</f>
        <v xml:space="preserve"> </v>
      </c>
      <c r="BH34" s="55"/>
      <c r="BI34" s="32"/>
      <c r="BJ34" s="32"/>
      <c r="BK34" s="55"/>
      <c r="BL34" s="32"/>
      <c r="BM34" s="32"/>
      <c r="BN34" s="32"/>
      <c r="BO34" s="32"/>
      <c r="BP34" s="32"/>
      <c r="BQ34" s="31"/>
      <c r="BR34" s="31"/>
      <c r="BS34" s="54"/>
      <c r="BT34" s="21" t="str">
        <f>IFERROR(VLOOKUP(July[[#This Row],[Drug Name7]],'Data Options'!$R$1:$S$100,2,FALSE), " ")</f>
        <v xml:space="preserve"> </v>
      </c>
      <c r="BU34" s="55"/>
      <c r="BV34" s="32"/>
      <c r="BW34" s="32"/>
      <c r="BX34" s="55"/>
      <c r="BY34" s="32"/>
      <c r="BZ34" s="54"/>
      <c r="CA34" s="21" t="str">
        <f>IFERROR(VLOOKUP(July[[#This Row],[Drug Name8]],'Data Options'!$R$1:$S$100,2,FALSE), " ")</f>
        <v xml:space="preserve"> </v>
      </c>
      <c r="CB34" s="55"/>
      <c r="CC34" s="32"/>
      <c r="CD34" s="32"/>
      <c r="CE34" s="55"/>
      <c r="CF34" s="32"/>
      <c r="CG34" s="54"/>
      <c r="CH34" s="21" t="str">
        <f>IFERROR(VLOOKUP(July[[#This Row],[Drug Name9]],'Data Options'!$R$1:$S$100,2,FALSE), " ")</f>
        <v xml:space="preserve"> </v>
      </c>
      <c r="CI34" s="55"/>
      <c r="CJ34" s="32"/>
      <c r="CK34" s="32"/>
      <c r="CL34" s="55"/>
      <c r="CM34" s="32"/>
    </row>
    <row r="35" spans="1:9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54"/>
      <c r="R35" s="21" t="str">
        <f>IFERROR(VLOOKUP(July[[#This Row],[Drug Name]],'Data Options'!$R$1:$S$100,2,FALSE), " ")</f>
        <v xml:space="preserve"> </v>
      </c>
      <c r="S35" s="55"/>
      <c r="T35" s="32"/>
      <c r="U35" s="32"/>
      <c r="V35" s="55"/>
      <c r="W35" s="32"/>
      <c r="X35" s="54"/>
      <c r="Y35" s="21" t="str">
        <f>IFERROR(VLOOKUP(July[[#This Row],[Drug Name2]],'Data Options'!$R$1:$S$100,2,FALSE), " ")</f>
        <v xml:space="preserve"> </v>
      </c>
      <c r="Z35" s="55"/>
      <c r="AA35" s="32"/>
      <c r="AB35" s="32"/>
      <c r="AC35" s="55"/>
      <c r="AD35" s="32"/>
      <c r="AE35" s="54"/>
      <c r="AF35" s="21" t="str">
        <f>IFERROR(VLOOKUP(July[[#This Row],[Drug Name3]],'Data Options'!$R$1:$S$100,2,FALSE), " ")</f>
        <v xml:space="preserve"> </v>
      </c>
      <c r="AG35" s="55"/>
      <c r="AH35" s="32"/>
      <c r="AI35" s="32"/>
      <c r="AJ35" s="55"/>
      <c r="AK35" s="32"/>
      <c r="AL35" s="32"/>
      <c r="AM35" s="32"/>
      <c r="AN35" s="32"/>
      <c r="AO35" s="32"/>
      <c r="AP35" s="31"/>
      <c r="AQ35" s="31"/>
      <c r="AR35" s="54"/>
      <c r="AS35" s="21" t="str">
        <f>IFERROR(VLOOKUP(July[[#This Row],[Drug Name4]],'Data Options'!$R$1:$S$100,2,FALSE), " ")</f>
        <v xml:space="preserve"> </v>
      </c>
      <c r="AT35" s="55"/>
      <c r="AU35" s="32"/>
      <c r="AV35" s="32"/>
      <c r="AW35" s="55"/>
      <c r="AX35" s="32"/>
      <c r="AY35" s="54"/>
      <c r="AZ35" s="21" t="str">
        <f>IFERROR(VLOOKUP(July[[#This Row],[Drug Name5]],'Data Options'!$R$1:$S$100,2,FALSE), " ")</f>
        <v xml:space="preserve"> </v>
      </c>
      <c r="BA35" s="55"/>
      <c r="BB35" s="32"/>
      <c r="BC35" s="32"/>
      <c r="BD35" s="55"/>
      <c r="BE35" s="32"/>
      <c r="BF35" s="54"/>
      <c r="BG35" s="21" t="str">
        <f>IFERROR(VLOOKUP(July[[#This Row],[Drug Name6]],'Data Options'!$R$1:$S$100,2,FALSE), " ")</f>
        <v xml:space="preserve"> </v>
      </c>
      <c r="BH35" s="55"/>
      <c r="BI35" s="32"/>
      <c r="BJ35" s="32"/>
      <c r="BK35" s="55"/>
      <c r="BL35" s="32"/>
      <c r="BM35" s="32"/>
      <c r="BN35" s="32"/>
      <c r="BO35" s="32"/>
      <c r="BP35" s="32"/>
      <c r="BQ35" s="31"/>
      <c r="BR35" s="31"/>
      <c r="BS35" s="54"/>
      <c r="BT35" s="21" t="str">
        <f>IFERROR(VLOOKUP(July[[#This Row],[Drug Name7]],'Data Options'!$R$1:$S$100,2,FALSE), " ")</f>
        <v xml:space="preserve"> </v>
      </c>
      <c r="BU35" s="55"/>
      <c r="BV35" s="32"/>
      <c r="BW35" s="32"/>
      <c r="BX35" s="55"/>
      <c r="BY35" s="32"/>
      <c r="BZ35" s="54"/>
      <c r="CA35" s="21" t="str">
        <f>IFERROR(VLOOKUP(July[[#This Row],[Drug Name8]],'Data Options'!$R$1:$S$100,2,FALSE), " ")</f>
        <v xml:space="preserve"> </v>
      </c>
      <c r="CB35" s="55"/>
      <c r="CC35" s="32"/>
      <c r="CD35" s="32"/>
      <c r="CE35" s="55"/>
      <c r="CF35" s="32"/>
      <c r="CG35" s="54"/>
      <c r="CH35" s="21" t="str">
        <f>IFERROR(VLOOKUP(July[[#This Row],[Drug Name9]],'Data Options'!$R$1:$S$100,2,FALSE), " ")</f>
        <v xml:space="preserve"> </v>
      </c>
      <c r="CI35" s="55"/>
      <c r="CJ35" s="32"/>
      <c r="CK35" s="32"/>
      <c r="CL35" s="55"/>
      <c r="CM35" s="32"/>
    </row>
    <row r="36" spans="1:91">
      <c r="A36" s="5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54"/>
      <c r="R36" s="21" t="str">
        <f>IFERROR(VLOOKUP(July[[#This Row],[Drug Name]],'Data Options'!$R$1:$S$100,2,FALSE), " ")</f>
        <v xml:space="preserve"> </v>
      </c>
      <c r="S36" s="55"/>
      <c r="T36" s="32"/>
      <c r="U36" s="32"/>
      <c r="V36" s="55"/>
      <c r="W36" s="32"/>
      <c r="X36" s="54"/>
      <c r="Y36" s="21" t="str">
        <f>IFERROR(VLOOKUP(July[[#This Row],[Drug Name2]],'Data Options'!$R$1:$S$100,2,FALSE), " ")</f>
        <v xml:space="preserve"> </v>
      </c>
      <c r="Z36" s="55"/>
      <c r="AA36" s="32"/>
      <c r="AB36" s="32"/>
      <c r="AC36" s="55"/>
      <c r="AD36" s="32"/>
      <c r="AE36" s="54"/>
      <c r="AF36" s="21" t="str">
        <f>IFERROR(VLOOKUP(July[[#This Row],[Drug Name3]],'Data Options'!$R$1:$S$100,2,FALSE), " ")</f>
        <v xml:space="preserve"> </v>
      </c>
      <c r="AG36" s="55"/>
      <c r="AH36" s="32"/>
      <c r="AI36" s="32"/>
      <c r="AJ36" s="55"/>
      <c r="AK36" s="32"/>
      <c r="AL36" s="32"/>
      <c r="AM36" s="32"/>
      <c r="AN36" s="32"/>
      <c r="AO36" s="32"/>
      <c r="AP36" s="31"/>
      <c r="AQ36" s="31"/>
      <c r="AR36" s="54"/>
      <c r="AS36" s="21" t="str">
        <f>IFERROR(VLOOKUP(July[[#This Row],[Drug Name4]],'Data Options'!$R$1:$S$100,2,FALSE), " ")</f>
        <v xml:space="preserve"> </v>
      </c>
      <c r="AT36" s="55"/>
      <c r="AU36" s="32"/>
      <c r="AV36" s="32"/>
      <c r="AW36" s="55"/>
      <c r="AX36" s="32"/>
      <c r="AY36" s="54"/>
      <c r="AZ36" s="21" t="str">
        <f>IFERROR(VLOOKUP(July[[#This Row],[Drug Name5]],'Data Options'!$R$1:$S$100,2,FALSE), " ")</f>
        <v xml:space="preserve"> </v>
      </c>
      <c r="BA36" s="55"/>
      <c r="BB36" s="32"/>
      <c r="BC36" s="32"/>
      <c r="BD36" s="55"/>
      <c r="BE36" s="32"/>
      <c r="BF36" s="54"/>
      <c r="BG36" s="21" t="str">
        <f>IFERROR(VLOOKUP(July[[#This Row],[Drug Name6]],'Data Options'!$R$1:$S$100,2,FALSE), " ")</f>
        <v xml:space="preserve"> </v>
      </c>
      <c r="BH36" s="55"/>
      <c r="BI36" s="32"/>
      <c r="BJ36" s="32"/>
      <c r="BK36" s="55"/>
      <c r="BL36" s="32"/>
      <c r="BM36" s="32"/>
      <c r="BN36" s="32"/>
      <c r="BO36" s="32"/>
      <c r="BP36" s="32"/>
      <c r="BQ36" s="31"/>
      <c r="BR36" s="31"/>
      <c r="BS36" s="54"/>
      <c r="BT36" s="21" t="str">
        <f>IFERROR(VLOOKUP(July[[#This Row],[Drug Name7]],'Data Options'!$R$1:$S$100,2,FALSE), " ")</f>
        <v xml:space="preserve"> </v>
      </c>
      <c r="BU36" s="55"/>
      <c r="BV36" s="32"/>
      <c r="BW36" s="32"/>
      <c r="BX36" s="55"/>
      <c r="BY36" s="32"/>
      <c r="BZ36" s="54"/>
      <c r="CA36" s="21" t="str">
        <f>IFERROR(VLOOKUP(July[[#This Row],[Drug Name8]],'Data Options'!$R$1:$S$100,2,FALSE), " ")</f>
        <v xml:space="preserve"> </v>
      </c>
      <c r="CB36" s="55"/>
      <c r="CC36" s="32"/>
      <c r="CD36" s="32"/>
      <c r="CE36" s="55"/>
      <c r="CF36" s="32"/>
      <c r="CG36" s="54"/>
      <c r="CH36" s="21" t="str">
        <f>IFERROR(VLOOKUP(July[[#This Row],[Drug Name9]],'Data Options'!$R$1:$S$100,2,FALSE), " ")</f>
        <v xml:space="preserve"> </v>
      </c>
      <c r="CI36" s="55"/>
      <c r="CJ36" s="32"/>
      <c r="CK36" s="32"/>
      <c r="CL36" s="55"/>
      <c r="CM36" s="32"/>
    </row>
    <row r="37" spans="1:9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54"/>
      <c r="R37" s="21" t="str">
        <f>IFERROR(VLOOKUP(July[[#This Row],[Drug Name]],'Data Options'!$R$1:$S$100,2,FALSE), " ")</f>
        <v xml:space="preserve"> </v>
      </c>
      <c r="S37" s="55"/>
      <c r="T37" s="32"/>
      <c r="U37" s="32"/>
      <c r="V37" s="55"/>
      <c r="W37" s="32"/>
      <c r="X37" s="54"/>
      <c r="Y37" s="21" t="str">
        <f>IFERROR(VLOOKUP(July[[#This Row],[Drug Name2]],'Data Options'!$R$1:$S$100,2,FALSE), " ")</f>
        <v xml:space="preserve"> </v>
      </c>
      <c r="Z37" s="55"/>
      <c r="AA37" s="32"/>
      <c r="AB37" s="32"/>
      <c r="AC37" s="55"/>
      <c r="AD37" s="32"/>
      <c r="AE37" s="54"/>
      <c r="AF37" s="21" t="str">
        <f>IFERROR(VLOOKUP(July[[#This Row],[Drug Name3]],'Data Options'!$R$1:$S$100,2,FALSE), " ")</f>
        <v xml:space="preserve"> </v>
      </c>
      <c r="AG37" s="55"/>
      <c r="AH37" s="32"/>
      <c r="AI37" s="32"/>
      <c r="AJ37" s="55"/>
      <c r="AK37" s="32"/>
      <c r="AL37" s="32"/>
      <c r="AM37" s="32"/>
      <c r="AN37" s="32"/>
      <c r="AO37" s="32"/>
      <c r="AP37" s="31"/>
      <c r="AQ37" s="31"/>
      <c r="AR37" s="54"/>
      <c r="AS37" s="21" t="str">
        <f>IFERROR(VLOOKUP(July[[#This Row],[Drug Name4]],'Data Options'!$R$1:$S$100,2,FALSE), " ")</f>
        <v xml:space="preserve"> </v>
      </c>
      <c r="AT37" s="55"/>
      <c r="AU37" s="32"/>
      <c r="AV37" s="32"/>
      <c r="AW37" s="55"/>
      <c r="AX37" s="32"/>
      <c r="AY37" s="54"/>
      <c r="AZ37" s="21" t="str">
        <f>IFERROR(VLOOKUP(July[[#This Row],[Drug Name5]],'Data Options'!$R$1:$S$100,2,FALSE), " ")</f>
        <v xml:space="preserve"> </v>
      </c>
      <c r="BA37" s="55"/>
      <c r="BB37" s="32"/>
      <c r="BC37" s="32"/>
      <c r="BD37" s="55"/>
      <c r="BE37" s="32"/>
      <c r="BF37" s="54"/>
      <c r="BG37" s="21" t="str">
        <f>IFERROR(VLOOKUP(July[[#This Row],[Drug Name6]],'Data Options'!$R$1:$S$100,2,FALSE), " ")</f>
        <v xml:space="preserve"> </v>
      </c>
      <c r="BH37" s="55"/>
      <c r="BI37" s="32"/>
      <c r="BJ37" s="32"/>
      <c r="BK37" s="55"/>
      <c r="BL37" s="32"/>
      <c r="BM37" s="32"/>
      <c r="BN37" s="32"/>
      <c r="BO37" s="32"/>
      <c r="BP37" s="32"/>
      <c r="BQ37" s="31"/>
      <c r="BR37" s="31"/>
      <c r="BS37" s="54"/>
      <c r="BT37" s="21" t="str">
        <f>IFERROR(VLOOKUP(July[[#This Row],[Drug Name7]],'Data Options'!$R$1:$S$100,2,FALSE), " ")</f>
        <v xml:space="preserve"> </v>
      </c>
      <c r="BU37" s="55"/>
      <c r="BV37" s="32"/>
      <c r="BW37" s="32"/>
      <c r="BX37" s="55"/>
      <c r="BY37" s="32"/>
      <c r="BZ37" s="54"/>
      <c r="CA37" s="21" t="str">
        <f>IFERROR(VLOOKUP(July[[#This Row],[Drug Name8]],'Data Options'!$R$1:$S$100,2,FALSE), " ")</f>
        <v xml:space="preserve"> </v>
      </c>
      <c r="CB37" s="55"/>
      <c r="CC37" s="32"/>
      <c r="CD37" s="32"/>
      <c r="CE37" s="55"/>
      <c r="CF37" s="32"/>
      <c r="CG37" s="54"/>
      <c r="CH37" s="21" t="str">
        <f>IFERROR(VLOOKUP(July[[#This Row],[Drug Name9]],'Data Options'!$R$1:$S$100,2,FALSE), " ")</f>
        <v xml:space="preserve"> </v>
      </c>
      <c r="CI37" s="55"/>
      <c r="CJ37" s="32"/>
      <c r="CK37" s="32"/>
      <c r="CL37" s="55"/>
      <c r="CM37" s="32"/>
    </row>
    <row r="38" spans="1:9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54"/>
      <c r="R38" s="21" t="str">
        <f>IFERROR(VLOOKUP(July[[#This Row],[Drug Name]],'Data Options'!$R$1:$S$100,2,FALSE), " ")</f>
        <v xml:space="preserve"> </v>
      </c>
      <c r="S38" s="55"/>
      <c r="T38" s="32"/>
      <c r="U38" s="32"/>
      <c r="V38" s="55"/>
      <c r="W38" s="32"/>
      <c r="X38" s="54"/>
      <c r="Y38" s="21" t="str">
        <f>IFERROR(VLOOKUP(July[[#This Row],[Drug Name2]],'Data Options'!$R$1:$S$100,2,FALSE), " ")</f>
        <v xml:space="preserve"> </v>
      </c>
      <c r="Z38" s="55"/>
      <c r="AA38" s="32"/>
      <c r="AB38" s="32"/>
      <c r="AC38" s="55"/>
      <c r="AD38" s="32"/>
      <c r="AE38" s="54"/>
      <c r="AF38" s="21" t="str">
        <f>IFERROR(VLOOKUP(July[[#This Row],[Drug Name3]],'Data Options'!$R$1:$S$100,2,FALSE), " ")</f>
        <v xml:space="preserve"> </v>
      </c>
      <c r="AG38" s="55"/>
      <c r="AH38" s="32"/>
      <c r="AI38" s="32"/>
      <c r="AJ38" s="55"/>
      <c r="AK38" s="32"/>
      <c r="AL38" s="32"/>
      <c r="AM38" s="32"/>
      <c r="AN38" s="32"/>
      <c r="AO38" s="32"/>
      <c r="AP38" s="31"/>
      <c r="AQ38" s="31"/>
      <c r="AR38" s="54"/>
      <c r="AS38" s="21" t="str">
        <f>IFERROR(VLOOKUP(July[[#This Row],[Drug Name4]],'Data Options'!$R$1:$S$100,2,FALSE), " ")</f>
        <v xml:space="preserve"> </v>
      </c>
      <c r="AT38" s="55"/>
      <c r="AU38" s="32"/>
      <c r="AV38" s="32"/>
      <c r="AW38" s="55"/>
      <c r="AX38" s="32"/>
      <c r="AY38" s="54"/>
      <c r="AZ38" s="21" t="str">
        <f>IFERROR(VLOOKUP(July[[#This Row],[Drug Name5]],'Data Options'!$R$1:$S$100,2,FALSE), " ")</f>
        <v xml:space="preserve"> </v>
      </c>
      <c r="BA38" s="55"/>
      <c r="BB38" s="32"/>
      <c r="BC38" s="32"/>
      <c r="BD38" s="55"/>
      <c r="BE38" s="32"/>
      <c r="BF38" s="54"/>
      <c r="BG38" s="21" t="str">
        <f>IFERROR(VLOOKUP(July[[#This Row],[Drug Name6]],'Data Options'!$R$1:$S$100,2,FALSE), " ")</f>
        <v xml:space="preserve"> </v>
      </c>
      <c r="BH38" s="55"/>
      <c r="BI38" s="32"/>
      <c r="BJ38" s="32"/>
      <c r="BK38" s="55"/>
      <c r="BL38" s="32"/>
      <c r="BM38" s="32"/>
      <c r="BN38" s="32"/>
      <c r="BO38" s="32"/>
      <c r="BP38" s="32"/>
      <c r="BQ38" s="31"/>
      <c r="BR38" s="31"/>
      <c r="BS38" s="54"/>
      <c r="BT38" s="21" t="str">
        <f>IFERROR(VLOOKUP(July[[#This Row],[Drug Name7]],'Data Options'!$R$1:$S$100,2,FALSE), " ")</f>
        <v xml:space="preserve"> </v>
      </c>
      <c r="BU38" s="55"/>
      <c r="BV38" s="32"/>
      <c r="BW38" s="32"/>
      <c r="BX38" s="55"/>
      <c r="BY38" s="32"/>
      <c r="BZ38" s="54"/>
      <c r="CA38" s="21" t="str">
        <f>IFERROR(VLOOKUP(July[[#This Row],[Drug Name8]],'Data Options'!$R$1:$S$100,2,FALSE), " ")</f>
        <v xml:space="preserve"> </v>
      </c>
      <c r="CB38" s="55"/>
      <c r="CC38" s="32"/>
      <c r="CD38" s="32"/>
      <c r="CE38" s="55"/>
      <c r="CF38" s="32"/>
      <c r="CG38" s="54"/>
      <c r="CH38" s="21" t="str">
        <f>IFERROR(VLOOKUP(July[[#This Row],[Drug Name9]],'Data Options'!$R$1:$S$100,2,FALSE), " ")</f>
        <v xml:space="preserve"> </v>
      </c>
      <c r="CI38" s="55"/>
      <c r="CJ38" s="32"/>
      <c r="CK38" s="32"/>
      <c r="CL38" s="55"/>
      <c r="CM38" s="32"/>
    </row>
    <row r="39" spans="1:9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54"/>
      <c r="R39" s="21" t="str">
        <f>IFERROR(VLOOKUP(July[[#This Row],[Drug Name]],'Data Options'!$R$1:$S$100,2,FALSE), " ")</f>
        <v xml:space="preserve"> </v>
      </c>
      <c r="S39" s="55"/>
      <c r="T39" s="32"/>
      <c r="U39" s="32"/>
      <c r="V39" s="55"/>
      <c r="W39" s="32"/>
      <c r="X39" s="54"/>
      <c r="Y39" s="21" t="str">
        <f>IFERROR(VLOOKUP(July[[#This Row],[Drug Name2]],'Data Options'!$R$1:$S$100,2,FALSE), " ")</f>
        <v xml:space="preserve"> </v>
      </c>
      <c r="Z39" s="55"/>
      <c r="AA39" s="32"/>
      <c r="AB39" s="32"/>
      <c r="AC39" s="55"/>
      <c r="AD39" s="32"/>
      <c r="AE39" s="54"/>
      <c r="AF39" s="21" t="str">
        <f>IFERROR(VLOOKUP(July[[#This Row],[Drug Name3]],'Data Options'!$R$1:$S$100,2,FALSE), " ")</f>
        <v xml:space="preserve"> </v>
      </c>
      <c r="AG39" s="55"/>
      <c r="AH39" s="32"/>
      <c r="AI39" s="32"/>
      <c r="AJ39" s="55"/>
      <c r="AK39" s="32"/>
      <c r="AL39" s="32"/>
      <c r="AM39" s="32"/>
      <c r="AN39" s="32"/>
      <c r="AO39" s="32"/>
      <c r="AP39" s="31"/>
      <c r="AQ39" s="31"/>
      <c r="AR39" s="54"/>
      <c r="AS39" s="21" t="str">
        <f>IFERROR(VLOOKUP(July[[#This Row],[Drug Name4]],'Data Options'!$R$1:$S$100,2,FALSE), " ")</f>
        <v xml:space="preserve"> </v>
      </c>
      <c r="AT39" s="55"/>
      <c r="AU39" s="32"/>
      <c r="AV39" s="32"/>
      <c r="AW39" s="55"/>
      <c r="AX39" s="32"/>
      <c r="AY39" s="54"/>
      <c r="AZ39" s="21" t="str">
        <f>IFERROR(VLOOKUP(July[[#This Row],[Drug Name5]],'Data Options'!$R$1:$S$100,2,FALSE), " ")</f>
        <v xml:space="preserve"> </v>
      </c>
      <c r="BA39" s="55"/>
      <c r="BB39" s="32"/>
      <c r="BC39" s="32"/>
      <c r="BD39" s="55"/>
      <c r="BE39" s="32"/>
      <c r="BF39" s="54"/>
      <c r="BG39" s="21" t="str">
        <f>IFERROR(VLOOKUP(July[[#This Row],[Drug Name6]],'Data Options'!$R$1:$S$100,2,FALSE), " ")</f>
        <v xml:space="preserve"> </v>
      </c>
      <c r="BH39" s="55"/>
      <c r="BI39" s="32"/>
      <c r="BJ39" s="32"/>
      <c r="BK39" s="55"/>
      <c r="BL39" s="32"/>
      <c r="BM39" s="32"/>
      <c r="BN39" s="32"/>
      <c r="BO39" s="32"/>
      <c r="BP39" s="32"/>
      <c r="BQ39" s="31"/>
      <c r="BR39" s="31"/>
      <c r="BS39" s="54"/>
      <c r="BT39" s="21" t="str">
        <f>IFERROR(VLOOKUP(July[[#This Row],[Drug Name7]],'Data Options'!$R$1:$S$100,2,FALSE), " ")</f>
        <v xml:space="preserve"> </v>
      </c>
      <c r="BU39" s="55"/>
      <c r="BV39" s="32"/>
      <c r="BW39" s="32"/>
      <c r="BX39" s="55"/>
      <c r="BY39" s="32"/>
      <c r="BZ39" s="54"/>
      <c r="CA39" s="21" t="str">
        <f>IFERROR(VLOOKUP(July[[#This Row],[Drug Name8]],'Data Options'!$R$1:$S$100,2,FALSE), " ")</f>
        <v xml:space="preserve"> </v>
      </c>
      <c r="CB39" s="55"/>
      <c r="CC39" s="32"/>
      <c r="CD39" s="32"/>
      <c r="CE39" s="55"/>
      <c r="CF39" s="32"/>
      <c r="CG39" s="54"/>
      <c r="CH39" s="21" t="str">
        <f>IFERROR(VLOOKUP(July[[#This Row],[Drug Name9]],'Data Options'!$R$1:$S$100,2,FALSE), " ")</f>
        <v xml:space="preserve"> </v>
      </c>
      <c r="CI39" s="55"/>
      <c r="CJ39" s="32"/>
      <c r="CK39" s="32"/>
      <c r="CL39" s="55"/>
      <c r="CM39" s="32"/>
    </row>
    <row r="40" spans="1:91">
      <c r="A40" s="5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54"/>
      <c r="R40" s="21" t="str">
        <f>IFERROR(VLOOKUP(July[[#This Row],[Drug Name]],'Data Options'!$R$1:$S$100,2,FALSE), " ")</f>
        <v xml:space="preserve"> </v>
      </c>
      <c r="S40" s="55"/>
      <c r="T40" s="32"/>
      <c r="U40" s="32"/>
      <c r="V40" s="55"/>
      <c r="W40" s="32"/>
      <c r="X40" s="54"/>
      <c r="Y40" s="21" t="str">
        <f>IFERROR(VLOOKUP(July[[#This Row],[Drug Name2]],'Data Options'!$R$1:$S$100,2,FALSE), " ")</f>
        <v xml:space="preserve"> </v>
      </c>
      <c r="Z40" s="55"/>
      <c r="AA40" s="32"/>
      <c r="AB40" s="32"/>
      <c r="AC40" s="55"/>
      <c r="AD40" s="32"/>
      <c r="AE40" s="54"/>
      <c r="AF40" s="21" t="str">
        <f>IFERROR(VLOOKUP(July[[#This Row],[Drug Name3]],'Data Options'!$R$1:$S$100,2,FALSE), " ")</f>
        <v xml:space="preserve"> </v>
      </c>
      <c r="AG40" s="55"/>
      <c r="AH40" s="32"/>
      <c r="AI40" s="32"/>
      <c r="AJ40" s="55"/>
      <c r="AK40" s="32"/>
      <c r="AL40" s="32"/>
      <c r="AM40" s="32"/>
      <c r="AN40" s="32"/>
      <c r="AO40" s="32"/>
      <c r="AP40" s="31"/>
      <c r="AQ40" s="31"/>
      <c r="AR40" s="54"/>
      <c r="AS40" s="21" t="str">
        <f>IFERROR(VLOOKUP(July[[#This Row],[Drug Name4]],'Data Options'!$R$1:$S$100,2,FALSE), " ")</f>
        <v xml:space="preserve"> </v>
      </c>
      <c r="AT40" s="55"/>
      <c r="AU40" s="32"/>
      <c r="AV40" s="32"/>
      <c r="AW40" s="55"/>
      <c r="AX40" s="32"/>
      <c r="AY40" s="54"/>
      <c r="AZ40" s="21" t="str">
        <f>IFERROR(VLOOKUP(July[[#This Row],[Drug Name5]],'Data Options'!$R$1:$S$100,2,FALSE), " ")</f>
        <v xml:space="preserve"> </v>
      </c>
      <c r="BA40" s="55"/>
      <c r="BB40" s="32"/>
      <c r="BC40" s="32"/>
      <c r="BD40" s="55"/>
      <c r="BE40" s="32"/>
      <c r="BF40" s="54"/>
      <c r="BG40" s="21" t="str">
        <f>IFERROR(VLOOKUP(July[[#This Row],[Drug Name6]],'Data Options'!$R$1:$S$100,2,FALSE), " ")</f>
        <v xml:space="preserve"> </v>
      </c>
      <c r="BH40" s="55"/>
      <c r="BI40" s="32"/>
      <c r="BJ40" s="32"/>
      <c r="BK40" s="55"/>
      <c r="BL40" s="32"/>
      <c r="BM40" s="32"/>
      <c r="BN40" s="32"/>
      <c r="BO40" s="32"/>
      <c r="BP40" s="32"/>
      <c r="BQ40" s="31"/>
      <c r="BR40" s="31"/>
      <c r="BS40" s="54"/>
      <c r="BT40" s="21" t="str">
        <f>IFERROR(VLOOKUP(July[[#This Row],[Drug Name7]],'Data Options'!$R$1:$S$100,2,FALSE), " ")</f>
        <v xml:space="preserve"> </v>
      </c>
      <c r="BU40" s="55"/>
      <c r="BV40" s="32"/>
      <c r="BW40" s="32"/>
      <c r="BX40" s="55"/>
      <c r="BY40" s="32"/>
      <c r="BZ40" s="54"/>
      <c r="CA40" s="21" t="str">
        <f>IFERROR(VLOOKUP(July[[#This Row],[Drug Name8]],'Data Options'!$R$1:$S$100,2,FALSE), " ")</f>
        <v xml:space="preserve"> </v>
      </c>
      <c r="CB40" s="55"/>
      <c r="CC40" s="32"/>
      <c r="CD40" s="32"/>
      <c r="CE40" s="55"/>
      <c r="CF40" s="32"/>
      <c r="CG40" s="54"/>
      <c r="CH40" s="21" t="str">
        <f>IFERROR(VLOOKUP(July[[#This Row],[Drug Name9]],'Data Options'!$R$1:$S$100,2,FALSE), " ")</f>
        <v xml:space="preserve"> </v>
      </c>
      <c r="CI40" s="55"/>
      <c r="CJ40" s="32"/>
      <c r="CK40" s="32"/>
      <c r="CL40" s="55"/>
      <c r="CM40" s="32"/>
    </row>
    <row r="41" spans="1:91">
      <c r="A41" s="5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54"/>
      <c r="R41" s="21" t="str">
        <f>IFERROR(VLOOKUP(July[[#This Row],[Drug Name]],'Data Options'!$R$1:$S$100,2,FALSE), " ")</f>
        <v xml:space="preserve"> </v>
      </c>
      <c r="S41" s="55"/>
      <c r="T41" s="32"/>
      <c r="U41" s="32"/>
      <c r="V41" s="55"/>
      <c r="W41" s="32"/>
      <c r="X41" s="54"/>
      <c r="Y41" s="21" t="str">
        <f>IFERROR(VLOOKUP(July[[#This Row],[Drug Name2]],'Data Options'!$R$1:$S$100,2,FALSE), " ")</f>
        <v xml:space="preserve"> </v>
      </c>
      <c r="Z41" s="55"/>
      <c r="AA41" s="32"/>
      <c r="AB41" s="32"/>
      <c r="AC41" s="55"/>
      <c r="AD41" s="32"/>
      <c r="AE41" s="54"/>
      <c r="AF41" s="21" t="str">
        <f>IFERROR(VLOOKUP(July[[#This Row],[Drug Name3]],'Data Options'!$R$1:$S$100,2,FALSE), " ")</f>
        <v xml:space="preserve"> </v>
      </c>
      <c r="AG41" s="55"/>
      <c r="AH41" s="32"/>
      <c r="AI41" s="32"/>
      <c r="AJ41" s="55"/>
      <c r="AK41" s="32"/>
      <c r="AL41" s="32"/>
      <c r="AM41" s="32"/>
      <c r="AN41" s="32"/>
      <c r="AO41" s="32"/>
      <c r="AP41" s="31"/>
      <c r="AQ41" s="31"/>
      <c r="AR41" s="54"/>
      <c r="AS41" s="21" t="str">
        <f>IFERROR(VLOOKUP(July[[#This Row],[Drug Name4]],'Data Options'!$R$1:$S$100,2,FALSE), " ")</f>
        <v xml:space="preserve"> </v>
      </c>
      <c r="AT41" s="55"/>
      <c r="AU41" s="32"/>
      <c r="AV41" s="32"/>
      <c r="AW41" s="55"/>
      <c r="AX41" s="32"/>
      <c r="AY41" s="54"/>
      <c r="AZ41" s="21" t="str">
        <f>IFERROR(VLOOKUP(July[[#This Row],[Drug Name5]],'Data Options'!$R$1:$S$100,2,FALSE), " ")</f>
        <v xml:space="preserve"> </v>
      </c>
      <c r="BA41" s="55"/>
      <c r="BB41" s="32"/>
      <c r="BC41" s="32"/>
      <c r="BD41" s="55"/>
      <c r="BE41" s="32"/>
      <c r="BF41" s="54"/>
      <c r="BG41" s="21" t="str">
        <f>IFERROR(VLOOKUP(July[[#This Row],[Drug Name6]],'Data Options'!$R$1:$S$100,2,FALSE), " ")</f>
        <v xml:space="preserve"> </v>
      </c>
      <c r="BH41" s="55"/>
      <c r="BI41" s="32"/>
      <c r="BJ41" s="32"/>
      <c r="BK41" s="55"/>
      <c r="BL41" s="32"/>
      <c r="BM41" s="32"/>
      <c r="BN41" s="32"/>
      <c r="BO41" s="32"/>
      <c r="BP41" s="32"/>
      <c r="BQ41" s="31"/>
      <c r="BR41" s="31"/>
      <c r="BS41" s="54"/>
      <c r="BT41" s="21" t="str">
        <f>IFERROR(VLOOKUP(July[[#This Row],[Drug Name7]],'Data Options'!$R$1:$S$100,2,FALSE), " ")</f>
        <v xml:space="preserve"> </v>
      </c>
      <c r="BU41" s="55"/>
      <c r="BV41" s="32"/>
      <c r="BW41" s="32"/>
      <c r="BX41" s="55"/>
      <c r="BY41" s="32"/>
      <c r="BZ41" s="54"/>
      <c r="CA41" s="21" t="str">
        <f>IFERROR(VLOOKUP(July[[#This Row],[Drug Name8]],'Data Options'!$R$1:$S$100,2,FALSE), " ")</f>
        <v xml:space="preserve"> </v>
      </c>
      <c r="CB41" s="55"/>
      <c r="CC41" s="32"/>
      <c r="CD41" s="32"/>
      <c r="CE41" s="55"/>
      <c r="CF41" s="32"/>
      <c r="CG41" s="54"/>
      <c r="CH41" s="21" t="str">
        <f>IFERROR(VLOOKUP(July[[#This Row],[Drug Name9]],'Data Options'!$R$1:$S$100,2,FALSE), " ")</f>
        <v xml:space="preserve"> </v>
      </c>
      <c r="CI41" s="55"/>
      <c r="CJ41" s="32"/>
      <c r="CK41" s="32"/>
      <c r="CL41" s="55"/>
      <c r="CM41" s="32"/>
    </row>
    <row r="42" spans="1:91">
      <c r="A42" s="5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54"/>
      <c r="R42" s="21" t="str">
        <f>IFERROR(VLOOKUP(July[[#This Row],[Drug Name]],'Data Options'!$R$1:$S$100,2,FALSE), " ")</f>
        <v xml:space="preserve"> </v>
      </c>
      <c r="S42" s="55"/>
      <c r="T42" s="32"/>
      <c r="U42" s="32"/>
      <c r="V42" s="55"/>
      <c r="W42" s="32"/>
      <c r="X42" s="54"/>
      <c r="Y42" s="21" t="str">
        <f>IFERROR(VLOOKUP(July[[#This Row],[Drug Name2]],'Data Options'!$R$1:$S$100,2,FALSE), " ")</f>
        <v xml:space="preserve"> </v>
      </c>
      <c r="Z42" s="55"/>
      <c r="AA42" s="32"/>
      <c r="AB42" s="32"/>
      <c r="AC42" s="55"/>
      <c r="AD42" s="32"/>
      <c r="AE42" s="54"/>
      <c r="AF42" s="21" t="str">
        <f>IFERROR(VLOOKUP(July[[#This Row],[Drug Name3]],'Data Options'!$R$1:$S$100,2,FALSE), " ")</f>
        <v xml:space="preserve"> </v>
      </c>
      <c r="AG42" s="55"/>
      <c r="AH42" s="32"/>
      <c r="AI42" s="32"/>
      <c r="AJ42" s="55"/>
      <c r="AK42" s="32"/>
      <c r="AL42" s="32"/>
      <c r="AM42" s="32"/>
      <c r="AN42" s="32"/>
      <c r="AO42" s="32"/>
      <c r="AP42" s="31"/>
      <c r="AQ42" s="31"/>
      <c r="AR42" s="54"/>
      <c r="AS42" s="21" t="str">
        <f>IFERROR(VLOOKUP(July[[#This Row],[Drug Name4]],'Data Options'!$R$1:$S$100,2,FALSE), " ")</f>
        <v xml:space="preserve"> </v>
      </c>
      <c r="AT42" s="55"/>
      <c r="AU42" s="32"/>
      <c r="AV42" s="32"/>
      <c r="AW42" s="55"/>
      <c r="AX42" s="32"/>
      <c r="AY42" s="54"/>
      <c r="AZ42" s="21" t="str">
        <f>IFERROR(VLOOKUP(July[[#This Row],[Drug Name5]],'Data Options'!$R$1:$S$100,2,FALSE), " ")</f>
        <v xml:space="preserve"> </v>
      </c>
      <c r="BA42" s="55"/>
      <c r="BB42" s="32"/>
      <c r="BC42" s="32"/>
      <c r="BD42" s="55"/>
      <c r="BE42" s="32"/>
      <c r="BF42" s="54"/>
      <c r="BG42" s="21" t="str">
        <f>IFERROR(VLOOKUP(July[[#This Row],[Drug Name6]],'Data Options'!$R$1:$S$100,2,FALSE), " ")</f>
        <v xml:space="preserve"> </v>
      </c>
      <c r="BH42" s="55"/>
      <c r="BI42" s="32"/>
      <c r="BJ42" s="32"/>
      <c r="BK42" s="55"/>
      <c r="BL42" s="32"/>
      <c r="BM42" s="32"/>
      <c r="BN42" s="32"/>
      <c r="BO42" s="32"/>
      <c r="BP42" s="32"/>
      <c r="BQ42" s="31"/>
      <c r="BR42" s="31"/>
      <c r="BS42" s="54"/>
      <c r="BT42" s="21" t="str">
        <f>IFERROR(VLOOKUP(July[[#This Row],[Drug Name7]],'Data Options'!$R$1:$S$100,2,FALSE), " ")</f>
        <v xml:space="preserve"> </v>
      </c>
      <c r="BU42" s="55"/>
      <c r="BV42" s="32"/>
      <c r="BW42" s="32"/>
      <c r="BX42" s="55"/>
      <c r="BY42" s="32"/>
      <c r="BZ42" s="54"/>
      <c r="CA42" s="21" t="str">
        <f>IFERROR(VLOOKUP(July[[#This Row],[Drug Name8]],'Data Options'!$R$1:$S$100,2,FALSE), " ")</f>
        <v xml:space="preserve"> </v>
      </c>
      <c r="CB42" s="55"/>
      <c r="CC42" s="32"/>
      <c r="CD42" s="32"/>
      <c r="CE42" s="55"/>
      <c r="CF42" s="32"/>
      <c r="CG42" s="54"/>
      <c r="CH42" s="21" t="str">
        <f>IFERROR(VLOOKUP(July[[#This Row],[Drug Name9]],'Data Options'!$R$1:$S$100,2,FALSE), " ")</f>
        <v xml:space="preserve"> </v>
      </c>
      <c r="CI42" s="55"/>
      <c r="CJ42" s="32"/>
      <c r="CK42" s="32"/>
      <c r="CL42" s="55"/>
      <c r="CM42" s="32"/>
    </row>
    <row r="43" spans="1:91">
      <c r="A43" s="5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54"/>
      <c r="R43" s="21" t="str">
        <f>IFERROR(VLOOKUP(July[[#This Row],[Drug Name]],'Data Options'!$R$1:$S$100,2,FALSE), " ")</f>
        <v xml:space="preserve"> </v>
      </c>
      <c r="S43" s="55"/>
      <c r="T43" s="32"/>
      <c r="U43" s="32"/>
      <c r="V43" s="55"/>
      <c r="W43" s="32"/>
      <c r="X43" s="54"/>
      <c r="Y43" s="21" t="str">
        <f>IFERROR(VLOOKUP(July[[#This Row],[Drug Name2]],'Data Options'!$R$1:$S$100,2,FALSE), " ")</f>
        <v xml:space="preserve"> </v>
      </c>
      <c r="Z43" s="55"/>
      <c r="AA43" s="32"/>
      <c r="AB43" s="32"/>
      <c r="AC43" s="55"/>
      <c r="AD43" s="32"/>
      <c r="AE43" s="54"/>
      <c r="AF43" s="21" t="str">
        <f>IFERROR(VLOOKUP(July[[#This Row],[Drug Name3]],'Data Options'!$R$1:$S$100,2,FALSE), " ")</f>
        <v xml:space="preserve"> </v>
      </c>
      <c r="AG43" s="55"/>
      <c r="AH43" s="32"/>
      <c r="AI43" s="32"/>
      <c r="AJ43" s="55"/>
      <c r="AK43" s="32"/>
      <c r="AL43" s="32"/>
      <c r="AM43" s="32"/>
      <c r="AN43" s="32"/>
      <c r="AO43" s="32"/>
      <c r="AP43" s="31"/>
      <c r="AQ43" s="31"/>
      <c r="AR43" s="54"/>
      <c r="AS43" s="21" t="str">
        <f>IFERROR(VLOOKUP(July[[#This Row],[Drug Name4]],'Data Options'!$R$1:$S$100,2,FALSE), " ")</f>
        <v xml:space="preserve"> </v>
      </c>
      <c r="AT43" s="55"/>
      <c r="AU43" s="32"/>
      <c r="AV43" s="32"/>
      <c r="AW43" s="55"/>
      <c r="AX43" s="32"/>
      <c r="AY43" s="54"/>
      <c r="AZ43" s="21" t="str">
        <f>IFERROR(VLOOKUP(July[[#This Row],[Drug Name5]],'Data Options'!$R$1:$S$100,2,FALSE), " ")</f>
        <v xml:space="preserve"> </v>
      </c>
      <c r="BA43" s="55"/>
      <c r="BB43" s="32"/>
      <c r="BC43" s="32"/>
      <c r="BD43" s="55"/>
      <c r="BE43" s="32"/>
      <c r="BF43" s="54"/>
      <c r="BG43" s="21" t="str">
        <f>IFERROR(VLOOKUP(July[[#This Row],[Drug Name6]],'Data Options'!$R$1:$S$100,2,FALSE), " ")</f>
        <v xml:space="preserve"> </v>
      </c>
      <c r="BH43" s="55"/>
      <c r="BI43" s="32"/>
      <c r="BJ43" s="32"/>
      <c r="BK43" s="55"/>
      <c r="BL43" s="32"/>
      <c r="BM43" s="32"/>
      <c r="BN43" s="32"/>
      <c r="BO43" s="32"/>
      <c r="BP43" s="32"/>
      <c r="BQ43" s="31"/>
      <c r="BR43" s="31"/>
      <c r="BS43" s="54"/>
      <c r="BT43" s="21" t="str">
        <f>IFERROR(VLOOKUP(July[[#This Row],[Drug Name7]],'Data Options'!$R$1:$S$100,2,FALSE), " ")</f>
        <v xml:space="preserve"> </v>
      </c>
      <c r="BU43" s="55"/>
      <c r="BV43" s="32"/>
      <c r="BW43" s="32"/>
      <c r="BX43" s="55"/>
      <c r="BY43" s="32"/>
      <c r="BZ43" s="54"/>
      <c r="CA43" s="21" t="str">
        <f>IFERROR(VLOOKUP(July[[#This Row],[Drug Name8]],'Data Options'!$R$1:$S$100,2,FALSE), " ")</f>
        <v xml:space="preserve"> </v>
      </c>
      <c r="CB43" s="55"/>
      <c r="CC43" s="32"/>
      <c r="CD43" s="32"/>
      <c r="CE43" s="55"/>
      <c r="CF43" s="32"/>
      <c r="CG43" s="54"/>
      <c r="CH43" s="21" t="str">
        <f>IFERROR(VLOOKUP(July[[#This Row],[Drug Name9]],'Data Options'!$R$1:$S$100,2,FALSE), " ")</f>
        <v xml:space="preserve"> </v>
      </c>
      <c r="CI43" s="55"/>
      <c r="CJ43" s="32"/>
      <c r="CK43" s="32"/>
      <c r="CL43" s="55"/>
      <c r="CM43" s="32"/>
    </row>
    <row r="44" spans="1:9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54"/>
      <c r="R44" s="21" t="str">
        <f>IFERROR(VLOOKUP(July[[#This Row],[Drug Name]],'Data Options'!$R$1:$S$100,2,FALSE), " ")</f>
        <v xml:space="preserve"> </v>
      </c>
      <c r="S44" s="55"/>
      <c r="T44" s="32"/>
      <c r="U44" s="32"/>
      <c r="V44" s="55"/>
      <c r="W44" s="32"/>
      <c r="X44" s="54"/>
      <c r="Y44" s="21" t="str">
        <f>IFERROR(VLOOKUP(July[[#This Row],[Drug Name2]],'Data Options'!$R$1:$S$100,2,FALSE), " ")</f>
        <v xml:space="preserve"> </v>
      </c>
      <c r="Z44" s="55"/>
      <c r="AA44" s="32"/>
      <c r="AB44" s="32"/>
      <c r="AC44" s="55"/>
      <c r="AD44" s="32"/>
      <c r="AE44" s="54"/>
      <c r="AF44" s="21" t="str">
        <f>IFERROR(VLOOKUP(July[[#This Row],[Drug Name3]],'Data Options'!$R$1:$S$100,2,FALSE), " ")</f>
        <v xml:space="preserve"> </v>
      </c>
      <c r="AG44" s="55"/>
      <c r="AH44" s="32"/>
      <c r="AI44" s="32"/>
      <c r="AJ44" s="55"/>
      <c r="AK44" s="32"/>
      <c r="AL44" s="32"/>
      <c r="AM44" s="32"/>
      <c r="AN44" s="32"/>
      <c r="AO44" s="32"/>
      <c r="AP44" s="31"/>
      <c r="AQ44" s="31"/>
      <c r="AR44" s="54"/>
      <c r="AS44" s="21" t="str">
        <f>IFERROR(VLOOKUP(July[[#This Row],[Drug Name4]],'Data Options'!$R$1:$S$100,2,FALSE), " ")</f>
        <v xml:space="preserve"> </v>
      </c>
      <c r="AT44" s="55"/>
      <c r="AU44" s="32"/>
      <c r="AV44" s="32"/>
      <c r="AW44" s="55"/>
      <c r="AX44" s="32"/>
      <c r="AY44" s="54"/>
      <c r="AZ44" s="21" t="str">
        <f>IFERROR(VLOOKUP(July[[#This Row],[Drug Name5]],'Data Options'!$R$1:$S$100,2,FALSE), " ")</f>
        <v xml:space="preserve"> </v>
      </c>
      <c r="BA44" s="55"/>
      <c r="BB44" s="32"/>
      <c r="BC44" s="32"/>
      <c r="BD44" s="55"/>
      <c r="BE44" s="32"/>
      <c r="BF44" s="54"/>
      <c r="BG44" s="21" t="str">
        <f>IFERROR(VLOOKUP(July[[#This Row],[Drug Name6]],'Data Options'!$R$1:$S$100,2,FALSE), " ")</f>
        <v xml:space="preserve"> </v>
      </c>
      <c r="BH44" s="55"/>
      <c r="BI44" s="32"/>
      <c r="BJ44" s="32"/>
      <c r="BK44" s="55"/>
      <c r="BL44" s="32"/>
      <c r="BM44" s="32"/>
      <c r="BN44" s="32"/>
      <c r="BO44" s="32"/>
      <c r="BP44" s="32"/>
      <c r="BQ44" s="31"/>
      <c r="BR44" s="31"/>
      <c r="BS44" s="54"/>
      <c r="BT44" s="21" t="str">
        <f>IFERROR(VLOOKUP(July[[#This Row],[Drug Name7]],'Data Options'!$R$1:$S$100,2,FALSE), " ")</f>
        <v xml:space="preserve"> </v>
      </c>
      <c r="BU44" s="55"/>
      <c r="BV44" s="32"/>
      <c r="BW44" s="32"/>
      <c r="BX44" s="55"/>
      <c r="BY44" s="32"/>
      <c r="BZ44" s="54"/>
      <c r="CA44" s="21" t="str">
        <f>IFERROR(VLOOKUP(July[[#This Row],[Drug Name8]],'Data Options'!$R$1:$S$100,2,FALSE), " ")</f>
        <v xml:space="preserve"> </v>
      </c>
      <c r="CB44" s="55"/>
      <c r="CC44" s="32"/>
      <c r="CD44" s="32"/>
      <c r="CE44" s="55"/>
      <c r="CF44" s="32"/>
      <c r="CG44" s="54"/>
      <c r="CH44" s="21" t="str">
        <f>IFERROR(VLOOKUP(July[[#This Row],[Drug Name9]],'Data Options'!$R$1:$S$100,2,FALSE), " ")</f>
        <v xml:space="preserve"> </v>
      </c>
      <c r="CI44" s="55"/>
      <c r="CJ44" s="32"/>
      <c r="CK44" s="32"/>
      <c r="CL44" s="55"/>
      <c r="CM44" s="32"/>
    </row>
    <row r="45" spans="1:91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54"/>
      <c r="R45" s="21" t="str">
        <f>IFERROR(VLOOKUP(July[[#This Row],[Drug Name]],'Data Options'!$R$1:$S$100,2,FALSE), " ")</f>
        <v xml:space="preserve"> </v>
      </c>
      <c r="S45" s="55"/>
      <c r="T45" s="32"/>
      <c r="U45" s="32"/>
      <c r="V45" s="55"/>
      <c r="W45" s="32"/>
      <c r="X45" s="54"/>
      <c r="Y45" s="21" t="str">
        <f>IFERROR(VLOOKUP(July[[#This Row],[Drug Name2]],'Data Options'!$R$1:$S$100,2,FALSE), " ")</f>
        <v xml:space="preserve"> </v>
      </c>
      <c r="Z45" s="55"/>
      <c r="AA45" s="32"/>
      <c r="AB45" s="32"/>
      <c r="AC45" s="55"/>
      <c r="AD45" s="32"/>
      <c r="AE45" s="54"/>
      <c r="AF45" s="21" t="str">
        <f>IFERROR(VLOOKUP(July[[#This Row],[Drug Name3]],'Data Options'!$R$1:$S$100,2,FALSE), " ")</f>
        <v xml:space="preserve"> </v>
      </c>
      <c r="AG45" s="55"/>
      <c r="AH45" s="32"/>
      <c r="AI45" s="32"/>
      <c r="AJ45" s="55"/>
      <c r="AK45" s="32"/>
      <c r="AL45" s="32"/>
      <c r="AM45" s="32"/>
      <c r="AN45" s="32"/>
      <c r="AO45" s="32"/>
      <c r="AP45" s="31"/>
      <c r="AQ45" s="31"/>
      <c r="AR45" s="54"/>
      <c r="AS45" s="21" t="str">
        <f>IFERROR(VLOOKUP(July[[#This Row],[Drug Name4]],'Data Options'!$R$1:$S$100,2,FALSE), " ")</f>
        <v xml:space="preserve"> </v>
      </c>
      <c r="AT45" s="55"/>
      <c r="AU45" s="32"/>
      <c r="AV45" s="32"/>
      <c r="AW45" s="55"/>
      <c r="AX45" s="32"/>
      <c r="AY45" s="54"/>
      <c r="AZ45" s="21" t="str">
        <f>IFERROR(VLOOKUP(July[[#This Row],[Drug Name5]],'Data Options'!$R$1:$S$100,2,FALSE), " ")</f>
        <v xml:space="preserve"> </v>
      </c>
      <c r="BA45" s="55"/>
      <c r="BB45" s="32"/>
      <c r="BC45" s="32"/>
      <c r="BD45" s="55"/>
      <c r="BE45" s="32"/>
      <c r="BF45" s="54"/>
      <c r="BG45" s="21" t="str">
        <f>IFERROR(VLOOKUP(July[[#This Row],[Drug Name6]],'Data Options'!$R$1:$S$100,2,FALSE), " ")</f>
        <v xml:space="preserve"> </v>
      </c>
      <c r="BH45" s="55"/>
      <c r="BI45" s="32"/>
      <c r="BJ45" s="32"/>
      <c r="BK45" s="55"/>
      <c r="BL45" s="32"/>
      <c r="BM45" s="32"/>
      <c r="BN45" s="32"/>
      <c r="BO45" s="32"/>
      <c r="BP45" s="32"/>
      <c r="BQ45" s="31"/>
      <c r="BR45" s="31"/>
      <c r="BS45" s="54"/>
      <c r="BT45" s="21" t="str">
        <f>IFERROR(VLOOKUP(July[[#This Row],[Drug Name7]],'Data Options'!$R$1:$S$100,2,FALSE), " ")</f>
        <v xml:space="preserve"> </v>
      </c>
      <c r="BU45" s="55"/>
      <c r="BV45" s="32"/>
      <c r="BW45" s="32"/>
      <c r="BX45" s="55"/>
      <c r="BY45" s="32"/>
      <c r="BZ45" s="54"/>
      <c r="CA45" s="21" t="str">
        <f>IFERROR(VLOOKUP(July[[#This Row],[Drug Name8]],'Data Options'!$R$1:$S$100,2,FALSE), " ")</f>
        <v xml:space="preserve"> </v>
      </c>
      <c r="CB45" s="55"/>
      <c r="CC45" s="32"/>
      <c r="CD45" s="32"/>
      <c r="CE45" s="55"/>
      <c r="CF45" s="32"/>
      <c r="CG45" s="54"/>
      <c r="CH45" s="21" t="str">
        <f>IFERROR(VLOOKUP(July[[#This Row],[Drug Name9]],'Data Options'!$R$1:$S$100,2,FALSE), " ")</f>
        <v xml:space="preserve"> </v>
      </c>
      <c r="CI45" s="55"/>
      <c r="CJ45" s="32"/>
      <c r="CK45" s="32"/>
      <c r="CL45" s="55"/>
      <c r="CM45" s="32"/>
    </row>
    <row r="46" spans="1:91">
      <c r="A46" s="5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54"/>
      <c r="R46" s="21" t="str">
        <f>IFERROR(VLOOKUP(July[[#This Row],[Drug Name]],'Data Options'!$R$1:$S$100,2,FALSE), " ")</f>
        <v xml:space="preserve"> </v>
      </c>
      <c r="S46" s="55"/>
      <c r="T46" s="32"/>
      <c r="U46" s="32"/>
      <c r="V46" s="55"/>
      <c r="W46" s="32"/>
      <c r="X46" s="54"/>
      <c r="Y46" s="21" t="str">
        <f>IFERROR(VLOOKUP(July[[#This Row],[Drug Name2]],'Data Options'!$R$1:$S$100,2,FALSE), " ")</f>
        <v xml:space="preserve"> </v>
      </c>
      <c r="Z46" s="55"/>
      <c r="AA46" s="32"/>
      <c r="AB46" s="32"/>
      <c r="AC46" s="55"/>
      <c r="AD46" s="32"/>
      <c r="AE46" s="54"/>
      <c r="AF46" s="21" t="str">
        <f>IFERROR(VLOOKUP(July[[#This Row],[Drug Name3]],'Data Options'!$R$1:$S$100,2,FALSE), " ")</f>
        <v xml:space="preserve"> </v>
      </c>
      <c r="AG46" s="55"/>
      <c r="AH46" s="32"/>
      <c r="AI46" s="32"/>
      <c r="AJ46" s="55"/>
      <c r="AK46" s="32"/>
      <c r="AL46" s="32"/>
      <c r="AM46" s="32"/>
      <c r="AN46" s="32"/>
      <c r="AO46" s="32"/>
      <c r="AP46" s="31"/>
      <c r="AQ46" s="31"/>
      <c r="AR46" s="54"/>
      <c r="AS46" s="21" t="str">
        <f>IFERROR(VLOOKUP(July[[#This Row],[Drug Name4]],'Data Options'!$R$1:$S$100,2,FALSE), " ")</f>
        <v xml:space="preserve"> </v>
      </c>
      <c r="AT46" s="55"/>
      <c r="AU46" s="32"/>
      <c r="AV46" s="32"/>
      <c r="AW46" s="55"/>
      <c r="AX46" s="32"/>
      <c r="AY46" s="54"/>
      <c r="AZ46" s="21" t="str">
        <f>IFERROR(VLOOKUP(July[[#This Row],[Drug Name5]],'Data Options'!$R$1:$S$100,2,FALSE), " ")</f>
        <v xml:space="preserve"> </v>
      </c>
      <c r="BA46" s="55"/>
      <c r="BB46" s="32"/>
      <c r="BC46" s="32"/>
      <c r="BD46" s="55"/>
      <c r="BE46" s="32"/>
      <c r="BF46" s="54"/>
      <c r="BG46" s="21" t="str">
        <f>IFERROR(VLOOKUP(July[[#This Row],[Drug Name6]],'Data Options'!$R$1:$S$100,2,FALSE), " ")</f>
        <v xml:space="preserve"> </v>
      </c>
      <c r="BH46" s="55"/>
      <c r="BI46" s="32"/>
      <c r="BJ46" s="32"/>
      <c r="BK46" s="55"/>
      <c r="BL46" s="32"/>
      <c r="BM46" s="32"/>
      <c r="BN46" s="32"/>
      <c r="BO46" s="32"/>
      <c r="BP46" s="32"/>
      <c r="BQ46" s="31"/>
      <c r="BR46" s="31"/>
      <c r="BS46" s="54"/>
      <c r="BT46" s="21" t="str">
        <f>IFERROR(VLOOKUP(July[[#This Row],[Drug Name7]],'Data Options'!$R$1:$S$100,2,FALSE), " ")</f>
        <v xml:space="preserve"> </v>
      </c>
      <c r="BU46" s="55"/>
      <c r="BV46" s="32"/>
      <c r="BW46" s="32"/>
      <c r="BX46" s="55"/>
      <c r="BY46" s="32"/>
      <c r="BZ46" s="54"/>
      <c r="CA46" s="21" t="str">
        <f>IFERROR(VLOOKUP(July[[#This Row],[Drug Name8]],'Data Options'!$R$1:$S$100,2,FALSE), " ")</f>
        <v xml:space="preserve"> </v>
      </c>
      <c r="CB46" s="55"/>
      <c r="CC46" s="32"/>
      <c r="CD46" s="32"/>
      <c r="CE46" s="55"/>
      <c r="CF46" s="32"/>
      <c r="CG46" s="54"/>
      <c r="CH46" s="21" t="str">
        <f>IFERROR(VLOOKUP(July[[#This Row],[Drug Name9]],'Data Options'!$R$1:$S$100,2,FALSE), " ")</f>
        <v xml:space="preserve"> </v>
      </c>
      <c r="CI46" s="55"/>
      <c r="CJ46" s="32"/>
      <c r="CK46" s="32"/>
      <c r="CL46" s="55"/>
      <c r="CM46" s="32"/>
    </row>
    <row r="47" spans="1:9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54"/>
      <c r="R47" s="21" t="str">
        <f>IFERROR(VLOOKUP(July[[#This Row],[Drug Name]],'Data Options'!$R$1:$S$100,2,FALSE), " ")</f>
        <v xml:space="preserve"> </v>
      </c>
      <c r="S47" s="55"/>
      <c r="T47" s="32"/>
      <c r="U47" s="32"/>
      <c r="V47" s="55"/>
      <c r="W47" s="32"/>
      <c r="X47" s="54"/>
      <c r="Y47" s="21" t="str">
        <f>IFERROR(VLOOKUP(July[[#This Row],[Drug Name2]],'Data Options'!$R$1:$S$100,2,FALSE), " ")</f>
        <v xml:space="preserve"> </v>
      </c>
      <c r="Z47" s="55"/>
      <c r="AA47" s="32"/>
      <c r="AB47" s="32"/>
      <c r="AC47" s="55"/>
      <c r="AD47" s="32"/>
      <c r="AE47" s="54"/>
      <c r="AF47" s="21" t="str">
        <f>IFERROR(VLOOKUP(July[[#This Row],[Drug Name3]],'Data Options'!$R$1:$S$100,2,FALSE), " ")</f>
        <v xml:space="preserve"> </v>
      </c>
      <c r="AG47" s="55"/>
      <c r="AH47" s="32"/>
      <c r="AI47" s="32"/>
      <c r="AJ47" s="55"/>
      <c r="AK47" s="32"/>
      <c r="AL47" s="32"/>
      <c r="AM47" s="32"/>
      <c r="AN47" s="32"/>
      <c r="AO47" s="32"/>
      <c r="AP47" s="31"/>
      <c r="AQ47" s="31"/>
      <c r="AR47" s="54"/>
      <c r="AS47" s="21" t="str">
        <f>IFERROR(VLOOKUP(July[[#This Row],[Drug Name4]],'Data Options'!$R$1:$S$100,2,FALSE), " ")</f>
        <v xml:space="preserve"> </v>
      </c>
      <c r="AT47" s="55"/>
      <c r="AU47" s="32"/>
      <c r="AV47" s="32"/>
      <c r="AW47" s="55"/>
      <c r="AX47" s="32"/>
      <c r="AY47" s="54"/>
      <c r="AZ47" s="21" t="str">
        <f>IFERROR(VLOOKUP(July[[#This Row],[Drug Name5]],'Data Options'!$R$1:$S$100,2,FALSE), " ")</f>
        <v xml:space="preserve"> </v>
      </c>
      <c r="BA47" s="55"/>
      <c r="BB47" s="32"/>
      <c r="BC47" s="32"/>
      <c r="BD47" s="55"/>
      <c r="BE47" s="32"/>
      <c r="BF47" s="54"/>
      <c r="BG47" s="21" t="str">
        <f>IFERROR(VLOOKUP(July[[#This Row],[Drug Name6]],'Data Options'!$R$1:$S$100,2,FALSE), " ")</f>
        <v xml:space="preserve"> </v>
      </c>
      <c r="BH47" s="55"/>
      <c r="BI47" s="32"/>
      <c r="BJ47" s="32"/>
      <c r="BK47" s="55"/>
      <c r="BL47" s="32"/>
      <c r="BM47" s="32"/>
      <c r="BN47" s="32"/>
      <c r="BO47" s="32"/>
      <c r="BP47" s="32"/>
      <c r="BQ47" s="31"/>
      <c r="BR47" s="31"/>
      <c r="BS47" s="54"/>
      <c r="BT47" s="21" t="str">
        <f>IFERROR(VLOOKUP(July[[#This Row],[Drug Name7]],'Data Options'!$R$1:$S$100,2,FALSE), " ")</f>
        <v xml:space="preserve"> </v>
      </c>
      <c r="BU47" s="55"/>
      <c r="BV47" s="32"/>
      <c r="BW47" s="32"/>
      <c r="BX47" s="55"/>
      <c r="BY47" s="32"/>
      <c r="BZ47" s="54"/>
      <c r="CA47" s="21" t="str">
        <f>IFERROR(VLOOKUP(July[[#This Row],[Drug Name8]],'Data Options'!$R$1:$S$100,2,FALSE), " ")</f>
        <v xml:space="preserve"> </v>
      </c>
      <c r="CB47" s="55"/>
      <c r="CC47" s="32"/>
      <c r="CD47" s="32"/>
      <c r="CE47" s="55"/>
      <c r="CF47" s="32"/>
      <c r="CG47" s="54"/>
      <c r="CH47" s="21" t="str">
        <f>IFERROR(VLOOKUP(July[[#This Row],[Drug Name9]],'Data Options'!$R$1:$S$100,2,FALSE), " ")</f>
        <v xml:space="preserve"> </v>
      </c>
      <c r="CI47" s="55"/>
      <c r="CJ47" s="32"/>
      <c r="CK47" s="32"/>
      <c r="CL47" s="55"/>
      <c r="CM47" s="32"/>
    </row>
    <row r="48" spans="1:9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54"/>
      <c r="R48" s="21" t="str">
        <f>IFERROR(VLOOKUP(July[[#This Row],[Drug Name]],'Data Options'!$R$1:$S$100,2,FALSE), " ")</f>
        <v xml:space="preserve"> </v>
      </c>
      <c r="S48" s="55"/>
      <c r="T48" s="32"/>
      <c r="U48" s="32"/>
      <c r="V48" s="55"/>
      <c r="W48" s="32"/>
      <c r="X48" s="54"/>
      <c r="Y48" s="21" t="str">
        <f>IFERROR(VLOOKUP(July[[#This Row],[Drug Name2]],'Data Options'!$R$1:$S$100,2,FALSE), " ")</f>
        <v xml:space="preserve"> </v>
      </c>
      <c r="Z48" s="55"/>
      <c r="AA48" s="32"/>
      <c r="AB48" s="32"/>
      <c r="AC48" s="55"/>
      <c r="AD48" s="32"/>
      <c r="AE48" s="54"/>
      <c r="AF48" s="21" t="str">
        <f>IFERROR(VLOOKUP(July[[#This Row],[Drug Name3]],'Data Options'!$R$1:$S$100,2,FALSE), " ")</f>
        <v xml:space="preserve"> </v>
      </c>
      <c r="AG48" s="55"/>
      <c r="AH48" s="32"/>
      <c r="AI48" s="32"/>
      <c r="AJ48" s="55"/>
      <c r="AK48" s="32"/>
      <c r="AL48" s="32"/>
      <c r="AM48" s="32"/>
      <c r="AN48" s="32"/>
      <c r="AO48" s="32"/>
      <c r="AP48" s="31"/>
      <c r="AQ48" s="31"/>
      <c r="AR48" s="54"/>
      <c r="AS48" s="21" t="str">
        <f>IFERROR(VLOOKUP(July[[#This Row],[Drug Name4]],'Data Options'!$R$1:$S$100,2,FALSE), " ")</f>
        <v xml:space="preserve"> </v>
      </c>
      <c r="AT48" s="55"/>
      <c r="AU48" s="32"/>
      <c r="AV48" s="32"/>
      <c r="AW48" s="55"/>
      <c r="AX48" s="32"/>
      <c r="AY48" s="54"/>
      <c r="AZ48" s="21" t="str">
        <f>IFERROR(VLOOKUP(July[[#This Row],[Drug Name5]],'Data Options'!$R$1:$S$100,2,FALSE), " ")</f>
        <v xml:space="preserve"> </v>
      </c>
      <c r="BA48" s="55"/>
      <c r="BB48" s="32"/>
      <c r="BC48" s="32"/>
      <c r="BD48" s="55"/>
      <c r="BE48" s="32"/>
      <c r="BF48" s="54"/>
      <c r="BG48" s="21" t="str">
        <f>IFERROR(VLOOKUP(July[[#This Row],[Drug Name6]],'Data Options'!$R$1:$S$100,2,FALSE), " ")</f>
        <v xml:space="preserve"> </v>
      </c>
      <c r="BH48" s="55"/>
      <c r="BI48" s="32"/>
      <c r="BJ48" s="32"/>
      <c r="BK48" s="55"/>
      <c r="BL48" s="32"/>
      <c r="BM48" s="32"/>
      <c r="BN48" s="32"/>
      <c r="BO48" s="32"/>
      <c r="BP48" s="32"/>
      <c r="BQ48" s="31"/>
      <c r="BR48" s="31"/>
      <c r="BS48" s="54"/>
      <c r="BT48" s="21" t="str">
        <f>IFERROR(VLOOKUP(July[[#This Row],[Drug Name7]],'Data Options'!$R$1:$S$100,2,FALSE), " ")</f>
        <v xml:space="preserve"> </v>
      </c>
      <c r="BU48" s="55"/>
      <c r="BV48" s="32"/>
      <c r="BW48" s="32"/>
      <c r="BX48" s="55"/>
      <c r="BY48" s="32"/>
      <c r="BZ48" s="54"/>
      <c r="CA48" s="21" t="str">
        <f>IFERROR(VLOOKUP(July[[#This Row],[Drug Name8]],'Data Options'!$R$1:$S$100,2,FALSE), " ")</f>
        <v xml:space="preserve"> </v>
      </c>
      <c r="CB48" s="55"/>
      <c r="CC48" s="32"/>
      <c r="CD48" s="32"/>
      <c r="CE48" s="55"/>
      <c r="CF48" s="32"/>
      <c r="CG48" s="54"/>
      <c r="CH48" s="21" t="str">
        <f>IFERROR(VLOOKUP(July[[#This Row],[Drug Name9]],'Data Options'!$R$1:$S$100,2,FALSE), " ")</f>
        <v xml:space="preserve"> </v>
      </c>
      <c r="CI48" s="55"/>
      <c r="CJ48" s="32"/>
      <c r="CK48" s="32"/>
      <c r="CL48" s="55"/>
      <c r="CM48" s="32"/>
    </row>
    <row r="49" spans="1:9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54"/>
      <c r="R49" s="21" t="str">
        <f>IFERROR(VLOOKUP(July[[#This Row],[Drug Name]],'Data Options'!$R$1:$S$100,2,FALSE), " ")</f>
        <v xml:space="preserve"> </v>
      </c>
      <c r="S49" s="55"/>
      <c r="T49" s="32"/>
      <c r="U49" s="32"/>
      <c r="V49" s="55"/>
      <c r="W49" s="32"/>
      <c r="X49" s="54"/>
      <c r="Y49" s="21" t="str">
        <f>IFERROR(VLOOKUP(July[[#This Row],[Drug Name2]],'Data Options'!$R$1:$S$100,2,FALSE), " ")</f>
        <v xml:space="preserve"> </v>
      </c>
      <c r="Z49" s="55"/>
      <c r="AA49" s="32"/>
      <c r="AB49" s="32"/>
      <c r="AC49" s="55"/>
      <c r="AD49" s="32"/>
      <c r="AE49" s="54"/>
      <c r="AF49" s="21" t="str">
        <f>IFERROR(VLOOKUP(July[[#This Row],[Drug Name3]],'Data Options'!$R$1:$S$100,2,FALSE), " ")</f>
        <v xml:space="preserve"> </v>
      </c>
      <c r="AG49" s="55"/>
      <c r="AH49" s="32"/>
      <c r="AI49" s="32"/>
      <c r="AJ49" s="55"/>
      <c r="AK49" s="32"/>
      <c r="AL49" s="32"/>
      <c r="AM49" s="32"/>
      <c r="AN49" s="32"/>
      <c r="AO49" s="32"/>
      <c r="AP49" s="31"/>
      <c r="AQ49" s="31"/>
      <c r="AR49" s="54"/>
      <c r="AS49" s="21" t="str">
        <f>IFERROR(VLOOKUP(July[[#This Row],[Drug Name4]],'Data Options'!$R$1:$S$100,2,FALSE), " ")</f>
        <v xml:space="preserve"> </v>
      </c>
      <c r="AT49" s="55"/>
      <c r="AU49" s="32"/>
      <c r="AV49" s="32"/>
      <c r="AW49" s="55"/>
      <c r="AX49" s="32"/>
      <c r="AY49" s="54"/>
      <c r="AZ49" s="21" t="str">
        <f>IFERROR(VLOOKUP(July[[#This Row],[Drug Name5]],'Data Options'!$R$1:$S$100,2,FALSE), " ")</f>
        <v xml:space="preserve"> </v>
      </c>
      <c r="BA49" s="55"/>
      <c r="BB49" s="32"/>
      <c r="BC49" s="32"/>
      <c r="BD49" s="55"/>
      <c r="BE49" s="32"/>
      <c r="BF49" s="54"/>
      <c r="BG49" s="21" t="str">
        <f>IFERROR(VLOOKUP(July[[#This Row],[Drug Name6]],'Data Options'!$R$1:$S$100,2,FALSE), " ")</f>
        <v xml:space="preserve"> </v>
      </c>
      <c r="BH49" s="55"/>
      <c r="BI49" s="32"/>
      <c r="BJ49" s="32"/>
      <c r="BK49" s="55"/>
      <c r="BL49" s="32"/>
      <c r="BM49" s="32"/>
      <c r="BN49" s="32"/>
      <c r="BO49" s="32"/>
      <c r="BP49" s="32"/>
      <c r="BQ49" s="31"/>
      <c r="BR49" s="31"/>
      <c r="BS49" s="54"/>
      <c r="BT49" s="21" t="str">
        <f>IFERROR(VLOOKUP(July[[#This Row],[Drug Name7]],'Data Options'!$R$1:$S$100,2,FALSE), " ")</f>
        <v xml:space="preserve"> </v>
      </c>
      <c r="BU49" s="55"/>
      <c r="BV49" s="32"/>
      <c r="BW49" s="32"/>
      <c r="BX49" s="55"/>
      <c r="BY49" s="32"/>
      <c r="BZ49" s="54"/>
      <c r="CA49" s="21" t="str">
        <f>IFERROR(VLOOKUP(July[[#This Row],[Drug Name8]],'Data Options'!$R$1:$S$100,2,FALSE), " ")</f>
        <v xml:space="preserve"> </v>
      </c>
      <c r="CB49" s="55"/>
      <c r="CC49" s="32"/>
      <c r="CD49" s="32"/>
      <c r="CE49" s="55"/>
      <c r="CF49" s="32"/>
      <c r="CG49" s="54"/>
      <c r="CH49" s="21" t="str">
        <f>IFERROR(VLOOKUP(July[[#This Row],[Drug Name9]],'Data Options'!$R$1:$S$100,2,FALSE), " ")</f>
        <v xml:space="preserve"> </v>
      </c>
      <c r="CI49" s="55"/>
      <c r="CJ49" s="32"/>
      <c r="CK49" s="32"/>
      <c r="CL49" s="55"/>
      <c r="CM49" s="32"/>
    </row>
    <row r="50" spans="1:91">
      <c r="A50" s="5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54"/>
      <c r="R50" s="21" t="str">
        <f>IFERROR(VLOOKUP(July[[#This Row],[Drug Name]],'Data Options'!$R$1:$S$100,2,FALSE), " ")</f>
        <v xml:space="preserve"> </v>
      </c>
      <c r="S50" s="55"/>
      <c r="T50" s="32"/>
      <c r="U50" s="32"/>
      <c r="V50" s="55"/>
      <c r="W50" s="32"/>
      <c r="X50" s="54"/>
      <c r="Y50" s="21" t="str">
        <f>IFERROR(VLOOKUP(July[[#This Row],[Drug Name2]],'Data Options'!$R$1:$S$100,2,FALSE), " ")</f>
        <v xml:space="preserve"> </v>
      </c>
      <c r="Z50" s="55"/>
      <c r="AA50" s="32"/>
      <c r="AB50" s="32"/>
      <c r="AC50" s="55"/>
      <c r="AD50" s="32"/>
      <c r="AE50" s="54"/>
      <c r="AF50" s="21" t="str">
        <f>IFERROR(VLOOKUP(July[[#This Row],[Drug Name3]],'Data Options'!$R$1:$S$100,2,FALSE), " ")</f>
        <v xml:space="preserve"> </v>
      </c>
      <c r="AG50" s="55"/>
      <c r="AH50" s="32"/>
      <c r="AI50" s="32"/>
      <c r="AJ50" s="55"/>
      <c r="AK50" s="32"/>
      <c r="AL50" s="32"/>
      <c r="AM50" s="32"/>
      <c r="AN50" s="32"/>
      <c r="AO50" s="32"/>
      <c r="AP50" s="31"/>
      <c r="AQ50" s="31"/>
      <c r="AR50" s="54"/>
      <c r="AS50" s="21" t="str">
        <f>IFERROR(VLOOKUP(July[[#This Row],[Drug Name4]],'Data Options'!$R$1:$S$100,2,FALSE), " ")</f>
        <v xml:space="preserve"> </v>
      </c>
      <c r="AT50" s="55"/>
      <c r="AU50" s="32"/>
      <c r="AV50" s="32"/>
      <c r="AW50" s="55"/>
      <c r="AX50" s="32"/>
      <c r="AY50" s="54"/>
      <c r="AZ50" s="21" t="str">
        <f>IFERROR(VLOOKUP(July[[#This Row],[Drug Name5]],'Data Options'!$R$1:$S$100,2,FALSE), " ")</f>
        <v xml:space="preserve"> </v>
      </c>
      <c r="BA50" s="55"/>
      <c r="BB50" s="32"/>
      <c r="BC50" s="32"/>
      <c r="BD50" s="55"/>
      <c r="BE50" s="32"/>
      <c r="BF50" s="54"/>
      <c r="BG50" s="21" t="str">
        <f>IFERROR(VLOOKUP(July[[#This Row],[Drug Name6]],'Data Options'!$R$1:$S$100,2,FALSE), " ")</f>
        <v xml:space="preserve"> </v>
      </c>
      <c r="BH50" s="55"/>
      <c r="BI50" s="32"/>
      <c r="BJ50" s="32"/>
      <c r="BK50" s="55"/>
      <c r="BL50" s="32"/>
      <c r="BM50" s="32"/>
      <c r="BN50" s="32"/>
      <c r="BO50" s="32"/>
      <c r="BP50" s="32"/>
      <c r="BQ50" s="31"/>
      <c r="BR50" s="31"/>
      <c r="BS50" s="54"/>
      <c r="BT50" s="21" t="str">
        <f>IFERROR(VLOOKUP(July[[#This Row],[Drug Name7]],'Data Options'!$R$1:$S$100,2,FALSE), " ")</f>
        <v xml:space="preserve"> </v>
      </c>
      <c r="BU50" s="55"/>
      <c r="BV50" s="32"/>
      <c r="BW50" s="32"/>
      <c r="BX50" s="55"/>
      <c r="BY50" s="32"/>
      <c r="BZ50" s="54"/>
      <c r="CA50" s="21" t="str">
        <f>IFERROR(VLOOKUP(July[[#This Row],[Drug Name8]],'Data Options'!$R$1:$S$100,2,FALSE), " ")</f>
        <v xml:space="preserve"> </v>
      </c>
      <c r="CB50" s="55"/>
      <c r="CC50" s="32"/>
      <c r="CD50" s="32"/>
      <c r="CE50" s="55"/>
      <c r="CF50" s="32"/>
      <c r="CG50" s="54"/>
      <c r="CH50" s="21" t="str">
        <f>IFERROR(VLOOKUP(July[[#This Row],[Drug Name9]],'Data Options'!$R$1:$S$100,2,FALSE), " ")</f>
        <v xml:space="preserve"> </v>
      </c>
      <c r="CI50" s="55"/>
      <c r="CJ50" s="32"/>
      <c r="CK50" s="32"/>
      <c r="CL50" s="55"/>
      <c r="CM50" s="32"/>
    </row>
    <row r="51" spans="1:9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54"/>
      <c r="R51" s="21" t="str">
        <f>IFERROR(VLOOKUP(July[[#This Row],[Drug Name]],'Data Options'!$R$1:$S$100,2,FALSE), " ")</f>
        <v xml:space="preserve"> </v>
      </c>
      <c r="S51" s="55"/>
      <c r="T51" s="32"/>
      <c r="U51" s="32"/>
      <c r="V51" s="55"/>
      <c r="W51" s="32"/>
      <c r="X51" s="54"/>
      <c r="Y51" s="21" t="str">
        <f>IFERROR(VLOOKUP(July[[#This Row],[Drug Name2]],'Data Options'!$R$1:$S$100,2,FALSE), " ")</f>
        <v xml:space="preserve"> </v>
      </c>
      <c r="Z51" s="55"/>
      <c r="AA51" s="32"/>
      <c r="AB51" s="32"/>
      <c r="AC51" s="55"/>
      <c r="AD51" s="32"/>
      <c r="AE51" s="54"/>
      <c r="AF51" s="21" t="str">
        <f>IFERROR(VLOOKUP(July[[#This Row],[Drug Name3]],'Data Options'!$R$1:$S$100,2,FALSE), " ")</f>
        <v xml:space="preserve"> </v>
      </c>
      <c r="AG51" s="55"/>
      <c r="AH51" s="32"/>
      <c r="AI51" s="32"/>
      <c r="AJ51" s="55"/>
      <c r="AK51" s="32"/>
      <c r="AL51" s="32"/>
      <c r="AM51" s="32"/>
      <c r="AN51" s="32"/>
      <c r="AO51" s="32"/>
      <c r="AP51" s="31"/>
      <c r="AQ51" s="31"/>
      <c r="AR51" s="54"/>
      <c r="AS51" s="21" t="str">
        <f>IFERROR(VLOOKUP(July[[#This Row],[Drug Name4]],'Data Options'!$R$1:$S$100,2,FALSE), " ")</f>
        <v xml:space="preserve"> </v>
      </c>
      <c r="AT51" s="55"/>
      <c r="AU51" s="32"/>
      <c r="AV51" s="32"/>
      <c r="AW51" s="55"/>
      <c r="AX51" s="32"/>
      <c r="AY51" s="54"/>
      <c r="AZ51" s="21" t="str">
        <f>IFERROR(VLOOKUP(July[[#This Row],[Drug Name5]],'Data Options'!$R$1:$S$100,2,FALSE), " ")</f>
        <v xml:space="preserve"> </v>
      </c>
      <c r="BA51" s="55"/>
      <c r="BB51" s="32"/>
      <c r="BC51" s="32"/>
      <c r="BD51" s="55"/>
      <c r="BE51" s="32"/>
      <c r="BF51" s="54"/>
      <c r="BG51" s="21" t="str">
        <f>IFERROR(VLOOKUP(July[[#This Row],[Drug Name6]],'Data Options'!$R$1:$S$100,2,FALSE), " ")</f>
        <v xml:space="preserve"> </v>
      </c>
      <c r="BH51" s="55"/>
      <c r="BI51" s="32"/>
      <c r="BJ51" s="32"/>
      <c r="BK51" s="55"/>
      <c r="BL51" s="32"/>
      <c r="BM51" s="32"/>
      <c r="BN51" s="32"/>
      <c r="BO51" s="32"/>
      <c r="BP51" s="32"/>
      <c r="BQ51" s="31"/>
      <c r="BR51" s="31"/>
      <c r="BS51" s="54"/>
      <c r="BT51" s="21" t="str">
        <f>IFERROR(VLOOKUP(July[[#This Row],[Drug Name7]],'Data Options'!$R$1:$S$100,2,FALSE), " ")</f>
        <v xml:space="preserve"> </v>
      </c>
      <c r="BU51" s="55"/>
      <c r="BV51" s="32"/>
      <c r="BW51" s="32"/>
      <c r="BX51" s="55"/>
      <c r="BY51" s="32"/>
      <c r="BZ51" s="54"/>
      <c r="CA51" s="21" t="str">
        <f>IFERROR(VLOOKUP(July[[#This Row],[Drug Name8]],'Data Options'!$R$1:$S$100,2,FALSE), " ")</f>
        <v xml:space="preserve"> </v>
      </c>
      <c r="CB51" s="55"/>
      <c r="CC51" s="32"/>
      <c r="CD51" s="32"/>
      <c r="CE51" s="55"/>
      <c r="CF51" s="32"/>
      <c r="CG51" s="54"/>
      <c r="CH51" s="21" t="str">
        <f>IFERROR(VLOOKUP(July[[#This Row],[Drug Name9]],'Data Options'!$R$1:$S$100,2,FALSE), " ")</f>
        <v xml:space="preserve"> </v>
      </c>
      <c r="CI51" s="55"/>
      <c r="CJ51" s="32"/>
      <c r="CK51" s="32"/>
      <c r="CL51" s="55"/>
      <c r="CM51" s="32"/>
    </row>
    <row r="52" spans="1:9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54"/>
      <c r="R52" s="21" t="str">
        <f>IFERROR(VLOOKUP(July[[#This Row],[Drug Name]],'Data Options'!$R$1:$S$100,2,FALSE), " ")</f>
        <v xml:space="preserve"> </v>
      </c>
      <c r="S52" s="55"/>
      <c r="T52" s="32"/>
      <c r="U52" s="32"/>
      <c r="V52" s="55"/>
      <c r="W52" s="32"/>
      <c r="X52" s="54"/>
      <c r="Y52" s="21" t="str">
        <f>IFERROR(VLOOKUP(July[[#This Row],[Drug Name2]],'Data Options'!$R$1:$S$100,2,FALSE), " ")</f>
        <v xml:space="preserve"> </v>
      </c>
      <c r="Z52" s="55"/>
      <c r="AA52" s="32"/>
      <c r="AB52" s="32"/>
      <c r="AC52" s="55"/>
      <c r="AD52" s="32"/>
      <c r="AE52" s="54"/>
      <c r="AF52" s="21" t="str">
        <f>IFERROR(VLOOKUP(July[[#This Row],[Drug Name3]],'Data Options'!$R$1:$S$100,2,FALSE), " ")</f>
        <v xml:space="preserve"> </v>
      </c>
      <c r="AG52" s="55"/>
      <c r="AH52" s="32"/>
      <c r="AI52" s="32"/>
      <c r="AJ52" s="55"/>
      <c r="AK52" s="32"/>
      <c r="AL52" s="32"/>
      <c r="AM52" s="32"/>
      <c r="AN52" s="32"/>
      <c r="AO52" s="32"/>
      <c r="AP52" s="31"/>
      <c r="AQ52" s="31"/>
      <c r="AR52" s="54"/>
      <c r="AS52" s="21" t="str">
        <f>IFERROR(VLOOKUP(July[[#This Row],[Drug Name4]],'Data Options'!$R$1:$S$100,2,FALSE), " ")</f>
        <v xml:space="preserve"> </v>
      </c>
      <c r="AT52" s="55"/>
      <c r="AU52" s="32"/>
      <c r="AV52" s="32"/>
      <c r="AW52" s="55"/>
      <c r="AX52" s="32"/>
      <c r="AY52" s="54"/>
      <c r="AZ52" s="21" t="str">
        <f>IFERROR(VLOOKUP(July[[#This Row],[Drug Name5]],'Data Options'!$R$1:$S$100,2,FALSE), " ")</f>
        <v xml:space="preserve"> </v>
      </c>
      <c r="BA52" s="55"/>
      <c r="BB52" s="32"/>
      <c r="BC52" s="32"/>
      <c r="BD52" s="55"/>
      <c r="BE52" s="32"/>
      <c r="BF52" s="54"/>
      <c r="BG52" s="21" t="str">
        <f>IFERROR(VLOOKUP(July[[#This Row],[Drug Name6]],'Data Options'!$R$1:$S$100,2,FALSE), " ")</f>
        <v xml:space="preserve"> </v>
      </c>
      <c r="BH52" s="55"/>
      <c r="BI52" s="32"/>
      <c r="BJ52" s="32"/>
      <c r="BK52" s="55"/>
      <c r="BL52" s="32"/>
      <c r="BM52" s="32"/>
      <c r="BN52" s="32"/>
      <c r="BO52" s="32"/>
      <c r="BP52" s="32"/>
      <c r="BQ52" s="31"/>
      <c r="BR52" s="31"/>
      <c r="BS52" s="54"/>
      <c r="BT52" s="21" t="str">
        <f>IFERROR(VLOOKUP(July[[#This Row],[Drug Name7]],'Data Options'!$R$1:$S$100,2,FALSE), " ")</f>
        <v xml:space="preserve"> </v>
      </c>
      <c r="BU52" s="55"/>
      <c r="BV52" s="32"/>
      <c r="BW52" s="32"/>
      <c r="BX52" s="55"/>
      <c r="BY52" s="32"/>
      <c r="BZ52" s="54"/>
      <c r="CA52" s="21" t="str">
        <f>IFERROR(VLOOKUP(July[[#This Row],[Drug Name8]],'Data Options'!$R$1:$S$100,2,FALSE), " ")</f>
        <v xml:space="preserve"> </v>
      </c>
      <c r="CB52" s="55"/>
      <c r="CC52" s="32"/>
      <c r="CD52" s="32"/>
      <c r="CE52" s="55"/>
      <c r="CF52" s="32"/>
      <c r="CG52" s="54"/>
      <c r="CH52" s="21" t="str">
        <f>IFERROR(VLOOKUP(July[[#This Row],[Drug Name9]],'Data Options'!$R$1:$S$100,2,FALSE), " ")</f>
        <v xml:space="preserve"> </v>
      </c>
      <c r="CI52" s="55"/>
      <c r="CJ52" s="32"/>
      <c r="CK52" s="32"/>
      <c r="CL52" s="55"/>
      <c r="CM52" s="32"/>
    </row>
    <row r="53" spans="1:91">
      <c r="A53" s="5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54"/>
      <c r="R53" s="21" t="str">
        <f>IFERROR(VLOOKUP(July[[#This Row],[Drug Name]],'Data Options'!$R$1:$S$100,2,FALSE), " ")</f>
        <v xml:space="preserve"> </v>
      </c>
      <c r="S53" s="55"/>
      <c r="T53" s="32"/>
      <c r="U53" s="32"/>
      <c r="V53" s="55"/>
      <c r="W53" s="32"/>
      <c r="X53" s="54"/>
      <c r="Y53" s="21" t="str">
        <f>IFERROR(VLOOKUP(July[[#This Row],[Drug Name2]],'Data Options'!$R$1:$S$100,2,FALSE), " ")</f>
        <v xml:space="preserve"> </v>
      </c>
      <c r="Z53" s="55"/>
      <c r="AA53" s="32"/>
      <c r="AB53" s="32"/>
      <c r="AC53" s="55"/>
      <c r="AD53" s="32"/>
      <c r="AE53" s="54"/>
      <c r="AF53" s="21" t="str">
        <f>IFERROR(VLOOKUP(July[[#This Row],[Drug Name3]],'Data Options'!$R$1:$S$100,2,FALSE), " ")</f>
        <v xml:space="preserve"> </v>
      </c>
      <c r="AG53" s="55"/>
      <c r="AH53" s="32"/>
      <c r="AI53" s="32"/>
      <c r="AJ53" s="55"/>
      <c r="AK53" s="32"/>
      <c r="AL53" s="32"/>
      <c r="AM53" s="32"/>
      <c r="AN53" s="32"/>
      <c r="AO53" s="32"/>
      <c r="AP53" s="31"/>
      <c r="AQ53" s="31"/>
      <c r="AR53" s="54"/>
      <c r="AS53" s="21" t="str">
        <f>IFERROR(VLOOKUP(July[[#This Row],[Drug Name4]],'Data Options'!$R$1:$S$100,2,FALSE), " ")</f>
        <v xml:space="preserve"> </v>
      </c>
      <c r="AT53" s="55"/>
      <c r="AU53" s="32"/>
      <c r="AV53" s="32"/>
      <c r="AW53" s="55"/>
      <c r="AX53" s="32"/>
      <c r="AY53" s="54"/>
      <c r="AZ53" s="21" t="str">
        <f>IFERROR(VLOOKUP(July[[#This Row],[Drug Name5]],'Data Options'!$R$1:$S$100,2,FALSE), " ")</f>
        <v xml:space="preserve"> </v>
      </c>
      <c r="BA53" s="55"/>
      <c r="BB53" s="32"/>
      <c r="BC53" s="32"/>
      <c r="BD53" s="55"/>
      <c r="BE53" s="32"/>
      <c r="BF53" s="54"/>
      <c r="BG53" s="21" t="str">
        <f>IFERROR(VLOOKUP(July[[#This Row],[Drug Name6]],'Data Options'!$R$1:$S$100,2,FALSE), " ")</f>
        <v xml:space="preserve"> </v>
      </c>
      <c r="BH53" s="55"/>
      <c r="BI53" s="32"/>
      <c r="BJ53" s="32"/>
      <c r="BK53" s="55"/>
      <c r="BL53" s="32"/>
      <c r="BM53" s="32"/>
      <c r="BN53" s="32"/>
      <c r="BO53" s="32"/>
      <c r="BP53" s="32"/>
      <c r="BQ53" s="31"/>
      <c r="BR53" s="31"/>
      <c r="BS53" s="54"/>
      <c r="BT53" s="21" t="str">
        <f>IFERROR(VLOOKUP(July[[#This Row],[Drug Name7]],'Data Options'!$R$1:$S$100,2,FALSE), " ")</f>
        <v xml:space="preserve"> </v>
      </c>
      <c r="BU53" s="55"/>
      <c r="BV53" s="32"/>
      <c r="BW53" s="32"/>
      <c r="BX53" s="55"/>
      <c r="BY53" s="32"/>
      <c r="BZ53" s="54"/>
      <c r="CA53" s="21" t="str">
        <f>IFERROR(VLOOKUP(July[[#This Row],[Drug Name8]],'Data Options'!$R$1:$S$100,2,FALSE), " ")</f>
        <v xml:space="preserve"> </v>
      </c>
      <c r="CB53" s="55"/>
      <c r="CC53" s="32"/>
      <c r="CD53" s="32"/>
      <c r="CE53" s="55"/>
      <c r="CF53" s="32"/>
      <c r="CG53" s="54"/>
      <c r="CH53" s="21" t="str">
        <f>IFERROR(VLOOKUP(July[[#This Row],[Drug Name9]],'Data Options'!$R$1:$S$100,2,FALSE), " ")</f>
        <v xml:space="preserve"> </v>
      </c>
      <c r="CI53" s="55"/>
      <c r="CJ53" s="32"/>
      <c r="CK53" s="32"/>
      <c r="CL53" s="55"/>
      <c r="CM53" s="32"/>
    </row>
    <row r="54" spans="1:91">
      <c r="A54" s="5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54"/>
      <c r="R54" s="21" t="str">
        <f>IFERROR(VLOOKUP(July[[#This Row],[Drug Name]],'Data Options'!$R$1:$S$100,2,FALSE), " ")</f>
        <v xml:space="preserve"> </v>
      </c>
      <c r="S54" s="55"/>
      <c r="T54" s="32"/>
      <c r="U54" s="32"/>
      <c r="V54" s="55"/>
      <c r="W54" s="32"/>
      <c r="X54" s="54"/>
      <c r="Y54" s="21" t="str">
        <f>IFERROR(VLOOKUP(July[[#This Row],[Drug Name2]],'Data Options'!$R$1:$S$100,2,FALSE), " ")</f>
        <v xml:space="preserve"> </v>
      </c>
      <c r="Z54" s="55"/>
      <c r="AA54" s="32"/>
      <c r="AB54" s="32"/>
      <c r="AC54" s="55"/>
      <c r="AD54" s="32"/>
      <c r="AE54" s="54"/>
      <c r="AF54" s="21" t="str">
        <f>IFERROR(VLOOKUP(July[[#This Row],[Drug Name3]],'Data Options'!$R$1:$S$100,2,FALSE), " ")</f>
        <v xml:space="preserve"> </v>
      </c>
      <c r="AG54" s="55"/>
      <c r="AH54" s="32"/>
      <c r="AI54" s="32"/>
      <c r="AJ54" s="55"/>
      <c r="AK54" s="32"/>
      <c r="AL54" s="32"/>
      <c r="AM54" s="32"/>
      <c r="AN54" s="32"/>
      <c r="AO54" s="32"/>
      <c r="AP54" s="31"/>
      <c r="AQ54" s="31"/>
      <c r="AR54" s="54"/>
      <c r="AS54" s="21" t="str">
        <f>IFERROR(VLOOKUP(July[[#This Row],[Drug Name4]],'Data Options'!$R$1:$S$100,2,FALSE), " ")</f>
        <v xml:space="preserve"> </v>
      </c>
      <c r="AT54" s="55"/>
      <c r="AU54" s="32"/>
      <c r="AV54" s="32"/>
      <c r="AW54" s="55"/>
      <c r="AX54" s="32"/>
      <c r="AY54" s="54"/>
      <c r="AZ54" s="21" t="str">
        <f>IFERROR(VLOOKUP(July[[#This Row],[Drug Name5]],'Data Options'!$R$1:$S$100,2,FALSE), " ")</f>
        <v xml:space="preserve"> </v>
      </c>
      <c r="BA54" s="55"/>
      <c r="BB54" s="32"/>
      <c r="BC54" s="32"/>
      <c r="BD54" s="55"/>
      <c r="BE54" s="32"/>
      <c r="BF54" s="54"/>
      <c r="BG54" s="21" t="str">
        <f>IFERROR(VLOOKUP(July[[#This Row],[Drug Name6]],'Data Options'!$R$1:$S$100,2,FALSE), " ")</f>
        <v xml:space="preserve"> </v>
      </c>
      <c r="BH54" s="55"/>
      <c r="BI54" s="32"/>
      <c r="BJ54" s="32"/>
      <c r="BK54" s="55"/>
      <c r="BL54" s="32"/>
      <c r="BM54" s="32"/>
      <c r="BN54" s="32"/>
      <c r="BO54" s="32"/>
      <c r="BP54" s="32"/>
      <c r="BQ54" s="31"/>
      <c r="BR54" s="31"/>
      <c r="BS54" s="54"/>
      <c r="BT54" s="21" t="str">
        <f>IFERROR(VLOOKUP(July[[#This Row],[Drug Name7]],'Data Options'!$R$1:$S$100,2,FALSE), " ")</f>
        <v xml:space="preserve"> </v>
      </c>
      <c r="BU54" s="55"/>
      <c r="BV54" s="32"/>
      <c r="BW54" s="32"/>
      <c r="BX54" s="55"/>
      <c r="BY54" s="32"/>
      <c r="BZ54" s="54"/>
      <c r="CA54" s="21" t="str">
        <f>IFERROR(VLOOKUP(July[[#This Row],[Drug Name8]],'Data Options'!$R$1:$S$100,2,FALSE), " ")</f>
        <v xml:space="preserve"> </v>
      </c>
      <c r="CB54" s="55"/>
      <c r="CC54" s="32"/>
      <c r="CD54" s="32"/>
      <c r="CE54" s="55"/>
      <c r="CF54" s="32"/>
      <c r="CG54" s="54"/>
      <c r="CH54" s="21" t="str">
        <f>IFERROR(VLOOKUP(July[[#This Row],[Drug Name9]],'Data Options'!$R$1:$S$100,2,FALSE), " ")</f>
        <v xml:space="preserve"> </v>
      </c>
      <c r="CI54" s="55"/>
      <c r="CJ54" s="32"/>
      <c r="CK54" s="32"/>
      <c r="CL54" s="55"/>
      <c r="CM54" s="32"/>
    </row>
    <row r="55" spans="1:91">
      <c r="A55" s="5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54"/>
      <c r="R55" s="21" t="str">
        <f>IFERROR(VLOOKUP(July[[#This Row],[Drug Name]],'Data Options'!$R$1:$S$100,2,FALSE), " ")</f>
        <v xml:space="preserve"> </v>
      </c>
      <c r="S55" s="55"/>
      <c r="T55" s="32"/>
      <c r="U55" s="32"/>
      <c r="V55" s="55"/>
      <c r="W55" s="32"/>
      <c r="X55" s="54"/>
      <c r="Y55" s="21" t="str">
        <f>IFERROR(VLOOKUP(July[[#This Row],[Drug Name2]],'Data Options'!$R$1:$S$100,2,FALSE), " ")</f>
        <v xml:space="preserve"> </v>
      </c>
      <c r="Z55" s="55"/>
      <c r="AA55" s="32"/>
      <c r="AB55" s="32"/>
      <c r="AC55" s="55"/>
      <c r="AD55" s="32"/>
      <c r="AE55" s="54"/>
      <c r="AF55" s="21" t="str">
        <f>IFERROR(VLOOKUP(July[[#This Row],[Drug Name3]],'Data Options'!$R$1:$S$100,2,FALSE), " ")</f>
        <v xml:space="preserve"> </v>
      </c>
      <c r="AG55" s="55"/>
      <c r="AH55" s="32"/>
      <c r="AI55" s="32"/>
      <c r="AJ55" s="55"/>
      <c r="AK55" s="32"/>
      <c r="AL55" s="32"/>
      <c r="AM55" s="32"/>
      <c r="AN55" s="32"/>
      <c r="AO55" s="32"/>
      <c r="AP55" s="31"/>
      <c r="AQ55" s="31"/>
      <c r="AR55" s="54"/>
      <c r="AS55" s="21" t="str">
        <f>IFERROR(VLOOKUP(July[[#This Row],[Drug Name4]],'Data Options'!$R$1:$S$100,2,FALSE), " ")</f>
        <v xml:space="preserve"> </v>
      </c>
      <c r="AT55" s="55"/>
      <c r="AU55" s="32"/>
      <c r="AV55" s="32"/>
      <c r="AW55" s="55"/>
      <c r="AX55" s="32"/>
      <c r="AY55" s="54"/>
      <c r="AZ55" s="21" t="str">
        <f>IFERROR(VLOOKUP(July[[#This Row],[Drug Name5]],'Data Options'!$R$1:$S$100,2,FALSE), " ")</f>
        <v xml:space="preserve"> </v>
      </c>
      <c r="BA55" s="55"/>
      <c r="BB55" s="32"/>
      <c r="BC55" s="32"/>
      <c r="BD55" s="55"/>
      <c r="BE55" s="32"/>
      <c r="BF55" s="54"/>
      <c r="BG55" s="21" t="str">
        <f>IFERROR(VLOOKUP(July[[#This Row],[Drug Name6]],'Data Options'!$R$1:$S$100,2,FALSE), " ")</f>
        <v xml:space="preserve"> </v>
      </c>
      <c r="BH55" s="55"/>
      <c r="BI55" s="32"/>
      <c r="BJ55" s="32"/>
      <c r="BK55" s="55"/>
      <c r="BL55" s="32"/>
      <c r="BM55" s="32"/>
      <c r="BN55" s="32"/>
      <c r="BO55" s="32"/>
      <c r="BP55" s="32"/>
      <c r="BQ55" s="31"/>
      <c r="BR55" s="31"/>
      <c r="BS55" s="54"/>
      <c r="BT55" s="21" t="str">
        <f>IFERROR(VLOOKUP(July[[#This Row],[Drug Name7]],'Data Options'!$R$1:$S$100,2,FALSE), " ")</f>
        <v xml:space="preserve"> </v>
      </c>
      <c r="BU55" s="55"/>
      <c r="BV55" s="32"/>
      <c r="BW55" s="32"/>
      <c r="BX55" s="55"/>
      <c r="BY55" s="32"/>
      <c r="BZ55" s="54"/>
      <c r="CA55" s="21" t="str">
        <f>IFERROR(VLOOKUP(July[[#This Row],[Drug Name8]],'Data Options'!$R$1:$S$100,2,FALSE), " ")</f>
        <v xml:space="preserve"> </v>
      </c>
      <c r="CB55" s="55"/>
      <c r="CC55" s="32"/>
      <c r="CD55" s="32"/>
      <c r="CE55" s="55"/>
      <c r="CF55" s="32"/>
      <c r="CG55" s="54"/>
      <c r="CH55" s="21" t="str">
        <f>IFERROR(VLOOKUP(July[[#This Row],[Drug Name9]],'Data Options'!$R$1:$S$100,2,FALSE), " ")</f>
        <v xml:space="preserve"> </v>
      </c>
      <c r="CI55" s="55"/>
      <c r="CJ55" s="32"/>
      <c r="CK55" s="32"/>
      <c r="CL55" s="55"/>
      <c r="CM55" s="32"/>
    </row>
    <row r="56" spans="1:91">
      <c r="A56" s="5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54"/>
      <c r="R56" s="21" t="str">
        <f>IFERROR(VLOOKUP(July[[#This Row],[Drug Name]],'Data Options'!$R$1:$S$100,2,FALSE), " ")</f>
        <v xml:space="preserve"> </v>
      </c>
      <c r="S56" s="55"/>
      <c r="T56" s="32"/>
      <c r="U56" s="32"/>
      <c r="V56" s="55"/>
      <c r="W56" s="32"/>
      <c r="X56" s="54"/>
      <c r="Y56" s="21" t="str">
        <f>IFERROR(VLOOKUP(July[[#This Row],[Drug Name2]],'Data Options'!$R$1:$S$100,2,FALSE), " ")</f>
        <v xml:space="preserve"> </v>
      </c>
      <c r="Z56" s="55"/>
      <c r="AA56" s="32"/>
      <c r="AB56" s="32"/>
      <c r="AC56" s="55"/>
      <c r="AD56" s="32"/>
      <c r="AE56" s="54"/>
      <c r="AF56" s="21" t="str">
        <f>IFERROR(VLOOKUP(July[[#This Row],[Drug Name3]],'Data Options'!$R$1:$S$100,2,FALSE), " ")</f>
        <v xml:space="preserve"> </v>
      </c>
      <c r="AG56" s="55"/>
      <c r="AH56" s="32"/>
      <c r="AI56" s="32"/>
      <c r="AJ56" s="55"/>
      <c r="AK56" s="32"/>
      <c r="AL56" s="32"/>
      <c r="AM56" s="32"/>
      <c r="AN56" s="32"/>
      <c r="AO56" s="32"/>
      <c r="AP56" s="31"/>
      <c r="AQ56" s="31"/>
      <c r="AR56" s="54"/>
      <c r="AS56" s="21" t="str">
        <f>IFERROR(VLOOKUP(July[[#This Row],[Drug Name4]],'Data Options'!$R$1:$S$100,2,FALSE), " ")</f>
        <v xml:space="preserve"> </v>
      </c>
      <c r="AT56" s="55"/>
      <c r="AU56" s="32"/>
      <c r="AV56" s="32"/>
      <c r="AW56" s="55"/>
      <c r="AX56" s="32"/>
      <c r="AY56" s="54"/>
      <c r="AZ56" s="21" t="str">
        <f>IFERROR(VLOOKUP(July[[#This Row],[Drug Name5]],'Data Options'!$R$1:$S$100,2,FALSE), " ")</f>
        <v xml:space="preserve"> </v>
      </c>
      <c r="BA56" s="55"/>
      <c r="BB56" s="32"/>
      <c r="BC56" s="32"/>
      <c r="BD56" s="55"/>
      <c r="BE56" s="32"/>
      <c r="BF56" s="54"/>
      <c r="BG56" s="21" t="str">
        <f>IFERROR(VLOOKUP(July[[#This Row],[Drug Name6]],'Data Options'!$R$1:$S$100,2,FALSE), " ")</f>
        <v xml:space="preserve"> </v>
      </c>
      <c r="BH56" s="55"/>
      <c r="BI56" s="32"/>
      <c r="BJ56" s="32"/>
      <c r="BK56" s="55"/>
      <c r="BL56" s="32"/>
      <c r="BM56" s="32"/>
      <c r="BN56" s="32"/>
      <c r="BO56" s="32"/>
      <c r="BP56" s="32"/>
      <c r="BQ56" s="31"/>
      <c r="BR56" s="31"/>
      <c r="BS56" s="54"/>
      <c r="BT56" s="21" t="str">
        <f>IFERROR(VLOOKUP(July[[#This Row],[Drug Name7]],'Data Options'!$R$1:$S$100,2,FALSE), " ")</f>
        <v xml:space="preserve"> </v>
      </c>
      <c r="BU56" s="55"/>
      <c r="BV56" s="32"/>
      <c r="BW56" s="32"/>
      <c r="BX56" s="55"/>
      <c r="BY56" s="32"/>
      <c r="BZ56" s="54"/>
      <c r="CA56" s="21" t="str">
        <f>IFERROR(VLOOKUP(July[[#This Row],[Drug Name8]],'Data Options'!$R$1:$S$100,2,FALSE), " ")</f>
        <v xml:space="preserve"> </v>
      </c>
      <c r="CB56" s="55"/>
      <c r="CC56" s="32"/>
      <c r="CD56" s="32"/>
      <c r="CE56" s="55"/>
      <c r="CF56" s="32"/>
      <c r="CG56" s="54"/>
      <c r="CH56" s="21" t="str">
        <f>IFERROR(VLOOKUP(July[[#This Row],[Drug Name9]],'Data Options'!$R$1:$S$100,2,FALSE), " ")</f>
        <v xml:space="preserve"> </v>
      </c>
      <c r="CI56" s="55"/>
      <c r="CJ56" s="32"/>
      <c r="CK56" s="32"/>
      <c r="CL56" s="55"/>
      <c r="CM56" s="32"/>
    </row>
    <row r="57" spans="1:91">
      <c r="A57" s="5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31"/>
      <c r="Q57" s="54"/>
      <c r="R57" s="21" t="str">
        <f>IFERROR(VLOOKUP(July[[#This Row],[Drug Name]],'Data Options'!$R$1:$S$100,2,FALSE), " ")</f>
        <v xml:space="preserve"> </v>
      </c>
      <c r="S57" s="55"/>
      <c r="T57" s="32"/>
      <c r="U57" s="32"/>
      <c r="V57" s="55"/>
      <c r="W57" s="32"/>
      <c r="X57" s="54"/>
      <c r="Y57" s="21" t="str">
        <f>IFERROR(VLOOKUP(July[[#This Row],[Drug Name2]],'Data Options'!$R$1:$S$100,2,FALSE), " ")</f>
        <v xml:space="preserve"> </v>
      </c>
      <c r="Z57" s="55"/>
      <c r="AA57" s="32"/>
      <c r="AB57" s="32"/>
      <c r="AC57" s="55"/>
      <c r="AD57" s="32"/>
      <c r="AE57" s="54"/>
      <c r="AF57" s="21" t="str">
        <f>IFERROR(VLOOKUP(July[[#This Row],[Drug Name3]],'Data Options'!$R$1:$S$100,2,FALSE), " ")</f>
        <v xml:space="preserve"> </v>
      </c>
      <c r="AG57" s="55"/>
      <c r="AH57" s="32"/>
      <c r="AI57" s="32"/>
      <c r="AJ57" s="55"/>
      <c r="AK57" s="32"/>
      <c r="AL57" s="32"/>
      <c r="AM57" s="32"/>
      <c r="AN57" s="32"/>
      <c r="AO57" s="32"/>
      <c r="AP57" s="31"/>
      <c r="AQ57" s="31"/>
      <c r="AR57" s="54"/>
      <c r="AS57" s="21" t="str">
        <f>IFERROR(VLOOKUP(July[[#This Row],[Drug Name4]],'Data Options'!$R$1:$S$100,2,FALSE), " ")</f>
        <v xml:space="preserve"> </v>
      </c>
      <c r="AT57" s="55"/>
      <c r="AU57" s="32"/>
      <c r="AV57" s="32"/>
      <c r="AW57" s="55"/>
      <c r="AX57" s="32"/>
      <c r="AY57" s="54"/>
      <c r="AZ57" s="21" t="str">
        <f>IFERROR(VLOOKUP(July[[#This Row],[Drug Name5]],'Data Options'!$R$1:$S$100,2,FALSE), " ")</f>
        <v xml:space="preserve"> </v>
      </c>
      <c r="BA57" s="55"/>
      <c r="BB57" s="32"/>
      <c r="BC57" s="32"/>
      <c r="BD57" s="55"/>
      <c r="BE57" s="32"/>
      <c r="BF57" s="54"/>
      <c r="BG57" s="21" t="str">
        <f>IFERROR(VLOOKUP(July[[#This Row],[Drug Name6]],'Data Options'!$R$1:$S$100,2,FALSE), " ")</f>
        <v xml:space="preserve"> </v>
      </c>
      <c r="BH57" s="55"/>
      <c r="BI57" s="32"/>
      <c r="BJ57" s="32"/>
      <c r="BK57" s="55"/>
      <c r="BL57" s="32"/>
      <c r="BM57" s="32"/>
      <c r="BN57" s="32"/>
      <c r="BO57" s="32"/>
      <c r="BP57" s="32"/>
      <c r="BQ57" s="31"/>
      <c r="BR57" s="31"/>
      <c r="BS57" s="54"/>
      <c r="BT57" s="21" t="str">
        <f>IFERROR(VLOOKUP(July[[#This Row],[Drug Name7]],'Data Options'!$R$1:$S$100,2,FALSE), " ")</f>
        <v xml:space="preserve"> </v>
      </c>
      <c r="BU57" s="55"/>
      <c r="BV57" s="32"/>
      <c r="BW57" s="32"/>
      <c r="BX57" s="55"/>
      <c r="BY57" s="32"/>
      <c r="BZ57" s="54"/>
      <c r="CA57" s="21" t="str">
        <f>IFERROR(VLOOKUP(July[[#This Row],[Drug Name8]],'Data Options'!$R$1:$S$100,2,FALSE), " ")</f>
        <v xml:space="preserve"> </v>
      </c>
      <c r="CB57" s="55"/>
      <c r="CC57" s="32"/>
      <c r="CD57" s="32"/>
      <c r="CE57" s="55"/>
      <c r="CF57" s="32"/>
      <c r="CG57" s="54"/>
      <c r="CH57" s="21" t="str">
        <f>IFERROR(VLOOKUP(July[[#This Row],[Drug Name9]],'Data Options'!$R$1:$S$100,2,FALSE), " ")</f>
        <v xml:space="preserve"> </v>
      </c>
      <c r="CI57" s="55"/>
      <c r="CJ57" s="32"/>
      <c r="CK57" s="32"/>
      <c r="CL57" s="55"/>
      <c r="CM57" s="32"/>
    </row>
    <row r="58" spans="1:9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54"/>
      <c r="R58" s="21" t="str">
        <f>IFERROR(VLOOKUP(July[[#This Row],[Drug Name]],'Data Options'!$R$1:$S$100,2,FALSE), " ")</f>
        <v xml:space="preserve"> </v>
      </c>
      <c r="S58" s="55"/>
      <c r="T58" s="32"/>
      <c r="U58" s="32"/>
      <c r="V58" s="55"/>
      <c r="W58" s="32"/>
      <c r="X58" s="54"/>
      <c r="Y58" s="21" t="str">
        <f>IFERROR(VLOOKUP(July[[#This Row],[Drug Name2]],'Data Options'!$R$1:$S$100,2,FALSE), " ")</f>
        <v xml:space="preserve"> </v>
      </c>
      <c r="Z58" s="55"/>
      <c r="AA58" s="32"/>
      <c r="AB58" s="32"/>
      <c r="AC58" s="55"/>
      <c r="AD58" s="32"/>
      <c r="AE58" s="54"/>
      <c r="AF58" s="21" t="str">
        <f>IFERROR(VLOOKUP(July[[#This Row],[Drug Name3]],'Data Options'!$R$1:$S$100,2,FALSE), " ")</f>
        <v xml:space="preserve"> </v>
      </c>
      <c r="AG58" s="55"/>
      <c r="AH58" s="32"/>
      <c r="AI58" s="32"/>
      <c r="AJ58" s="55"/>
      <c r="AK58" s="32"/>
      <c r="AL58" s="32"/>
      <c r="AM58" s="32"/>
      <c r="AN58" s="32"/>
      <c r="AO58" s="32"/>
      <c r="AP58" s="31"/>
      <c r="AQ58" s="31"/>
      <c r="AR58" s="54"/>
      <c r="AS58" s="21" t="str">
        <f>IFERROR(VLOOKUP(July[[#This Row],[Drug Name4]],'Data Options'!$R$1:$S$100,2,FALSE), " ")</f>
        <v xml:space="preserve"> </v>
      </c>
      <c r="AT58" s="55"/>
      <c r="AU58" s="32"/>
      <c r="AV58" s="32"/>
      <c r="AW58" s="55"/>
      <c r="AX58" s="32"/>
      <c r="AY58" s="54"/>
      <c r="AZ58" s="21" t="str">
        <f>IFERROR(VLOOKUP(July[[#This Row],[Drug Name5]],'Data Options'!$R$1:$S$100,2,FALSE), " ")</f>
        <v xml:space="preserve"> </v>
      </c>
      <c r="BA58" s="55"/>
      <c r="BB58" s="32"/>
      <c r="BC58" s="32"/>
      <c r="BD58" s="55"/>
      <c r="BE58" s="32"/>
      <c r="BF58" s="54"/>
      <c r="BG58" s="21" t="str">
        <f>IFERROR(VLOOKUP(July[[#This Row],[Drug Name6]],'Data Options'!$R$1:$S$100,2,FALSE), " ")</f>
        <v xml:space="preserve"> </v>
      </c>
      <c r="BH58" s="55"/>
      <c r="BI58" s="32"/>
      <c r="BJ58" s="32"/>
      <c r="BK58" s="55"/>
      <c r="BL58" s="32"/>
      <c r="BM58" s="32"/>
      <c r="BN58" s="32"/>
      <c r="BO58" s="32"/>
      <c r="BP58" s="32"/>
      <c r="BQ58" s="31"/>
      <c r="BR58" s="31"/>
      <c r="BS58" s="54"/>
      <c r="BT58" s="21" t="str">
        <f>IFERROR(VLOOKUP(July[[#This Row],[Drug Name7]],'Data Options'!$R$1:$S$100,2,FALSE), " ")</f>
        <v xml:space="preserve"> </v>
      </c>
      <c r="BU58" s="55"/>
      <c r="BV58" s="32"/>
      <c r="BW58" s="32"/>
      <c r="BX58" s="55"/>
      <c r="BY58" s="32"/>
      <c r="BZ58" s="54"/>
      <c r="CA58" s="21" t="str">
        <f>IFERROR(VLOOKUP(July[[#This Row],[Drug Name8]],'Data Options'!$R$1:$S$100,2,FALSE), " ")</f>
        <v xml:space="preserve"> </v>
      </c>
      <c r="CB58" s="55"/>
      <c r="CC58" s="32"/>
      <c r="CD58" s="32"/>
      <c r="CE58" s="55"/>
      <c r="CF58" s="32"/>
      <c r="CG58" s="54"/>
      <c r="CH58" s="21" t="str">
        <f>IFERROR(VLOOKUP(July[[#This Row],[Drug Name9]],'Data Options'!$R$1:$S$100,2,FALSE), " ")</f>
        <v xml:space="preserve"> </v>
      </c>
      <c r="CI58" s="55"/>
      <c r="CJ58" s="32"/>
      <c r="CK58" s="32"/>
      <c r="CL58" s="55"/>
      <c r="CM58" s="32"/>
    </row>
    <row r="59" spans="1:91">
      <c r="A59" s="5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31"/>
      <c r="Q59" s="54"/>
      <c r="R59" s="21" t="str">
        <f>IFERROR(VLOOKUP(July[[#This Row],[Drug Name]],'Data Options'!$R$1:$S$100,2,FALSE), " ")</f>
        <v xml:space="preserve"> </v>
      </c>
      <c r="S59" s="55"/>
      <c r="T59" s="32"/>
      <c r="U59" s="32"/>
      <c r="V59" s="55"/>
      <c r="W59" s="32"/>
      <c r="X59" s="54"/>
      <c r="Y59" s="21" t="str">
        <f>IFERROR(VLOOKUP(July[[#This Row],[Drug Name2]],'Data Options'!$R$1:$S$100,2,FALSE), " ")</f>
        <v xml:space="preserve"> </v>
      </c>
      <c r="Z59" s="55"/>
      <c r="AA59" s="32"/>
      <c r="AB59" s="32"/>
      <c r="AC59" s="55"/>
      <c r="AD59" s="32"/>
      <c r="AE59" s="54"/>
      <c r="AF59" s="21" t="str">
        <f>IFERROR(VLOOKUP(July[[#This Row],[Drug Name3]],'Data Options'!$R$1:$S$100,2,FALSE), " ")</f>
        <v xml:space="preserve"> </v>
      </c>
      <c r="AG59" s="55"/>
      <c r="AH59" s="32"/>
      <c r="AI59" s="32"/>
      <c r="AJ59" s="55"/>
      <c r="AK59" s="32"/>
      <c r="AL59" s="32"/>
      <c r="AM59" s="32"/>
      <c r="AN59" s="32"/>
      <c r="AO59" s="32"/>
      <c r="AP59" s="31"/>
      <c r="AQ59" s="31"/>
      <c r="AR59" s="54"/>
      <c r="AS59" s="21" t="str">
        <f>IFERROR(VLOOKUP(July[[#This Row],[Drug Name4]],'Data Options'!$R$1:$S$100,2,FALSE), " ")</f>
        <v xml:space="preserve"> </v>
      </c>
      <c r="AT59" s="55"/>
      <c r="AU59" s="32"/>
      <c r="AV59" s="32"/>
      <c r="AW59" s="55"/>
      <c r="AX59" s="32"/>
      <c r="AY59" s="54"/>
      <c r="AZ59" s="21" t="str">
        <f>IFERROR(VLOOKUP(July[[#This Row],[Drug Name5]],'Data Options'!$R$1:$S$100,2,FALSE), " ")</f>
        <v xml:space="preserve"> </v>
      </c>
      <c r="BA59" s="55"/>
      <c r="BB59" s="32"/>
      <c r="BC59" s="32"/>
      <c r="BD59" s="55"/>
      <c r="BE59" s="32"/>
      <c r="BF59" s="54"/>
      <c r="BG59" s="21" t="str">
        <f>IFERROR(VLOOKUP(July[[#This Row],[Drug Name6]],'Data Options'!$R$1:$S$100,2,FALSE), " ")</f>
        <v xml:space="preserve"> </v>
      </c>
      <c r="BH59" s="55"/>
      <c r="BI59" s="32"/>
      <c r="BJ59" s="32"/>
      <c r="BK59" s="55"/>
      <c r="BL59" s="32"/>
      <c r="BM59" s="32"/>
      <c r="BN59" s="32"/>
      <c r="BO59" s="32"/>
      <c r="BP59" s="32"/>
      <c r="BQ59" s="31"/>
      <c r="BR59" s="31"/>
      <c r="BS59" s="54"/>
      <c r="BT59" s="21" t="str">
        <f>IFERROR(VLOOKUP(July[[#This Row],[Drug Name7]],'Data Options'!$R$1:$S$100,2,FALSE), " ")</f>
        <v xml:space="preserve"> </v>
      </c>
      <c r="BU59" s="55"/>
      <c r="BV59" s="32"/>
      <c r="BW59" s="32"/>
      <c r="BX59" s="55"/>
      <c r="BY59" s="32"/>
      <c r="BZ59" s="54"/>
      <c r="CA59" s="21" t="str">
        <f>IFERROR(VLOOKUP(July[[#This Row],[Drug Name8]],'Data Options'!$R$1:$S$100,2,FALSE), " ")</f>
        <v xml:space="preserve"> </v>
      </c>
      <c r="CB59" s="55"/>
      <c r="CC59" s="32"/>
      <c r="CD59" s="32"/>
      <c r="CE59" s="55"/>
      <c r="CF59" s="32"/>
      <c r="CG59" s="54"/>
      <c r="CH59" s="21" t="str">
        <f>IFERROR(VLOOKUP(July[[#This Row],[Drug Name9]],'Data Options'!$R$1:$S$100,2,FALSE), " ")</f>
        <v xml:space="preserve"> </v>
      </c>
      <c r="CI59" s="55"/>
      <c r="CJ59" s="32"/>
      <c r="CK59" s="32"/>
      <c r="CL59" s="55"/>
      <c r="CM59" s="32"/>
    </row>
    <row r="60" spans="1:91">
      <c r="A60" s="5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31"/>
      <c r="Q60" s="54"/>
      <c r="R60" s="21" t="str">
        <f>IFERROR(VLOOKUP(July[[#This Row],[Drug Name]],'Data Options'!$R$1:$S$100,2,FALSE), " ")</f>
        <v xml:space="preserve"> </v>
      </c>
      <c r="S60" s="55"/>
      <c r="T60" s="32"/>
      <c r="U60" s="32"/>
      <c r="V60" s="55"/>
      <c r="W60" s="32"/>
      <c r="X60" s="54"/>
      <c r="Y60" s="21" t="str">
        <f>IFERROR(VLOOKUP(July[[#This Row],[Drug Name2]],'Data Options'!$R$1:$S$100,2,FALSE), " ")</f>
        <v xml:space="preserve"> </v>
      </c>
      <c r="Z60" s="55"/>
      <c r="AA60" s="32"/>
      <c r="AB60" s="32"/>
      <c r="AC60" s="55"/>
      <c r="AD60" s="32"/>
      <c r="AE60" s="54"/>
      <c r="AF60" s="21" t="str">
        <f>IFERROR(VLOOKUP(July[[#This Row],[Drug Name3]],'Data Options'!$R$1:$S$100,2,FALSE), " ")</f>
        <v xml:space="preserve"> </v>
      </c>
      <c r="AG60" s="55"/>
      <c r="AH60" s="32"/>
      <c r="AI60" s="32"/>
      <c r="AJ60" s="55"/>
      <c r="AK60" s="32"/>
      <c r="AL60" s="32"/>
      <c r="AM60" s="32"/>
      <c r="AN60" s="32"/>
      <c r="AO60" s="32"/>
      <c r="AP60" s="31"/>
      <c r="AQ60" s="31"/>
      <c r="AR60" s="54"/>
      <c r="AS60" s="21" t="str">
        <f>IFERROR(VLOOKUP(July[[#This Row],[Drug Name4]],'Data Options'!$R$1:$S$100,2,FALSE), " ")</f>
        <v xml:space="preserve"> </v>
      </c>
      <c r="AT60" s="55"/>
      <c r="AU60" s="32"/>
      <c r="AV60" s="32"/>
      <c r="AW60" s="55"/>
      <c r="AX60" s="32"/>
      <c r="AY60" s="54"/>
      <c r="AZ60" s="21" t="str">
        <f>IFERROR(VLOOKUP(July[[#This Row],[Drug Name5]],'Data Options'!$R$1:$S$100,2,FALSE), " ")</f>
        <v xml:space="preserve"> </v>
      </c>
      <c r="BA60" s="55"/>
      <c r="BB60" s="32"/>
      <c r="BC60" s="32"/>
      <c r="BD60" s="55"/>
      <c r="BE60" s="32"/>
      <c r="BF60" s="54"/>
      <c r="BG60" s="21" t="str">
        <f>IFERROR(VLOOKUP(July[[#This Row],[Drug Name6]],'Data Options'!$R$1:$S$100,2,FALSE), " ")</f>
        <v xml:space="preserve"> </v>
      </c>
      <c r="BH60" s="55"/>
      <c r="BI60" s="32"/>
      <c r="BJ60" s="32"/>
      <c r="BK60" s="55"/>
      <c r="BL60" s="32"/>
      <c r="BM60" s="32"/>
      <c r="BN60" s="32"/>
      <c r="BO60" s="32"/>
      <c r="BP60" s="32"/>
      <c r="BQ60" s="31"/>
      <c r="BR60" s="31"/>
      <c r="BS60" s="54"/>
      <c r="BT60" s="21" t="str">
        <f>IFERROR(VLOOKUP(July[[#This Row],[Drug Name7]],'Data Options'!$R$1:$S$100,2,FALSE), " ")</f>
        <v xml:space="preserve"> </v>
      </c>
      <c r="BU60" s="55"/>
      <c r="BV60" s="32"/>
      <c r="BW60" s="32"/>
      <c r="BX60" s="55"/>
      <c r="BY60" s="32"/>
      <c r="BZ60" s="54"/>
      <c r="CA60" s="21" t="str">
        <f>IFERROR(VLOOKUP(July[[#This Row],[Drug Name8]],'Data Options'!$R$1:$S$100,2,FALSE), " ")</f>
        <v xml:space="preserve"> </v>
      </c>
      <c r="CB60" s="55"/>
      <c r="CC60" s="32"/>
      <c r="CD60" s="32"/>
      <c r="CE60" s="55"/>
      <c r="CF60" s="32"/>
      <c r="CG60" s="54"/>
      <c r="CH60" s="21" t="str">
        <f>IFERROR(VLOOKUP(July[[#This Row],[Drug Name9]],'Data Options'!$R$1:$S$100,2,FALSE), " ")</f>
        <v xml:space="preserve"> </v>
      </c>
      <c r="CI60" s="55"/>
      <c r="CJ60" s="32"/>
      <c r="CK60" s="32"/>
      <c r="CL60" s="55"/>
      <c r="CM60" s="32"/>
    </row>
    <row r="61" spans="1:91">
      <c r="A61" s="5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31"/>
      <c r="Q61" s="54"/>
      <c r="R61" s="21" t="str">
        <f>IFERROR(VLOOKUP(July[[#This Row],[Drug Name]],'Data Options'!$R$1:$S$100,2,FALSE), " ")</f>
        <v xml:space="preserve"> </v>
      </c>
      <c r="S61" s="55"/>
      <c r="T61" s="32"/>
      <c r="U61" s="32"/>
      <c r="V61" s="55"/>
      <c r="W61" s="32"/>
      <c r="X61" s="54"/>
      <c r="Y61" s="21" t="str">
        <f>IFERROR(VLOOKUP(July[[#This Row],[Drug Name2]],'Data Options'!$R$1:$S$100,2,FALSE), " ")</f>
        <v xml:space="preserve"> </v>
      </c>
      <c r="Z61" s="55"/>
      <c r="AA61" s="32"/>
      <c r="AB61" s="32"/>
      <c r="AC61" s="55"/>
      <c r="AD61" s="32"/>
      <c r="AE61" s="54"/>
      <c r="AF61" s="21" t="str">
        <f>IFERROR(VLOOKUP(July[[#This Row],[Drug Name3]],'Data Options'!$R$1:$S$100,2,FALSE), " ")</f>
        <v xml:space="preserve"> </v>
      </c>
      <c r="AG61" s="55"/>
      <c r="AH61" s="32"/>
      <c r="AI61" s="32"/>
      <c r="AJ61" s="55"/>
      <c r="AK61" s="32"/>
      <c r="AL61" s="32"/>
      <c r="AM61" s="32"/>
      <c r="AN61" s="32"/>
      <c r="AO61" s="32"/>
      <c r="AP61" s="31"/>
      <c r="AQ61" s="31"/>
      <c r="AR61" s="54"/>
      <c r="AS61" s="21" t="str">
        <f>IFERROR(VLOOKUP(July[[#This Row],[Drug Name4]],'Data Options'!$R$1:$S$100,2,FALSE), " ")</f>
        <v xml:space="preserve"> </v>
      </c>
      <c r="AT61" s="55"/>
      <c r="AU61" s="32"/>
      <c r="AV61" s="32"/>
      <c r="AW61" s="55"/>
      <c r="AX61" s="32"/>
      <c r="AY61" s="54"/>
      <c r="AZ61" s="21" t="str">
        <f>IFERROR(VLOOKUP(July[[#This Row],[Drug Name5]],'Data Options'!$R$1:$S$100,2,FALSE), " ")</f>
        <v xml:space="preserve"> </v>
      </c>
      <c r="BA61" s="55"/>
      <c r="BB61" s="32"/>
      <c r="BC61" s="32"/>
      <c r="BD61" s="55"/>
      <c r="BE61" s="32"/>
      <c r="BF61" s="54"/>
      <c r="BG61" s="21" t="str">
        <f>IFERROR(VLOOKUP(July[[#This Row],[Drug Name6]],'Data Options'!$R$1:$S$100,2,FALSE), " ")</f>
        <v xml:space="preserve"> </v>
      </c>
      <c r="BH61" s="55"/>
      <c r="BI61" s="32"/>
      <c r="BJ61" s="32"/>
      <c r="BK61" s="55"/>
      <c r="BL61" s="32"/>
      <c r="BM61" s="32"/>
      <c r="BN61" s="32"/>
      <c r="BO61" s="32"/>
      <c r="BP61" s="32"/>
      <c r="BQ61" s="31"/>
      <c r="BR61" s="31"/>
      <c r="BS61" s="54"/>
      <c r="BT61" s="21" t="str">
        <f>IFERROR(VLOOKUP(July[[#This Row],[Drug Name7]],'Data Options'!$R$1:$S$100,2,FALSE), " ")</f>
        <v xml:space="preserve"> </v>
      </c>
      <c r="BU61" s="55"/>
      <c r="BV61" s="32"/>
      <c r="BW61" s="32"/>
      <c r="BX61" s="55"/>
      <c r="BY61" s="32"/>
      <c r="BZ61" s="54"/>
      <c r="CA61" s="21" t="str">
        <f>IFERROR(VLOOKUP(July[[#This Row],[Drug Name8]],'Data Options'!$R$1:$S$100,2,FALSE), " ")</f>
        <v xml:space="preserve"> </v>
      </c>
      <c r="CB61" s="55"/>
      <c r="CC61" s="32"/>
      <c r="CD61" s="32"/>
      <c r="CE61" s="55"/>
      <c r="CF61" s="32"/>
      <c r="CG61" s="54"/>
      <c r="CH61" s="21" t="str">
        <f>IFERROR(VLOOKUP(July[[#This Row],[Drug Name9]],'Data Options'!$R$1:$S$100,2,FALSE), " ")</f>
        <v xml:space="preserve"> </v>
      </c>
      <c r="CI61" s="55"/>
      <c r="CJ61" s="32"/>
      <c r="CK61" s="32"/>
      <c r="CL61" s="55"/>
      <c r="CM61" s="32"/>
    </row>
    <row r="62" spans="1:9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31"/>
      <c r="Q62" s="54"/>
      <c r="R62" s="21" t="str">
        <f>IFERROR(VLOOKUP(July[[#This Row],[Drug Name]],'Data Options'!$R$1:$S$100,2,FALSE), " ")</f>
        <v xml:space="preserve"> </v>
      </c>
      <c r="S62" s="55"/>
      <c r="T62" s="32"/>
      <c r="U62" s="32"/>
      <c r="V62" s="55"/>
      <c r="W62" s="32"/>
      <c r="X62" s="54"/>
      <c r="Y62" s="21" t="str">
        <f>IFERROR(VLOOKUP(July[[#This Row],[Drug Name2]],'Data Options'!$R$1:$S$100,2,FALSE), " ")</f>
        <v xml:space="preserve"> </v>
      </c>
      <c r="Z62" s="55"/>
      <c r="AA62" s="32"/>
      <c r="AB62" s="32"/>
      <c r="AC62" s="55"/>
      <c r="AD62" s="32"/>
      <c r="AE62" s="54"/>
      <c r="AF62" s="21" t="str">
        <f>IFERROR(VLOOKUP(July[[#This Row],[Drug Name3]],'Data Options'!$R$1:$S$100,2,FALSE), " ")</f>
        <v xml:space="preserve"> </v>
      </c>
      <c r="AG62" s="55"/>
      <c r="AH62" s="32"/>
      <c r="AI62" s="32"/>
      <c r="AJ62" s="55"/>
      <c r="AK62" s="32"/>
      <c r="AL62" s="32"/>
      <c r="AM62" s="32"/>
      <c r="AN62" s="32"/>
      <c r="AO62" s="32"/>
      <c r="AP62" s="31"/>
      <c r="AQ62" s="31"/>
      <c r="AR62" s="54"/>
      <c r="AS62" s="21" t="str">
        <f>IFERROR(VLOOKUP(July[[#This Row],[Drug Name4]],'Data Options'!$R$1:$S$100,2,FALSE), " ")</f>
        <v xml:space="preserve"> </v>
      </c>
      <c r="AT62" s="55"/>
      <c r="AU62" s="32"/>
      <c r="AV62" s="32"/>
      <c r="AW62" s="55"/>
      <c r="AX62" s="32"/>
      <c r="AY62" s="54"/>
      <c r="AZ62" s="21" t="str">
        <f>IFERROR(VLOOKUP(July[[#This Row],[Drug Name5]],'Data Options'!$R$1:$S$100,2,FALSE), " ")</f>
        <v xml:space="preserve"> </v>
      </c>
      <c r="BA62" s="55"/>
      <c r="BB62" s="32"/>
      <c r="BC62" s="32"/>
      <c r="BD62" s="55"/>
      <c r="BE62" s="32"/>
      <c r="BF62" s="54"/>
      <c r="BG62" s="21" t="str">
        <f>IFERROR(VLOOKUP(July[[#This Row],[Drug Name6]],'Data Options'!$R$1:$S$100,2,FALSE), " ")</f>
        <v xml:space="preserve"> </v>
      </c>
      <c r="BH62" s="55"/>
      <c r="BI62" s="32"/>
      <c r="BJ62" s="32"/>
      <c r="BK62" s="55"/>
      <c r="BL62" s="32"/>
      <c r="BM62" s="32"/>
      <c r="BN62" s="32"/>
      <c r="BO62" s="32"/>
      <c r="BP62" s="32"/>
      <c r="BQ62" s="31"/>
      <c r="BR62" s="31"/>
      <c r="BS62" s="54"/>
      <c r="BT62" s="21" t="str">
        <f>IFERROR(VLOOKUP(July[[#This Row],[Drug Name7]],'Data Options'!$R$1:$S$100,2,FALSE), " ")</f>
        <v xml:space="preserve"> </v>
      </c>
      <c r="BU62" s="55"/>
      <c r="BV62" s="32"/>
      <c r="BW62" s="32"/>
      <c r="BX62" s="55"/>
      <c r="BY62" s="32"/>
      <c r="BZ62" s="54"/>
      <c r="CA62" s="21" t="str">
        <f>IFERROR(VLOOKUP(July[[#This Row],[Drug Name8]],'Data Options'!$R$1:$S$100,2,FALSE), " ")</f>
        <v xml:space="preserve"> </v>
      </c>
      <c r="CB62" s="55"/>
      <c r="CC62" s="32"/>
      <c r="CD62" s="32"/>
      <c r="CE62" s="55"/>
      <c r="CF62" s="32"/>
      <c r="CG62" s="54"/>
      <c r="CH62" s="21" t="str">
        <f>IFERROR(VLOOKUP(July[[#This Row],[Drug Name9]],'Data Options'!$R$1:$S$100,2,FALSE), " ")</f>
        <v xml:space="preserve"> </v>
      </c>
      <c r="CI62" s="55"/>
      <c r="CJ62" s="32"/>
      <c r="CK62" s="32"/>
      <c r="CL62" s="55"/>
      <c r="CM62" s="32"/>
    </row>
    <row r="63" spans="1:91">
      <c r="A63" s="5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31"/>
      <c r="Q63" s="54"/>
      <c r="R63" s="21" t="str">
        <f>IFERROR(VLOOKUP(July[[#This Row],[Drug Name]],'Data Options'!$R$1:$S$100,2,FALSE), " ")</f>
        <v xml:space="preserve"> </v>
      </c>
      <c r="S63" s="55"/>
      <c r="T63" s="32"/>
      <c r="U63" s="32"/>
      <c r="V63" s="55"/>
      <c r="W63" s="32"/>
      <c r="X63" s="54"/>
      <c r="Y63" s="21" t="str">
        <f>IFERROR(VLOOKUP(July[[#This Row],[Drug Name2]],'Data Options'!$R$1:$S$100,2,FALSE), " ")</f>
        <v xml:space="preserve"> </v>
      </c>
      <c r="Z63" s="55"/>
      <c r="AA63" s="32"/>
      <c r="AB63" s="32"/>
      <c r="AC63" s="55"/>
      <c r="AD63" s="32"/>
      <c r="AE63" s="54"/>
      <c r="AF63" s="21" t="str">
        <f>IFERROR(VLOOKUP(July[[#This Row],[Drug Name3]],'Data Options'!$R$1:$S$100,2,FALSE), " ")</f>
        <v xml:space="preserve"> </v>
      </c>
      <c r="AG63" s="55"/>
      <c r="AH63" s="32"/>
      <c r="AI63" s="32"/>
      <c r="AJ63" s="55"/>
      <c r="AK63" s="32"/>
      <c r="AL63" s="32"/>
      <c r="AM63" s="32"/>
      <c r="AN63" s="32"/>
      <c r="AO63" s="32"/>
      <c r="AP63" s="31"/>
      <c r="AQ63" s="31"/>
      <c r="AR63" s="54"/>
      <c r="AS63" s="21" t="str">
        <f>IFERROR(VLOOKUP(July[[#This Row],[Drug Name4]],'Data Options'!$R$1:$S$100,2,FALSE), " ")</f>
        <v xml:space="preserve"> </v>
      </c>
      <c r="AT63" s="55"/>
      <c r="AU63" s="32"/>
      <c r="AV63" s="32"/>
      <c r="AW63" s="55"/>
      <c r="AX63" s="32"/>
      <c r="AY63" s="54"/>
      <c r="AZ63" s="21" t="str">
        <f>IFERROR(VLOOKUP(July[[#This Row],[Drug Name5]],'Data Options'!$R$1:$S$100,2,FALSE), " ")</f>
        <v xml:space="preserve"> </v>
      </c>
      <c r="BA63" s="55"/>
      <c r="BB63" s="32"/>
      <c r="BC63" s="32"/>
      <c r="BD63" s="55"/>
      <c r="BE63" s="32"/>
      <c r="BF63" s="54"/>
      <c r="BG63" s="21" t="str">
        <f>IFERROR(VLOOKUP(July[[#This Row],[Drug Name6]],'Data Options'!$R$1:$S$100,2,FALSE), " ")</f>
        <v xml:space="preserve"> </v>
      </c>
      <c r="BH63" s="55"/>
      <c r="BI63" s="32"/>
      <c r="BJ63" s="32"/>
      <c r="BK63" s="55"/>
      <c r="BL63" s="32"/>
      <c r="BM63" s="32"/>
      <c r="BN63" s="32"/>
      <c r="BO63" s="32"/>
      <c r="BP63" s="32"/>
      <c r="BQ63" s="31"/>
      <c r="BR63" s="31"/>
      <c r="BS63" s="54"/>
      <c r="BT63" s="21" t="str">
        <f>IFERROR(VLOOKUP(July[[#This Row],[Drug Name7]],'Data Options'!$R$1:$S$100,2,FALSE), " ")</f>
        <v xml:space="preserve"> </v>
      </c>
      <c r="BU63" s="55"/>
      <c r="BV63" s="32"/>
      <c r="BW63" s="32"/>
      <c r="BX63" s="55"/>
      <c r="BY63" s="32"/>
      <c r="BZ63" s="54"/>
      <c r="CA63" s="21" t="str">
        <f>IFERROR(VLOOKUP(July[[#This Row],[Drug Name8]],'Data Options'!$R$1:$S$100,2,FALSE), " ")</f>
        <v xml:space="preserve"> </v>
      </c>
      <c r="CB63" s="55"/>
      <c r="CC63" s="32"/>
      <c r="CD63" s="32"/>
      <c r="CE63" s="55"/>
      <c r="CF63" s="32"/>
      <c r="CG63" s="54"/>
      <c r="CH63" s="21" t="str">
        <f>IFERROR(VLOOKUP(July[[#This Row],[Drug Name9]],'Data Options'!$R$1:$S$100,2,FALSE), " ")</f>
        <v xml:space="preserve"> </v>
      </c>
      <c r="CI63" s="55"/>
      <c r="CJ63" s="32"/>
      <c r="CK63" s="32"/>
      <c r="CL63" s="55"/>
      <c r="CM63" s="32"/>
    </row>
    <row r="64" spans="1:91">
      <c r="A64" s="5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31"/>
      <c r="Q64" s="54"/>
      <c r="R64" s="21" t="str">
        <f>IFERROR(VLOOKUP(July[[#This Row],[Drug Name]],'Data Options'!$R$1:$S$100,2,FALSE), " ")</f>
        <v xml:space="preserve"> </v>
      </c>
      <c r="S64" s="55"/>
      <c r="T64" s="32"/>
      <c r="U64" s="32"/>
      <c r="V64" s="55"/>
      <c r="W64" s="32"/>
      <c r="X64" s="54"/>
      <c r="Y64" s="21" t="str">
        <f>IFERROR(VLOOKUP(July[[#This Row],[Drug Name2]],'Data Options'!$R$1:$S$100,2,FALSE), " ")</f>
        <v xml:space="preserve"> </v>
      </c>
      <c r="Z64" s="55"/>
      <c r="AA64" s="32"/>
      <c r="AB64" s="32"/>
      <c r="AC64" s="55"/>
      <c r="AD64" s="32"/>
      <c r="AE64" s="54"/>
      <c r="AF64" s="21" t="str">
        <f>IFERROR(VLOOKUP(July[[#This Row],[Drug Name3]],'Data Options'!$R$1:$S$100,2,FALSE), " ")</f>
        <v xml:space="preserve"> </v>
      </c>
      <c r="AG64" s="55"/>
      <c r="AH64" s="32"/>
      <c r="AI64" s="32"/>
      <c r="AJ64" s="55"/>
      <c r="AK64" s="32"/>
      <c r="AL64" s="32"/>
      <c r="AM64" s="32"/>
      <c r="AN64" s="32"/>
      <c r="AO64" s="32"/>
      <c r="AP64" s="31"/>
      <c r="AQ64" s="31"/>
      <c r="AR64" s="54"/>
      <c r="AS64" s="21" t="str">
        <f>IFERROR(VLOOKUP(July[[#This Row],[Drug Name4]],'Data Options'!$R$1:$S$100,2,FALSE), " ")</f>
        <v xml:space="preserve"> </v>
      </c>
      <c r="AT64" s="55"/>
      <c r="AU64" s="32"/>
      <c r="AV64" s="32"/>
      <c r="AW64" s="55"/>
      <c r="AX64" s="32"/>
      <c r="AY64" s="54"/>
      <c r="AZ64" s="21" t="str">
        <f>IFERROR(VLOOKUP(July[[#This Row],[Drug Name5]],'Data Options'!$R$1:$S$100,2,FALSE), " ")</f>
        <v xml:space="preserve"> </v>
      </c>
      <c r="BA64" s="55"/>
      <c r="BB64" s="32"/>
      <c r="BC64" s="32"/>
      <c r="BD64" s="55"/>
      <c r="BE64" s="32"/>
      <c r="BF64" s="54"/>
      <c r="BG64" s="21" t="str">
        <f>IFERROR(VLOOKUP(July[[#This Row],[Drug Name6]],'Data Options'!$R$1:$S$100,2,FALSE), " ")</f>
        <v xml:space="preserve"> </v>
      </c>
      <c r="BH64" s="55"/>
      <c r="BI64" s="32"/>
      <c r="BJ64" s="32"/>
      <c r="BK64" s="55"/>
      <c r="BL64" s="32"/>
      <c r="BM64" s="32"/>
      <c r="BN64" s="32"/>
      <c r="BO64" s="32"/>
      <c r="BP64" s="32"/>
      <c r="BQ64" s="31"/>
      <c r="BR64" s="31"/>
      <c r="BS64" s="54"/>
      <c r="BT64" s="21" t="str">
        <f>IFERROR(VLOOKUP(July[[#This Row],[Drug Name7]],'Data Options'!$R$1:$S$100,2,FALSE), " ")</f>
        <v xml:space="preserve"> </v>
      </c>
      <c r="BU64" s="55"/>
      <c r="BV64" s="32"/>
      <c r="BW64" s="32"/>
      <c r="BX64" s="55"/>
      <c r="BY64" s="32"/>
      <c r="BZ64" s="54"/>
      <c r="CA64" s="21" t="str">
        <f>IFERROR(VLOOKUP(July[[#This Row],[Drug Name8]],'Data Options'!$R$1:$S$100,2,FALSE), " ")</f>
        <v xml:space="preserve"> </v>
      </c>
      <c r="CB64" s="55"/>
      <c r="CC64" s="32"/>
      <c r="CD64" s="32"/>
      <c r="CE64" s="55"/>
      <c r="CF64" s="32"/>
      <c r="CG64" s="54"/>
      <c r="CH64" s="21" t="str">
        <f>IFERROR(VLOOKUP(July[[#This Row],[Drug Name9]],'Data Options'!$R$1:$S$100,2,FALSE), " ")</f>
        <v xml:space="preserve"> </v>
      </c>
      <c r="CI64" s="55"/>
      <c r="CJ64" s="32"/>
      <c r="CK64" s="32"/>
      <c r="CL64" s="55"/>
      <c r="CM64" s="32"/>
    </row>
    <row r="65" spans="1:91">
      <c r="A65" s="5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54"/>
      <c r="R65" s="21" t="str">
        <f>IFERROR(VLOOKUP(July[[#This Row],[Drug Name]],'Data Options'!$R$1:$S$100,2,FALSE), " ")</f>
        <v xml:space="preserve"> </v>
      </c>
      <c r="S65" s="55"/>
      <c r="T65" s="32"/>
      <c r="U65" s="32"/>
      <c r="V65" s="55"/>
      <c r="W65" s="32"/>
      <c r="X65" s="54"/>
      <c r="Y65" s="21" t="str">
        <f>IFERROR(VLOOKUP(July[[#This Row],[Drug Name2]],'Data Options'!$R$1:$S$100,2,FALSE), " ")</f>
        <v xml:space="preserve"> </v>
      </c>
      <c r="Z65" s="55"/>
      <c r="AA65" s="32"/>
      <c r="AB65" s="32"/>
      <c r="AC65" s="55"/>
      <c r="AD65" s="32"/>
      <c r="AE65" s="54"/>
      <c r="AF65" s="21" t="str">
        <f>IFERROR(VLOOKUP(July[[#This Row],[Drug Name3]],'Data Options'!$R$1:$S$100,2,FALSE), " ")</f>
        <v xml:space="preserve"> </v>
      </c>
      <c r="AG65" s="55"/>
      <c r="AH65" s="32"/>
      <c r="AI65" s="32"/>
      <c r="AJ65" s="55"/>
      <c r="AK65" s="32"/>
      <c r="AL65" s="32"/>
      <c r="AM65" s="32"/>
      <c r="AN65" s="32"/>
      <c r="AO65" s="32"/>
      <c r="AP65" s="31"/>
      <c r="AQ65" s="31"/>
      <c r="AR65" s="54"/>
      <c r="AS65" s="21" t="str">
        <f>IFERROR(VLOOKUP(July[[#This Row],[Drug Name4]],'Data Options'!$R$1:$S$100,2,FALSE), " ")</f>
        <v xml:space="preserve"> </v>
      </c>
      <c r="AT65" s="55"/>
      <c r="AU65" s="32"/>
      <c r="AV65" s="32"/>
      <c r="AW65" s="55"/>
      <c r="AX65" s="32"/>
      <c r="AY65" s="54"/>
      <c r="AZ65" s="21" t="str">
        <f>IFERROR(VLOOKUP(July[[#This Row],[Drug Name5]],'Data Options'!$R$1:$S$100,2,FALSE), " ")</f>
        <v xml:space="preserve"> </v>
      </c>
      <c r="BA65" s="55"/>
      <c r="BB65" s="32"/>
      <c r="BC65" s="32"/>
      <c r="BD65" s="55"/>
      <c r="BE65" s="32"/>
      <c r="BF65" s="54"/>
      <c r="BG65" s="21" t="str">
        <f>IFERROR(VLOOKUP(July[[#This Row],[Drug Name6]],'Data Options'!$R$1:$S$100,2,FALSE), " ")</f>
        <v xml:space="preserve"> </v>
      </c>
      <c r="BH65" s="55"/>
      <c r="BI65" s="32"/>
      <c r="BJ65" s="32"/>
      <c r="BK65" s="55"/>
      <c r="BL65" s="32"/>
      <c r="BM65" s="32"/>
      <c r="BN65" s="32"/>
      <c r="BO65" s="32"/>
      <c r="BP65" s="32"/>
      <c r="BQ65" s="31"/>
      <c r="BR65" s="31"/>
      <c r="BS65" s="54"/>
      <c r="BT65" s="21" t="str">
        <f>IFERROR(VLOOKUP(July[[#This Row],[Drug Name7]],'Data Options'!$R$1:$S$100,2,FALSE), " ")</f>
        <v xml:space="preserve"> </v>
      </c>
      <c r="BU65" s="55"/>
      <c r="BV65" s="32"/>
      <c r="BW65" s="32"/>
      <c r="BX65" s="55"/>
      <c r="BY65" s="32"/>
      <c r="BZ65" s="54"/>
      <c r="CA65" s="21" t="str">
        <f>IFERROR(VLOOKUP(July[[#This Row],[Drug Name8]],'Data Options'!$R$1:$S$100,2,FALSE), " ")</f>
        <v xml:space="preserve"> </v>
      </c>
      <c r="CB65" s="55"/>
      <c r="CC65" s="32"/>
      <c r="CD65" s="32"/>
      <c r="CE65" s="55"/>
      <c r="CF65" s="32"/>
      <c r="CG65" s="54"/>
      <c r="CH65" s="21" t="str">
        <f>IFERROR(VLOOKUP(July[[#This Row],[Drug Name9]],'Data Options'!$R$1:$S$100,2,FALSE), " ")</f>
        <v xml:space="preserve"> </v>
      </c>
      <c r="CI65" s="55"/>
      <c r="CJ65" s="32"/>
      <c r="CK65" s="32"/>
      <c r="CL65" s="55"/>
      <c r="CM65" s="32"/>
    </row>
    <row r="66" spans="1:91">
      <c r="A66" s="5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31"/>
      <c r="Q66" s="54"/>
      <c r="R66" s="21" t="str">
        <f>IFERROR(VLOOKUP(July[[#This Row],[Drug Name]],'Data Options'!$R$1:$S$100,2,FALSE), " ")</f>
        <v xml:space="preserve"> </v>
      </c>
      <c r="S66" s="55"/>
      <c r="T66" s="32"/>
      <c r="U66" s="32"/>
      <c r="V66" s="55"/>
      <c r="W66" s="32"/>
      <c r="X66" s="54"/>
      <c r="Y66" s="21" t="str">
        <f>IFERROR(VLOOKUP(July[[#This Row],[Drug Name2]],'Data Options'!$R$1:$S$100,2,FALSE), " ")</f>
        <v xml:space="preserve"> </v>
      </c>
      <c r="Z66" s="55"/>
      <c r="AA66" s="32"/>
      <c r="AB66" s="32"/>
      <c r="AC66" s="55"/>
      <c r="AD66" s="32"/>
      <c r="AE66" s="54"/>
      <c r="AF66" s="21" t="str">
        <f>IFERROR(VLOOKUP(July[[#This Row],[Drug Name3]],'Data Options'!$R$1:$S$100,2,FALSE), " ")</f>
        <v xml:space="preserve"> </v>
      </c>
      <c r="AG66" s="55"/>
      <c r="AH66" s="32"/>
      <c r="AI66" s="32"/>
      <c r="AJ66" s="55"/>
      <c r="AK66" s="32"/>
      <c r="AL66" s="32"/>
      <c r="AM66" s="32"/>
      <c r="AN66" s="32"/>
      <c r="AO66" s="32"/>
      <c r="AP66" s="31"/>
      <c r="AQ66" s="31"/>
      <c r="AR66" s="54"/>
      <c r="AS66" s="21" t="str">
        <f>IFERROR(VLOOKUP(July[[#This Row],[Drug Name4]],'Data Options'!$R$1:$S$100,2,FALSE), " ")</f>
        <v xml:space="preserve"> </v>
      </c>
      <c r="AT66" s="55"/>
      <c r="AU66" s="32"/>
      <c r="AV66" s="32"/>
      <c r="AW66" s="55"/>
      <c r="AX66" s="32"/>
      <c r="AY66" s="54"/>
      <c r="AZ66" s="21" t="str">
        <f>IFERROR(VLOOKUP(July[[#This Row],[Drug Name5]],'Data Options'!$R$1:$S$100,2,FALSE), " ")</f>
        <v xml:space="preserve"> </v>
      </c>
      <c r="BA66" s="55"/>
      <c r="BB66" s="32"/>
      <c r="BC66" s="32"/>
      <c r="BD66" s="55"/>
      <c r="BE66" s="32"/>
      <c r="BF66" s="54"/>
      <c r="BG66" s="21" t="str">
        <f>IFERROR(VLOOKUP(July[[#This Row],[Drug Name6]],'Data Options'!$R$1:$S$100,2,FALSE), " ")</f>
        <v xml:space="preserve"> </v>
      </c>
      <c r="BH66" s="55"/>
      <c r="BI66" s="32"/>
      <c r="BJ66" s="32"/>
      <c r="BK66" s="55"/>
      <c r="BL66" s="32"/>
      <c r="BM66" s="32"/>
      <c r="BN66" s="32"/>
      <c r="BO66" s="32"/>
      <c r="BP66" s="32"/>
      <c r="BQ66" s="31"/>
      <c r="BR66" s="31"/>
      <c r="BS66" s="54"/>
      <c r="BT66" s="21" t="str">
        <f>IFERROR(VLOOKUP(July[[#This Row],[Drug Name7]],'Data Options'!$R$1:$S$100,2,FALSE), " ")</f>
        <v xml:space="preserve"> </v>
      </c>
      <c r="BU66" s="55"/>
      <c r="BV66" s="32"/>
      <c r="BW66" s="32"/>
      <c r="BX66" s="55"/>
      <c r="BY66" s="32"/>
      <c r="BZ66" s="54"/>
      <c r="CA66" s="21" t="str">
        <f>IFERROR(VLOOKUP(July[[#This Row],[Drug Name8]],'Data Options'!$R$1:$S$100,2,FALSE), " ")</f>
        <v xml:space="preserve"> </v>
      </c>
      <c r="CB66" s="55"/>
      <c r="CC66" s="32"/>
      <c r="CD66" s="32"/>
      <c r="CE66" s="55"/>
      <c r="CF66" s="32"/>
      <c r="CG66" s="54"/>
      <c r="CH66" s="21" t="str">
        <f>IFERROR(VLOOKUP(July[[#This Row],[Drug Name9]],'Data Options'!$R$1:$S$100,2,FALSE), " ")</f>
        <v xml:space="preserve"> </v>
      </c>
      <c r="CI66" s="55"/>
      <c r="CJ66" s="32"/>
      <c r="CK66" s="32"/>
      <c r="CL66" s="55"/>
      <c r="CM66" s="32"/>
    </row>
    <row r="67" spans="1:91">
      <c r="A67" s="5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31"/>
      <c r="Q67" s="54"/>
      <c r="R67" s="21" t="str">
        <f>IFERROR(VLOOKUP(July[[#This Row],[Drug Name]],'Data Options'!$R$1:$S$100,2,FALSE), " ")</f>
        <v xml:space="preserve"> </v>
      </c>
      <c r="S67" s="55"/>
      <c r="T67" s="32"/>
      <c r="U67" s="32"/>
      <c r="V67" s="55"/>
      <c r="W67" s="32"/>
      <c r="X67" s="54"/>
      <c r="Y67" s="21" t="str">
        <f>IFERROR(VLOOKUP(July[[#This Row],[Drug Name2]],'Data Options'!$R$1:$S$100,2,FALSE), " ")</f>
        <v xml:space="preserve"> </v>
      </c>
      <c r="Z67" s="55"/>
      <c r="AA67" s="32"/>
      <c r="AB67" s="32"/>
      <c r="AC67" s="55"/>
      <c r="AD67" s="32"/>
      <c r="AE67" s="54"/>
      <c r="AF67" s="21" t="str">
        <f>IFERROR(VLOOKUP(July[[#This Row],[Drug Name3]],'Data Options'!$R$1:$S$100,2,FALSE), " ")</f>
        <v xml:space="preserve"> </v>
      </c>
      <c r="AG67" s="55"/>
      <c r="AH67" s="32"/>
      <c r="AI67" s="32"/>
      <c r="AJ67" s="55"/>
      <c r="AK67" s="32"/>
      <c r="AL67" s="32"/>
      <c r="AM67" s="32"/>
      <c r="AN67" s="32"/>
      <c r="AO67" s="32"/>
      <c r="AP67" s="31"/>
      <c r="AQ67" s="31"/>
      <c r="AR67" s="54"/>
      <c r="AS67" s="21" t="str">
        <f>IFERROR(VLOOKUP(July[[#This Row],[Drug Name4]],'Data Options'!$R$1:$S$100,2,FALSE), " ")</f>
        <v xml:space="preserve"> </v>
      </c>
      <c r="AT67" s="55"/>
      <c r="AU67" s="32"/>
      <c r="AV67" s="32"/>
      <c r="AW67" s="55"/>
      <c r="AX67" s="32"/>
      <c r="AY67" s="54"/>
      <c r="AZ67" s="21" t="str">
        <f>IFERROR(VLOOKUP(July[[#This Row],[Drug Name5]],'Data Options'!$R$1:$S$100,2,FALSE), " ")</f>
        <v xml:space="preserve"> </v>
      </c>
      <c r="BA67" s="55"/>
      <c r="BB67" s="32"/>
      <c r="BC67" s="32"/>
      <c r="BD67" s="55"/>
      <c r="BE67" s="32"/>
      <c r="BF67" s="54"/>
      <c r="BG67" s="21" t="str">
        <f>IFERROR(VLOOKUP(July[[#This Row],[Drug Name6]],'Data Options'!$R$1:$S$100,2,FALSE), " ")</f>
        <v xml:space="preserve"> </v>
      </c>
      <c r="BH67" s="55"/>
      <c r="BI67" s="32"/>
      <c r="BJ67" s="32"/>
      <c r="BK67" s="55"/>
      <c r="BL67" s="32"/>
      <c r="BM67" s="32"/>
      <c r="BN67" s="32"/>
      <c r="BO67" s="32"/>
      <c r="BP67" s="32"/>
      <c r="BQ67" s="31"/>
      <c r="BR67" s="31"/>
      <c r="BS67" s="54"/>
      <c r="BT67" s="21" t="str">
        <f>IFERROR(VLOOKUP(July[[#This Row],[Drug Name7]],'Data Options'!$R$1:$S$100,2,FALSE), " ")</f>
        <v xml:space="preserve"> </v>
      </c>
      <c r="BU67" s="55"/>
      <c r="BV67" s="32"/>
      <c r="BW67" s="32"/>
      <c r="BX67" s="55"/>
      <c r="BY67" s="32"/>
      <c r="BZ67" s="54"/>
      <c r="CA67" s="21" t="str">
        <f>IFERROR(VLOOKUP(July[[#This Row],[Drug Name8]],'Data Options'!$R$1:$S$100,2,FALSE), " ")</f>
        <v xml:space="preserve"> </v>
      </c>
      <c r="CB67" s="55"/>
      <c r="CC67" s="32"/>
      <c r="CD67" s="32"/>
      <c r="CE67" s="55"/>
      <c r="CF67" s="32"/>
      <c r="CG67" s="54"/>
      <c r="CH67" s="21" t="str">
        <f>IFERROR(VLOOKUP(July[[#This Row],[Drug Name9]],'Data Options'!$R$1:$S$100,2,FALSE), " ")</f>
        <v xml:space="preserve"> </v>
      </c>
      <c r="CI67" s="55"/>
      <c r="CJ67" s="32"/>
      <c r="CK67" s="32"/>
      <c r="CL67" s="55"/>
      <c r="CM67" s="32"/>
    </row>
    <row r="68" spans="1:91">
      <c r="A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31"/>
      <c r="Q68" s="54"/>
      <c r="R68" s="21" t="str">
        <f>IFERROR(VLOOKUP(July[[#This Row],[Drug Name]],'Data Options'!$R$1:$S$100,2,FALSE), " ")</f>
        <v xml:space="preserve"> </v>
      </c>
      <c r="S68" s="55"/>
      <c r="T68" s="32"/>
      <c r="U68" s="32"/>
      <c r="V68" s="55"/>
      <c r="W68" s="32"/>
      <c r="X68" s="54"/>
      <c r="Y68" s="21" t="str">
        <f>IFERROR(VLOOKUP(July[[#This Row],[Drug Name2]],'Data Options'!$R$1:$S$100,2,FALSE), " ")</f>
        <v xml:space="preserve"> </v>
      </c>
      <c r="Z68" s="55"/>
      <c r="AA68" s="32"/>
      <c r="AB68" s="32"/>
      <c r="AC68" s="55"/>
      <c r="AD68" s="32"/>
      <c r="AE68" s="54"/>
      <c r="AF68" s="21" t="str">
        <f>IFERROR(VLOOKUP(July[[#This Row],[Drug Name3]],'Data Options'!$R$1:$S$100,2,FALSE), " ")</f>
        <v xml:space="preserve"> </v>
      </c>
      <c r="AG68" s="55"/>
      <c r="AH68" s="32"/>
      <c r="AI68" s="32"/>
      <c r="AJ68" s="55"/>
      <c r="AK68" s="32"/>
      <c r="AL68" s="32"/>
      <c r="AM68" s="32"/>
      <c r="AN68" s="32"/>
      <c r="AO68" s="32"/>
      <c r="AP68" s="31"/>
      <c r="AQ68" s="31"/>
      <c r="AR68" s="54"/>
      <c r="AS68" s="21" t="str">
        <f>IFERROR(VLOOKUP(July[[#This Row],[Drug Name4]],'Data Options'!$R$1:$S$100,2,FALSE), " ")</f>
        <v xml:space="preserve"> </v>
      </c>
      <c r="AT68" s="55"/>
      <c r="AU68" s="32"/>
      <c r="AV68" s="32"/>
      <c r="AW68" s="55"/>
      <c r="AX68" s="32"/>
      <c r="AY68" s="54"/>
      <c r="AZ68" s="21" t="str">
        <f>IFERROR(VLOOKUP(July[[#This Row],[Drug Name5]],'Data Options'!$R$1:$S$100,2,FALSE), " ")</f>
        <v xml:space="preserve"> </v>
      </c>
      <c r="BA68" s="55"/>
      <c r="BB68" s="32"/>
      <c r="BC68" s="32"/>
      <c r="BD68" s="55"/>
      <c r="BE68" s="32"/>
      <c r="BF68" s="54"/>
      <c r="BG68" s="21" t="str">
        <f>IFERROR(VLOOKUP(July[[#This Row],[Drug Name6]],'Data Options'!$R$1:$S$100,2,FALSE), " ")</f>
        <v xml:space="preserve"> </v>
      </c>
      <c r="BH68" s="55"/>
      <c r="BI68" s="32"/>
      <c r="BJ68" s="32"/>
      <c r="BK68" s="55"/>
      <c r="BL68" s="32"/>
      <c r="BM68" s="32"/>
      <c r="BN68" s="32"/>
      <c r="BO68" s="32"/>
      <c r="BP68" s="32"/>
      <c r="BQ68" s="31"/>
      <c r="BR68" s="31"/>
      <c r="BS68" s="54"/>
      <c r="BT68" s="21" t="str">
        <f>IFERROR(VLOOKUP(July[[#This Row],[Drug Name7]],'Data Options'!$R$1:$S$100,2,FALSE), " ")</f>
        <v xml:space="preserve"> </v>
      </c>
      <c r="BU68" s="55"/>
      <c r="BV68" s="32"/>
      <c r="BW68" s="32"/>
      <c r="BX68" s="55"/>
      <c r="BY68" s="32"/>
      <c r="BZ68" s="54"/>
      <c r="CA68" s="21" t="str">
        <f>IFERROR(VLOOKUP(July[[#This Row],[Drug Name8]],'Data Options'!$R$1:$S$100,2,FALSE), " ")</f>
        <v xml:space="preserve"> </v>
      </c>
      <c r="CB68" s="55"/>
      <c r="CC68" s="32"/>
      <c r="CD68" s="32"/>
      <c r="CE68" s="55"/>
      <c r="CF68" s="32"/>
      <c r="CG68" s="54"/>
      <c r="CH68" s="21" t="str">
        <f>IFERROR(VLOOKUP(July[[#This Row],[Drug Name9]],'Data Options'!$R$1:$S$100,2,FALSE), " ")</f>
        <v xml:space="preserve"> </v>
      </c>
      <c r="CI68" s="55"/>
      <c r="CJ68" s="32"/>
      <c r="CK68" s="32"/>
      <c r="CL68" s="55"/>
      <c r="CM68" s="32"/>
    </row>
    <row r="69" spans="1:91">
      <c r="A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31"/>
      <c r="Q69" s="54"/>
      <c r="R69" s="21" t="str">
        <f>IFERROR(VLOOKUP(July[[#This Row],[Drug Name]],'Data Options'!$R$1:$S$100,2,FALSE), " ")</f>
        <v xml:space="preserve"> </v>
      </c>
      <c r="S69" s="55"/>
      <c r="T69" s="32"/>
      <c r="U69" s="32"/>
      <c r="V69" s="55"/>
      <c r="W69" s="32"/>
      <c r="X69" s="54"/>
      <c r="Y69" s="21" t="str">
        <f>IFERROR(VLOOKUP(July[[#This Row],[Drug Name2]],'Data Options'!$R$1:$S$100,2,FALSE), " ")</f>
        <v xml:space="preserve"> </v>
      </c>
      <c r="Z69" s="55"/>
      <c r="AA69" s="32"/>
      <c r="AB69" s="32"/>
      <c r="AC69" s="55"/>
      <c r="AD69" s="32"/>
      <c r="AE69" s="54"/>
      <c r="AF69" s="21" t="str">
        <f>IFERROR(VLOOKUP(July[[#This Row],[Drug Name3]],'Data Options'!$R$1:$S$100,2,FALSE), " ")</f>
        <v xml:space="preserve"> </v>
      </c>
      <c r="AG69" s="55"/>
      <c r="AH69" s="32"/>
      <c r="AI69" s="32"/>
      <c r="AJ69" s="55"/>
      <c r="AK69" s="32"/>
      <c r="AL69" s="32"/>
      <c r="AM69" s="32"/>
      <c r="AN69" s="32"/>
      <c r="AO69" s="32"/>
      <c r="AP69" s="31"/>
      <c r="AQ69" s="31"/>
      <c r="AR69" s="54"/>
      <c r="AS69" s="21" t="str">
        <f>IFERROR(VLOOKUP(July[[#This Row],[Drug Name4]],'Data Options'!$R$1:$S$100,2,FALSE), " ")</f>
        <v xml:space="preserve"> </v>
      </c>
      <c r="AT69" s="55"/>
      <c r="AU69" s="32"/>
      <c r="AV69" s="32"/>
      <c r="AW69" s="55"/>
      <c r="AX69" s="32"/>
      <c r="AY69" s="54"/>
      <c r="AZ69" s="21" t="str">
        <f>IFERROR(VLOOKUP(July[[#This Row],[Drug Name5]],'Data Options'!$R$1:$S$100,2,FALSE), " ")</f>
        <v xml:space="preserve"> </v>
      </c>
      <c r="BA69" s="55"/>
      <c r="BB69" s="32"/>
      <c r="BC69" s="32"/>
      <c r="BD69" s="55"/>
      <c r="BE69" s="32"/>
      <c r="BF69" s="54"/>
      <c r="BG69" s="21" t="str">
        <f>IFERROR(VLOOKUP(July[[#This Row],[Drug Name6]],'Data Options'!$R$1:$S$100,2,FALSE), " ")</f>
        <v xml:space="preserve"> </v>
      </c>
      <c r="BH69" s="55"/>
      <c r="BI69" s="32"/>
      <c r="BJ69" s="32"/>
      <c r="BK69" s="55"/>
      <c r="BL69" s="32"/>
      <c r="BM69" s="32"/>
      <c r="BN69" s="32"/>
      <c r="BO69" s="32"/>
      <c r="BP69" s="32"/>
      <c r="BQ69" s="31"/>
      <c r="BR69" s="31"/>
      <c r="BS69" s="54"/>
      <c r="BT69" s="21" t="str">
        <f>IFERROR(VLOOKUP(July[[#This Row],[Drug Name7]],'Data Options'!$R$1:$S$100,2,FALSE), " ")</f>
        <v xml:space="preserve"> </v>
      </c>
      <c r="BU69" s="55"/>
      <c r="BV69" s="32"/>
      <c r="BW69" s="32"/>
      <c r="BX69" s="55"/>
      <c r="BY69" s="32"/>
      <c r="BZ69" s="54"/>
      <c r="CA69" s="21" t="str">
        <f>IFERROR(VLOOKUP(July[[#This Row],[Drug Name8]],'Data Options'!$R$1:$S$100,2,FALSE), " ")</f>
        <v xml:space="preserve"> </v>
      </c>
      <c r="CB69" s="55"/>
      <c r="CC69" s="32"/>
      <c r="CD69" s="32"/>
      <c r="CE69" s="55"/>
      <c r="CF69" s="32"/>
      <c r="CG69" s="54"/>
      <c r="CH69" s="21" t="str">
        <f>IFERROR(VLOOKUP(July[[#This Row],[Drug Name9]],'Data Options'!$R$1:$S$100,2,FALSE), " ")</f>
        <v xml:space="preserve"> </v>
      </c>
      <c r="CI69" s="55"/>
      <c r="CJ69" s="32"/>
      <c r="CK69" s="32"/>
      <c r="CL69" s="55"/>
      <c r="CM69" s="32"/>
    </row>
    <row r="70" spans="1:91">
      <c r="A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31"/>
      <c r="Q70" s="54"/>
      <c r="R70" s="21" t="str">
        <f>IFERROR(VLOOKUP(July[[#This Row],[Drug Name]],'Data Options'!$R$1:$S$100,2,FALSE), " ")</f>
        <v xml:space="preserve"> </v>
      </c>
      <c r="S70" s="55"/>
      <c r="T70" s="32"/>
      <c r="U70" s="32"/>
      <c r="V70" s="55"/>
      <c r="W70" s="32"/>
      <c r="X70" s="54"/>
      <c r="Y70" s="21" t="str">
        <f>IFERROR(VLOOKUP(July[[#This Row],[Drug Name2]],'Data Options'!$R$1:$S$100,2,FALSE), " ")</f>
        <v xml:space="preserve"> </v>
      </c>
      <c r="Z70" s="55"/>
      <c r="AA70" s="32"/>
      <c r="AB70" s="32"/>
      <c r="AC70" s="55"/>
      <c r="AD70" s="32"/>
      <c r="AE70" s="54"/>
      <c r="AF70" s="21" t="str">
        <f>IFERROR(VLOOKUP(July[[#This Row],[Drug Name3]],'Data Options'!$R$1:$S$100,2,FALSE), " ")</f>
        <v xml:space="preserve"> </v>
      </c>
      <c r="AG70" s="55"/>
      <c r="AH70" s="32"/>
      <c r="AI70" s="32"/>
      <c r="AJ70" s="55"/>
      <c r="AK70" s="32"/>
      <c r="AL70" s="32"/>
      <c r="AM70" s="32"/>
      <c r="AN70" s="32"/>
      <c r="AO70" s="32"/>
      <c r="AP70" s="31"/>
      <c r="AQ70" s="31"/>
      <c r="AR70" s="54"/>
      <c r="AS70" s="21" t="str">
        <f>IFERROR(VLOOKUP(July[[#This Row],[Drug Name4]],'Data Options'!$R$1:$S$100,2,FALSE), " ")</f>
        <v xml:space="preserve"> </v>
      </c>
      <c r="AT70" s="55"/>
      <c r="AU70" s="32"/>
      <c r="AV70" s="32"/>
      <c r="AW70" s="55"/>
      <c r="AX70" s="32"/>
      <c r="AY70" s="54"/>
      <c r="AZ70" s="21" t="str">
        <f>IFERROR(VLOOKUP(July[[#This Row],[Drug Name5]],'Data Options'!$R$1:$S$100,2,FALSE), " ")</f>
        <v xml:space="preserve"> </v>
      </c>
      <c r="BA70" s="55"/>
      <c r="BB70" s="32"/>
      <c r="BC70" s="32"/>
      <c r="BD70" s="55"/>
      <c r="BE70" s="32"/>
      <c r="BF70" s="54"/>
      <c r="BG70" s="21" t="str">
        <f>IFERROR(VLOOKUP(July[[#This Row],[Drug Name6]],'Data Options'!$R$1:$S$100,2,FALSE), " ")</f>
        <v xml:space="preserve"> </v>
      </c>
      <c r="BH70" s="55"/>
      <c r="BI70" s="32"/>
      <c r="BJ70" s="32"/>
      <c r="BK70" s="55"/>
      <c r="BL70" s="32"/>
      <c r="BM70" s="32"/>
      <c r="BN70" s="32"/>
      <c r="BO70" s="32"/>
      <c r="BP70" s="32"/>
      <c r="BQ70" s="31"/>
      <c r="BR70" s="31"/>
      <c r="BS70" s="54"/>
      <c r="BT70" s="21" t="str">
        <f>IFERROR(VLOOKUP(July[[#This Row],[Drug Name7]],'Data Options'!$R$1:$S$100,2,FALSE), " ")</f>
        <v xml:space="preserve"> </v>
      </c>
      <c r="BU70" s="55"/>
      <c r="BV70" s="32"/>
      <c r="BW70" s="32"/>
      <c r="BX70" s="55"/>
      <c r="BY70" s="32"/>
      <c r="BZ70" s="54"/>
      <c r="CA70" s="21" t="str">
        <f>IFERROR(VLOOKUP(July[[#This Row],[Drug Name8]],'Data Options'!$R$1:$S$100,2,FALSE), " ")</f>
        <v xml:space="preserve"> </v>
      </c>
      <c r="CB70" s="55"/>
      <c r="CC70" s="32"/>
      <c r="CD70" s="32"/>
      <c r="CE70" s="55"/>
      <c r="CF70" s="32"/>
      <c r="CG70" s="54"/>
      <c r="CH70" s="21" t="str">
        <f>IFERROR(VLOOKUP(July[[#This Row],[Drug Name9]],'Data Options'!$R$1:$S$100,2,FALSE), " ")</f>
        <v xml:space="preserve"> </v>
      </c>
      <c r="CI70" s="55"/>
      <c r="CJ70" s="32"/>
      <c r="CK70" s="32"/>
      <c r="CL70" s="55"/>
      <c r="CM70" s="32"/>
    </row>
    <row r="71" spans="1:91">
      <c r="A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31"/>
      <c r="Q71" s="54"/>
      <c r="R71" s="21" t="str">
        <f>IFERROR(VLOOKUP(July[[#This Row],[Drug Name]],'Data Options'!$R$1:$S$100,2,FALSE), " ")</f>
        <v xml:space="preserve"> </v>
      </c>
      <c r="S71" s="55"/>
      <c r="T71" s="32"/>
      <c r="U71" s="32"/>
      <c r="V71" s="55"/>
      <c r="W71" s="32"/>
      <c r="X71" s="54"/>
      <c r="Y71" s="21" t="str">
        <f>IFERROR(VLOOKUP(July[[#This Row],[Drug Name2]],'Data Options'!$R$1:$S$100,2,FALSE), " ")</f>
        <v xml:space="preserve"> </v>
      </c>
      <c r="Z71" s="55"/>
      <c r="AA71" s="32"/>
      <c r="AB71" s="32"/>
      <c r="AC71" s="55"/>
      <c r="AD71" s="32"/>
      <c r="AE71" s="54"/>
      <c r="AF71" s="21" t="str">
        <f>IFERROR(VLOOKUP(July[[#This Row],[Drug Name3]],'Data Options'!$R$1:$S$100,2,FALSE), " ")</f>
        <v xml:space="preserve"> </v>
      </c>
      <c r="AG71" s="55"/>
      <c r="AH71" s="32"/>
      <c r="AI71" s="32"/>
      <c r="AJ71" s="55"/>
      <c r="AK71" s="32"/>
      <c r="AL71" s="32"/>
      <c r="AM71" s="32"/>
      <c r="AN71" s="32"/>
      <c r="AO71" s="32"/>
      <c r="AP71" s="31"/>
      <c r="AQ71" s="31"/>
      <c r="AR71" s="54"/>
      <c r="AS71" s="21" t="str">
        <f>IFERROR(VLOOKUP(July[[#This Row],[Drug Name4]],'Data Options'!$R$1:$S$100,2,FALSE), " ")</f>
        <v xml:space="preserve"> </v>
      </c>
      <c r="AT71" s="55"/>
      <c r="AU71" s="32"/>
      <c r="AV71" s="32"/>
      <c r="AW71" s="55"/>
      <c r="AX71" s="32"/>
      <c r="AY71" s="54"/>
      <c r="AZ71" s="21" t="str">
        <f>IFERROR(VLOOKUP(July[[#This Row],[Drug Name5]],'Data Options'!$R$1:$S$100,2,FALSE), " ")</f>
        <v xml:space="preserve"> </v>
      </c>
      <c r="BA71" s="55"/>
      <c r="BB71" s="32"/>
      <c r="BC71" s="32"/>
      <c r="BD71" s="55"/>
      <c r="BE71" s="32"/>
      <c r="BF71" s="54"/>
      <c r="BG71" s="21" t="str">
        <f>IFERROR(VLOOKUP(July[[#This Row],[Drug Name6]],'Data Options'!$R$1:$S$100,2,FALSE), " ")</f>
        <v xml:space="preserve"> </v>
      </c>
      <c r="BH71" s="55"/>
      <c r="BI71" s="32"/>
      <c r="BJ71" s="32"/>
      <c r="BK71" s="55"/>
      <c r="BL71" s="32"/>
      <c r="BM71" s="32"/>
      <c r="BN71" s="32"/>
      <c r="BO71" s="32"/>
      <c r="BP71" s="32"/>
      <c r="BQ71" s="31"/>
      <c r="BR71" s="31"/>
      <c r="BS71" s="54"/>
      <c r="BT71" s="21" t="str">
        <f>IFERROR(VLOOKUP(July[[#This Row],[Drug Name7]],'Data Options'!$R$1:$S$100,2,FALSE), " ")</f>
        <v xml:space="preserve"> </v>
      </c>
      <c r="BU71" s="55"/>
      <c r="BV71" s="32"/>
      <c r="BW71" s="32"/>
      <c r="BX71" s="55"/>
      <c r="BY71" s="32"/>
      <c r="BZ71" s="54"/>
      <c r="CA71" s="21" t="str">
        <f>IFERROR(VLOOKUP(July[[#This Row],[Drug Name8]],'Data Options'!$R$1:$S$100,2,FALSE), " ")</f>
        <v xml:space="preserve"> </v>
      </c>
      <c r="CB71" s="55"/>
      <c r="CC71" s="32"/>
      <c r="CD71" s="32"/>
      <c r="CE71" s="55"/>
      <c r="CF71" s="32"/>
      <c r="CG71" s="54"/>
      <c r="CH71" s="21" t="str">
        <f>IFERROR(VLOOKUP(July[[#This Row],[Drug Name9]],'Data Options'!$R$1:$S$100,2,FALSE), " ")</f>
        <v xml:space="preserve"> </v>
      </c>
      <c r="CI71" s="55"/>
      <c r="CJ71" s="32"/>
      <c r="CK71" s="32"/>
      <c r="CL71" s="55"/>
      <c r="CM71" s="32"/>
    </row>
    <row r="72" spans="1:91">
      <c r="A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54"/>
      <c r="R72" s="21" t="str">
        <f>IFERROR(VLOOKUP(July[[#This Row],[Drug Name]],'Data Options'!$R$1:$S$100,2,FALSE), " ")</f>
        <v xml:space="preserve"> </v>
      </c>
      <c r="S72" s="55"/>
      <c r="T72" s="32"/>
      <c r="U72" s="32"/>
      <c r="V72" s="55"/>
      <c r="W72" s="32"/>
      <c r="X72" s="54"/>
      <c r="Y72" s="21" t="str">
        <f>IFERROR(VLOOKUP(July[[#This Row],[Drug Name2]],'Data Options'!$R$1:$S$100,2,FALSE), " ")</f>
        <v xml:space="preserve"> </v>
      </c>
      <c r="Z72" s="55"/>
      <c r="AA72" s="32"/>
      <c r="AB72" s="32"/>
      <c r="AC72" s="55"/>
      <c r="AD72" s="32"/>
      <c r="AE72" s="54"/>
      <c r="AF72" s="21" t="str">
        <f>IFERROR(VLOOKUP(July[[#This Row],[Drug Name3]],'Data Options'!$R$1:$S$100,2,FALSE), " ")</f>
        <v xml:space="preserve"> </v>
      </c>
      <c r="AG72" s="55"/>
      <c r="AH72" s="32"/>
      <c r="AI72" s="32"/>
      <c r="AJ72" s="55"/>
      <c r="AK72" s="32"/>
      <c r="AL72" s="32"/>
      <c r="AM72" s="32"/>
      <c r="AN72" s="32"/>
      <c r="AO72" s="32"/>
      <c r="AP72" s="31"/>
      <c r="AQ72" s="31"/>
      <c r="AR72" s="54"/>
      <c r="AS72" s="21" t="str">
        <f>IFERROR(VLOOKUP(July[[#This Row],[Drug Name4]],'Data Options'!$R$1:$S$100,2,FALSE), " ")</f>
        <v xml:space="preserve"> </v>
      </c>
      <c r="AT72" s="55"/>
      <c r="AU72" s="32"/>
      <c r="AV72" s="32"/>
      <c r="AW72" s="55"/>
      <c r="AX72" s="32"/>
      <c r="AY72" s="54"/>
      <c r="AZ72" s="21" t="str">
        <f>IFERROR(VLOOKUP(July[[#This Row],[Drug Name5]],'Data Options'!$R$1:$S$100,2,FALSE), " ")</f>
        <v xml:space="preserve"> </v>
      </c>
      <c r="BA72" s="55"/>
      <c r="BB72" s="32"/>
      <c r="BC72" s="32"/>
      <c r="BD72" s="55"/>
      <c r="BE72" s="32"/>
      <c r="BF72" s="54"/>
      <c r="BG72" s="21" t="str">
        <f>IFERROR(VLOOKUP(July[[#This Row],[Drug Name6]],'Data Options'!$R$1:$S$100,2,FALSE), " ")</f>
        <v xml:space="preserve"> </v>
      </c>
      <c r="BH72" s="55"/>
      <c r="BI72" s="32"/>
      <c r="BJ72" s="32"/>
      <c r="BK72" s="55"/>
      <c r="BL72" s="32"/>
      <c r="BM72" s="32"/>
      <c r="BN72" s="32"/>
      <c r="BO72" s="32"/>
      <c r="BP72" s="32"/>
      <c r="BQ72" s="31"/>
      <c r="BR72" s="31"/>
      <c r="BS72" s="54"/>
      <c r="BT72" s="21" t="str">
        <f>IFERROR(VLOOKUP(July[[#This Row],[Drug Name7]],'Data Options'!$R$1:$S$100,2,FALSE), " ")</f>
        <v xml:space="preserve"> </v>
      </c>
      <c r="BU72" s="55"/>
      <c r="BV72" s="32"/>
      <c r="BW72" s="32"/>
      <c r="BX72" s="55"/>
      <c r="BY72" s="32"/>
      <c r="BZ72" s="54"/>
      <c r="CA72" s="21" t="str">
        <f>IFERROR(VLOOKUP(July[[#This Row],[Drug Name8]],'Data Options'!$R$1:$S$100,2,FALSE), " ")</f>
        <v xml:space="preserve"> </v>
      </c>
      <c r="CB72" s="55"/>
      <c r="CC72" s="32"/>
      <c r="CD72" s="32"/>
      <c r="CE72" s="55"/>
      <c r="CF72" s="32"/>
      <c r="CG72" s="54"/>
      <c r="CH72" s="21" t="str">
        <f>IFERROR(VLOOKUP(July[[#This Row],[Drug Name9]],'Data Options'!$R$1:$S$100,2,FALSE), " ")</f>
        <v xml:space="preserve"> </v>
      </c>
      <c r="CI72" s="55"/>
      <c r="CJ72" s="32"/>
      <c r="CK72" s="32"/>
      <c r="CL72" s="55"/>
      <c r="CM72" s="32"/>
    </row>
    <row r="73" spans="1:91">
      <c r="A73" s="5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31"/>
      <c r="Q73" s="54"/>
      <c r="R73" s="21" t="str">
        <f>IFERROR(VLOOKUP(July[[#This Row],[Drug Name]],'Data Options'!$R$1:$S$100,2,FALSE), " ")</f>
        <v xml:space="preserve"> </v>
      </c>
      <c r="S73" s="55"/>
      <c r="T73" s="32"/>
      <c r="U73" s="32"/>
      <c r="V73" s="55"/>
      <c r="W73" s="32"/>
      <c r="X73" s="54"/>
      <c r="Y73" s="21" t="str">
        <f>IFERROR(VLOOKUP(July[[#This Row],[Drug Name2]],'Data Options'!$R$1:$S$100,2,FALSE), " ")</f>
        <v xml:space="preserve"> </v>
      </c>
      <c r="Z73" s="55"/>
      <c r="AA73" s="32"/>
      <c r="AB73" s="32"/>
      <c r="AC73" s="55"/>
      <c r="AD73" s="32"/>
      <c r="AE73" s="54"/>
      <c r="AF73" s="21" t="str">
        <f>IFERROR(VLOOKUP(July[[#This Row],[Drug Name3]],'Data Options'!$R$1:$S$100,2,FALSE), " ")</f>
        <v xml:space="preserve"> </v>
      </c>
      <c r="AG73" s="55"/>
      <c r="AH73" s="32"/>
      <c r="AI73" s="32"/>
      <c r="AJ73" s="55"/>
      <c r="AK73" s="32"/>
      <c r="AL73" s="32"/>
      <c r="AM73" s="32"/>
      <c r="AN73" s="32"/>
      <c r="AO73" s="32"/>
      <c r="AP73" s="31"/>
      <c r="AQ73" s="31"/>
      <c r="AR73" s="54"/>
      <c r="AS73" s="21" t="str">
        <f>IFERROR(VLOOKUP(July[[#This Row],[Drug Name4]],'Data Options'!$R$1:$S$100,2,FALSE), " ")</f>
        <v xml:space="preserve"> </v>
      </c>
      <c r="AT73" s="55"/>
      <c r="AU73" s="32"/>
      <c r="AV73" s="32"/>
      <c r="AW73" s="55"/>
      <c r="AX73" s="32"/>
      <c r="AY73" s="54"/>
      <c r="AZ73" s="21" t="str">
        <f>IFERROR(VLOOKUP(July[[#This Row],[Drug Name5]],'Data Options'!$R$1:$S$100,2,FALSE), " ")</f>
        <v xml:space="preserve"> </v>
      </c>
      <c r="BA73" s="55"/>
      <c r="BB73" s="32"/>
      <c r="BC73" s="32"/>
      <c r="BD73" s="55"/>
      <c r="BE73" s="32"/>
      <c r="BF73" s="54"/>
      <c r="BG73" s="21" t="str">
        <f>IFERROR(VLOOKUP(July[[#This Row],[Drug Name6]],'Data Options'!$R$1:$S$100,2,FALSE), " ")</f>
        <v xml:space="preserve"> </v>
      </c>
      <c r="BH73" s="55"/>
      <c r="BI73" s="32"/>
      <c r="BJ73" s="32"/>
      <c r="BK73" s="55"/>
      <c r="BL73" s="32"/>
      <c r="BM73" s="32"/>
      <c r="BN73" s="32"/>
      <c r="BO73" s="32"/>
      <c r="BP73" s="32"/>
      <c r="BQ73" s="31"/>
      <c r="BR73" s="31"/>
      <c r="BS73" s="54"/>
      <c r="BT73" s="21" t="str">
        <f>IFERROR(VLOOKUP(July[[#This Row],[Drug Name7]],'Data Options'!$R$1:$S$100,2,FALSE), " ")</f>
        <v xml:space="preserve"> </v>
      </c>
      <c r="BU73" s="55"/>
      <c r="BV73" s="32"/>
      <c r="BW73" s="32"/>
      <c r="BX73" s="55"/>
      <c r="BY73" s="32"/>
      <c r="BZ73" s="54"/>
      <c r="CA73" s="21" t="str">
        <f>IFERROR(VLOOKUP(July[[#This Row],[Drug Name8]],'Data Options'!$R$1:$S$100,2,FALSE), " ")</f>
        <v xml:space="preserve"> </v>
      </c>
      <c r="CB73" s="55"/>
      <c r="CC73" s="32"/>
      <c r="CD73" s="32"/>
      <c r="CE73" s="55"/>
      <c r="CF73" s="32"/>
      <c r="CG73" s="54"/>
      <c r="CH73" s="21" t="str">
        <f>IFERROR(VLOOKUP(July[[#This Row],[Drug Name9]],'Data Options'!$R$1:$S$100,2,FALSE), " ")</f>
        <v xml:space="preserve"> </v>
      </c>
      <c r="CI73" s="55"/>
      <c r="CJ73" s="32"/>
      <c r="CK73" s="32"/>
      <c r="CL73" s="55"/>
      <c r="CM73" s="32"/>
    </row>
    <row r="74" spans="1:91">
      <c r="A74" s="5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31"/>
      <c r="Q74" s="54"/>
      <c r="R74" s="21" t="str">
        <f>IFERROR(VLOOKUP(July[[#This Row],[Drug Name]],'Data Options'!$R$1:$S$100,2,FALSE), " ")</f>
        <v xml:space="preserve"> </v>
      </c>
      <c r="S74" s="55"/>
      <c r="T74" s="32"/>
      <c r="U74" s="32"/>
      <c r="V74" s="55"/>
      <c r="W74" s="32"/>
      <c r="X74" s="54"/>
      <c r="Y74" s="21" t="str">
        <f>IFERROR(VLOOKUP(July[[#This Row],[Drug Name2]],'Data Options'!$R$1:$S$100,2,FALSE), " ")</f>
        <v xml:space="preserve"> </v>
      </c>
      <c r="Z74" s="55"/>
      <c r="AA74" s="32"/>
      <c r="AB74" s="32"/>
      <c r="AC74" s="55"/>
      <c r="AD74" s="32"/>
      <c r="AE74" s="54"/>
      <c r="AF74" s="21" t="str">
        <f>IFERROR(VLOOKUP(July[[#This Row],[Drug Name3]],'Data Options'!$R$1:$S$100,2,FALSE), " ")</f>
        <v xml:space="preserve"> </v>
      </c>
      <c r="AG74" s="55"/>
      <c r="AH74" s="32"/>
      <c r="AI74" s="32"/>
      <c r="AJ74" s="55"/>
      <c r="AK74" s="32"/>
      <c r="AL74" s="32"/>
      <c r="AM74" s="32"/>
      <c r="AN74" s="32"/>
      <c r="AO74" s="32"/>
      <c r="AP74" s="31"/>
      <c r="AQ74" s="31"/>
      <c r="AR74" s="54"/>
      <c r="AS74" s="21" t="str">
        <f>IFERROR(VLOOKUP(July[[#This Row],[Drug Name4]],'Data Options'!$R$1:$S$100,2,FALSE), " ")</f>
        <v xml:space="preserve"> </v>
      </c>
      <c r="AT74" s="55"/>
      <c r="AU74" s="32"/>
      <c r="AV74" s="32"/>
      <c r="AW74" s="55"/>
      <c r="AX74" s="32"/>
      <c r="AY74" s="54"/>
      <c r="AZ74" s="21" t="str">
        <f>IFERROR(VLOOKUP(July[[#This Row],[Drug Name5]],'Data Options'!$R$1:$S$100,2,FALSE), " ")</f>
        <v xml:space="preserve"> </v>
      </c>
      <c r="BA74" s="55"/>
      <c r="BB74" s="32"/>
      <c r="BC74" s="32"/>
      <c r="BD74" s="55"/>
      <c r="BE74" s="32"/>
      <c r="BF74" s="54"/>
      <c r="BG74" s="21" t="str">
        <f>IFERROR(VLOOKUP(July[[#This Row],[Drug Name6]],'Data Options'!$R$1:$S$100,2,FALSE), " ")</f>
        <v xml:space="preserve"> </v>
      </c>
      <c r="BH74" s="55"/>
      <c r="BI74" s="32"/>
      <c r="BJ74" s="32"/>
      <c r="BK74" s="55"/>
      <c r="BL74" s="32"/>
      <c r="BM74" s="32"/>
      <c r="BN74" s="32"/>
      <c r="BO74" s="32"/>
      <c r="BP74" s="32"/>
      <c r="BQ74" s="31"/>
      <c r="BR74" s="31"/>
      <c r="BS74" s="54"/>
      <c r="BT74" s="21" t="str">
        <f>IFERROR(VLOOKUP(July[[#This Row],[Drug Name7]],'Data Options'!$R$1:$S$100,2,FALSE), " ")</f>
        <v xml:space="preserve"> </v>
      </c>
      <c r="BU74" s="55"/>
      <c r="BV74" s="32"/>
      <c r="BW74" s="32"/>
      <c r="BX74" s="55"/>
      <c r="BY74" s="32"/>
      <c r="BZ74" s="54"/>
      <c r="CA74" s="21" t="str">
        <f>IFERROR(VLOOKUP(July[[#This Row],[Drug Name8]],'Data Options'!$R$1:$S$100,2,FALSE), " ")</f>
        <v xml:space="preserve"> </v>
      </c>
      <c r="CB74" s="55"/>
      <c r="CC74" s="32"/>
      <c r="CD74" s="32"/>
      <c r="CE74" s="55"/>
      <c r="CF74" s="32"/>
      <c r="CG74" s="54"/>
      <c r="CH74" s="21" t="str">
        <f>IFERROR(VLOOKUP(July[[#This Row],[Drug Name9]],'Data Options'!$R$1:$S$100,2,FALSE), " ")</f>
        <v xml:space="preserve"> </v>
      </c>
      <c r="CI74" s="55"/>
      <c r="CJ74" s="32"/>
      <c r="CK74" s="32"/>
      <c r="CL74" s="55"/>
      <c r="CM74" s="32"/>
    </row>
    <row r="75" spans="1:91">
      <c r="A75" s="5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31"/>
      <c r="Q75" s="54"/>
      <c r="R75" s="21" t="str">
        <f>IFERROR(VLOOKUP(July[[#This Row],[Drug Name]],'Data Options'!$R$1:$S$100,2,FALSE), " ")</f>
        <v xml:space="preserve"> </v>
      </c>
      <c r="S75" s="55"/>
      <c r="T75" s="32"/>
      <c r="U75" s="32"/>
      <c r="V75" s="55"/>
      <c r="W75" s="32"/>
      <c r="X75" s="54"/>
      <c r="Y75" s="21" t="str">
        <f>IFERROR(VLOOKUP(July[[#This Row],[Drug Name2]],'Data Options'!$R$1:$S$100,2,FALSE), " ")</f>
        <v xml:space="preserve"> </v>
      </c>
      <c r="Z75" s="55"/>
      <c r="AA75" s="32"/>
      <c r="AB75" s="32"/>
      <c r="AC75" s="55"/>
      <c r="AD75" s="32"/>
      <c r="AE75" s="54"/>
      <c r="AF75" s="21" t="str">
        <f>IFERROR(VLOOKUP(July[[#This Row],[Drug Name3]],'Data Options'!$R$1:$S$100,2,FALSE), " ")</f>
        <v xml:space="preserve"> </v>
      </c>
      <c r="AG75" s="55"/>
      <c r="AH75" s="32"/>
      <c r="AI75" s="32"/>
      <c r="AJ75" s="55"/>
      <c r="AK75" s="32"/>
      <c r="AL75" s="32"/>
      <c r="AM75" s="32"/>
      <c r="AN75" s="32"/>
      <c r="AO75" s="32"/>
      <c r="AP75" s="31"/>
      <c r="AQ75" s="31"/>
      <c r="AR75" s="54"/>
      <c r="AS75" s="21" t="str">
        <f>IFERROR(VLOOKUP(July[[#This Row],[Drug Name4]],'Data Options'!$R$1:$S$100,2,FALSE), " ")</f>
        <v xml:space="preserve"> </v>
      </c>
      <c r="AT75" s="55"/>
      <c r="AU75" s="32"/>
      <c r="AV75" s="32"/>
      <c r="AW75" s="55"/>
      <c r="AX75" s="32"/>
      <c r="AY75" s="54"/>
      <c r="AZ75" s="21" t="str">
        <f>IFERROR(VLOOKUP(July[[#This Row],[Drug Name5]],'Data Options'!$R$1:$S$100,2,FALSE), " ")</f>
        <v xml:space="preserve"> </v>
      </c>
      <c r="BA75" s="55"/>
      <c r="BB75" s="32"/>
      <c r="BC75" s="32"/>
      <c r="BD75" s="55"/>
      <c r="BE75" s="32"/>
      <c r="BF75" s="54"/>
      <c r="BG75" s="21" t="str">
        <f>IFERROR(VLOOKUP(July[[#This Row],[Drug Name6]],'Data Options'!$R$1:$S$100,2,FALSE), " ")</f>
        <v xml:space="preserve"> </v>
      </c>
      <c r="BH75" s="55"/>
      <c r="BI75" s="32"/>
      <c r="BJ75" s="32"/>
      <c r="BK75" s="55"/>
      <c r="BL75" s="32"/>
      <c r="BM75" s="32"/>
      <c r="BN75" s="32"/>
      <c r="BO75" s="32"/>
      <c r="BP75" s="32"/>
      <c r="BQ75" s="31"/>
      <c r="BR75" s="31"/>
      <c r="BS75" s="54"/>
      <c r="BT75" s="21" t="str">
        <f>IFERROR(VLOOKUP(July[[#This Row],[Drug Name7]],'Data Options'!$R$1:$S$100,2,FALSE), " ")</f>
        <v xml:space="preserve"> </v>
      </c>
      <c r="BU75" s="55"/>
      <c r="BV75" s="32"/>
      <c r="BW75" s="32"/>
      <c r="BX75" s="55"/>
      <c r="BY75" s="32"/>
      <c r="BZ75" s="54"/>
      <c r="CA75" s="21" t="str">
        <f>IFERROR(VLOOKUP(July[[#This Row],[Drug Name8]],'Data Options'!$R$1:$S$100,2,FALSE), " ")</f>
        <v xml:space="preserve"> </v>
      </c>
      <c r="CB75" s="55"/>
      <c r="CC75" s="32"/>
      <c r="CD75" s="32"/>
      <c r="CE75" s="55"/>
      <c r="CF75" s="32"/>
      <c r="CG75" s="54"/>
      <c r="CH75" s="21" t="str">
        <f>IFERROR(VLOOKUP(July[[#This Row],[Drug Name9]],'Data Options'!$R$1:$S$100,2,FALSE), " ")</f>
        <v xml:space="preserve"> </v>
      </c>
      <c r="CI75" s="55"/>
      <c r="CJ75" s="32"/>
      <c r="CK75" s="32"/>
      <c r="CL75" s="55"/>
      <c r="CM75" s="32"/>
    </row>
    <row r="76" spans="1:91">
      <c r="A76" s="5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54"/>
      <c r="R76" s="21" t="str">
        <f>IFERROR(VLOOKUP(July[[#This Row],[Drug Name]],'Data Options'!$R$1:$S$100,2,FALSE), " ")</f>
        <v xml:space="preserve"> </v>
      </c>
      <c r="S76" s="55"/>
      <c r="T76" s="32"/>
      <c r="U76" s="32"/>
      <c r="V76" s="55"/>
      <c r="W76" s="32"/>
      <c r="X76" s="54"/>
      <c r="Y76" s="21" t="str">
        <f>IFERROR(VLOOKUP(July[[#This Row],[Drug Name2]],'Data Options'!$R$1:$S$100,2,FALSE), " ")</f>
        <v xml:space="preserve"> </v>
      </c>
      <c r="Z76" s="55"/>
      <c r="AA76" s="32"/>
      <c r="AB76" s="32"/>
      <c r="AC76" s="55"/>
      <c r="AD76" s="32"/>
      <c r="AE76" s="54"/>
      <c r="AF76" s="21" t="str">
        <f>IFERROR(VLOOKUP(July[[#This Row],[Drug Name3]],'Data Options'!$R$1:$S$100,2,FALSE), " ")</f>
        <v xml:space="preserve"> </v>
      </c>
      <c r="AG76" s="55"/>
      <c r="AH76" s="32"/>
      <c r="AI76" s="32"/>
      <c r="AJ76" s="55"/>
      <c r="AK76" s="32"/>
      <c r="AL76" s="32"/>
      <c r="AM76" s="32"/>
      <c r="AN76" s="32"/>
      <c r="AO76" s="32"/>
      <c r="AP76" s="31"/>
      <c r="AQ76" s="31"/>
      <c r="AR76" s="54"/>
      <c r="AS76" s="21" t="str">
        <f>IFERROR(VLOOKUP(July[[#This Row],[Drug Name4]],'Data Options'!$R$1:$S$100,2,FALSE), " ")</f>
        <v xml:space="preserve"> </v>
      </c>
      <c r="AT76" s="55"/>
      <c r="AU76" s="32"/>
      <c r="AV76" s="32"/>
      <c r="AW76" s="55"/>
      <c r="AX76" s="32"/>
      <c r="AY76" s="54"/>
      <c r="AZ76" s="21" t="str">
        <f>IFERROR(VLOOKUP(July[[#This Row],[Drug Name5]],'Data Options'!$R$1:$S$100,2,FALSE), " ")</f>
        <v xml:space="preserve"> </v>
      </c>
      <c r="BA76" s="55"/>
      <c r="BB76" s="32"/>
      <c r="BC76" s="32"/>
      <c r="BD76" s="55"/>
      <c r="BE76" s="32"/>
      <c r="BF76" s="54"/>
      <c r="BG76" s="21" t="str">
        <f>IFERROR(VLOOKUP(July[[#This Row],[Drug Name6]],'Data Options'!$R$1:$S$100,2,FALSE), " ")</f>
        <v xml:space="preserve"> </v>
      </c>
      <c r="BH76" s="55"/>
      <c r="BI76" s="32"/>
      <c r="BJ76" s="32"/>
      <c r="BK76" s="55"/>
      <c r="BL76" s="32"/>
      <c r="BM76" s="32"/>
      <c r="BN76" s="32"/>
      <c r="BO76" s="32"/>
      <c r="BP76" s="32"/>
      <c r="BQ76" s="31"/>
      <c r="BR76" s="31"/>
      <c r="BS76" s="54"/>
      <c r="BT76" s="21" t="str">
        <f>IFERROR(VLOOKUP(July[[#This Row],[Drug Name7]],'Data Options'!$R$1:$S$100,2,FALSE), " ")</f>
        <v xml:space="preserve"> </v>
      </c>
      <c r="BU76" s="55"/>
      <c r="BV76" s="32"/>
      <c r="BW76" s="32"/>
      <c r="BX76" s="55"/>
      <c r="BY76" s="32"/>
      <c r="BZ76" s="54"/>
      <c r="CA76" s="21" t="str">
        <f>IFERROR(VLOOKUP(July[[#This Row],[Drug Name8]],'Data Options'!$R$1:$S$100,2,FALSE), " ")</f>
        <v xml:space="preserve"> </v>
      </c>
      <c r="CB76" s="55"/>
      <c r="CC76" s="32"/>
      <c r="CD76" s="32"/>
      <c r="CE76" s="55"/>
      <c r="CF76" s="32"/>
      <c r="CG76" s="54"/>
      <c r="CH76" s="21" t="str">
        <f>IFERROR(VLOOKUP(July[[#This Row],[Drug Name9]],'Data Options'!$R$1:$S$100,2,FALSE), " ")</f>
        <v xml:space="preserve"> </v>
      </c>
      <c r="CI76" s="55"/>
      <c r="CJ76" s="32"/>
      <c r="CK76" s="32"/>
      <c r="CL76" s="55"/>
      <c r="CM76" s="32"/>
    </row>
    <row r="77" spans="1:91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31"/>
      <c r="Q77" s="54"/>
      <c r="R77" s="21" t="str">
        <f>IFERROR(VLOOKUP(July[[#This Row],[Drug Name]],'Data Options'!$R$1:$S$100,2,FALSE), " ")</f>
        <v xml:space="preserve"> </v>
      </c>
      <c r="S77" s="55"/>
      <c r="T77" s="32"/>
      <c r="U77" s="32"/>
      <c r="V77" s="55"/>
      <c r="W77" s="32"/>
      <c r="X77" s="54"/>
      <c r="Y77" s="21" t="str">
        <f>IFERROR(VLOOKUP(July[[#This Row],[Drug Name2]],'Data Options'!$R$1:$S$100,2,FALSE), " ")</f>
        <v xml:space="preserve"> </v>
      </c>
      <c r="Z77" s="55"/>
      <c r="AA77" s="32"/>
      <c r="AB77" s="32"/>
      <c r="AC77" s="55"/>
      <c r="AD77" s="32"/>
      <c r="AE77" s="54"/>
      <c r="AF77" s="21" t="str">
        <f>IFERROR(VLOOKUP(July[[#This Row],[Drug Name3]],'Data Options'!$R$1:$S$100,2,FALSE), " ")</f>
        <v xml:space="preserve"> </v>
      </c>
      <c r="AG77" s="55"/>
      <c r="AH77" s="32"/>
      <c r="AI77" s="32"/>
      <c r="AJ77" s="55"/>
      <c r="AK77" s="32"/>
      <c r="AL77" s="32"/>
      <c r="AM77" s="32"/>
      <c r="AN77" s="32"/>
      <c r="AO77" s="32"/>
      <c r="AP77" s="31"/>
      <c r="AQ77" s="31"/>
      <c r="AR77" s="54"/>
      <c r="AS77" s="21" t="str">
        <f>IFERROR(VLOOKUP(July[[#This Row],[Drug Name4]],'Data Options'!$R$1:$S$100,2,FALSE), " ")</f>
        <v xml:space="preserve"> </v>
      </c>
      <c r="AT77" s="55"/>
      <c r="AU77" s="32"/>
      <c r="AV77" s="32"/>
      <c r="AW77" s="55"/>
      <c r="AX77" s="32"/>
      <c r="AY77" s="54"/>
      <c r="AZ77" s="21" t="str">
        <f>IFERROR(VLOOKUP(July[[#This Row],[Drug Name5]],'Data Options'!$R$1:$S$100,2,FALSE), " ")</f>
        <v xml:space="preserve"> </v>
      </c>
      <c r="BA77" s="55"/>
      <c r="BB77" s="32"/>
      <c r="BC77" s="32"/>
      <c r="BD77" s="55"/>
      <c r="BE77" s="32"/>
      <c r="BF77" s="54"/>
      <c r="BG77" s="21" t="str">
        <f>IFERROR(VLOOKUP(July[[#This Row],[Drug Name6]],'Data Options'!$R$1:$S$100,2,FALSE), " ")</f>
        <v xml:space="preserve"> </v>
      </c>
      <c r="BH77" s="55"/>
      <c r="BI77" s="32"/>
      <c r="BJ77" s="32"/>
      <c r="BK77" s="55"/>
      <c r="BL77" s="32"/>
      <c r="BM77" s="32"/>
      <c r="BN77" s="32"/>
      <c r="BO77" s="32"/>
      <c r="BP77" s="32"/>
      <c r="BQ77" s="31"/>
      <c r="BR77" s="31"/>
      <c r="BS77" s="54"/>
      <c r="BT77" s="21" t="str">
        <f>IFERROR(VLOOKUP(July[[#This Row],[Drug Name7]],'Data Options'!$R$1:$S$100,2,FALSE), " ")</f>
        <v xml:space="preserve"> </v>
      </c>
      <c r="BU77" s="55"/>
      <c r="BV77" s="32"/>
      <c r="BW77" s="32"/>
      <c r="BX77" s="55"/>
      <c r="BY77" s="32"/>
      <c r="BZ77" s="54"/>
      <c r="CA77" s="21" t="str">
        <f>IFERROR(VLOOKUP(July[[#This Row],[Drug Name8]],'Data Options'!$R$1:$S$100,2,FALSE), " ")</f>
        <v xml:space="preserve"> </v>
      </c>
      <c r="CB77" s="55"/>
      <c r="CC77" s="32"/>
      <c r="CD77" s="32"/>
      <c r="CE77" s="55"/>
      <c r="CF77" s="32"/>
      <c r="CG77" s="54"/>
      <c r="CH77" s="21" t="str">
        <f>IFERROR(VLOOKUP(July[[#This Row],[Drug Name9]],'Data Options'!$R$1:$S$100,2,FALSE), " ")</f>
        <v xml:space="preserve"> </v>
      </c>
      <c r="CI77" s="55"/>
      <c r="CJ77" s="32"/>
      <c r="CK77" s="32"/>
      <c r="CL77" s="55"/>
      <c r="CM77" s="32"/>
    </row>
    <row r="78" spans="1:91">
      <c r="A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31"/>
      <c r="Q78" s="54"/>
      <c r="R78" s="21" t="str">
        <f>IFERROR(VLOOKUP(July[[#This Row],[Drug Name]],'Data Options'!$R$1:$S$100,2,FALSE), " ")</f>
        <v xml:space="preserve"> </v>
      </c>
      <c r="S78" s="55"/>
      <c r="T78" s="32"/>
      <c r="U78" s="32"/>
      <c r="V78" s="55"/>
      <c r="W78" s="32"/>
      <c r="X78" s="54"/>
      <c r="Y78" s="21" t="str">
        <f>IFERROR(VLOOKUP(July[[#This Row],[Drug Name2]],'Data Options'!$R$1:$S$100,2,FALSE), " ")</f>
        <v xml:space="preserve"> </v>
      </c>
      <c r="Z78" s="55"/>
      <c r="AA78" s="32"/>
      <c r="AB78" s="32"/>
      <c r="AC78" s="55"/>
      <c r="AD78" s="32"/>
      <c r="AE78" s="54"/>
      <c r="AF78" s="21" t="str">
        <f>IFERROR(VLOOKUP(July[[#This Row],[Drug Name3]],'Data Options'!$R$1:$S$100,2,FALSE), " ")</f>
        <v xml:space="preserve"> </v>
      </c>
      <c r="AG78" s="55"/>
      <c r="AH78" s="32"/>
      <c r="AI78" s="32"/>
      <c r="AJ78" s="55"/>
      <c r="AK78" s="32"/>
      <c r="AL78" s="32"/>
      <c r="AM78" s="32"/>
      <c r="AN78" s="32"/>
      <c r="AO78" s="32"/>
      <c r="AP78" s="31"/>
      <c r="AQ78" s="31"/>
      <c r="AR78" s="54"/>
      <c r="AS78" s="21" t="str">
        <f>IFERROR(VLOOKUP(July[[#This Row],[Drug Name4]],'Data Options'!$R$1:$S$100,2,FALSE), " ")</f>
        <v xml:space="preserve"> </v>
      </c>
      <c r="AT78" s="55"/>
      <c r="AU78" s="32"/>
      <c r="AV78" s="32"/>
      <c r="AW78" s="55"/>
      <c r="AX78" s="32"/>
      <c r="AY78" s="54"/>
      <c r="AZ78" s="21" t="str">
        <f>IFERROR(VLOOKUP(July[[#This Row],[Drug Name5]],'Data Options'!$R$1:$S$100,2,FALSE), " ")</f>
        <v xml:space="preserve"> </v>
      </c>
      <c r="BA78" s="55"/>
      <c r="BB78" s="32"/>
      <c r="BC78" s="32"/>
      <c r="BD78" s="55"/>
      <c r="BE78" s="32"/>
      <c r="BF78" s="54"/>
      <c r="BG78" s="21" t="str">
        <f>IFERROR(VLOOKUP(July[[#This Row],[Drug Name6]],'Data Options'!$R$1:$S$100,2,FALSE), " ")</f>
        <v xml:space="preserve"> </v>
      </c>
      <c r="BH78" s="55"/>
      <c r="BI78" s="32"/>
      <c r="BJ78" s="32"/>
      <c r="BK78" s="55"/>
      <c r="BL78" s="32"/>
      <c r="BM78" s="32"/>
      <c r="BN78" s="32"/>
      <c r="BO78" s="32"/>
      <c r="BP78" s="32"/>
      <c r="BQ78" s="31"/>
      <c r="BR78" s="31"/>
      <c r="BS78" s="54"/>
      <c r="BT78" s="21" t="str">
        <f>IFERROR(VLOOKUP(July[[#This Row],[Drug Name7]],'Data Options'!$R$1:$S$100,2,FALSE), " ")</f>
        <v xml:space="preserve"> </v>
      </c>
      <c r="BU78" s="55"/>
      <c r="BV78" s="32"/>
      <c r="BW78" s="32"/>
      <c r="BX78" s="55"/>
      <c r="BY78" s="32"/>
      <c r="BZ78" s="54"/>
      <c r="CA78" s="21" t="str">
        <f>IFERROR(VLOOKUP(July[[#This Row],[Drug Name8]],'Data Options'!$R$1:$S$100,2,FALSE), " ")</f>
        <v xml:space="preserve"> </v>
      </c>
      <c r="CB78" s="55"/>
      <c r="CC78" s="32"/>
      <c r="CD78" s="32"/>
      <c r="CE78" s="55"/>
      <c r="CF78" s="32"/>
      <c r="CG78" s="54"/>
      <c r="CH78" s="21" t="str">
        <f>IFERROR(VLOOKUP(July[[#This Row],[Drug Name9]],'Data Options'!$R$1:$S$100,2,FALSE), " ")</f>
        <v xml:space="preserve"> </v>
      </c>
      <c r="CI78" s="55"/>
      <c r="CJ78" s="32"/>
      <c r="CK78" s="32"/>
      <c r="CL78" s="55"/>
      <c r="CM78" s="32"/>
    </row>
    <row r="79" spans="1:91">
      <c r="A79" s="5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31"/>
      <c r="Q79" s="54"/>
      <c r="R79" s="21" t="str">
        <f>IFERROR(VLOOKUP(July[[#This Row],[Drug Name]],'Data Options'!$R$1:$S$100,2,FALSE), " ")</f>
        <v xml:space="preserve"> </v>
      </c>
      <c r="S79" s="55"/>
      <c r="T79" s="32"/>
      <c r="U79" s="32"/>
      <c r="V79" s="55"/>
      <c r="W79" s="32"/>
      <c r="X79" s="54"/>
      <c r="Y79" s="21" t="str">
        <f>IFERROR(VLOOKUP(July[[#This Row],[Drug Name2]],'Data Options'!$R$1:$S$100,2,FALSE), " ")</f>
        <v xml:space="preserve"> </v>
      </c>
      <c r="Z79" s="55"/>
      <c r="AA79" s="32"/>
      <c r="AB79" s="32"/>
      <c r="AC79" s="55"/>
      <c r="AD79" s="32"/>
      <c r="AE79" s="54"/>
      <c r="AF79" s="21" t="str">
        <f>IFERROR(VLOOKUP(July[[#This Row],[Drug Name3]],'Data Options'!$R$1:$S$100,2,FALSE), " ")</f>
        <v xml:space="preserve"> </v>
      </c>
      <c r="AG79" s="55"/>
      <c r="AH79" s="32"/>
      <c r="AI79" s="32"/>
      <c r="AJ79" s="55"/>
      <c r="AK79" s="32"/>
      <c r="AL79" s="32"/>
      <c r="AM79" s="32"/>
      <c r="AN79" s="32"/>
      <c r="AO79" s="32"/>
      <c r="AP79" s="31"/>
      <c r="AQ79" s="31"/>
      <c r="AR79" s="54"/>
      <c r="AS79" s="21" t="str">
        <f>IFERROR(VLOOKUP(July[[#This Row],[Drug Name4]],'Data Options'!$R$1:$S$100,2,FALSE), " ")</f>
        <v xml:space="preserve"> </v>
      </c>
      <c r="AT79" s="55"/>
      <c r="AU79" s="32"/>
      <c r="AV79" s="32"/>
      <c r="AW79" s="55"/>
      <c r="AX79" s="32"/>
      <c r="AY79" s="54"/>
      <c r="AZ79" s="21" t="str">
        <f>IFERROR(VLOOKUP(July[[#This Row],[Drug Name5]],'Data Options'!$R$1:$S$100,2,FALSE), " ")</f>
        <v xml:space="preserve"> </v>
      </c>
      <c r="BA79" s="55"/>
      <c r="BB79" s="32"/>
      <c r="BC79" s="32"/>
      <c r="BD79" s="55"/>
      <c r="BE79" s="32"/>
      <c r="BF79" s="54"/>
      <c r="BG79" s="21" t="str">
        <f>IFERROR(VLOOKUP(July[[#This Row],[Drug Name6]],'Data Options'!$R$1:$S$100,2,FALSE), " ")</f>
        <v xml:space="preserve"> </v>
      </c>
      <c r="BH79" s="55"/>
      <c r="BI79" s="32"/>
      <c r="BJ79" s="32"/>
      <c r="BK79" s="55"/>
      <c r="BL79" s="32"/>
      <c r="BM79" s="32"/>
      <c r="BN79" s="32"/>
      <c r="BO79" s="32"/>
      <c r="BP79" s="32"/>
      <c r="BQ79" s="31"/>
      <c r="BR79" s="31"/>
      <c r="BS79" s="54"/>
      <c r="BT79" s="21" t="str">
        <f>IFERROR(VLOOKUP(July[[#This Row],[Drug Name7]],'Data Options'!$R$1:$S$100,2,FALSE), " ")</f>
        <v xml:space="preserve"> </v>
      </c>
      <c r="BU79" s="55"/>
      <c r="BV79" s="32"/>
      <c r="BW79" s="32"/>
      <c r="BX79" s="55"/>
      <c r="BY79" s="32"/>
      <c r="BZ79" s="54"/>
      <c r="CA79" s="21" t="str">
        <f>IFERROR(VLOOKUP(July[[#This Row],[Drug Name8]],'Data Options'!$R$1:$S$100,2,FALSE), " ")</f>
        <v xml:space="preserve"> </v>
      </c>
      <c r="CB79" s="55"/>
      <c r="CC79" s="32"/>
      <c r="CD79" s="32"/>
      <c r="CE79" s="55"/>
      <c r="CF79" s="32"/>
      <c r="CG79" s="54"/>
      <c r="CH79" s="21" t="str">
        <f>IFERROR(VLOOKUP(July[[#This Row],[Drug Name9]],'Data Options'!$R$1:$S$100,2,FALSE), " ")</f>
        <v xml:space="preserve"> </v>
      </c>
      <c r="CI79" s="55"/>
      <c r="CJ79" s="32"/>
      <c r="CK79" s="32"/>
      <c r="CL79" s="55"/>
      <c r="CM79" s="32"/>
    </row>
    <row r="80" spans="1:91">
      <c r="A80" s="5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31"/>
      <c r="Q80" s="54"/>
      <c r="R80" s="21" t="str">
        <f>IFERROR(VLOOKUP(July[[#This Row],[Drug Name]],'Data Options'!$R$1:$S$100,2,FALSE), " ")</f>
        <v xml:space="preserve"> </v>
      </c>
      <c r="S80" s="55"/>
      <c r="T80" s="32"/>
      <c r="U80" s="32"/>
      <c r="V80" s="55"/>
      <c r="W80" s="32"/>
      <c r="X80" s="54"/>
      <c r="Y80" s="21" t="str">
        <f>IFERROR(VLOOKUP(July[[#This Row],[Drug Name2]],'Data Options'!$R$1:$S$100,2,FALSE), " ")</f>
        <v xml:space="preserve"> </v>
      </c>
      <c r="Z80" s="55"/>
      <c r="AA80" s="32"/>
      <c r="AB80" s="32"/>
      <c r="AC80" s="55"/>
      <c r="AD80" s="32"/>
      <c r="AE80" s="54"/>
      <c r="AF80" s="21" t="str">
        <f>IFERROR(VLOOKUP(July[[#This Row],[Drug Name3]],'Data Options'!$R$1:$S$100,2,FALSE), " ")</f>
        <v xml:space="preserve"> </v>
      </c>
      <c r="AG80" s="55"/>
      <c r="AH80" s="32"/>
      <c r="AI80" s="32"/>
      <c r="AJ80" s="55"/>
      <c r="AK80" s="32"/>
      <c r="AL80" s="32"/>
      <c r="AM80" s="32"/>
      <c r="AN80" s="32"/>
      <c r="AO80" s="32"/>
      <c r="AP80" s="31"/>
      <c r="AQ80" s="31"/>
      <c r="AR80" s="54"/>
      <c r="AS80" s="21" t="str">
        <f>IFERROR(VLOOKUP(July[[#This Row],[Drug Name4]],'Data Options'!$R$1:$S$100,2,FALSE), " ")</f>
        <v xml:space="preserve"> </v>
      </c>
      <c r="AT80" s="55"/>
      <c r="AU80" s="32"/>
      <c r="AV80" s="32"/>
      <c r="AW80" s="55"/>
      <c r="AX80" s="32"/>
      <c r="AY80" s="54"/>
      <c r="AZ80" s="21" t="str">
        <f>IFERROR(VLOOKUP(July[[#This Row],[Drug Name5]],'Data Options'!$R$1:$S$100,2,FALSE), " ")</f>
        <v xml:space="preserve"> </v>
      </c>
      <c r="BA80" s="55"/>
      <c r="BB80" s="32"/>
      <c r="BC80" s="32"/>
      <c r="BD80" s="55"/>
      <c r="BE80" s="32"/>
      <c r="BF80" s="54"/>
      <c r="BG80" s="21" t="str">
        <f>IFERROR(VLOOKUP(July[[#This Row],[Drug Name6]],'Data Options'!$R$1:$S$100,2,FALSE), " ")</f>
        <v xml:space="preserve"> </v>
      </c>
      <c r="BH80" s="55"/>
      <c r="BI80" s="32"/>
      <c r="BJ80" s="32"/>
      <c r="BK80" s="55"/>
      <c r="BL80" s="32"/>
      <c r="BM80" s="32"/>
      <c r="BN80" s="32"/>
      <c r="BO80" s="32"/>
      <c r="BP80" s="32"/>
      <c r="BQ80" s="31"/>
      <c r="BR80" s="31"/>
      <c r="BS80" s="54"/>
      <c r="BT80" s="21" t="str">
        <f>IFERROR(VLOOKUP(July[[#This Row],[Drug Name7]],'Data Options'!$R$1:$S$100,2,FALSE), " ")</f>
        <v xml:space="preserve"> </v>
      </c>
      <c r="BU80" s="55"/>
      <c r="BV80" s="32"/>
      <c r="BW80" s="32"/>
      <c r="BX80" s="55"/>
      <c r="BY80" s="32"/>
      <c r="BZ80" s="54"/>
      <c r="CA80" s="21" t="str">
        <f>IFERROR(VLOOKUP(July[[#This Row],[Drug Name8]],'Data Options'!$R$1:$S$100,2,FALSE), " ")</f>
        <v xml:space="preserve"> </v>
      </c>
      <c r="CB80" s="55"/>
      <c r="CC80" s="32"/>
      <c r="CD80" s="32"/>
      <c r="CE80" s="55"/>
      <c r="CF80" s="32"/>
      <c r="CG80" s="54"/>
      <c r="CH80" s="21" t="str">
        <f>IFERROR(VLOOKUP(July[[#This Row],[Drug Name9]],'Data Options'!$R$1:$S$100,2,FALSE), " ")</f>
        <v xml:space="preserve"> </v>
      </c>
      <c r="CI80" s="55"/>
      <c r="CJ80" s="32"/>
      <c r="CK80" s="32"/>
      <c r="CL80" s="55"/>
      <c r="CM80" s="32"/>
    </row>
    <row r="81" spans="1:91">
      <c r="A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54"/>
      <c r="R81" s="21" t="str">
        <f>IFERROR(VLOOKUP(July[[#This Row],[Drug Name]],'Data Options'!$R$1:$S$100,2,FALSE), " ")</f>
        <v xml:space="preserve"> </v>
      </c>
      <c r="S81" s="55"/>
      <c r="T81" s="32"/>
      <c r="U81" s="32"/>
      <c r="V81" s="55"/>
      <c r="W81" s="32"/>
      <c r="X81" s="54"/>
      <c r="Y81" s="21" t="str">
        <f>IFERROR(VLOOKUP(July[[#This Row],[Drug Name2]],'Data Options'!$R$1:$S$100,2,FALSE), " ")</f>
        <v xml:space="preserve"> </v>
      </c>
      <c r="Z81" s="55"/>
      <c r="AA81" s="32"/>
      <c r="AB81" s="32"/>
      <c r="AC81" s="55"/>
      <c r="AD81" s="32"/>
      <c r="AE81" s="54"/>
      <c r="AF81" s="21" t="str">
        <f>IFERROR(VLOOKUP(July[[#This Row],[Drug Name3]],'Data Options'!$R$1:$S$100,2,FALSE), " ")</f>
        <v xml:space="preserve"> </v>
      </c>
      <c r="AG81" s="55"/>
      <c r="AH81" s="32"/>
      <c r="AI81" s="32"/>
      <c r="AJ81" s="55"/>
      <c r="AK81" s="32"/>
      <c r="AL81" s="32"/>
      <c r="AM81" s="32"/>
      <c r="AN81" s="32"/>
      <c r="AO81" s="32"/>
      <c r="AP81" s="31"/>
      <c r="AQ81" s="31"/>
      <c r="AR81" s="54"/>
      <c r="AS81" s="21" t="str">
        <f>IFERROR(VLOOKUP(July[[#This Row],[Drug Name4]],'Data Options'!$R$1:$S$100,2,FALSE), " ")</f>
        <v xml:space="preserve"> </v>
      </c>
      <c r="AT81" s="55"/>
      <c r="AU81" s="32"/>
      <c r="AV81" s="32"/>
      <c r="AW81" s="55"/>
      <c r="AX81" s="32"/>
      <c r="AY81" s="54"/>
      <c r="AZ81" s="21" t="str">
        <f>IFERROR(VLOOKUP(July[[#This Row],[Drug Name5]],'Data Options'!$R$1:$S$100,2,FALSE), " ")</f>
        <v xml:space="preserve"> </v>
      </c>
      <c r="BA81" s="55"/>
      <c r="BB81" s="32"/>
      <c r="BC81" s="32"/>
      <c r="BD81" s="55"/>
      <c r="BE81" s="32"/>
      <c r="BF81" s="54"/>
      <c r="BG81" s="21" t="str">
        <f>IFERROR(VLOOKUP(July[[#This Row],[Drug Name6]],'Data Options'!$R$1:$S$100,2,FALSE), " ")</f>
        <v xml:space="preserve"> </v>
      </c>
      <c r="BH81" s="55"/>
      <c r="BI81" s="32"/>
      <c r="BJ81" s="32"/>
      <c r="BK81" s="55"/>
      <c r="BL81" s="32"/>
      <c r="BM81" s="32"/>
      <c r="BN81" s="32"/>
      <c r="BO81" s="32"/>
      <c r="BP81" s="32"/>
      <c r="BQ81" s="31"/>
      <c r="BR81" s="31"/>
      <c r="BS81" s="54"/>
      <c r="BT81" s="21" t="str">
        <f>IFERROR(VLOOKUP(July[[#This Row],[Drug Name7]],'Data Options'!$R$1:$S$100,2,FALSE), " ")</f>
        <v xml:space="preserve"> </v>
      </c>
      <c r="BU81" s="55"/>
      <c r="BV81" s="32"/>
      <c r="BW81" s="32"/>
      <c r="BX81" s="55"/>
      <c r="BY81" s="32"/>
      <c r="BZ81" s="54"/>
      <c r="CA81" s="21" t="str">
        <f>IFERROR(VLOOKUP(July[[#This Row],[Drug Name8]],'Data Options'!$R$1:$S$100,2,FALSE), " ")</f>
        <v xml:space="preserve"> </v>
      </c>
      <c r="CB81" s="55"/>
      <c r="CC81" s="32"/>
      <c r="CD81" s="32"/>
      <c r="CE81" s="55"/>
      <c r="CF81" s="32"/>
      <c r="CG81" s="54"/>
      <c r="CH81" s="21" t="str">
        <f>IFERROR(VLOOKUP(July[[#This Row],[Drug Name9]],'Data Options'!$R$1:$S$100,2,FALSE), " ")</f>
        <v xml:space="preserve"> </v>
      </c>
      <c r="CI81" s="55"/>
      <c r="CJ81" s="32"/>
      <c r="CK81" s="32"/>
      <c r="CL81" s="55"/>
      <c r="CM81" s="32"/>
    </row>
    <row r="82" spans="1:91">
      <c r="A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54"/>
      <c r="R82" s="21" t="str">
        <f>IFERROR(VLOOKUP(July[[#This Row],[Drug Name]],'Data Options'!$R$1:$S$100,2,FALSE), " ")</f>
        <v xml:space="preserve"> </v>
      </c>
      <c r="S82" s="55"/>
      <c r="T82" s="32"/>
      <c r="U82" s="32"/>
      <c r="V82" s="55"/>
      <c r="W82" s="32"/>
      <c r="X82" s="54"/>
      <c r="Y82" s="21" t="str">
        <f>IFERROR(VLOOKUP(July[[#This Row],[Drug Name2]],'Data Options'!$R$1:$S$100,2,FALSE), " ")</f>
        <v xml:space="preserve"> </v>
      </c>
      <c r="Z82" s="55"/>
      <c r="AA82" s="32"/>
      <c r="AB82" s="32"/>
      <c r="AC82" s="55"/>
      <c r="AD82" s="32"/>
      <c r="AE82" s="54"/>
      <c r="AF82" s="21" t="str">
        <f>IFERROR(VLOOKUP(July[[#This Row],[Drug Name3]],'Data Options'!$R$1:$S$100,2,FALSE), " ")</f>
        <v xml:space="preserve"> </v>
      </c>
      <c r="AG82" s="55"/>
      <c r="AH82" s="32"/>
      <c r="AI82" s="32"/>
      <c r="AJ82" s="55"/>
      <c r="AK82" s="32"/>
      <c r="AL82" s="32"/>
      <c r="AM82" s="32"/>
      <c r="AN82" s="32"/>
      <c r="AO82" s="32"/>
      <c r="AP82" s="31"/>
      <c r="AQ82" s="31"/>
      <c r="AR82" s="54"/>
      <c r="AS82" s="21" t="str">
        <f>IFERROR(VLOOKUP(July[[#This Row],[Drug Name4]],'Data Options'!$R$1:$S$100,2,FALSE), " ")</f>
        <v xml:space="preserve"> </v>
      </c>
      <c r="AT82" s="55"/>
      <c r="AU82" s="32"/>
      <c r="AV82" s="32"/>
      <c r="AW82" s="55"/>
      <c r="AX82" s="32"/>
      <c r="AY82" s="54"/>
      <c r="AZ82" s="21" t="str">
        <f>IFERROR(VLOOKUP(July[[#This Row],[Drug Name5]],'Data Options'!$R$1:$S$100,2,FALSE), " ")</f>
        <v xml:space="preserve"> </v>
      </c>
      <c r="BA82" s="55"/>
      <c r="BB82" s="32"/>
      <c r="BC82" s="32"/>
      <c r="BD82" s="55"/>
      <c r="BE82" s="32"/>
      <c r="BF82" s="54"/>
      <c r="BG82" s="21" t="str">
        <f>IFERROR(VLOOKUP(July[[#This Row],[Drug Name6]],'Data Options'!$R$1:$S$100,2,FALSE), " ")</f>
        <v xml:space="preserve"> </v>
      </c>
      <c r="BH82" s="55"/>
      <c r="BI82" s="32"/>
      <c r="BJ82" s="32"/>
      <c r="BK82" s="55"/>
      <c r="BL82" s="32"/>
      <c r="BM82" s="32"/>
      <c r="BN82" s="32"/>
      <c r="BO82" s="32"/>
      <c r="BP82" s="32"/>
      <c r="BQ82" s="31"/>
      <c r="BR82" s="31"/>
      <c r="BS82" s="54"/>
      <c r="BT82" s="21" t="str">
        <f>IFERROR(VLOOKUP(July[[#This Row],[Drug Name7]],'Data Options'!$R$1:$S$100,2,FALSE), " ")</f>
        <v xml:space="preserve"> </v>
      </c>
      <c r="BU82" s="55"/>
      <c r="BV82" s="32"/>
      <c r="BW82" s="32"/>
      <c r="BX82" s="55"/>
      <c r="BY82" s="32"/>
      <c r="BZ82" s="54"/>
      <c r="CA82" s="21" t="str">
        <f>IFERROR(VLOOKUP(July[[#This Row],[Drug Name8]],'Data Options'!$R$1:$S$100,2,FALSE), " ")</f>
        <v xml:space="preserve"> </v>
      </c>
      <c r="CB82" s="55"/>
      <c r="CC82" s="32"/>
      <c r="CD82" s="32"/>
      <c r="CE82" s="55"/>
      <c r="CF82" s="32"/>
      <c r="CG82" s="54"/>
      <c r="CH82" s="21" t="str">
        <f>IFERROR(VLOOKUP(July[[#This Row],[Drug Name9]],'Data Options'!$R$1:$S$100,2,FALSE), " ")</f>
        <v xml:space="preserve"> </v>
      </c>
      <c r="CI82" s="55"/>
      <c r="CJ82" s="32"/>
      <c r="CK82" s="32"/>
      <c r="CL82" s="55"/>
      <c r="CM82" s="32"/>
    </row>
    <row r="83" spans="1:91">
      <c r="A83" s="5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31"/>
      <c r="Q83" s="54"/>
      <c r="R83" s="21" t="str">
        <f>IFERROR(VLOOKUP(July[[#This Row],[Drug Name]],'Data Options'!$R$1:$S$100,2,FALSE), " ")</f>
        <v xml:space="preserve"> </v>
      </c>
      <c r="S83" s="55"/>
      <c r="T83" s="32"/>
      <c r="U83" s="32"/>
      <c r="V83" s="55"/>
      <c r="W83" s="32"/>
      <c r="X83" s="54"/>
      <c r="Y83" s="21" t="str">
        <f>IFERROR(VLOOKUP(July[[#This Row],[Drug Name2]],'Data Options'!$R$1:$S$100,2,FALSE), " ")</f>
        <v xml:space="preserve"> </v>
      </c>
      <c r="Z83" s="55"/>
      <c r="AA83" s="32"/>
      <c r="AB83" s="32"/>
      <c r="AC83" s="55"/>
      <c r="AD83" s="32"/>
      <c r="AE83" s="54"/>
      <c r="AF83" s="21" t="str">
        <f>IFERROR(VLOOKUP(July[[#This Row],[Drug Name3]],'Data Options'!$R$1:$S$100,2,FALSE), " ")</f>
        <v xml:space="preserve"> </v>
      </c>
      <c r="AG83" s="55"/>
      <c r="AH83" s="32"/>
      <c r="AI83" s="32"/>
      <c r="AJ83" s="55"/>
      <c r="AK83" s="32"/>
      <c r="AL83" s="32"/>
      <c r="AM83" s="32"/>
      <c r="AN83" s="32"/>
      <c r="AO83" s="32"/>
      <c r="AP83" s="31"/>
      <c r="AQ83" s="31"/>
      <c r="AR83" s="54"/>
      <c r="AS83" s="21" t="str">
        <f>IFERROR(VLOOKUP(July[[#This Row],[Drug Name4]],'Data Options'!$R$1:$S$100,2,FALSE), " ")</f>
        <v xml:space="preserve"> </v>
      </c>
      <c r="AT83" s="55"/>
      <c r="AU83" s="32"/>
      <c r="AV83" s="32"/>
      <c r="AW83" s="55"/>
      <c r="AX83" s="32"/>
      <c r="AY83" s="54"/>
      <c r="AZ83" s="21" t="str">
        <f>IFERROR(VLOOKUP(July[[#This Row],[Drug Name5]],'Data Options'!$R$1:$S$100,2,FALSE), " ")</f>
        <v xml:space="preserve"> </v>
      </c>
      <c r="BA83" s="55"/>
      <c r="BB83" s="32"/>
      <c r="BC83" s="32"/>
      <c r="BD83" s="55"/>
      <c r="BE83" s="32"/>
      <c r="BF83" s="54"/>
      <c r="BG83" s="21" t="str">
        <f>IFERROR(VLOOKUP(July[[#This Row],[Drug Name6]],'Data Options'!$R$1:$S$100,2,FALSE), " ")</f>
        <v xml:space="preserve"> </v>
      </c>
      <c r="BH83" s="55"/>
      <c r="BI83" s="32"/>
      <c r="BJ83" s="32"/>
      <c r="BK83" s="55"/>
      <c r="BL83" s="32"/>
      <c r="BM83" s="32"/>
      <c r="BN83" s="32"/>
      <c r="BO83" s="32"/>
      <c r="BP83" s="32"/>
      <c r="BQ83" s="31"/>
      <c r="BR83" s="31"/>
      <c r="BS83" s="54"/>
      <c r="BT83" s="21" t="str">
        <f>IFERROR(VLOOKUP(July[[#This Row],[Drug Name7]],'Data Options'!$R$1:$S$100,2,FALSE), " ")</f>
        <v xml:space="preserve"> </v>
      </c>
      <c r="BU83" s="55"/>
      <c r="BV83" s="32"/>
      <c r="BW83" s="32"/>
      <c r="BX83" s="55"/>
      <c r="BY83" s="32"/>
      <c r="BZ83" s="54"/>
      <c r="CA83" s="21" t="str">
        <f>IFERROR(VLOOKUP(July[[#This Row],[Drug Name8]],'Data Options'!$R$1:$S$100,2,FALSE), " ")</f>
        <v xml:space="preserve"> </v>
      </c>
      <c r="CB83" s="55"/>
      <c r="CC83" s="32"/>
      <c r="CD83" s="32"/>
      <c r="CE83" s="55"/>
      <c r="CF83" s="32"/>
      <c r="CG83" s="54"/>
      <c r="CH83" s="21" t="str">
        <f>IFERROR(VLOOKUP(July[[#This Row],[Drug Name9]],'Data Options'!$R$1:$S$100,2,FALSE), " ")</f>
        <v xml:space="preserve"> </v>
      </c>
      <c r="CI83" s="55"/>
      <c r="CJ83" s="32"/>
      <c r="CK83" s="32"/>
      <c r="CL83" s="55"/>
      <c r="CM83" s="32"/>
    </row>
    <row r="84" spans="1:91">
      <c r="A84" s="5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31"/>
      <c r="Q84" s="54"/>
      <c r="R84" s="21" t="str">
        <f>IFERROR(VLOOKUP(July[[#This Row],[Drug Name]],'Data Options'!$R$1:$S$100,2,FALSE), " ")</f>
        <v xml:space="preserve"> </v>
      </c>
      <c r="S84" s="55"/>
      <c r="T84" s="32"/>
      <c r="U84" s="32"/>
      <c r="V84" s="55"/>
      <c r="W84" s="32"/>
      <c r="X84" s="54"/>
      <c r="Y84" s="21" t="str">
        <f>IFERROR(VLOOKUP(July[[#This Row],[Drug Name2]],'Data Options'!$R$1:$S$100,2,FALSE), " ")</f>
        <v xml:space="preserve"> </v>
      </c>
      <c r="Z84" s="55"/>
      <c r="AA84" s="32"/>
      <c r="AB84" s="32"/>
      <c r="AC84" s="55"/>
      <c r="AD84" s="32"/>
      <c r="AE84" s="54"/>
      <c r="AF84" s="21" t="str">
        <f>IFERROR(VLOOKUP(July[[#This Row],[Drug Name3]],'Data Options'!$R$1:$S$100,2,FALSE), " ")</f>
        <v xml:space="preserve"> </v>
      </c>
      <c r="AG84" s="55"/>
      <c r="AH84" s="32"/>
      <c r="AI84" s="32"/>
      <c r="AJ84" s="55"/>
      <c r="AK84" s="32"/>
      <c r="AL84" s="32"/>
      <c r="AM84" s="32"/>
      <c r="AN84" s="32"/>
      <c r="AO84" s="32"/>
      <c r="AP84" s="31"/>
      <c r="AQ84" s="31"/>
      <c r="AR84" s="54"/>
      <c r="AS84" s="21" t="str">
        <f>IFERROR(VLOOKUP(July[[#This Row],[Drug Name4]],'Data Options'!$R$1:$S$100,2,FALSE), " ")</f>
        <v xml:space="preserve"> </v>
      </c>
      <c r="AT84" s="55"/>
      <c r="AU84" s="32"/>
      <c r="AV84" s="32"/>
      <c r="AW84" s="55"/>
      <c r="AX84" s="32"/>
      <c r="AY84" s="54"/>
      <c r="AZ84" s="21" t="str">
        <f>IFERROR(VLOOKUP(July[[#This Row],[Drug Name5]],'Data Options'!$R$1:$S$100,2,FALSE), " ")</f>
        <v xml:space="preserve"> </v>
      </c>
      <c r="BA84" s="55"/>
      <c r="BB84" s="32"/>
      <c r="BC84" s="32"/>
      <c r="BD84" s="55"/>
      <c r="BE84" s="32"/>
      <c r="BF84" s="54"/>
      <c r="BG84" s="21" t="str">
        <f>IFERROR(VLOOKUP(July[[#This Row],[Drug Name6]],'Data Options'!$R$1:$S$100,2,FALSE), " ")</f>
        <v xml:space="preserve"> </v>
      </c>
      <c r="BH84" s="55"/>
      <c r="BI84" s="32"/>
      <c r="BJ84" s="32"/>
      <c r="BK84" s="55"/>
      <c r="BL84" s="32"/>
      <c r="BM84" s="32"/>
      <c r="BN84" s="32"/>
      <c r="BO84" s="32"/>
      <c r="BP84" s="32"/>
      <c r="BQ84" s="31"/>
      <c r="BR84" s="31"/>
      <c r="BS84" s="54"/>
      <c r="BT84" s="21" t="str">
        <f>IFERROR(VLOOKUP(July[[#This Row],[Drug Name7]],'Data Options'!$R$1:$S$100,2,FALSE), " ")</f>
        <v xml:space="preserve"> </v>
      </c>
      <c r="BU84" s="55"/>
      <c r="BV84" s="32"/>
      <c r="BW84" s="32"/>
      <c r="BX84" s="55"/>
      <c r="BY84" s="32"/>
      <c r="BZ84" s="54"/>
      <c r="CA84" s="21" t="str">
        <f>IFERROR(VLOOKUP(July[[#This Row],[Drug Name8]],'Data Options'!$R$1:$S$100,2,FALSE), " ")</f>
        <v xml:space="preserve"> </v>
      </c>
      <c r="CB84" s="55"/>
      <c r="CC84" s="32"/>
      <c r="CD84" s="32"/>
      <c r="CE84" s="55"/>
      <c r="CF84" s="32"/>
      <c r="CG84" s="54"/>
      <c r="CH84" s="21" t="str">
        <f>IFERROR(VLOOKUP(July[[#This Row],[Drug Name9]],'Data Options'!$R$1:$S$100,2,FALSE), " ")</f>
        <v xml:space="preserve"> </v>
      </c>
      <c r="CI84" s="55"/>
      <c r="CJ84" s="32"/>
      <c r="CK84" s="32"/>
      <c r="CL84" s="55"/>
      <c r="CM84" s="32"/>
    </row>
    <row r="85" spans="1:91">
      <c r="A85" s="5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31"/>
      <c r="Q85" s="54"/>
      <c r="R85" s="21" t="str">
        <f>IFERROR(VLOOKUP(July[[#This Row],[Drug Name]],'Data Options'!$R$1:$S$100,2,FALSE), " ")</f>
        <v xml:space="preserve"> </v>
      </c>
      <c r="S85" s="55"/>
      <c r="T85" s="32"/>
      <c r="U85" s="32"/>
      <c r="V85" s="55"/>
      <c r="W85" s="32"/>
      <c r="X85" s="54"/>
      <c r="Y85" s="21" t="str">
        <f>IFERROR(VLOOKUP(July[[#This Row],[Drug Name2]],'Data Options'!$R$1:$S$100,2,FALSE), " ")</f>
        <v xml:space="preserve"> </v>
      </c>
      <c r="Z85" s="55"/>
      <c r="AA85" s="32"/>
      <c r="AB85" s="32"/>
      <c r="AC85" s="55"/>
      <c r="AD85" s="32"/>
      <c r="AE85" s="54"/>
      <c r="AF85" s="21" t="str">
        <f>IFERROR(VLOOKUP(July[[#This Row],[Drug Name3]],'Data Options'!$R$1:$S$100,2,FALSE), " ")</f>
        <v xml:space="preserve"> </v>
      </c>
      <c r="AG85" s="55"/>
      <c r="AH85" s="32"/>
      <c r="AI85" s="32"/>
      <c r="AJ85" s="55"/>
      <c r="AK85" s="32"/>
      <c r="AL85" s="32"/>
      <c r="AM85" s="32"/>
      <c r="AN85" s="32"/>
      <c r="AO85" s="32"/>
      <c r="AP85" s="31"/>
      <c r="AQ85" s="31"/>
      <c r="AR85" s="54"/>
      <c r="AS85" s="21" t="str">
        <f>IFERROR(VLOOKUP(July[[#This Row],[Drug Name4]],'Data Options'!$R$1:$S$100,2,FALSE), " ")</f>
        <v xml:space="preserve"> </v>
      </c>
      <c r="AT85" s="55"/>
      <c r="AU85" s="32"/>
      <c r="AV85" s="32"/>
      <c r="AW85" s="55"/>
      <c r="AX85" s="32"/>
      <c r="AY85" s="54"/>
      <c r="AZ85" s="21" t="str">
        <f>IFERROR(VLOOKUP(July[[#This Row],[Drug Name5]],'Data Options'!$R$1:$S$100,2,FALSE), " ")</f>
        <v xml:space="preserve"> </v>
      </c>
      <c r="BA85" s="55"/>
      <c r="BB85" s="32"/>
      <c r="BC85" s="32"/>
      <c r="BD85" s="55"/>
      <c r="BE85" s="32"/>
      <c r="BF85" s="54"/>
      <c r="BG85" s="21" t="str">
        <f>IFERROR(VLOOKUP(July[[#This Row],[Drug Name6]],'Data Options'!$R$1:$S$100,2,FALSE), " ")</f>
        <v xml:space="preserve"> </v>
      </c>
      <c r="BH85" s="55"/>
      <c r="BI85" s="32"/>
      <c r="BJ85" s="32"/>
      <c r="BK85" s="55"/>
      <c r="BL85" s="32"/>
      <c r="BM85" s="32"/>
      <c r="BN85" s="32"/>
      <c r="BO85" s="32"/>
      <c r="BP85" s="32"/>
      <c r="BQ85" s="31"/>
      <c r="BR85" s="31"/>
      <c r="BS85" s="54"/>
      <c r="BT85" s="21" t="str">
        <f>IFERROR(VLOOKUP(July[[#This Row],[Drug Name7]],'Data Options'!$R$1:$S$100,2,FALSE), " ")</f>
        <v xml:space="preserve"> </v>
      </c>
      <c r="BU85" s="55"/>
      <c r="BV85" s="32"/>
      <c r="BW85" s="32"/>
      <c r="BX85" s="55"/>
      <c r="BY85" s="32"/>
      <c r="BZ85" s="54"/>
      <c r="CA85" s="21" t="str">
        <f>IFERROR(VLOOKUP(July[[#This Row],[Drug Name8]],'Data Options'!$R$1:$S$100,2,FALSE), " ")</f>
        <v xml:space="preserve"> </v>
      </c>
      <c r="CB85" s="55"/>
      <c r="CC85" s="32"/>
      <c r="CD85" s="32"/>
      <c r="CE85" s="55"/>
      <c r="CF85" s="32"/>
      <c r="CG85" s="54"/>
      <c r="CH85" s="21" t="str">
        <f>IFERROR(VLOOKUP(July[[#This Row],[Drug Name9]],'Data Options'!$R$1:$S$100,2,FALSE), " ")</f>
        <v xml:space="preserve"> </v>
      </c>
      <c r="CI85" s="55"/>
      <c r="CJ85" s="32"/>
      <c r="CK85" s="32"/>
      <c r="CL85" s="55"/>
      <c r="CM85" s="32"/>
    </row>
    <row r="86" spans="1:91">
      <c r="A86" s="5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31"/>
      <c r="Q86" s="54"/>
      <c r="R86" s="21" t="str">
        <f>IFERROR(VLOOKUP(July[[#This Row],[Drug Name]],'Data Options'!$R$1:$S$100,2,FALSE), " ")</f>
        <v xml:space="preserve"> </v>
      </c>
      <c r="S86" s="55"/>
      <c r="T86" s="32"/>
      <c r="U86" s="32"/>
      <c r="V86" s="55"/>
      <c r="W86" s="32"/>
      <c r="X86" s="54"/>
      <c r="Y86" s="21" t="str">
        <f>IFERROR(VLOOKUP(July[[#This Row],[Drug Name2]],'Data Options'!$R$1:$S$100,2,FALSE), " ")</f>
        <v xml:space="preserve"> </v>
      </c>
      <c r="Z86" s="55"/>
      <c r="AA86" s="32"/>
      <c r="AB86" s="32"/>
      <c r="AC86" s="55"/>
      <c r="AD86" s="32"/>
      <c r="AE86" s="54"/>
      <c r="AF86" s="21" t="str">
        <f>IFERROR(VLOOKUP(July[[#This Row],[Drug Name3]],'Data Options'!$R$1:$S$100,2,FALSE), " ")</f>
        <v xml:space="preserve"> </v>
      </c>
      <c r="AG86" s="55"/>
      <c r="AH86" s="32"/>
      <c r="AI86" s="32"/>
      <c r="AJ86" s="55"/>
      <c r="AK86" s="32"/>
      <c r="AL86" s="32"/>
      <c r="AM86" s="32"/>
      <c r="AN86" s="32"/>
      <c r="AO86" s="32"/>
      <c r="AP86" s="31"/>
      <c r="AQ86" s="31"/>
      <c r="AR86" s="54"/>
      <c r="AS86" s="21" t="str">
        <f>IFERROR(VLOOKUP(July[[#This Row],[Drug Name4]],'Data Options'!$R$1:$S$100,2,FALSE), " ")</f>
        <v xml:space="preserve"> </v>
      </c>
      <c r="AT86" s="55"/>
      <c r="AU86" s="32"/>
      <c r="AV86" s="32"/>
      <c r="AW86" s="55"/>
      <c r="AX86" s="32"/>
      <c r="AY86" s="54"/>
      <c r="AZ86" s="21" t="str">
        <f>IFERROR(VLOOKUP(July[[#This Row],[Drug Name5]],'Data Options'!$R$1:$S$100,2,FALSE), " ")</f>
        <v xml:space="preserve"> </v>
      </c>
      <c r="BA86" s="55"/>
      <c r="BB86" s="32"/>
      <c r="BC86" s="32"/>
      <c r="BD86" s="55"/>
      <c r="BE86" s="32"/>
      <c r="BF86" s="54"/>
      <c r="BG86" s="21" t="str">
        <f>IFERROR(VLOOKUP(July[[#This Row],[Drug Name6]],'Data Options'!$R$1:$S$100,2,FALSE), " ")</f>
        <v xml:space="preserve"> </v>
      </c>
      <c r="BH86" s="55"/>
      <c r="BI86" s="32"/>
      <c r="BJ86" s="32"/>
      <c r="BK86" s="55"/>
      <c r="BL86" s="32"/>
      <c r="BM86" s="32"/>
      <c r="BN86" s="32"/>
      <c r="BO86" s="32"/>
      <c r="BP86" s="32"/>
      <c r="BQ86" s="31"/>
      <c r="BR86" s="31"/>
      <c r="BS86" s="54"/>
      <c r="BT86" s="21" t="str">
        <f>IFERROR(VLOOKUP(July[[#This Row],[Drug Name7]],'Data Options'!$R$1:$S$100,2,FALSE), " ")</f>
        <v xml:space="preserve"> </v>
      </c>
      <c r="BU86" s="55"/>
      <c r="BV86" s="32"/>
      <c r="BW86" s="32"/>
      <c r="BX86" s="55"/>
      <c r="BY86" s="32"/>
      <c r="BZ86" s="54"/>
      <c r="CA86" s="21" t="str">
        <f>IFERROR(VLOOKUP(July[[#This Row],[Drug Name8]],'Data Options'!$R$1:$S$100,2,FALSE), " ")</f>
        <v xml:space="preserve"> </v>
      </c>
      <c r="CB86" s="55"/>
      <c r="CC86" s="32"/>
      <c r="CD86" s="32"/>
      <c r="CE86" s="55"/>
      <c r="CF86" s="32"/>
      <c r="CG86" s="54"/>
      <c r="CH86" s="21" t="str">
        <f>IFERROR(VLOOKUP(July[[#This Row],[Drug Name9]],'Data Options'!$R$1:$S$100,2,FALSE), " ")</f>
        <v xml:space="preserve"> </v>
      </c>
      <c r="CI86" s="55"/>
      <c r="CJ86" s="32"/>
      <c r="CK86" s="32"/>
      <c r="CL86" s="55"/>
      <c r="CM86" s="32"/>
    </row>
    <row r="87" spans="1:91">
      <c r="A87" s="5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31"/>
      <c r="Q87" s="54"/>
      <c r="R87" s="21" t="str">
        <f>IFERROR(VLOOKUP(July[[#This Row],[Drug Name]],'Data Options'!$R$1:$S$100,2,FALSE), " ")</f>
        <v xml:space="preserve"> </v>
      </c>
      <c r="S87" s="55"/>
      <c r="T87" s="32"/>
      <c r="U87" s="32"/>
      <c r="V87" s="55"/>
      <c r="W87" s="32"/>
      <c r="X87" s="54"/>
      <c r="Y87" s="21" t="str">
        <f>IFERROR(VLOOKUP(July[[#This Row],[Drug Name2]],'Data Options'!$R$1:$S$100,2,FALSE), " ")</f>
        <v xml:space="preserve"> </v>
      </c>
      <c r="Z87" s="55"/>
      <c r="AA87" s="32"/>
      <c r="AB87" s="32"/>
      <c r="AC87" s="55"/>
      <c r="AD87" s="32"/>
      <c r="AE87" s="54"/>
      <c r="AF87" s="21" t="str">
        <f>IFERROR(VLOOKUP(July[[#This Row],[Drug Name3]],'Data Options'!$R$1:$S$100,2,FALSE), " ")</f>
        <v xml:space="preserve"> </v>
      </c>
      <c r="AG87" s="55"/>
      <c r="AH87" s="32"/>
      <c r="AI87" s="32"/>
      <c r="AJ87" s="55"/>
      <c r="AK87" s="32"/>
      <c r="AL87" s="32"/>
      <c r="AM87" s="32"/>
      <c r="AN87" s="32"/>
      <c r="AO87" s="32"/>
      <c r="AP87" s="31"/>
      <c r="AQ87" s="31"/>
      <c r="AR87" s="54"/>
      <c r="AS87" s="21" t="str">
        <f>IFERROR(VLOOKUP(July[[#This Row],[Drug Name4]],'Data Options'!$R$1:$S$100,2,FALSE), " ")</f>
        <v xml:space="preserve"> </v>
      </c>
      <c r="AT87" s="55"/>
      <c r="AU87" s="32"/>
      <c r="AV87" s="32"/>
      <c r="AW87" s="55"/>
      <c r="AX87" s="32"/>
      <c r="AY87" s="54"/>
      <c r="AZ87" s="21" t="str">
        <f>IFERROR(VLOOKUP(July[[#This Row],[Drug Name5]],'Data Options'!$R$1:$S$100,2,FALSE), " ")</f>
        <v xml:space="preserve"> </v>
      </c>
      <c r="BA87" s="55"/>
      <c r="BB87" s="32"/>
      <c r="BC87" s="32"/>
      <c r="BD87" s="55"/>
      <c r="BE87" s="32"/>
      <c r="BF87" s="54"/>
      <c r="BG87" s="21" t="str">
        <f>IFERROR(VLOOKUP(July[[#This Row],[Drug Name6]],'Data Options'!$R$1:$S$100,2,FALSE), " ")</f>
        <v xml:space="preserve"> </v>
      </c>
      <c r="BH87" s="55"/>
      <c r="BI87" s="32"/>
      <c r="BJ87" s="32"/>
      <c r="BK87" s="55"/>
      <c r="BL87" s="32"/>
      <c r="BM87" s="32"/>
      <c r="BN87" s="32"/>
      <c r="BO87" s="32"/>
      <c r="BP87" s="32"/>
      <c r="BQ87" s="31"/>
      <c r="BR87" s="31"/>
      <c r="BS87" s="54"/>
      <c r="BT87" s="21" t="str">
        <f>IFERROR(VLOOKUP(July[[#This Row],[Drug Name7]],'Data Options'!$R$1:$S$100,2,FALSE), " ")</f>
        <v xml:space="preserve"> </v>
      </c>
      <c r="BU87" s="55"/>
      <c r="BV87" s="32"/>
      <c r="BW87" s="32"/>
      <c r="BX87" s="55"/>
      <c r="BY87" s="32"/>
      <c r="BZ87" s="54"/>
      <c r="CA87" s="21" t="str">
        <f>IFERROR(VLOOKUP(July[[#This Row],[Drug Name8]],'Data Options'!$R$1:$S$100,2,FALSE), " ")</f>
        <v xml:space="preserve"> </v>
      </c>
      <c r="CB87" s="55"/>
      <c r="CC87" s="32"/>
      <c r="CD87" s="32"/>
      <c r="CE87" s="55"/>
      <c r="CF87" s="32"/>
      <c r="CG87" s="54"/>
      <c r="CH87" s="21" t="str">
        <f>IFERROR(VLOOKUP(July[[#This Row],[Drug Name9]],'Data Options'!$R$1:$S$100,2,FALSE), " ")</f>
        <v xml:space="preserve"> </v>
      </c>
      <c r="CI87" s="55"/>
      <c r="CJ87" s="32"/>
      <c r="CK87" s="32"/>
      <c r="CL87" s="55"/>
      <c r="CM87" s="32"/>
    </row>
    <row r="88" spans="1:91">
      <c r="A88" s="5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31"/>
      <c r="Q88" s="54"/>
      <c r="R88" s="21" t="str">
        <f>IFERROR(VLOOKUP(July[[#This Row],[Drug Name]],'Data Options'!$R$1:$S$100,2,FALSE), " ")</f>
        <v xml:space="preserve"> </v>
      </c>
      <c r="S88" s="55"/>
      <c r="T88" s="32"/>
      <c r="U88" s="32"/>
      <c r="V88" s="55"/>
      <c r="W88" s="32"/>
      <c r="X88" s="54"/>
      <c r="Y88" s="21" t="str">
        <f>IFERROR(VLOOKUP(July[[#This Row],[Drug Name2]],'Data Options'!$R$1:$S$100,2,FALSE), " ")</f>
        <v xml:space="preserve"> </v>
      </c>
      <c r="Z88" s="55"/>
      <c r="AA88" s="32"/>
      <c r="AB88" s="32"/>
      <c r="AC88" s="55"/>
      <c r="AD88" s="32"/>
      <c r="AE88" s="54"/>
      <c r="AF88" s="21" t="str">
        <f>IFERROR(VLOOKUP(July[[#This Row],[Drug Name3]],'Data Options'!$R$1:$S$100,2,FALSE), " ")</f>
        <v xml:space="preserve"> </v>
      </c>
      <c r="AG88" s="55"/>
      <c r="AH88" s="32"/>
      <c r="AI88" s="32"/>
      <c r="AJ88" s="55"/>
      <c r="AK88" s="32"/>
      <c r="AL88" s="32"/>
      <c r="AM88" s="32"/>
      <c r="AN88" s="32"/>
      <c r="AO88" s="32"/>
      <c r="AP88" s="31"/>
      <c r="AQ88" s="31"/>
      <c r="AR88" s="54"/>
      <c r="AS88" s="21" t="str">
        <f>IFERROR(VLOOKUP(July[[#This Row],[Drug Name4]],'Data Options'!$R$1:$S$100,2,FALSE), " ")</f>
        <v xml:space="preserve"> </v>
      </c>
      <c r="AT88" s="55"/>
      <c r="AU88" s="32"/>
      <c r="AV88" s="32"/>
      <c r="AW88" s="55"/>
      <c r="AX88" s="32"/>
      <c r="AY88" s="54"/>
      <c r="AZ88" s="21" t="str">
        <f>IFERROR(VLOOKUP(July[[#This Row],[Drug Name5]],'Data Options'!$R$1:$S$100,2,FALSE), " ")</f>
        <v xml:space="preserve"> </v>
      </c>
      <c r="BA88" s="55"/>
      <c r="BB88" s="32"/>
      <c r="BC88" s="32"/>
      <c r="BD88" s="55"/>
      <c r="BE88" s="32"/>
      <c r="BF88" s="54"/>
      <c r="BG88" s="21" t="str">
        <f>IFERROR(VLOOKUP(July[[#This Row],[Drug Name6]],'Data Options'!$R$1:$S$100,2,FALSE), " ")</f>
        <v xml:space="preserve"> </v>
      </c>
      <c r="BH88" s="55"/>
      <c r="BI88" s="32"/>
      <c r="BJ88" s="32"/>
      <c r="BK88" s="55"/>
      <c r="BL88" s="32"/>
      <c r="BM88" s="32"/>
      <c r="BN88" s="32"/>
      <c r="BO88" s="32"/>
      <c r="BP88" s="32"/>
      <c r="BQ88" s="31"/>
      <c r="BR88" s="31"/>
      <c r="BS88" s="54"/>
      <c r="BT88" s="21" t="str">
        <f>IFERROR(VLOOKUP(July[[#This Row],[Drug Name7]],'Data Options'!$R$1:$S$100,2,FALSE), " ")</f>
        <v xml:space="preserve"> </v>
      </c>
      <c r="BU88" s="55"/>
      <c r="BV88" s="32"/>
      <c r="BW88" s="32"/>
      <c r="BX88" s="55"/>
      <c r="BY88" s="32"/>
      <c r="BZ88" s="54"/>
      <c r="CA88" s="21" t="str">
        <f>IFERROR(VLOOKUP(July[[#This Row],[Drug Name8]],'Data Options'!$R$1:$S$100,2,FALSE), " ")</f>
        <v xml:space="preserve"> </v>
      </c>
      <c r="CB88" s="55"/>
      <c r="CC88" s="32"/>
      <c r="CD88" s="32"/>
      <c r="CE88" s="55"/>
      <c r="CF88" s="32"/>
      <c r="CG88" s="54"/>
      <c r="CH88" s="21" t="str">
        <f>IFERROR(VLOOKUP(July[[#This Row],[Drug Name9]],'Data Options'!$R$1:$S$100,2,FALSE), " ")</f>
        <v xml:space="preserve"> </v>
      </c>
      <c r="CI88" s="55"/>
      <c r="CJ88" s="32"/>
      <c r="CK88" s="32"/>
      <c r="CL88" s="55"/>
      <c r="CM88" s="32"/>
    </row>
    <row r="89" spans="1:91">
      <c r="A89" s="5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31"/>
      <c r="Q89" s="54"/>
      <c r="R89" s="21" t="str">
        <f>IFERROR(VLOOKUP(July[[#This Row],[Drug Name]],'Data Options'!$R$1:$S$100,2,FALSE), " ")</f>
        <v xml:space="preserve"> </v>
      </c>
      <c r="S89" s="55"/>
      <c r="T89" s="32"/>
      <c r="U89" s="32"/>
      <c r="V89" s="55"/>
      <c r="W89" s="32"/>
      <c r="X89" s="54"/>
      <c r="Y89" s="21" t="str">
        <f>IFERROR(VLOOKUP(July[[#This Row],[Drug Name2]],'Data Options'!$R$1:$S$100,2,FALSE), " ")</f>
        <v xml:space="preserve"> </v>
      </c>
      <c r="Z89" s="55"/>
      <c r="AA89" s="32"/>
      <c r="AB89" s="32"/>
      <c r="AC89" s="55"/>
      <c r="AD89" s="32"/>
      <c r="AE89" s="54"/>
      <c r="AF89" s="21" t="str">
        <f>IFERROR(VLOOKUP(July[[#This Row],[Drug Name3]],'Data Options'!$R$1:$S$100,2,FALSE), " ")</f>
        <v xml:space="preserve"> </v>
      </c>
      <c r="AG89" s="55"/>
      <c r="AH89" s="32"/>
      <c r="AI89" s="32"/>
      <c r="AJ89" s="55"/>
      <c r="AK89" s="32"/>
      <c r="AL89" s="32"/>
      <c r="AM89" s="32"/>
      <c r="AN89" s="32"/>
      <c r="AO89" s="32"/>
      <c r="AP89" s="31"/>
      <c r="AQ89" s="31"/>
      <c r="AR89" s="54"/>
      <c r="AS89" s="21" t="str">
        <f>IFERROR(VLOOKUP(July[[#This Row],[Drug Name4]],'Data Options'!$R$1:$S$100,2,FALSE), " ")</f>
        <v xml:space="preserve"> </v>
      </c>
      <c r="AT89" s="55"/>
      <c r="AU89" s="32"/>
      <c r="AV89" s="32"/>
      <c r="AW89" s="55"/>
      <c r="AX89" s="32"/>
      <c r="AY89" s="54"/>
      <c r="AZ89" s="21" t="str">
        <f>IFERROR(VLOOKUP(July[[#This Row],[Drug Name5]],'Data Options'!$R$1:$S$100,2,FALSE), " ")</f>
        <v xml:space="preserve"> </v>
      </c>
      <c r="BA89" s="55"/>
      <c r="BB89" s="32"/>
      <c r="BC89" s="32"/>
      <c r="BD89" s="55"/>
      <c r="BE89" s="32"/>
      <c r="BF89" s="54"/>
      <c r="BG89" s="21" t="str">
        <f>IFERROR(VLOOKUP(July[[#This Row],[Drug Name6]],'Data Options'!$R$1:$S$100,2,FALSE), " ")</f>
        <v xml:space="preserve"> </v>
      </c>
      <c r="BH89" s="55"/>
      <c r="BI89" s="32"/>
      <c r="BJ89" s="32"/>
      <c r="BK89" s="55"/>
      <c r="BL89" s="32"/>
      <c r="BM89" s="32"/>
      <c r="BN89" s="32"/>
      <c r="BO89" s="32"/>
      <c r="BP89" s="32"/>
      <c r="BQ89" s="31"/>
      <c r="BR89" s="31"/>
      <c r="BS89" s="54"/>
      <c r="BT89" s="21" t="str">
        <f>IFERROR(VLOOKUP(July[[#This Row],[Drug Name7]],'Data Options'!$R$1:$S$100,2,FALSE), " ")</f>
        <v xml:space="preserve"> </v>
      </c>
      <c r="BU89" s="55"/>
      <c r="BV89" s="32"/>
      <c r="BW89" s="32"/>
      <c r="BX89" s="55"/>
      <c r="BY89" s="32"/>
      <c r="BZ89" s="54"/>
      <c r="CA89" s="21" t="str">
        <f>IFERROR(VLOOKUP(July[[#This Row],[Drug Name8]],'Data Options'!$R$1:$S$100,2,FALSE), " ")</f>
        <v xml:space="preserve"> </v>
      </c>
      <c r="CB89" s="55"/>
      <c r="CC89" s="32"/>
      <c r="CD89" s="32"/>
      <c r="CE89" s="55"/>
      <c r="CF89" s="32"/>
      <c r="CG89" s="54"/>
      <c r="CH89" s="21" t="str">
        <f>IFERROR(VLOOKUP(July[[#This Row],[Drug Name9]],'Data Options'!$R$1:$S$100,2,FALSE), " ")</f>
        <v xml:space="preserve"> </v>
      </c>
      <c r="CI89" s="55"/>
      <c r="CJ89" s="32"/>
      <c r="CK89" s="32"/>
      <c r="CL89" s="55"/>
      <c r="CM89" s="32"/>
    </row>
    <row r="90" spans="1:91">
      <c r="A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1"/>
      <c r="Q90" s="54"/>
      <c r="R90" s="21" t="str">
        <f>IFERROR(VLOOKUP(July[[#This Row],[Drug Name]],'Data Options'!$R$1:$S$100,2,FALSE), " ")</f>
        <v xml:space="preserve"> </v>
      </c>
      <c r="S90" s="55"/>
      <c r="T90" s="32"/>
      <c r="U90" s="32"/>
      <c r="V90" s="55"/>
      <c r="W90" s="32"/>
      <c r="X90" s="54"/>
      <c r="Y90" s="21" t="str">
        <f>IFERROR(VLOOKUP(July[[#This Row],[Drug Name2]],'Data Options'!$R$1:$S$100,2,FALSE), " ")</f>
        <v xml:space="preserve"> </v>
      </c>
      <c r="Z90" s="55"/>
      <c r="AA90" s="32"/>
      <c r="AB90" s="32"/>
      <c r="AC90" s="55"/>
      <c r="AD90" s="32"/>
      <c r="AE90" s="54"/>
      <c r="AF90" s="21" t="str">
        <f>IFERROR(VLOOKUP(July[[#This Row],[Drug Name3]],'Data Options'!$R$1:$S$100,2,FALSE), " ")</f>
        <v xml:space="preserve"> </v>
      </c>
      <c r="AG90" s="55"/>
      <c r="AH90" s="32"/>
      <c r="AI90" s="32"/>
      <c r="AJ90" s="55"/>
      <c r="AK90" s="32"/>
      <c r="AL90" s="32"/>
      <c r="AM90" s="32"/>
      <c r="AN90" s="32"/>
      <c r="AO90" s="32"/>
      <c r="AP90" s="31"/>
      <c r="AQ90" s="31"/>
      <c r="AR90" s="54"/>
      <c r="AS90" s="21" t="str">
        <f>IFERROR(VLOOKUP(July[[#This Row],[Drug Name4]],'Data Options'!$R$1:$S$100,2,FALSE), " ")</f>
        <v xml:space="preserve"> </v>
      </c>
      <c r="AT90" s="55"/>
      <c r="AU90" s="32"/>
      <c r="AV90" s="32"/>
      <c r="AW90" s="55"/>
      <c r="AX90" s="32"/>
      <c r="AY90" s="54"/>
      <c r="AZ90" s="21" t="str">
        <f>IFERROR(VLOOKUP(July[[#This Row],[Drug Name5]],'Data Options'!$R$1:$S$100,2,FALSE), " ")</f>
        <v xml:space="preserve"> </v>
      </c>
      <c r="BA90" s="55"/>
      <c r="BB90" s="32"/>
      <c r="BC90" s="32"/>
      <c r="BD90" s="55"/>
      <c r="BE90" s="32"/>
      <c r="BF90" s="54"/>
      <c r="BG90" s="21" t="str">
        <f>IFERROR(VLOOKUP(July[[#This Row],[Drug Name6]],'Data Options'!$R$1:$S$100,2,FALSE), " ")</f>
        <v xml:space="preserve"> </v>
      </c>
      <c r="BH90" s="55"/>
      <c r="BI90" s="32"/>
      <c r="BJ90" s="32"/>
      <c r="BK90" s="55"/>
      <c r="BL90" s="32"/>
      <c r="BM90" s="32"/>
      <c r="BN90" s="32"/>
      <c r="BO90" s="32"/>
      <c r="BP90" s="32"/>
      <c r="BQ90" s="31"/>
      <c r="BR90" s="31"/>
      <c r="BS90" s="54"/>
      <c r="BT90" s="21" t="str">
        <f>IFERROR(VLOOKUP(July[[#This Row],[Drug Name7]],'Data Options'!$R$1:$S$100,2,FALSE), " ")</f>
        <v xml:space="preserve"> </v>
      </c>
      <c r="BU90" s="55"/>
      <c r="BV90" s="32"/>
      <c r="BW90" s="32"/>
      <c r="BX90" s="55"/>
      <c r="BY90" s="32"/>
      <c r="BZ90" s="54"/>
      <c r="CA90" s="21" t="str">
        <f>IFERROR(VLOOKUP(July[[#This Row],[Drug Name8]],'Data Options'!$R$1:$S$100,2,FALSE), " ")</f>
        <v xml:space="preserve"> </v>
      </c>
      <c r="CB90" s="55"/>
      <c r="CC90" s="32"/>
      <c r="CD90" s="32"/>
      <c r="CE90" s="55"/>
      <c r="CF90" s="32"/>
      <c r="CG90" s="54"/>
      <c r="CH90" s="21" t="str">
        <f>IFERROR(VLOOKUP(July[[#This Row],[Drug Name9]],'Data Options'!$R$1:$S$100,2,FALSE), " ")</f>
        <v xml:space="preserve"> </v>
      </c>
      <c r="CI90" s="55"/>
      <c r="CJ90" s="32"/>
      <c r="CK90" s="32"/>
      <c r="CL90" s="55"/>
      <c r="CM90" s="32"/>
    </row>
    <row r="91" spans="1:91">
      <c r="A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1"/>
      <c r="Q91" s="54"/>
      <c r="R91" s="21" t="str">
        <f>IFERROR(VLOOKUP(July[[#This Row],[Drug Name]],'Data Options'!$R$1:$S$100,2,FALSE), " ")</f>
        <v xml:space="preserve"> </v>
      </c>
      <c r="S91" s="55"/>
      <c r="T91" s="32"/>
      <c r="U91" s="32"/>
      <c r="V91" s="55"/>
      <c r="W91" s="32"/>
      <c r="X91" s="54"/>
      <c r="Y91" s="21" t="str">
        <f>IFERROR(VLOOKUP(July[[#This Row],[Drug Name2]],'Data Options'!$R$1:$S$100,2,FALSE), " ")</f>
        <v xml:space="preserve"> </v>
      </c>
      <c r="Z91" s="55"/>
      <c r="AA91" s="32"/>
      <c r="AB91" s="32"/>
      <c r="AC91" s="55"/>
      <c r="AD91" s="32"/>
      <c r="AE91" s="54"/>
      <c r="AF91" s="21" t="str">
        <f>IFERROR(VLOOKUP(July[[#This Row],[Drug Name3]],'Data Options'!$R$1:$S$100,2,FALSE), " ")</f>
        <v xml:space="preserve"> </v>
      </c>
      <c r="AG91" s="55"/>
      <c r="AH91" s="32"/>
      <c r="AI91" s="32"/>
      <c r="AJ91" s="55"/>
      <c r="AK91" s="32"/>
      <c r="AL91" s="32"/>
      <c r="AM91" s="32"/>
      <c r="AN91" s="32"/>
      <c r="AO91" s="32"/>
      <c r="AP91" s="31"/>
      <c r="AQ91" s="31"/>
      <c r="AR91" s="54"/>
      <c r="AS91" s="21" t="str">
        <f>IFERROR(VLOOKUP(July[[#This Row],[Drug Name4]],'Data Options'!$R$1:$S$100,2,FALSE), " ")</f>
        <v xml:space="preserve"> </v>
      </c>
      <c r="AT91" s="55"/>
      <c r="AU91" s="32"/>
      <c r="AV91" s="32"/>
      <c r="AW91" s="55"/>
      <c r="AX91" s="32"/>
      <c r="AY91" s="54"/>
      <c r="AZ91" s="21" t="str">
        <f>IFERROR(VLOOKUP(July[[#This Row],[Drug Name5]],'Data Options'!$R$1:$S$100,2,FALSE), " ")</f>
        <v xml:space="preserve"> </v>
      </c>
      <c r="BA91" s="55"/>
      <c r="BB91" s="32"/>
      <c r="BC91" s="32"/>
      <c r="BD91" s="55"/>
      <c r="BE91" s="32"/>
      <c r="BF91" s="54"/>
      <c r="BG91" s="21" t="str">
        <f>IFERROR(VLOOKUP(July[[#This Row],[Drug Name6]],'Data Options'!$R$1:$S$100,2,FALSE), " ")</f>
        <v xml:space="preserve"> </v>
      </c>
      <c r="BH91" s="55"/>
      <c r="BI91" s="32"/>
      <c r="BJ91" s="32"/>
      <c r="BK91" s="55"/>
      <c r="BL91" s="32"/>
      <c r="BM91" s="32"/>
      <c r="BN91" s="32"/>
      <c r="BO91" s="32"/>
      <c r="BP91" s="32"/>
      <c r="BQ91" s="31"/>
      <c r="BR91" s="31"/>
      <c r="BS91" s="54"/>
      <c r="BT91" s="21" t="str">
        <f>IFERROR(VLOOKUP(July[[#This Row],[Drug Name7]],'Data Options'!$R$1:$S$100,2,FALSE), " ")</f>
        <v xml:space="preserve"> </v>
      </c>
      <c r="BU91" s="55"/>
      <c r="BV91" s="32"/>
      <c r="BW91" s="32"/>
      <c r="BX91" s="55"/>
      <c r="BY91" s="32"/>
      <c r="BZ91" s="54"/>
      <c r="CA91" s="21" t="str">
        <f>IFERROR(VLOOKUP(July[[#This Row],[Drug Name8]],'Data Options'!$R$1:$S$100,2,FALSE), " ")</f>
        <v xml:space="preserve"> </v>
      </c>
      <c r="CB91" s="55"/>
      <c r="CC91" s="32"/>
      <c r="CD91" s="32"/>
      <c r="CE91" s="55"/>
      <c r="CF91" s="32"/>
      <c r="CG91" s="54"/>
      <c r="CH91" s="21" t="str">
        <f>IFERROR(VLOOKUP(July[[#This Row],[Drug Name9]],'Data Options'!$R$1:$S$100,2,FALSE), " ")</f>
        <v xml:space="preserve"> </v>
      </c>
      <c r="CI91" s="55"/>
      <c r="CJ91" s="32"/>
      <c r="CK91" s="32"/>
      <c r="CL91" s="55"/>
      <c r="CM91" s="32"/>
    </row>
    <row r="92" spans="1:91">
      <c r="A92" s="5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1"/>
      <c r="Q92" s="54"/>
      <c r="R92" s="21" t="str">
        <f>IFERROR(VLOOKUP(July[[#This Row],[Drug Name]],'Data Options'!$R$1:$S$100,2,FALSE), " ")</f>
        <v xml:space="preserve"> </v>
      </c>
      <c r="S92" s="55"/>
      <c r="T92" s="32"/>
      <c r="U92" s="32"/>
      <c r="V92" s="55"/>
      <c r="W92" s="32"/>
      <c r="X92" s="54"/>
      <c r="Y92" s="21" t="str">
        <f>IFERROR(VLOOKUP(July[[#This Row],[Drug Name2]],'Data Options'!$R$1:$S$100,2,FALSE), " ")</f>
        <v xml:space="preserve"> </v>
      </c>
      <c r="Z92" s="55"/>
      <c r="AA92" s="32"/>
      <c r="AB92" s="32"/>
      <c r="AC92" s="55"/>
      <c r="AD92" s="32"/>
      <c r="AE92" s="54"/>
      <c r="AF92" s="21" t="str">
        <f>IFERROR(VLOOKUP(July[[#This Row],[Drug Name3]],'Data Options'!$R$1:$S$100,2,FALSE), " ")</f>
        <v xml:space="preserve"> </v>
      </c>
      <c r="AG92" s="55"/>
      <c r="AH92" s="32"/>
      <c r="AI92" s="32"/>
      <c r="AJ92" s="55"/>
      <c r="AK92" s="32"/>
      <c r="AL92" s="32"/>
      <c r="AM92" s="32"/>
      <c r="AN92" s="32"/>
      <c r="AO92" s="32"/>
      <c r="AP92" s="31"/>
      <c r="AQ92" s="31"/>
      <c r="AR92" s="54"/>
      <c r="AS92" s="21" t="str">
        <f>IFERROR(VLOOKUP(July[[#This Row],[Drug Name4]],'Data Options'!$R$1:$S$100,2,FALSE), " ")</f>
        <v xml:space="preserve"> </v>
      </c>
      <c r="AT92" s="55"/>
      <c r="AU92" s="32"/>
      <c r="AV92" s="32"/>
      <c r="AW92" s="55"/>
      <c r="AX92" s="32"/>
      <c r="AY92" s="54"/>
      <c r="AZ92" s="21" t="str">
        <f>IFERROR(VLOOKUP(July[[#This Row],[Drug Name5]],'Data Options'!$R$1:$S$100,2,FALSE), " ")</f>
        <v xml:space="preserve"> </v>
      </c>
      <c r="BA92" s="55"/>
      <c r="BB92" s="32"/>
      <c r="BC92" s="32"/>
      <c r="BD92" s="55"/>
      <c r="BE92" s="32"/>
      <c r="BF92" s="54"/>
      <c r="BG92" s="21" t="str">
        <f>IFERROR(VLOOKUP(July[[#This Row],[Drug Name6]],'Data Options'!$R$1:$S$100,2,FALSE), " ")</f>
        <v xml:space="preserve"> </v>
      </c>
      <c r="BH92" s="55"/>
      <c r="BI92" s="32"/>
      <c r="BJ92" s="32"/>
      <c r="BK92" s="55"/>
      <c r="BL92" s="32"/>
      <c r="BM92" s="32"/>
      <c r="BN92" s="32"/>
      <c r="BO92" s="32"/>
      <c r="BP92" s="32"/>
      <c r="BQ92" s="31"/>
      <c r="BR92" s="31"/>
      <c r="BS92" s="54"/>
      <c r="BT92" s="21" t="str">
        <f>IFERROR(VLOOKUP(July[[#This Row],[Drug Name7]],'Data Options'!$R$1:$S$100,2,FALSE), " ")</f>
        <v xml:space="preserve"> </v>
      </c>
      <c r="BU92" s="55"/>
      <c r="BV92" s="32"/>
      <c r="BW92" s="32"/>
      <c r="BX92" s="55"/>
      <c r="BY92" s="32"/>
      <c r="BZ92" s="54"/>
      <c r="CA92" s="21" t="str">
        <f>IFERROR(VLOOKUP(July[[#This Row],[Drug Name8]],'Data Options'!$R$1:$S$100,2,FALSE), " ")</f>
        <v xml:space="preserve"> </v>
      </c>
      <c r="CB92" s="55"/>
      <c r="CC92" s="32"/>
      <c r="CD92" s="32"/>
      <c r="CE92" s="55"/>
      <c r="CF92" s="32"/>
      <c r="CG92" s="54"/>
      <c r="CH92" s="21" t="str">
        <f>IFERROR(VLOOKUP(July[[#This Row],[Drug Name9]],'Data Options'!$R$1:$S$100,2,FALSE), " ")</f>
        <v xml:space="preserve"> </v>
      </c>
      <c r="CI92" s="55"/>
      <c r="CJ92" s="32"/>
      <c r="CK92" s="32"/>
      <c r="CL92" s="55"/>
      <c r="CM92" s="32"/>
    </row>
    <row r="93" spans="1:91">
      <c r="A93" s="5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1"/>
      <c r="Q93" s="54"/>
      <c r="R93" s="21" t="str">
        <f>IFERROR(VLOOKUP(July[[#This Row],[Drug Name]],'Data Options'!$R$1:$S$100,2,FALSE), " ")</f>
        <v xml:space="preserve"> </v>
      </c>
      <c r="S93" s="55"/>
      <c r="T93" s="32"/>
      <c r="U93" s="32"/>
      <c r="V93" s="55"/>
      <c r="W93" s="32"/>
      <c r="X93" s="54"/>
      <c r="Y93" s="21" t="str">
        <f>IFERROR(VLOOKUP(July[[#This Row],[Drug Name2]],'Data Options'!$R$1:$S$100,2,FALSE), " ")</f>
        <v xml:space="preserve"> </v>
      </c>
      <c r="Z93" s="55"/>
      <c r="AA93" s="32"/>
      <c r="AB93" s="32"/>
      <c r="AC93" s="55"/>
      <c r="AD93" s="32"/>
      <c r="AE93" s="54"/>
      <c r="AF93" s="21" t="str">
        <f>IFERROR(VLOOKUP(July[[#This Row],[Drug Name3]],'Data Options'!$R$1:$S$100,2,FALSE), " ")</f>
        <v xml:space="preserve"> </v>
      </c>
      <c r="AG93" s="55"/>
      <c r="AH93" s="32"/>
      <c r="AI93" s="32"/>
      <c r="AJ93" s="55"/>
      <c r="AK93" s="32"/>
      <c r="AL93" s="32"/>
      <c r="AM93" s="32"/>
      <c r="AN93" s="32"/>
      <c r="AO93" s="32"/>
      <c r="AP93" s="31"/>
      <c r="AQ93" s="31"/>
      <c r="AR93" s="54"/>
      <c r="AS93" s="21" t="str">
        <f>IFERROR(VLOOKUP(July[[#This Row],[Drug Name4]],'Data Options'!$R$1:$S$100,2,FALSE), " ")</f>
        <v xml:space="preserve"> </v>
      </c>
      <c r="AT93" s="55"/>
      <c r="AU93" s="32"/>
      <c r="AV93" s="32"/>
      <c r="AW93" s="55"/>
      <c r="AX93" s="32"/>
      <c r="AY93" s="54"/>
      <c r="AZ93" s="21" t="str">
        <f>IFERROR(VLOOKUP(July[[#This Row],[Drug Name5]],'Data Options'!$R$1:$S$100,2,FALSE), " ")</f>
        <v xml:space="preserve"> </v>
      </c>
      <c r="BA93" s="55"/>
      <c r="BB93" s="32"/>
      <c r="BC93" s="32"/>
      <c r="BD93" s="55"/>
      <c r="BE93" s="32"/>
      <c r="BF93" s="54"/>
      <c r="BG93" s="21" t="str">
        <f>IFERROR(VLOOKUP(July[[#This Row],[Drug Name6]],'Data Options'!$R$1:$S$100,2,FALSE), " ")</f>
        <v xml:space="preserve"> </v>
      </c>
      <c r="BH93" s="55"/>
      <c r="BI93" s="32"/>
      <c r="BJ93" s="32"/>
      <c r="BK93" s="55"/>
      <c r="BL93" s="32"/>
      <c r="BM93" s="32"/>
      <c r="BN93" s="32"/>
      <c r="BO93" s="32"/>
      <c r="BP93" s="32"/>
      <c r="BQ93" s="31"/>
      <c r="BR93" s="31"/>
      <c r="BS93" s="54"/>
      <c r="BT93" s="21" t="str">
        <f>IFERROR(VLOOKUP(July[[#This Row],[Drug Name7]],'Data Options'!$R$1:$S$100,2,FALSE), " ")</f>
        <v xml:space="preserve"> </v>
      </c>
      <c r="BU93" s="55"/>
      <c r="BV93" s="32"/>
      <c r="BW93" s="32"/>
      <c r="BX93" s="55"/>
      <c r="BY93" s="32"/>
      <c r="BZ93" s="54"/>
      <c r="CA93" s="21" t="str">
        <f>IFERROR(VLOOKUP(July[[#This Row],[Drug Name8]],'Data Options'!$R$1:$S$100,2,FALSE), " ")</f>
        <v xml:space="preserve"> </v>
      </c>
      <c r="CB93" s="55"/>
      <c r="CC93" s="32"/>
      <c r="CD93" s="32"/>
      <c r="CE93" s="55"/>
      <c r="CF93" s="32"/>
      <c r="CG93" s="54"/>
      <c r="CH93" s="21" t="str">
        <f>IFERROR(VLOOKUP(July[[#This Row],[Drug Name9]],'Data Options'!$R$1:$S$100,2,FALSE), " ")</f>
        <v xml:space="preserve"> </v>
      </c>
      <c r="CI93" s="55"/>
      <c r="CJ93" s="32"/>
      <c r="CK93" s="32"/>
      <c r="CL93" s="55"/>
      <c r="CM93" s="32"/>
    </row>
    <row r="94" spans="1:91">
      <c r="A94" s="5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1"/>
      <c r="Q94" s="54"/>
      <c r="R94" s="21" t="str">
        <f>IFERROR(VLOOKUP(July[[#This Row],[Drug Name]],'Data Options'!$R$1:$S$100,2,FALSE), " ")</f>
        <v xml:space="preserve"> </v>
      </c>
      <c r="S94" s="55"/>
      <c r="T94" s="32"/>
      <c r="U94" s="32"/>
      <c r="V94" s="55"/>
      <c r="W94" s="32"/>
      <c r="X94" s="54"/>
      <c r="Y94" s="21" t="str">
        <f>IFERROR(VLOOKUP(July[[#This Row],[Drug Name2]],'Data Options'!$R$1:$S$100,2,FALSE), " ")</f>
        <v xml:space="preserve"> </v>
      </c>
      <c r="Z94" s="55"/>
      <c r="AA94" s="32"/>
      <c r="AB94" s="32"/>
      <c r="AC94" s="55"/>
      <c r="AD94" s="32"/>
      <c r="AE94" s="54"/>
      <c r="AF94" s="21" t="str">
        <f>IFERROR(VLOOKUP(July[[#This Row],[Drug Name3]],'Data Options'!$R$1:$S$100,2,FALSE), " ")</f>
        <v xml:space="preserve"> </v>
      </c>
      <c r="AG94" s="55"/>
      <c r="AH94" s="32"/>
      <c r="AI94" s="32"/>
      <c r="AJ94" s="55"/>
      <c r="AK94" s="32"/>
      <c r="AL94" s="32"/>
      <c r="AM94" s="32"/>
      <c r="AN94" s="32"/>
      <c r="AO94" s="32"/>
      <c r="AP94" s="31"/>
      <c r="AQ94" s="31"/>
      <c r="AR94" s="54"/>
      <c r="AS94" s="21" t="str">
        <f>IFERROR(VLOOKUP(July[[#This Row],[Drug Name4]],'Data Options'!$R$1:$S$100,2,FALSE), " ")</f>
        <v xml:space="preserve"> </v>
      </c>
      <c r="AT94" s="55"/>
      <c r="AU94" s="32"/>
      <c r="AV94" s="32"/>
      <c r="AW94" s="55"/>
      <c r="AX94" s="32"/>
      <c r="AY94" s="54"/>
      <c r="AZ94" s="21" t="str">
        <f>IFERROR(VLOOKUP(July[[#This Row],[Drug Name5]],'Data Options'!$R$1:$S$100,2,FALSE), " ")</f>
        <v xml:space="preserve"> </v>
      </c>
      <c r="BA94" s="55"/>
      <c r="BB94" s="32"/>
      <c r="BC94" s="32"/>
      <c r="BD94" s="55"/>
      <c r="BE94" s="32"/>
      <c r="BF94" s="54"/>
      <c r="BG94" s="21" t="str">
        <f>IFERROR(VLOOKUP(July[[#This Row],[Drug Name6]],'Data Options'!$R$1:$S$100,2,FALSE), " ")</f>
        <v xml:space="preserve"> </v>
      </c>
      <c r="BH94" s="55"/>
      <c r="BI94" s="32"/>
      <c r="BJ94" s="32"/>
      <c r="BK94" s="55"/>
      <c r="BL94" s="32"/>
      <c r="BM94" s="32"/>
      <c r="BN94" s="32"/>
      <c r="BO94" s="32"/>
      <c r="BP94" s="32"/>
      <c r="BQ94" s="31"/>
      <c r="BR94" s="31"/>
      <c r="BS94" s="54"/>
      <c r="BT94" s="21" t="str">
        <f>IFERROR(VLOOKUP(July[[#This Row],[Drug Name7]],'Data Options'!$R$1:$S$100,2,FALSE), " ")</f>
        <v xml:space="preserve"> </v>
      </c>
      <c r="BU94" s="55"/>
      <c r="BV94" s="32"/>
      <c r="BW94" s="32"/>
      <c r="BX94" s="55"/>
      <c r="BY94" s="32"/>
      <c r="BZ94" s="54"/>
      <c r="CA94" s="21" t="str">
        <f>IFERROR(VLOOKUP(July[[#This Row],[Drug Name8]],'Data Options'!$R$1:$S$100,2,FALSE), " ")</f>
        <v xml:space="preserve"> </v>
      </c>
      <c r="CB94" s="55"/>
      <c r="CC94" s="32"/>
      <c r="CD94" s="32"/>
      <c r="CE94" s="55"/>
      <c r="CF94" s="32"/>
      <c r="CG94" s="54"/>
      <c r="CH94" s="21" t="str">
        <f>IFERROR(VLOOKUP(July[[#This Row],[Drug Name9]],'Data Options'!$R$1:$S$100,2,FALSE), " ")</f>
        <v xml:space="preserve"> </v>
      </c>
      <c r="CI94" s="55"/>
      <c r="CJ94" s="32"/>
      <c r="CK94" s="32"/>
      <c r="CL94" s="55"/>
      <c r="CM94" s="32"/>
    </row>
    <row r="95" spans="1:91">
      <c r="A95" s="5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1"/>
      <c r="P95" s="31"/>
      <c r="Q95" s="54"/>
      <c r="R95" s="21" t="str">
        <f>IFERROR(VLOOKUP(July[[#This Row],[Drug Name]],'Data Options'!$R$1:$S$100,2,FALSE), " ")</f>
        <v xml:space="preserve"> </v>
      </c>
      <c r="S95" s="55"/>
      <c r="T95" s="32"/>
      <c r="U95" s="32"/>
      <c r="V95" s="55"/>
      <c r="W95" s="32"/>
      <c r="X95" s="54"/>
      <c r="Y95" s="21" t="str">
        <f>IFERROR(VLOOKUP(July[[#This Row],[Drug Name2]],'Data Options'!$R$1:$S$100,2,FALSE), " ")</f>
        <v xml:space="preserve"> </v>
      </c>
      <c r="Z95" s="55"/>
      <c r="AA95" s="32"/>
      <c r="AB95" s="32"/>
      <c r="AC95" s="55"/>
      <c r="AD95" s="32"/>
      <c r="AE95" s="54"/>
      <c r="AF95" s="21" t="str">
        <f>IFERROR(VLOOKUP(July[[#This Row],[Drug Name3]],'Data Options'!$R$1:$S$100,2,FALSE), " ")</f>
        <v xml:space="preserve"> </v>
      </c>
      <c r="AG95" s="55"/>
      <c r="AH95" s="32"/>
      <c r="AI95" s="32"/>
      <c r="AJ95" s="55"/>
      <c r="AK95" s="32"/>
      <c r="AL95" s="32"/>
      <c r="AM95" s="32"/>
      <c r="AN95" s="32"/>
      <c r="AO95" s="32"/>
      <c r="AP95" s="31"/>
      <c r="AQ95" s="31"/>
      <c r="AR95" s="54"/>
      <c r="AS95" s="21" t="str">
        <f>IFERROR(VLOOKUP(July[[#This Row],[Drug Name4]],'Data Options'!$R$1:$S$100,2,FALSE), " ")</f>
        <v xml:space="preserve"> </v>
      </c>
      <c r="AT95" s="55"/>
      <c r="AU95" s="32"/>
      <c r="AV95" s="32"/>
      <c r="AW95" s="55"/>
      <c r="AX95" s="32"/>
      <c r="AY95" s="54"/>
      <c r="AZ95" s="21" t="str">
        <f>IFERROR(VLOOKUP(July[[#This Row],[Drug Name5]],'Data Options'!$R$1:$S$100,2,FALSE), " ")</f>
        <v xml:space="preserve"> </v>
      </c>
      <c r="BA95" s="55"/>
      <c r="BB95" s="32"/>
      <c r="BC95" s="32"/>
      <c r="BD95" s="55"/>
      <c r="BE95" s="32"/>
      <c r="BF95" s="54"/>
      <c r="BG95" s="21" t="str">
        <f>IFERROR(VLOOKUP(July[[#This Row],[Drug Name6]],'Data Options'!$R$1:$S$100,2,FALSE), " ")</f>
        <v xml:space="preserve"> </v>
      </c>
      <c r="BH95" s="55"/>
      <c r="BI95" s="32"/>
      <c r="BJ95" s="32"/>
      <c r="BK95" s="55"/>
      <c r="BL95" s="32"/>
      <c r="BM95" s="32"/>
      <c r="BN95" s="32"/>
      <c r="BO95" s="32"/>
      <c r="BP95" s="32"/>
      <c r="BQ95" s="31"/>
      <c r="BR95" s="31"/>
      <c r="BS95" s="54"/>
      <c r="BT95" s="21" t="str">
        <f>IFERROR(VLOOKUP(July[[#This Row],[Drug Name7]],'Data Options'!$R$1:$S$100,2,FALSE), " ")</f>
        <v xml:space="preserve"> </v>
      </c>
      <c r="BU95" s="55"/>
      <c r="BV95" s="32"/>
      <c r="BW95" s="32"/>
      <c r="BX95" s="55"/>
      <c r="BY95" s="32"/>
      <c r="BZ95" s="54"/>
      <c r="CA95" s="21" t="str">
        <f>IFERROR(VLOOKUP(July[[#This Row],[Drug Name8]],'Data Options'!$R$1:$S$100,2,FALSE), " ")</f>
        <v xml:space="preserve"> </v>
      </c>
      <c r="CB95" s="55"/>
      <c r="CC95" s="32"/>
      <c r="CD95" s="32"/>
      <c r="CE95" s="55"/>
      <c r="CF95" s="32"/>
      <c r="CG95" s="54"/>
      <c r="CH95" s="21" t="str">
        <f>IFERROR(VLOOKUP(July[[#This Row],[Drug Name9]],'Data Options'!$R$1:$S$100,2,FALSE), " ")</f>
        <v xml:space="preserve"> </v>
      </c>
      <c r="CI95" s="55"/>
      <c r="CJ95" s="32"/>
      <c r="CK95" s="32"/>
      <c r="CL95" s="55"/>
      <c r="CM95" s="32"/>
    </row>
    <row r="96" spans="1:91">
      <c r="A96" s="5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1"/>
      <c r="P96" s="31"/>
      <c r="Q96" s="54"/>
      <c r="R96" s="21" t="str">
        <f>IFERROR(VLOOKUP(July[[#This Row],[Drug Name]],'Data Options'!$R$1:$S$100,2,FALSE), " ")</f>
        <v xml:space="preserve"> </v>
      </c>
      <c r="S96" s="55"/>
      <c r="T96" s="32"/>
      <c r="U96" s="32"/>
      <c r="V96" s="55"/>
      <c r="W96" s="32"/>
      <c r="X96" s="54"/>
      <c r="Y96" s="21" t="str">
        <f>IFERROR(VLOOKUP(July[[#This Row],[Drug Name2]],'Data Options'!$R$1:$S$100,2,FALSE), " ")</f>
        <v xml:space="preserve"> </v>
      </c>
      <c r="Z96" s="55"/>
      <c r="AA96" s="32"/>
      <c r="AB96" s="32"/>
      <c r="AC96" s="55"/>
      <c r="AD96" s="32"/>
      <c r="AE96" s="54"/>
      <c r="AF96" s="21" t="str">
        <f>IFERROR(VLOOKUP(July[[#This Row],[Drug Name3]],'Data Options'!$R$1:$S$100,2,FALSE), " ")</f>
        <v xml:space="preserve"> </v>
      </c>
      <c r="AG96" s="55"/>
      <c r="AH96" s="32"/>
      <c r="AI96" s="32"/>
      <c r="AJ96" s="55"/>
      <c r="AK96" s="32"/>
      <c r="AL96" s="32"/>
      <c r="AM96" s="32"/>
      <c r="AN96" s="32"/>
      <c r="AO96" s="32"/>
      <c r="AP96" s="31"/>
      <c r="AQ96" s="31"/>
      <c r="AR96" s="54"/>
      <c r="AS96" s="21" t="str">
        <f>IFERROR(VLOOKUP(July[[#This Row],[Drug Name4]],'Data Options'!$R$1:$S$100,2,FALSE), " ")</f>
        <v xml:space="preserve"> </v>
      </c>
      <c r="AT96" s="55"/>
      <c r="AU96" s="32"/>
      <c r="AV96" s="32"/>
      <c r="AW96" s="55"/>
      <c r="AX96" s="32"/>
      <c r="AY96" s="54"/>
      <c r="AZ96" s="21" t="str">
        <f>IFERROR(VLOOKUP(July[[#This Row],[Drug Name5]],'Data Options'!$R$1:$S$100,2,FALSE), " ")</f>
        <v xml:space="preserve"> </v>
      </c>
      <c r="BA96" s="55"/>
      <c r="BB96" s="32"/>
      <c r="BC96" s="32"/>
      <c r="BD96" s="55"/>
      <c r="BE96" s="32"/>
      <c r="BF96" s="54"/>
      <c r="BG96" s="21" t="str">
        <f>IFERROR(VLOOKUP(July[[#This Row],[Drug Name6]],'Data Options'!$R$1:$S$100,2,FALSE), " ")</f>
        <v xml:space="preserve"> </v>
      </c>
      <c r="BH96" s="55"/>
      <c r="BI96" s="32"/>
      <c r="BJ96" s="32"/>
      <c r="BK96" s="55"/>
      <c r="BL96" s="32"/>
      <c r="BM96" s="32"/>
      <c r="BN96" s="32"/>
      <c r="BO96" s="32"/>
      <c r="BP96" s="32"/>
      <c r="BQ96" s="31"/>
      <c r="BR96" s="31"/>
      <c r="BS96" s="54"/>
      <c r="BT96" s="21" t="str">
        <f>IFERROR(VLOOKUP(July[[#This Row],[Drug Name7]],'Data Options'!$R$1:$S$100,2,FALSE), " ")</f>
        <v xml:space="preserve"> </v>
      </c>
      <c r="BU96" s="55"/>
      <c r="BV96" s="32"/>
      <c r="BW96" s="32"/>
      <c r="BX96" s="55"/>
      <c r="BY96" s="32"/>
      <c r="BZ96" s="54"/>
      <c r="CA96" s="21" t="str">
        <f>IFERROR(VLOOKUP(July[[#This Row],[Drug Name8]],'Data Options'!$R$1:$S$100,2,FALSE), " ")</f>
        <v xml:space="preserve"> </v>
      </c>
      <c r="CB96" s="55"/>
      <c r="CC96" s="32"/>
      <c r="CD96" s="32"/>
      <c r="CE96" s="55"/>
      <c r="CF96" s="32"/>
      <c r="CG96" s="54"/>
      <c r="CH96" s="21" t="str">
        <f>IFERROR(VLOOKUP(July[[#This Row],[Drug Name9]],'Data Options'!$R$1:$S$100,2,FALSE), " ")</f>
        <v xml:space="preserve"> </v>
      </c>
      <c r="CI96" s="55"/>
      <c r="CJ96" s="32"/>
      <c r="CK96" s="32"/>
      <c r="CL96" s="55"/>
      <c r="CM96" s="32"/>
    </row>
    <row r="97" spans="1:91">
      <c r="A97" s="5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1"/>
      <c r="P97" s="31"/>
      <c r="Q97" s="54"/>
      <c r="R97" s="21" t="str">
        <f>IFERROR(VLOOKUP(July[[#This Row],[Drug Name]],'Data Options'!$R$1:$S$100,2,FALSE), " ")</f>
        <v xml:space="preserve"> </v>
      </c>
      <c r="S97" s="55"/>
      <c r="T97" s="32"/>
      <c r="U97" s="32"/>
      <c r="V97" s="55"/>
      <c r="W97" s="32"/>
      <c r="X97" s="54"/>
      <c r="Y97" s="21" t="str">
        <f>IFERROR(VLOOKUP(July[[#This Row],[Drug Name2]],'Data Options'!$R$1:$S$100,2,FALSE), " ")</f>
        <v xml:space="preserve"> </v>
      </c>
      <c r="Z97" s="55"/>
      <c r="AA97" s="32"/>
      <c r="AB97" s="32"/>
      <c r="AC97" s="55"/>
      <c r="AD97" s="32"/>
      <c r="AE97" s="54"/>
      <c r="AF97" s="21" t="str">
        <f>IFERROR(VLOOKUP(July[[#This Row],[Drug Name3]],'Data Options'!$R$1:$S$100,2,FALSE), " ")</f>
        <v xml:space="preserve"> </v>
      </c>
      <c r="AG97" s="55"/>
      <c r="AH97" s="32"/>
      <c r="AI97" s="32"/>
      <c r="AJ97" s="55"/>
      <c r="AK97" s="32"/>
      <c r="AL97" s="32"/>
      <c r="AM97" s="32"/>
      <c r="AN97" s="32"/>
      <c r="AO97" s="32"/>
      <c r="AP97" s="31"/>
      <c r="AQ97" s="31"/>
      <c r="AR97" s="54"/>
      <c r="AS97" s="21" t="str">
        <f>IFERROR(VLOOKUP(July[[#This Row],[Drug Name4]],'Data Options'!$R$1:$S$100,2,FALSE), " ")</f>
        <v xml:space="preserve"> </v>
      </c>
      <c r="AT97" s="55"/>
      <c r="AU97" s="32"/>
      <c r="AV97" s="32"/>
      <c r="AW97" s="55"/>
      <c r="AX97" s="32"/>
      <c r="AY97" s="54"/>
      <c r="AZ97" s="21" t="str">
        <f>IFERROR(VLOOKUP(July[[#This Row],[Drug Name5]],'Data Options'!$R$1:$S$100,2,FALSE), " ")</f>
        <v xml:space="preserve"> </v>
      </c>
      <c r="BA97" s="55"/>
      <c r="BB97" s="32"/>
      <c r="BC97" s="32"/>
      <c r="BD97" s="55"/>
      <c r="BE97" s="32"/>
      <c r="BF97" s="54"/>
      <c r="BG97" s="21" t="str">
        <f>IFERROR(VLOOKUP(July[[#This Row],[Drug Name6]],'Data Options'!$R$1:$S$100,2,FALSE), " ")</f>
        <v xml:space="preserve"> </v>
      </c>
      <c r="BH97" s="55"/>
      <c r="BI97" s="32"/>
      <c r="BJ97" s="32"/>
      <c r="BK97" s="55"/>
      <c r="BL97" s="32"/>
      <c r="BM97" s="32"/>
      <c r="BN97" s="32"/>
      <c r="BO97" s="32"/>
      <c r="BP97" s="32"/>
      <c r="BQ97" s="31"/>
      <c r="BR97" s="31"/>
      <c r="BS97" s="54"/>
      <c r="BT97" s="21" t="str">
        <f>IFERROR(VLOOKUP(July[[#This Row],[Drug Name7]],'Data Options'!$R$1:$S$100,2,FALSE), " ")</f>
        <v xml:space="preserve"> </v>
      </c>
      <c r="BU97" s="55"/>
      <c r="BV97" s="32"/>
      <c r="BW97" s="32"/>
      <c r="BX97" s="55"/>
      <c r="BY97" s="32"/>
      <c r="BZ97" s="54"/>
      <c r="CA97" s="21" t="str">
        <f>IFERROR(VLOOKUP(July[[#This Row],[Drug Name8]],'Data Options'!$R$1:$S$100,2,FALSE), " ")</f>
        <v xml:space="preserve"> </v>
      </c>
      <c r="CB97" s="55"/>
      <c r="CC97" s="32"/>
      <c r="CD97" s="32"/>
      <c r="CE97" s="55"/>
      <c r="CF97" s="32"/>
      <c r="CG97" s="54"/>
      <c r="CH97" s="21" t="str">
        <f>IFERROR(VLOOKUP(July[[#This Row],[Drug Name9]],'Data Options'!$R$1:$S$100,2,FALSE), " ")</f>
        <v xml:space="preserve"> </v>
      </c>
      <c r="CI97" s="55"/>
      <c r="CJ97" s="32"/>
      <c r="CK97" s="32"/>
      <c r="CL97" s="55"/>
      <c r="CM97" s="32"/>
    </row>
    <row r="98" spans="1:91">
      <c r="A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1"/>
      <c r="P98" s="31"/>
      <c r="Q98" s="54"/>
      <c r="R98" s="21" t="str">
        <f>IFERROR(VLOOKUP(July[[#This Row],[Drug Name]],'Data Options'!$R$1:$S$100,2,FALSE), " ")</f>
        <v xml:space="preserve"> </v>
      </c>
      <c r="S98" s="55"/>
      <c r="T98" s="32"/>
      <c r="U98" s="32"/>
      <c r="V98" s="55"/>
      <c r="W98" s="32"/>
      <c r="X98" s="54"/>
      <c r="Y98" s="21" t="str">
        <f>IFERROR(VLOOKUP(July[[#This Row],[Drug Name2]],'Data Options'!$R$1:$S$100,2,FALSE), " ")</f>
        <v xml:space="preserve"> </v>
      </c>
      <c r="Z98" s="55"/>
      <c r="AA98" s="32"/>
      <c r="AB98" s="32"/>
      <c r="AC98" s="55"/>
      <c r="AD98" s="32"/>
      <c r="AE98" s="54"/>
      <c r="AF98" s="21" t="str">
        <f>IFERROR(VLOOKUP(July[[#This Row],[Drug Name3]],'Data Options'!$R$1:$S$100,2,FALSE), " ")</f>
        <v xml:space="preserve"> </v>
      </c>
      <c r="AG98" s="55"/>
      <c r="AH98" s="32"/>
      <c r="AI98" s="32"/>
      <c r="AJ98" s="55"/>
      <c r="AK98" s="32"/>
      <c r="AL98" s="32"/>
      <c r="AM98" s="32"/>
      <c r="AN98" s="32"/>
      <c r="AO98" s="32"/>
      <c r="AP98" s="31"/>
      <c r="AQ98" s="31"/>
      <c r="AR98" s="54"/>
      <c r="AS98" s="21" t="str">
        <f>IFERROR(VLOOKUP(July[[#This Row],[Drug Name4]],'Data Options'!$R$1:$S$100,2,FALSE), " ")</f>
        <v xml:space="preserve"> </v>
      </c>
      <c r="AT98" s="55"/>
      <c r="AU98" s="32"/>
      <c r="AV98" s="32"/>
      <c r="AW98" s="55"/>
      <c r="AX98" s="32"/>
      <c r="AY98" s="54"/>
      <c r="AZ98" s="21" t="str">
        <f>IFERROR(VLOOKUP(July[[#This Row],[Drug Name5]],'Data Options'!$R$1:$S$100,2,FALSE), " ")</f>
        <v xml:space="preserve"> </v>
      </c>
      <c r="BA98" s="55"/>
      <c r="BB98" s="32"/>
      <c r="BC98" s="32"/>
      <c r="BD98" s="55"/>
      <c r="BE98" s="32"/>
      <c r="BF98" s="54"/>
      <c r="BG98" s="21" t="str">
        <f>IFERROR(VLOOKUP(July[[#This Row],[Drug Name6]],'Data Options'!$R$1:$S$100,2,FALSE), " ")</f>
        <v xml:space="preserve"> </v>
      </c>
      <c r="BH98" s="55"/>
      <c r="BI98" s="32"/>
      <c r="BJ98" s="32"/>
      <c r="BK98" s="55"/>
      <c r="BL98" s="32"/>
      <c r="BM98" s="32"/>
      <c r="BN98" s="32"/>
      <c r="BO98" s="32"/>
      <c r="BP98" s="32"/>
      <c r="BQ98" s="31"/>
      <c r="BR98" s="31"/>
      <c r="BS98" s="54"/>
      <c r="BT98" s="21" t="str">
        <f>IFERROR(VLOOKUP(July[[#This Row],[Drug Name7]],'Data Options'!$R$1:$S$100,2,FALSE), " ")</f>
        <v xml:space="preserve"> </v>
      </c>
      <c r="BU98" s="55"/>
      <c r="BV98" s="32"/>
      <c r="BW98" s="32"/>
      <c r="BX98" s="55"/>
      <c r="BY98" s="32"/>
      <c r="BZ98" s="54"/>
      <c r="CA98" s="21" t="str">
        <f>IFERROR(VLOOKUP(July[[#This Row],[Drug Name8]],'Data Options'!$R$1:$S$100,2,FALSE), " ")</f>
        <v xml:space="preserve"> </v>
      </c>
      <c r="CB98" s="55"/>
      <c r="CC98" s="32"/>
      <c r="CD98" s="32"/>
      <c r="CE98" s="55"/>
      <c r="CF98" s="32"/>
      <c r="CG98" s="54"/>
      <c r="CH98" s="21" t="str">
        <f>IFERROR(VLOOKUP(July[[#This Row],[Drug Name9]],'Data Options'!$R$1:$S$100,2,FALSE), " ")</f>
        <v xml:space="preserve"> </v>
      </c>
      <c r="CI98" s="55"/>
      <c r="CJ98" s="32"/>
      <c r="CK98" s="32"/>
      <c r="CL98" s="55"/>
      <c r="CM98" s="32"/>
    </row>
    <row r="99" spans="1:91">
      <c r="A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1"/>
      <c r="P99" s="31"/>
      <c r="Q99" s="54"/>
      <c r="R99" s="21" t="str">
        <f>IFERROR(VLOOKUP(July[[#This Row],[Drug Name]],'Data Options'!$R$1:$S$100,2,FALSE), " ")</f>
        <v xml:space="preserve"> </v>
      </c>
      <c r="S99" s="55"/>
      <c r="T99" s="32"/>
      <c r="U99" s="32"/>
      <c r="V99" s="55"/>
      <c r="W99" s="32"/>
      <c r="X99" s="54"/>
      <c r="Y99" s="21" t="str">
        <f>IFERROR(VLOOKUP(July[[#This Row],[Drug Name2]],'Data Options'!$R$1:$S$100,2,FALSE), " ")</f>
        <v xml:space="preserve"> </v>
      </c>
      <c r="Z99" s="55"/>
      <c r="AA99" s="32"/>
      <c r="AB99" s="32"/>
      <c r="AC99" s="55"/>
      <c r="AD99" s="32"/>
      <c r="AE99" s="54"/>
      <c r="AF99" s="21" t="str">
        <f>IFERROR(VLOOKUP(July[[#This Row],[Drug Name3]],'Data Options'!$R$1:$S$100,2,FALSE), " ")</f>
        <v xml:space="preserve"> </v>
      </c>
      <c r="AG99" s="55"/>
      <c r="AH99" s="32"/>
      <c r="AI99" s="32"/>
      <c r="AJ99" s="55"/>
      <c r="AK99" s="32"/>
      <c r="AL99" s="32"/>
      <c r="AM99" s="32"/>
      <c r="AN99" s="32"/>
      <c r="AO99" s="32"/>
      <c r="AP99" s="31"/>
      <c r="AQ99" s="31"/>
      <c r="AR99" s="54"/>
      <c r="AS99" s="21" t="str">
        <f>IFERROR(VLOOKUP(July[[#This Row],[Drug Name4]],'Data Options'!$R$1:$S$100,2,FALSE), " ")</f>
        <v xml:space="preserve"> </v>
      </c>
      <c r="AT99" s="55"/>
      <c r="AU99" s="32"/>
      <c r="AV99" s="32"/>
      <c r="AW99" s="55"/>
      <c r="AX99" s="32"/>
      <c r="AY99" s="54"/>
      <c r="AZ99" s="21" t="str">
        <f>IFERROR(VLOOKUP(July[[#This Row],[Drug Name5]],'Data Options'!$R$1:$S$100,2,FALSE), " ")</f>
        <v xml:space="preserve"> </v>
      </c>
      <c r="BA99" s="55"/>
      <c r="BB99" s="32"/>
      <c r="BC99" s="32"/>
      <c r="BD99" s="55"/>
      <c r="BE99" s="32"/>
      <c r="BF99" s="54"/>
      <c r="BG99" s="21" t="str">
        <f>IFERROR(VLOOKUP(July[[#This Row],[Drug Name6]],'Data Options'!$R$1:$S$100,2,FALSE), " ")</f>
        <v xml:space="preserve"> </v>
      </c>
      <c r="BH99" s="55"/>
      <c r="BI99" s="32"/>
      <c r="BJ99" s="32"/>
      <c r="BK99" s="55"/>
      <c r="BL99" s="32"/>
      <c r="BM99" s="32"/>
      <c r="BN99" s="32"/>
      <c r="BO99" s="32"/>
      <c r="BP99" s="32"/>
      <c r="BQ99" s="31"/>
      <c r="BR99" s="31"/>
      <c r="BS99" s="54"/>
      <c r="BT99" s="21" t="str">
        <f>IFERROR(VLOOKUP(July[[#This Row],[Drug Name7]],'Data Options'!$R$1:$S$100,2,FALSE), " ")</f>
        <v xml:space="preserve"> </v>
      </c>
      <c r="BU99" s="55"/>
      <c r="BV99" s="32"/>
      <c r="BW99" s="32"/>
      <c r="BX99" s="55"/>
      <c r="BY99" s="32"/>
      <c r="BZ99" s="54"/>
      <c r="CA99" s="21" t="str">
        <f>IFERROR(VLOOKUP(July[[#This Row],[Drug Name8]],'Data Options'!$R$1:$S$100,2,FALSE), " ")</f>
        <v xml:space="preserve"> </v>
      </c>
      <c r="CB99" s="55"/>
      <c r="CC99" s="32"/>
      <c r="CD99" s="32"/>
      <c r="CE99" s="55"/>
      <c r="CF99" s="32"/>
      <c r="CG99" s="54"/>
      <c r="CH99" s="21" t="str">
        <f>IFERROR(VLOOKUP(July[[#This Row],[Drug Name9]],'Data Options'!$R$1:$S$100,2,FALSE), " ")</f>
        <v xml:space="preserve"> </v>
      </c>
      <c r="CI99" s="55"/>
      <c r="CJ99" s="32"/>
      <c r="CK99" s="32"/>
      <c r="CL99" s="55"/>
      <c r="CM99" s="32"/>
    </row>
    <row r="100" spans="1:91">
      <c r="A100" s="5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1"/>
      <c r="P100" s="31"/>
      <c r="Q100" s="54"/>
      <c r="R100" s="21" t="str">
        <f>IFERROR(VLOOKUP(July[[#This Row],[Drug Name]],'Data Options'!$R$1:$S$100,2,FALSE), " ")</f>
        <v xml:space="preserve"> </v>
      </c>
      <c r="S100" s="55"/>
      <c r="T100" s="32"/>
      <c r="U100" s="32"/>
      <c r="V100" s="55"/>
      <c r="W100" s="32"/>
      <c r="X100" s="54"/>
      <c r="Y100" s="21" t="str">
        <f>IFERROR(VLOOKUP(July[[#This Row],[Drug Name2]],'Data Options'!$R$1:$S$100,2,FALSE), " ")</f>
        <v xml:space="preserve"> </v>
      </c>
      <c r="Z100" s="55"/>
      <c r="AA100" s="32"/>
      <c r="AB100" s="32"/>
      <c r="AC100" s="55"/>
      <c r="AD100" s="32"/>
      <c r="AE100" s="54"/>
      <c r="AF100" s="21" t="str">
        <f>IFERROR(VLOOKUP(July[[#This Row],[Drug Name3]],'Data Options'!$R$1:$S$100,2,FALSE), " ")</f>
        <v xml:space="preserve"> </v>
      </c>
      <c r="AG100" s="55"/>
      <c r="AH100" s="32"/>
      <c r="AI100" s="32"/>
      <c r="AJ100" s="55"/>
      <c r="AK100" s="32"/>
      <c r="AL100" s="32"/>
      <c r="AM100" s="32"/>
      <c r="AN100" s="32"/>
      <c r="AO100" s="32"/>
      <c r="AP100" s="31"/>
      <c r="AQ100" s="31"/>
      <c r="AR100" s="54"/>
      <c r="AS100" s="21" t="str">
        <f>IFERROR(VLOOKUP(July[[#This Row],[Drug Name4]],'Data Options'!$R$1:$S$100,2,FALSE), " ")</f>
        <v xml:space="preserve"> </v>
      </c>
      <c r="AT100" s="55"/>
      <c r="AU100" s="32"/>
      <c r="AV100" s="32"/>
      <c r="AW100" s="55"/>
      <c r="AX100" s="32"/>
      <c r="AY100" s="54"/>
      <c r="AZ100" s="21" t="str">
        <f>IFERROR(VLOOKUP(July[[#This Row],[Drug Name5]],'Data Options'!$R$1:$S$100,2,FALSE), " ")</f>
        <v xml:space="preserve"> </v>
      </c>
      <c r="BA100" s="55"/>
      <c r="BB100" s="32"/>
      <c r="BC100" s="32"/>
      <c r="BD100" s="55"/>
      <c r="BE100" s="32"/>
      <c r="BF100" s="54"/>
      <c r="BG100" s="21" t="str">
        <f>IFERROR(VLOOKUP(July[[#This Row],[Drug Name6]],'Data Options'!$R$1:$S$100,2,FALSE), " ")</f>
        <v xml:space="preserve"> </v>
      </c>
      <c r="BH100" s="55"/>
      <c r="BI100" s="32"/>
      <c r="BJ100" s="32"/>
      <c r="BK100" s="55"/>
      <c r="BL100" s="32"/>
      <c r="BM100" s="32"/>
      <c r="BN100" s="32"/>
      <c r="BO100" s="32"/>
      <c r="BP100" s="32"/>
      <c r="BQ100" s="31"/>
      <c r="BR100" s="31"/>
      <c r="BS100" s="54"/>
      <c r="BT100" s="21" t="str">
        <f>IFERROR(VLOOKUP(July[[#This Row],[Drug Name7]],'Data Options'!$R$1:$S$100,2,FALSE), " ")</f>
        <v xml:space="preserve"> </v>
      </c>
      <c r="BU100" s="55"/>
      <c r="BV100" s="32"/>
      <c r="BW100" s="32"/>
      <c r="BX100" s="55"/>
      <c r="BY100" s="32"/>
      <c r="BZ100" s="54"/>
      <c r="CA100" s="21" t="str">
        <f>IFERROR(VLOOKUP(July[[#This Row],[Drug Name8]],'Data Options'!$R$1:$S$100,2,FALSE), " ")</f>
        <v xml:space="preserve"> </v>
      </c>
      <c r="CB100" s="55"/>
      <c r="CC100" s="32"/>
      <c r="CD100" s="32"/>
      <c r="CE100" s="55"/>
      <c r="CF100" s="32"/>
      <c r="CG100" s="54"/>
      <c r="CH100" s="21" t="str">
        <f>IFERROR(VLOOKUP(July[[#This Row],[Drug Name9]],'Data Options'!$R$1:$S$100,2,FALSE), " ")</f>
        <v xml:space="preserve"> </v>
      </c>
      <c r="CI100" s="55"/>
      <c r="CJ100" s="32"/>
      <c r="CK100" s="32"/>
      <c r="CL100" s="55"/>
      <c r="CM100" s="32"/>
    </row>
    <row r="101" spans="1:91">
      <c r="A101" s="5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1"/>
      <c r="P101" s="31"/>
      <c r="Q101" s="54"/>
      <c r="R101" s="21" t="str">
        <f>IFERROR(VLOOKUP(July[[#This Row],[Drug Name]],'Data Options'!$R$1:$S$100,2,FALSE), " ")</f>
        <v xml:space="preserve"> </v>
      </c>
      <c r="S101" s="55"/>
      <c r="T101" s="32"/>
      <c r="U101" s="32"/>
      <c r="V101" s="55"/>
      <c r="W101" s="32"/>
      <c r="X101" s="54"/>
      <c r="Y101" s="21" t="str">
        <f>IFERROR(VLOOKUP(July[[#This Row],[Drug Name2]],'Data Options'!$R$1:$S$100,2,FALSE), " ")</f>
        <v xml:space="preserve"> </v>
      </c>
      <c r="Z101" s="55"/>
      <c r="AA101" s="32"/>
      <c r="AB101" s="32"/>
      <c r="AC101" s="55"/>
      <c r="AD101" s="32"/>
      <c r="AE101" s="54"/>
      <c r="AF101" s="21" t="str">
        <f>IFERROR(VLOOKUP(July[[#This Row],[Drug Name3]],'Data Options'!$R$1:$S$100,2,FALSE), " ")</f>
        <v xml:space="preserve"> </v>
      </c>
      <c r="AG101" s="55"/>
      <c r="AH101" s="32"/>
      <c r="AI101" s="32"/>
      <c r="AJ101" s="55"/>
      <c r="AK101" s="32"/>
      <c r="AL101" s="32"/>
      <c r="AM101" s="32"/>
      <c r="AN101" s="32"/>
      <c r="AO101" s="32"/>
      <c r="AP101" s="31"/>
      <c r="AQ101" s="31"/>
      <c r="AR101" s="54"/>
      <c r="AS101" s="21" t="str">
        <f>IFERROR(VLOOKUP(July[[#This Row],[Drug Name4]],'Data Options'!$R$1:$S$100,2,FALSE), " ")</f>
        <v xml:space="preserve"> </v>
      </c>
      <c r="AT101" s="55"/>
      <c r="AU101" s="32"/>
      <c r="AV101" s="32"/>
      <c r="AW101" s="55"/>
      <c r="AX101" s="32"/>
      <c r="AY101" s="54"/>
      <c r="AZ101" s="21" t="str">
        <f>IFERROR(VLOOKUP(July[[#This Row],[Drug Name5]],'Data Options'!$R$1:$S$100,2,FALSE), " ")</f>
        <v xml:space="preserve"> </v>
      </c>
      <c r="BA101" s="55"/>
      <c r="BB101" s="32"/>
      <c r="BC101" s="32"/>
      <c r="BD101" s="55"/>
      <c r="BE101" s="32"/>
      <c r="BF101" s="54"/>
      <c r="BG101" s="21" t="str">
        <f>IFERROR(VLOOKUP(July[[#This Row],[Drug Name6]],'Data Options'!$R$1:$S$100,2,FALSE), " ")</f>
        <v xml:space="preserve"> </v>
      </c>
      <c r="BH101" s="55"/>
      <c r="BI101" s="32"/>
      <c r="BJ101" s="32"/>
      <c r="BK101" s="55"/>
      <c r="BL101" s="32"/>
      <c r="BM101" s="32"/>
      <c r="BN101" s="32"/>
      <c r="BO101" s="32"/>
      <c r="BP101" s="32"/>
      <c r="BQ101" s="31"/>
      <c r="BR101" s="31"/>
      <c r="BS101" s="54"/>
      <c r="BT101" s="21" t="str">
        <f>IFERROR(VLOOKUP(July[[#This Row],[Drug Name7]],'Data Options'!$R$1:$S$100,2,FALSE), " ")</f>
        <v xml:space="preserve"> </v>
      </c>
      <c r="BU101" s="55"/>
      <c r="BV101" s="32"/>
      <c r="BW101" s="32"/>
      <c r="BX101" s="55"/>
      <c r="BY101" s="32"/>
      <c r="BZ101" s="54"/>
      <c r="CA101" s="21" t="str">
        <f>IFERROR(VLOOKUP(July[[#This Row],[Drug Name8]],'Data Options'!$R$1:$S$100,2,FALSE), " ")</f>
        <v xml:space="preserve"> </v>
      </c>
      <c r="CB101" s="55"/>
      <c r="CC101" s="32"/>
      <c r="CD101" s="32"/>
      <c r="CE101" s="55"/>
      <c r="CF101" s="32"/>
      <c r="CG101" s="54"/>
      <c r="CH101" s="21" t="str">
        <f>IFERROR(VLOOKUP(July[[#This Row],[Drug Name9]],'Data Options'!$R$1:$S$100,2,FALSE), " ")</f>
        <v xml:space="preserve"> </v>
      </c>
      <c r="CI101" s="55"/>
      <c r="CJ101" s="32"/>
      <c r="CK101" s="32"/>
      <c r="CL101" s="55"/>
      <c r="CM101" s="32"/>
    </row>
    <row r="102" spans="1:91">
      <c r="A102" s="5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1"/>
      <c r="P102" s="31"/>
      <c r="Q102" s="54"/>
      <c r="R102" s="21" t="str">
        <f>IFERROR(VLOOKUP(July[[#This Row],[Drug Name]],'Data Options'!$R$1:$S$100,2,FALSE), " ")</f>
        <v xml:space="preserve"> </v>
      </c>
      <c r="S102" s="55"/>
      <c r="T102" s="32"/>
      <c r="U102" s="32"/>
      <c r="V102" s="55"/>
      <c r="W102" s="32"/>
      <c r="X102" s="54"/>
      <c r="Y102" s="21" t="str">
        <f>IFERROR(VLOOKUP(July[[#This Row],[Drug Name2]],'Data Options'!$R$1:$S$100,2,FALSE), " ")</f>
        <v xml:space="preserve"> </v>
      </c>
      <c r="Z102" s="55"/>
      <c r="AA102" s="32"/>
      <c r="AB102" s="32"/>
      <c r="AC102" s="55"/>
      <c r="AD102" s="32"/>
      <c r="AE102" s="54"/>
      <c r="AF102" s="21" t="str">
        <f>IFERROR(VLOOKUP(July[[#This Row],[Drug Name3]],'Data Options'!$R$1:$S$100,2,FALSE), " ")</f>
        <v xml:space="preserve"> </v>
      </c>
      <c r="AG102" s="55"/>
      <c r="AH102" s="32"/>
      <c r="AI102" s="32"/>
      <c r="AJ102" s="55"/>
      <c r="AK102" s="32"/>
      <c r="AL102" s="32"/>
      <c r="AM102" s="32"/>
      <c r="AN102" s="32"/>
      <c r="AO102" s="32"/>
      <c r="AP102" s="31"/>
      <c r="AQ102" s="31"/>
      <c r="AR102" s="54"/>
      <c r="AS102" s="21" t="str">
        <f>IFERROR(VLOOKUP(July[[#This Row],[Drug Name4]],'Data Options'!$R$1:$S$100,2,FALSE), " ")</f>
        <v xml:space="preserve"> </v>
      </c>
      <c r="AT102" s="55"/>
      <c r="AU102" s="32"/>
      <c r="AV102" s="32"/>
      <c r="AW102" s="55"/>
      <c r="AX102" s="32"/>
      <c r="AY102" s="54"/>
      <c r="AZ102" s="21" t="str">
        <f>IFERROR(VLOOKUP(July[[#This Row],[Drug Name5]],'Data Options'!$R$1:$S$100,2,FALSE), " ")</f>
        <v xml:space="preserve"> </v>
      </c>
      <c r="BA102" s="55"/>
      <c r="BB102" s="32"/>
      <c r="BC102" s="32"/>
      <c r="BD102" s="55"/>
      <c r="BE102" s="32"/>
      <c r="BF102" s="54"/>
      <c r="BG102" s="21" t="str">
        <f>IFERROR(VLOOKUP(July[[#This Row],[Drug Name6]],'Data Options'!$R$1:$S$100,2,FALSE), " ")</f>
        <v xml:space="preserve"> </v>
      </c>
      <c r="BH102" s="55"/>
      <c r="BI102" s="32"/>
      <c r="BJ102" s="32"/>
      <c r="BK102" s="55"/>
      <c r="BL102" s="32"/>
      <c r="BM102" s="32"/>
      <c r="BN102" s="32"/>
      <c r="BO102" s="32"/>
      <c r="BP102" s="32"/>
      <c r="BQ102" s="31"/>
      <c r="BR102" s="31"/>
      <c r="BS102" s="54"/>
      <c r="BT102" s="21" t="str">
        <f>IFERROR(VLOOKUP(July[[#This Row],[Drug Name7]],'Data Options'!$R$1:$S$100,2,FALSE), " ")</f>
        <v xml:space="preserve"> </v>
      </c>
      <c r="BU102" s="55"/>
      <c r="BV102" s="32"/>
      <c r="BW102" s="32"/>
      <c r="BX102" s="55"/>
      <c r="BY102" s="32"/>
      <c r="BZ102" s="54"/>
      <c r="CA102" s="21" t="str">
        <f>IFERROR(VLOOKUP(July[[#This Row],[Drug Name8]],'Data Options'!$R$1:$S$100,2,FALSE), " ")</f>
        <v xml:space="preserve"> </v>
      </c>
      <c r="CB102" s="55"/>
      <c r="CC102" s="32"/>
      <c r="CD102" s="32"/>
      <c r="CE102" s="55"/>
      <c r="CF102" s="32"/>
      <c r="CG102" s="54"/>
      <c r="CH102" s="21" t="str">
        <f>IFERROR(VLOOKUP(July[[#This Row],[Drug Name9]],'Data Options'!$R$1:$S$100,2,FALSE), " ")</f>
        <v xml:space="preserve"> </v>
      </c>
      <c r="CI102" s="55"/>
      <c r="CJ102" s="32"/>
      <c r="CK102" s="32"/>
      <c r="CL102" s="55"/>
      <c r="CM102" s="32"/>
    </row>
    <row r="103" spans="1:91">
      <c r="A103" s="5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1"/>
      <c r="Q103" s="54"/>
      <c r="R103" s="21" t="str">
        <f>IFERROR(VLOOKUP(July[[#This Row],[Drug Name]],'Data Options'!$R$1:$S$100,2,FALSE), " ")</f>
        <v xml:space="preserve"> </v>
      </c>
      <c r="S103" s="55"/>
      <c r="T103" s="32"/>
      <c r="U103" s="32"/>
      <c r="V103" s="55"/>
      <c r="W103" s="32"/>
      <c r="X103" s="54"/>
      <c r="Y103" s="21" t="str">
        <f>IFERROR(VLOOKUP(July[[#This Row],[Drug Name2]],'Data Options'!$R$1:$S$100,2,FALSE), " ")</f>
        <v xml:space="preserve"> </v>
      </c>
      <c r="Z103" s="55"/>
      <c r="AA103" s="32"/>
      <c r="AB103" s="32"/>
      <c r="AC103" s="55"/>
      <c r="AD103" s="32"/>
      <c r="AE103" s="54"/>
      <c r="AF103" s="21" t="str">
        <f>IFERROR(VLOOKUP(July[[#This Row],[Drug Name3]],'Data Options'!$R$1:$S$100,2,FALSE), " ")</f>
        <v xml:space="preserve"> </v>
      </c>
      <c r="AG103" s="55"/>
      <c r="AH103" s="32"/>
      <c r="AI103" s="32"/>
      <c r="AJ103" s="55"/>
      <c r="AK103" s="32"/>
      <c r="AL103" s="32"/>
      <c r="AM103" s="32"/>
      <c r="AN103" s="32"/>
      <c r="AO103" s="32"/>
      <c r="AP103" s="31"/>
      <c r="AQ103" s="31"/>
      <c r="AR103" s="54"/>
      <c r="AS103" s="21" t="str">
        <f>IFERROR(VLOOKUP(July[[#This Row],[Drug Name4]],'Data Options'!$R$1:$S$100,2,FALSE), " ")</f>
        <v xml:space="preserve"> </v>
      </c>
      <c r="AT103" s="55"/>
      <c r="AU103" s="32"/>
      <c r="AV103" s="32"/>
      <c r="AW103" s="55"/>
      <c r="AX103" s="32"/>
      <c r="AY103" s="54"/>
      <c r="AZ103" s="21" t="str">
        <f>IFERROR(VLOOKUP(July[[#This Row],[Drug Name5]],'Data Options'!$R$1:$S$100,2,FALSE), " ")</f>
        <v xml:space="preserve"> </v>
      </c>
      <c r="BA103" s="55"/>
      <c r="BB103" s="32"/>
      <c r="BC103" s="32"/>
      <c r="BD103" s="55"/>
      <c r="BE103" s="32"/>
      <c r="BF103" s="54"/>
      <c r="BG103" s="21" t="str">
        <f>IFERROR(VLOOKUP(July[[#This Row],[Drug Name6]],'Data Options'!$R$1:$S$100,2,FALSE), " ")</f>
        <v xml:space="preserve"> </v>
      </c>
      <c r="BH103" s="55"/>
      <c r="BI103" s="32"/>
      <c r="BJ103" s="32"/>
      <c r="BK103" s="55"/>
      <c r="BL103" s="32"/>
      <c r="BM103" s="32"/>
      <c r="BN103" s="32"/>
      <c r="BO103" s="32"/>
      <c r="BP103" s="32"/>
      <c r="BQ103" s="31"/>
      <c r="BR103" s="31"/>
      <c r="BS103" s="54"/>
      <c r="BT103" s="21" t="str">
        <f>IFERROR(VLOOKUP(July[[#This Row],[Drug Name7]],'Data Options'!$R$1:$S$100,2,FALSE), " ")</f>
        <v xml:space="preserve"> </v>
      </c>
      <c r="BU103" s="55"/>
      <c r="BV103" s="32"/>
      <c r="BW103" s="32"/>
      <c r="BX103" s="55"/>
      <c r="BY103" s="32"/>
      <c r="BZ103" s="54"/>
      <c r="CA103" s="21" t="str">
        <f>IFERROR(VLOOKUP(July[[#This Row],[Drug Name8]],'Data Options'!$R$1:$S$100,2,FALSE), " ")</f>
        <v xml:space="preserve"> </v>
      </c>
      <c r="CB103" s="55"/>
      <c r="CC103" s="32"/>
      <c r="CD103" s="32"/>
      <c r="CE103" s="55"/>
      <c r="CF103" s="32"/>
      <c r="CG103" s="54"/>
      <c r="CH103" s="21" t="str">
        <f>IFERROR(VLOOKUP(July[[#This Row],[Drug Name9]],'Data Options'!$R$1:$S$100,2,FALSE), " ")</f>
        <v xml:space="preserve"> </v>
      </c>
      <c r="CI103" s="55"/>
      <c r="CJ103" s="32"/>
      <c r="CK103" s="32"/>
      <c r="CL103" s="55"/>
      <c r="CM103" s="32"/>
    </row>
    <row r="104" spans="1:91">
      <c r="A104" s="5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Q104" s="54"/>
      <c r="R104" s="21" t="str">
        <f>IFERROR(VLOOKUP(July[[#This Row],[Drug Name]],'Data Options'!$R$1:$S$100,2,FALSE), " ")</f>
        <v xml:space="preserve"> </v>
      </c>
      <c r="S104" s="55"/>
      <c r="T104" s="32"/>
      <c r="U104" s="32"/>
      <c r="V104" s="55"/>
      <c r="W104" s="32"/>
      <c r="X104" s="54"/>
      <c r="Y104" s="21" t="str">
        <f>IFERROR(VLOOKUP(July[[#This Row],[Drug Name2]],'Data Options'!$R$1:$S$100,2,FALSE), " ")</f>
        <v xml:space="preserve"> </v>
      </c>
      <c r="Z104" s="55"/>
      <c r="AA104" s="32"/>
      <c r="AB104" s="32"/>
      <c r="AC104" s="55"/>
      <c r="AD104" s="32"/>
      <c r="AE104" s="54"/>
      <c r="AF104" s="21" t="str">
        <f>IFERROR(VLOOKUP(July[[#This Row],[Drug Name3]],'Data Options'!$R$1:$S$100,2,FALSE), " ")</f>
        <v xml:space="preserve"> </v>
      </c>
      <c r="AG104" s="55"/>
      <c r="AH104" s="32"/>
      <c r="AI104" s="32"/>
      <c r="AJ104" s="55"/>
      <c r="AK104" s="32"/>
      <c r="AL104" s="32"/>
      <c r="AM104" s="32"/>
      <c r="AN104" s="32"/>
      <c r="AO104" s="32"/>
      <c r="AP104" s="31"/>
      <c r="AQ104" s="31"/>
      <c r="AR104" s="54"/>
      <c r="AS104" s="21" t="str">
        <f>IFERROR(VLOOKUP(July[[#This Row],[Drug Name4]],'Data Options'!$R$1:$S$100,2,FALSE), " ")</f>
        <v xml:space="preserve"> </v>
      </c>
      <c r="AT104" s="55"/>
      <c r="AU104" s="32"/>
      <c r="AV104" s="32"/>
      <c r="AW104" s="55"/>
      <c r="AX104" s="32"/>
      <c r="AY104" s="54"/>
      <c r="AZ104" s="21" t="str">
        <f>IFERROR(VLOOKUP(July[[#This Row],[Drug Name5]],'Data Options'!$R$1:$S$100,2,FALSE), " ")</f>
        <v xml:space="preserve"> </v>
      </c>
      <c r="BA104" s="55"/>
      <c r="BB104" s="32"/>
      <c r="BC104" s="32"/>
      <c r="BD104" s="55"/>
      <c r="BE104" s="32"/>
      <c r="BF104" s="54"/>
      <c r="BG104" s="21" t="str">
        <f>IFERROR(VLOOKUP(July[[#This Row],[Drug Name6]],'Data Options'!$R$1:$S$100,2,FALSE), " ")</f>
        <v xml:space="preserve"> </v>
      </c>
      <c r="BH104" s="55"/>
      <c r="BI104" s="32"/>
      <c r="BJ104" s="32"/>
      <c r="BK104" s="55"/>
      <c r="BL104" s="32"/>
      <c r="BM104" s="32"/>
      <c r="BN104" s="32"/>
      <c r="BO104" s="32"/>
      <c r="BP104" s="32"/>
      <c r="BQ104" s="31"/>
      <c r="BR104" s="31"/>
      <c r="BS104" s="54"/>
      <c r="BT104" s="21" t="str">
        <f>IFERROR(VLOOKUP(July[[#This Row],[Drug Name7]],'Data Options'!$R$1:$S$100,2,FALSE), " ")</f>
        <v xml:space="preserve"> </v>
      </c>
      <c r="BU104" s="55"/>
      <c r="BV104" s="32"/>
      <c r="BW104" s="32"/>
      <c r="BX104" s="55"/>
      <c r="BY104" s="32"/>
      <c r="BZ104" s="54"/>
      <c r="CA104" s="21" t="str">
        <f>IFERROR(VLOOKUP(July[[#This Row],[Drug Name8]],'Data Options'!$R$1:$S$100,2,FALSE), " ")</f>
        <v xml:space="preserve"> </v>
      </c>
      <c r="CB104" s="55"/>
      <c r="CC104" s="32"/>
      <c r="CD104" s="32"/>
      <c r="CE104" s="55"/>
      <c r="CF104" s="32"/>
      <c r="CG104" s="54"/>
      <c r="CH104" s="21" t="str">
        <f>IFERROR(VLOOKUP(July[[#This Row],[Drug Name9]],'Data Options'!$R$1:$S$100,2,FALSE), " ")</f>
        <v xml:space="preserve"> </v>
      </c>
      <c r="CI104" s="55"/>
      <c r="CJ104" s="32"/>
      <c r="CK104" s="32"/>
      <c r="CL104" s="55"/>
      <c r="CM104" s="32"/>
    </row>
    <row r="105" spans="1:91">
      <c r="A105" s="5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1"/>
      <c r="Q105" s="54"/>
      <c r="R105" s="21" t="str">
        <f>IFERROR(VLOOKUP(July[[#This Row],[Drug Name]],'Data Options'!$R$1:$S$100,2,FALSE), " ")</f>
        <v xml:space="preserve"> </v>
      </c>
      <c r="S105" s="55"/>
      <c r="T105" s="32"/>
      <c r="U105" s="32"/>
      <c r="V105" s="55"/>
      <c r="W105" s="32"/>
      <c r="X105" s="54"/>
      <c r="Y105" s="21" t="str">
        <f>IFERROR(VLOOKUP(July[[#This Row],[Drug Name2]],'Data Options'!$R$1:$S$100,2,FALSE), " ")</f>
        <v xml:space="preserve"> </v>
      </c>
      <c r="Z105" s="55"/>
      <c r="AA105" s="32"/>
      <c r="AB105" s="32"/>
      <c r="AC105" s="55"/>
      <c r="AD105" s="32"/>
      <c r="AE105" s="54"/>
      <c r="AF105" s="21" t="str">
        <f>IFERROR(VLOOKUP(July[[#This Row],[Drug Name3]],'Data Options'!$R$1:$S$100,2,FALSE), " ")</f>
        <v xml:space="preserve"> </v>
      </c>
      <c r="AG105" s="55"/>
      <c r="AH105" s="32"/>
      <c r="AI105" s="32"/>
      <c r="AJ105" s="55"/>
      <c r="AK105" s="32"/>
      <c r="AL105" s="32"/>
      <c r="AM105" s="32"/>
      <c r="AN105" s="32"/>
      <c r="AO105" s="32"/>
      <c r="AP105" s="31"/>
      <c r="AQ105" s="31"/>
      <c r="AR105" s="54"/>
      <c r="AS105" s="21" t="str">
        <f>IFERROR(VLOOKUP(July[[#This Row],[Drug Name4]],'Data Options'!$R$1:$S$100,2,FALSE), " ")</f>
        <v xml:space="preserve"> </v>
      </c>
      <c r="AT105" s="55"/>
      <c r="AU105" s="32"/>
      <c r="AV105" s="32"/>
      <c r="AW105" s="55"/>
      <c r="AX105" s="32"/>
      <c r="AY105" s="54"/>
      <c r="AZ105" s="21" t="str">
        <f>IFERROR(VLOOKUP(July[[#This Row],[Drug Name5]],'Data Options'!$R$1:$S$100,2,FALSE), " ")</f>
        <v xml:space="preserve"> </v>
      </c>
      <c r="BA105" s="55"/>
      <c r="BB105" s="32"/>
      <c r="BC105" s="32"/>
      <c r="BD105" s="55"/>
      <c r="BE105" s="32"/>
      <c r="BF105" s="54"/>
      <c r="BG105" s="21" t="str">
        <f>IFERROR(VLOOKUP(July[[#This Row],[Drug Name6]],'Data Options'!$R$1:$S$100,2,FALSE), " ")</f>
        <v xml:space="preserve"> </v>
      </c>
      <c r="BH105" s="55"/>
      <c r="BI105" s="32"/>
      <c r="BJ105" s="32"/>
      <c r="BK105" s="55"/>
      <c r="BL105" s="32"/>
      <c r="BM105" s="32"/>
      <c r="BN105" s="32"/>
      <c r="BO105" s="32"/>
      <c r="BP105" s="32"/>
      <c r="BQ105" s="31"/>
      <c r="BR105" s="31"/>
      <c r="BS105" s="54"/>
      <c r="BT105" s="21" t="str">
        <f>IFERROR(VLOOKUP(July[[#This Row],[Drug Name7]],'Data Options'!$R$1:$S$100,2,FALSE), " ")</f>
        <v xml:space="preserve"> </v>
      </c>
      <c r="BU105" s="55"/>
      <c r="BV105" s="32"/>
      <c r="BW105" s="32"/>
      <c r="BX105" s="55"/>
      <c r="BY105" s="32"/>
      <c r="BZ105" s="54"/>
      <c r="CA105" s="21" t="str">
        <f>IFERROR(VLOOKUP(July[[#This Row],[Drug Name8]],'Data Options'!$R$1:$S$100,2,FALSE), " ")</f>
        <v xml:space="preserve"> </v>
      </c>
      <c r="CB105" s="55"/>
      <c r="CC105" s="32"/>
      <c r="CD105" s="32"/>
      <c r="CE105" s="55"/>
      <c r="CF105" s="32"/>
      <c r="CG105" s="54"/>
      <c r="CH105" s="21" t="str">
        <f>IFERROR(VLOOKUP(July[[#This Row],[Drug Name9]],'Data Options'!$R$1:$S$100,2,FALSE), " ")</f>
        <v xml:space="preserve"> </v>
      </c>
      <c r="CI105" s="55"/>
      <c r="CJ105" s="32"/>
      <c r="CK105" s="32"/>
      <c r="CL105" s="55"/>
      <c r="CM105" s="32"/>
    </row>
    <row r="106" spans="1:91">
      <c r="A106" s="5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1"/>
      <c r="P106" s="31"/>
      <c r="Q106" s="54"/>
      <c r="R106" s="21" t="str">
        <f>IFERROR(VLOOKUP(July[[#This Row],[Drug Name]],'Data Options'!$R$1:$S$100,2,FALSE), " ")</f>
        <v xml:space="preserve"> </v>
      </c>
      <c r="S106" s="55"/>
      <c r="T106" s="32"/>
      <c r="U106" s="32"/>
      <c r="V106" s="55"/>
      <c r="W106" s="32"/>
      <c r="X106" s="54"/>
      <c r="Y106" s="21" t="str">
        <f>IFERROR(VLOOKUP(July[[#This Row],[Drug Name2]],'Data Options'!$R$1:$S$100,2,FALSE), " ")</f>
        <v xml:space="preserve"> </v>
      </c>
      <c r="Z106" s="55"/>
      <c r="AA106" s="32"/>
      <c r="AB106" s="32"/>
      <c r="AC106" s="55"/>
      <c r="AD106" s="32"/>
      <c r="AE106" s="54"/>
      <c r="AF106" s="21" t="str">
        <f>IFERROR(VLOOKUP(July[[#This Row],[Drug Name3]],'Data Options'!$R$1:$S$100,2,FALSE), " ")</f>
        <v xml:space="preserve"> </v>
      </c>
      <c r="AG106" s="55"/>
      <c r="AH106" s="32"/>
      <c r="AI106" s="32"/>
      <c r="AJ106" s="55"/>
      <c r="AK106" s="32"/>
      <c r="AL106" s="32"/>
      <c r="AM106" s="32"/>
      <c r="AN106" s="32"/>
      <c r="AO106" s="32"/>
      <c r="AP106" s="31"/>
      <c r="AQ106" s="31"/>
      <c r="AR106" s="54"/>
      <c r="AS106" s="21" t="str">
        <f>IFERROR(VLOOKUP(July[[#This Row],[Drug Name4]],'Data Options'!$R$1:$S$100,2,FALSE), " ")</f>
        <v xml:space="preserve"> </v>
      </c>
      <c r="AT106" s="55"/>
      <c r="AU106" s="32"/>
      <c r="AV106" s="32"/>
      <c r="AW106" s="55"/>
      <c r="AX106" s="32"/>
      <c r="AY106" s="54"/>
      <c r="AZ106" s="21" t="str">
        <f>IFERROR(VLOOKUP(July[[#This Row],[Drug Name5]],'Data Options'!$R$1:$S$100,2,FALSE), " ")</f>
        <v xml:space="preserve"> </v>
      </c>
      <c r="BA106" s="55"/>
      <c r="BB106" s="32"/>
      <c r="BC106" s="32"/>
      <c r="BD106" s="55"/>
      <c r="BE106" s="32"/>
      <c r="BF106" s="54"/>
      <c r="BG106" s="21" t="str">
        <f>IFERROR(VLOOKUP(July[[#This Row],[Drug Name6]],'Data Options'!$R$1:$S$100,2,FALSE), " ")</f>
        <v xml:space="preserve"> </v>
      </c>
      <c r="BH106" s="55"/>
      <c r="BI106" s="32"/>
      <c r="BJ106" s="32"/>
      <c r="BK106" s="55"/>
      <c r="BL106" s="32"/>
      <c r="BM106" s="32"/>
      <c r="BN106" s="32"/>
      <c r="BO106" s="32"/>
      <c r="BP106" s="32"/>
      <c r="BQ106" s="31"/>
      <c r="BR106" s="31"/>
      <c r="BS106" s="54"/>
      <c r="BT106" s="21" t="str">
        <f>IFERROR(VLOOKUP(July[[#This Row],[Drug Name7]],'Data Options'!$R$1:$S$100,2,FALSE), " ")</f>
        <v xml:space="preserve"> </v>
      </c>
      <c r="BU106" s="55"/>
      <c r="BV106" s="32"/>
      <c r="BW106" s="32"/>
      <c r="BX106" s="55"/>
      <c r="BY106" s="32"/>
      <c r="BZ106" s="54"/>
      <c r="CA106" s="21" t="str">
        <f>IFERROR(VLOOKUP(July[[#This Row],[Drug Name8]],'Data Options'!$R$1:$S$100,2,FALSE), " ")</f>
        <v xml:space="preserve"> </v>
      </c>
      <c r="CB106" s="55"/>
      <c r="CC106" s="32"/>
      <c r="CD106" s="32"/>
      <c r="CE106" s="55"/>
      <c r="CF106" s="32"/>
      <c r="CG106" s="54"/>
      <c r="CH106" s="21" t="str">
        <f>IFERROR(VLOOKUP(July[[#This Row],[Drug Name9]],'Data Options'!$R$1:$S$100,2,FALSE), " ")</f>
        <v xml:space="preserve"> </v>
      </c>
      <c r="CI106" s="55"/>
      <c r="CJ106" s="32"/>
      <c r="CK106" s="32"/>
      <c r="CL106" s="55"/>
      <c r="CM106" s="32"/>
    </row>
    <row r="107" spans="1:91">
      <c r="A107" s="5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1"/>
      <c r="P107" s="31"/>
      <c r="Q107" s="54"/>
      <c r="R107" s="21" t="str">
        <f>IFERROR(VLOOKUP(July[[#This Row],[Drug Name]],'Data Options'!$R$1:$S$100,2,FALSE), " ")</f>
        <v xml:space="preserve"> </v>
      </c>
      <c r="S107" s="55"/>
      <c r="T107" s="32"/>
      <c r="U107" s="32"/>
      <c r="V107" s="55"/>
      <c r="W107" s="32"/>
      <c r="X107" s="54"/>
      <c r="Y107" s="21" t="str">
        <f>IFERROR(VLOOKUP(July[[#This Row],[Drug Name2]],'Data Options'!$R$1:$S$100,2,FALSE), " ")</f>
        <v xml:space="preserve"> </v>
      </c>
      <c r="Z107" s="55"/>
      <c r="AA107" s="32"/>
      <c r="AB107" s="32"/>
      <c r="AC107" s="55"/>
      <c r="AD107" s="32"/>
      <c r="AE107" s="54"/>
      <c r="AF107" s="21" t="str">
        <f>IFERROR(VLOOKUP(July[[#This Row],[Drug Name3]],'Data Options'!$R$1:$S$100,2,FALSE), " ")</f>
        <v xml:space="preserve"> </v>
      </c>
      <c r="AG107" s="55"/>
      <c r="AH107" s="32"/>
      <c r="AI107" s="32"/>
      <c r="AJ107" s="55"/>
      <c r="AK107" s="32"/>
      <c r="AL107" s="32"/>
      <c r="AM107" s="32"/>
      <c r="AN107" s="32"/>
      <c r="AO107" s="32"/>
      <c r="AP107" s="31"/>
      <c r="AQ107" s="31"/>
      <c r="AR107" s="54"/>
      <c r="AS107" s="21" t="str">
        <f>IFERROR(VLOOKUP(July[[#This Row],[Drug Name4]],'Data Options'!$R$1:$S$100,2,FALSE), " ")</f>
        <v xml:space="preserve"> </v>
      </c>
      <c r="AT107" s="55"/>
      <c r="AU107" s="32"/>
      <c r="AV107" s="32"/>
      <c r="AW107" s="55"/>
      <c r="AX107" s="32"/>
      <c r="AY107" s="54"/>
      <c r="AZ107" s="21" t="str">
        <f>IFERROR(VLOOKUP(July[[#This Row],[Drug Name5]],'Data Options'!$R$1:$S$100,2,FALSE), " ")</f>
        <v xml:space="preserve"> </v>
      </c>
      <c r="BA107" s="55"/>
      <c r="BB107" s="32"/>
      <c r="BC107" s="32"/>
      <c r="BD107" s="55"/>
      <c r="BE107" s="32"/>
      <c r="BF107" s="54"/>
      <c r="BG107" s="21" t="str">
        <f>IFERROR(VLOOKUP(July[[#This Row],[Drug Name6]],'Data Options'!$R$1:$S$100,2,FALSE), " ")</f>
        <v xml:space="preserve"> </v>
      </c>
      <c r="BH107" s="55"/>
      <c r="BI107" s="32"/>
      <c r="BJ107" s="32"/>
      <c r="BK107" s="55"/>
      <c r="BL107" s="32"/>
      <c r="BM107" s="32"/>
      <c r="BN107" s="32"/>
      <c r="BO107" s="32"/>
      <c r="BP107" s="32"/>
      <c r="BQ107" s="31"/>
      <c r="BR107" s="31"/>
      <c r="BS107" s="54"/>
      <c r="BT107" s="21" t="str">
        <f>IFERROR(VLOOKUP(July[[#This Row],[Drug Name7]],'Data Options'!$R$1:$S$100,2,FALSE), " ")</f>
        <v xml:space="preserve"> </v>
      </c>
      <c r="BU107" s="55"/>
      <c r="BV107" s="32"/>
      <c r="BW107" s="32"/>
      <c r="BX107" s="55"/>
      <c r="BY107" s="32"/>
      <c r="BZ107" s="54"/>
      <c r="CA107" s="21" t="str">
        <f>IFERROR(VLOOKUP(July[[#This Row],[Drug Name8]],'Data Options'!$R$1:$S$100,2,FALSE), " ")</f>
        <v xml:space="preserve"> </v>
      </c>
      <c r="CB107" s="55"/>
      <c r="CC107" s="32"/>
      <c r="CD107" s="32"/>
      <c r="CE107" s="55"/>
      <c r="CF107" s="32"/>
      <c r="CG107" s="54"/>
      <c r="CH107" s="21" t="str">
        <f>IFERROR(VLOOKUP(July[[#This Row],[Drug Name9]],'Data Options'!$R$1:$S$100,2,FALSE), " ")</f>
        <v xml:space="preserve"> </v>
      </c>
      <c r="CI107" s="55"/>
      <c r="CJ107" s="32"/>
      <c r="CK107" s="32"/>
      <c r="CL107" s="55"/>
      <c r="CM107" s="32"/>
    </row>
    <row r="108" spans="1:91">
      <c r="A108" s="5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1"/>
      <c r="P108" s="31"/>
      <c r="Q108" s="54"/>
      <c r="R108" s="21" t="str">
        <f>IFERROR(VLOOKUP(July[[#This Row],[Drug Name]],'Data Options'!$R$1:$S$100,2,FALSE), " ")</f>
        <v xml:space="preserve"> </v>
      </c>
      <c r="S108" s="55"/>
      <c r="T108" s="32"/>
      <c r="U108" s="32"/>
      <c r="V108" s="55"/>
      <c r="W108" s="32"/>
      <c r="X108" s="54"/>
      <c r="Y108" s="21" t="str">
        <f>IFERROR(VLOOKUP(July[[#This Row],[Drug Name2]],'Data Options'!$R$1:$S$100,2,FALSE), " ")</f>
        <v xml:space="preserve"> </v>
      </c>
      <c r="Z108" s="55"/>
      <c r="AA108" s="32"/>
      <c r="AB108" s="32"/>
      <c r="AC108" s="55"/>
      <c r="AD108" s="32"/>
      <c r="AE108" s="54"/>
      <c r="AF108" s="21" t="str">
        <f>IFERROR(VLOOKUP(July[[#This Row],[Drug Name3]],'Data Options'!$R$1:$S$100,2,FALSE), " ")</f>
        <v xml:space="preserve"> </v>
      </c>
      <c r="AG108" s="55"/>
      <c r="AH108" s="32"/>
      <c r="AI108" s="32"/>
      <c r="AJ108" s="55"/>
      <c r="AK108" s="32"/>
      <c r="AL108" s="32"/>
      <c r="AM108" s="32"/>
      <c r="AN108" s="32"/>
      <c r="AO108" s="32"/>
      <c r="AP108" s="31"/>
      <c r="AQ108" s="31"/>
      <c r="AR108" s="54"/>
      <c r="AS108" s="21" t="str">
        <f>IFERROR(VLOOKUP(July[[#This Row],[Drug Name4]],'Data Options'!$R$1:$S$100,2,FALSE), " ")</f>
        <v xml:space="preserve"> </v>
      </c>
      <c r="AT108" s="55"/>
      <c r="AU108" s="32"/>
      <c r="AV108" s="32"/>
      <c r="AW108" s="55"/>
      <c r="AX108" s="32"/>
      <c r="AY108" s="54"/>
      <c r="AZ108" s="21" t="str">
        <f>IFERROR(VLOOKUP(July[[#This Row],[Drug Name5]],'Data Options'!$R$1:$S$100,2,FALSE), " ")</f>
        <v xml:space="preserve"> </v>
      </c>
      <c r="BA108" s="55"/>
      <c r="BB108" s="32"/>
      <c r="BC108" s="32"/>
      <c r="BD108" s="55"/>
      <c r="BE108" s="32"/>
      <c r="BF108" s="54"/>
      <c r="BG108" s="21" t="str">
        <f>IFERROR(VLOOKUP(July[[#This Row],[Drug Name6]],'Data Options'!$R$1:$S$100,2,FALSE), " ")</f>
        <v xml:space="preserve"> </v>
      </c>
      <c r="BH108" s="55"/>
      <c r="BI108" s="32"/>
      <c r="BJ108" s="32"/>
      <c r="BK108" s="55"/>
      <c r="BL108" s="32"/>
      <c r="BM108" s="32"/>
      <c r="BN108" s="32"/>
      <c r="BO108" s="32"/>
      <c r="BP108" s="32"/>
      <c r="BQ108" s="31"/>
      <c r="BR108" s="31"/>
      <c r="BS108" s="54"/>
      <c r="BT108" s="21" t="str">
        <f>IFERROR(VLOOKUP(July[[#This Row],[Drug Name7]],'Data Options'!$R$1:$S$100,2,FALSE), " ")</f>
        <v xml:space="preserve"> </v>
      </c>
      <c r="BU108" s="55"/>
      <c r="BV108" s="32"/>
      <c r="BW108" s="32"/>
      <c r="BX108" s="55"/>
      <c r="BY108" s="32"/>
      <c r="BZ108" s="54"/>
      <c r="CA108" s="21" t="str">
        <f>IFERROR(VLOOKUP(July[[#This Row],[Drug Name8]],'Data Options'!$R$1:$S$100,2,FALSE), " ")</f>
        <v xml:space="preserve"> </v>
      </c>
      <c r="CB108" s="55"/>
      <c r="CC108" s="32"/>
      <c r="CD108" s="32"/>
      <c r="CE108" s="55"/>
      <c r="CF108" s="32"/>
      <c r="CG108" s="54"/>
      <c r="CH108" s="21" t="str">
        <f>IFERROR(VLOOKUP(July[[#This Row],[Drug Name9]],'Data Options'!$R$1:$S$100,2,FALSE), " ")</f>
        <v xml:space="preserve"> </v>
      </c>
      <c r="CI108" s="55"/>
      <c r="CJ108" s="32"/>
      <c r="CK108" s="32"/>
      <c r="CL108" s="55"/>
      <c r="CM108" s="32"/>
    </row>
    <row r="109" spans="1:91">
      <c r="A109" s="5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1"/>
      <c r="P109" s="31"/>
      <c r="Q109" s="54"/>
      <c r="R109" s="21" t="str">
        <f>IFERROR(VLOOKUP(July[[#This Row],[Drug Name]],'Data Options'!$R$1:$S$100,2,FALSE), " ")</f>
        <v xml:space="preserve"> </v>
      </c>
      <c r="S109" s="55"/>
      <c r="T109" s="32"/>
      <c r="U109" s="32"/>
      <c r="V109" s="55"/>
      <c r="W109" s="32"/>
      <c r="X109" s="54"/>
      <c r="Y109" s="21" t="str">
        <f>IFERROR(VLOOKUP(July[[#This Row],[Drug Name2]],'Data Options'!$R$1:$S$100,2,FALSE), " ")</f>
        <v xml:space="preserve"> </v>
      </c>
      <c r="Z109" s="55"/>
      <c r="AA109" s="32"/>
      <c r="AB109" s="32"/>
      <c r="AC109" s="55"/>
      <c r="AD109" s="32"/>
      <c r="AE109" s="54"/>
      <c r="AF109" s="21" t="str">
        <f>IFERROR(VLOOKUP(July[[#This Row],[Drug Name3]],'Data Options'!$R$1:$S$100,2,FALSE), " ")</f>
        <v xml:space="preserve"> </v>
      </c>
      <c r="AG109" s="55"/>
      <c r="AH109" s="32"/>
      <c r="AI109" s="32"/>
      <c r="AJ109" s="55"/>
      <c r="AK109" s="32"/>
      <c r="AL109" s="32"/>
      <c r="AM109" s="32"/>
      <c r="AN109" s="32"/>
      <c r="AO109" s="32"/>
      <c r="AP109" s="31"/>
      <c r="AQ109" s="31"/>
      <c r="AR109" s="54"/>
      <c r="AS109" s="21" t="str">
        <f>IFERROR(VLOOKUP(July[[#This Row],[Drug Name4]],'Data Options'!$R$1:$S$100,2,FALSE), " ")</f>
        <v xml:space="preserve"> </v>
      </c>
      <c r="AT109" s="55"/>
      <c r="AU109" s="32"/>
      <c r="AV109" s="32"/>
      <c r="AW109" s="55"/>
      <c r="AX109" s="32"/>
      <c r="AY109" s="54"/>
      <c r="AZ109" s="21" t="str">
        <f>IFERROR(VLOOKUP(July[[#This Row],[Drug Name5]],'Data Options'!$R$1:$S$100,2,FALSE), " ")</f>
        <v xml:space="preserve"> </v>
      </c>
      <c r="BA109" s="55"/>
      <c r="BB109" s="32"/>
      <c r="BC109" s="32"/>
      <c r="BD109" s="55"/>
      <c r="BE109" s="32"/>
      <c r="BF109" s="54"/>
      <c r="BG109" s="21" t="str">
        <f>IFERROR(VLOOKUP(July[[#This Row],[Drug Name6]],'Data Options'!$R$1:$S$100,2,FALSE), " ")</f>
        <v xml:space="preserve"> </v>
      </c>
      <c r="BH109" s="55"/>
      <c r="BI109" s="32"/>
      <c r="BJ109" s="32"/>
      <c r="BK109" s="55"/>
      <c r="BL109" s="32"/>
      <c r="BM109" s="32"/>
      <c r="BN109" s="32"/>
      <c r="BO109" s="32"/>
      <c r="BP109" s="32"/>
      <c r="BQ109" s="31"/>
      <c r="BR109" s="31"/>
      <c r="BS109" s="54"/>
      <c r="BT109" s="21" t="str">
        <f>IFERROR(VLOOKUP(July[[#This Row],[Drug Name7]],'Data Options'!$R$1:$S$100,2,FALSE), " ")</f>
        <v xml:space="preserve"> </v>
      </c>
      <c r="BU109" s="55"/>
      <c r="BV109" s="32"/>
      <c r="BW109" s="32"/>
      <c r="BX109" s="55"/>
      <c r="BY109" s="32"/>
      <c r="BZ109" s="54"/>
      <c r="CA109" s="21" t="str">
        <f>IFERROR(VLOOKUP(July[[#This Row],[Drug Name8]],'Data Options'!$R$1:$S$100,2,FALSE), " ")</f>
        <v xml:space="preserve"> </v>
      </c>
      <c r="CB109" s="55"/>
      <c r="CC109" s="32"/>
      <c r="CD109" s="32"/>
      <c r="CE109" s="55"/>
      <c r="CF109" s="32"/>
      <c r="CG109" s="54"/>
      <c r="CH109" s="21" t="str">
        <f>IFERROR(VLOOKUP(July[[#This Row],[Drug Name9]],'Data Options'!$R$1:$S$100,2,FALSE), " ")</f>
        <v xml:space="preserve"> </v>
      </c>
      <c r="CI109" s="55"/>
      <c r="CJ109" s="32"/>
      <c r="CK109" s="32"/>
      <c r="CL109" s="55"/>
      <c r="CM109" s="32"/>
    </row>
    <row r="110" spans="1:91">
      <c r="A110" s="5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54"/>
      <c r="R110" s="21" t="str">
        <f>IFERROR(VLOOKUP(July[[#This Row],[Drug Name]],'Data Options'!$R$1:$S$100,2,FALSE), " ")</f>
        <v xml:space="preserve"> </v>
      </c>
      <c r="S110" s="55"/>
      <c r="T110" s="32"/>
      <c r="U110" s="32"/>
      <c r="V110" s="55"/>
      <c r="W110" s="32"/>
      <c r="X110" s="54"/>
      <c r="Y110" s="21" t="str">
        <f>IFERROR(VLOOKUP(July[[#This Row],[Drug Name2]],'Data Options'!$R$1:$S$100,2,FALSE), " ")</f>
        <v xml:space="preserve"> </v>
      </c>
      <c r="Z110" s="55"/>
      <c r="AA110" s="32"/>
      <c r="AB110" s="32"/>
      <c r="AC110" s="55"/>
      <c r="AD110" s="32"/>
      <c r="AE110" s="54"/>
      <c r="AF110" s="21" t="str">
        <f>IFERROR(VLOOKUP(July[[#This Row],[Drug Name3]],'Data Options'!$R$1:$S$100,2,FALSE), " ")</f>
        <v xml:space="preserve"> </v>
      </c>
      <c r="AG110" s="55"/>
      <c r="AH110" s="32"/>
      <c r="AI110" s="32"/>
      <c r="AJ110" s="55"/>
      <c r="AK110" s="32"/>
      <c r="AL110" s="32"/>
      <c r="AM110" s="32"/>
      <c r="AN110" s="32"/>
      <c r="AO110" s="32"/>
      <c r="AP110" s="31"/>
      <c r="AQ110" s="31"/>
      <c r="AR110" s="54"/>
      <c r="AS110" s="21" t="str">
        <f>IFERROR(VLOOKUP(July[[#This Row],[Drug Name4]],'Data Options'!$R$1:$S$100,2,FALSE), " ")</f>
        <v xml:space="preserve"> </v>
      </c>
      <c r="AT110" s="55"/>
      <c r="AU110" s="32"/>
      <c r="AV110" s="32"/>
      <c r="AW110" s="55"/>
      <c r="AX110" s="32"/>
      <c r="AY110" s="54"/>
      <c r="AZ110" s="21" t="str">
        <f>IFERROR(VLOOKUP(July[[#This Row],[Drug Name5]],'Data Options'!$R$1:$S$100,2,FALSE), " ")</f>
        <v xml:space="preserve"> </v>
      </c>
      <c r="BA110" s="55"/>
      <c r="BB110" s="32"/>
      <c r="BC110" s="32"/>
      <c r="BD110" s="55"/>
      <c r="BE110" s="32"/>
      <c r="BF110" s="54"/>
      <c r="BG110" s="21" t="str">
        <f>IFERROR(VLOOKUP(July[[#This Row],[Drug Name6]],'Data Options'!$R$1:$S$100,2,FALSE), " ")</f>
        <v xml:space="preserve"> </v>
      </c>
      <c r="BH110" s="55"/>
      <c r="BI110" s="32"/>
      <c r="BJ110" s="32"/>
      <c r="BK110" s="55"/>
      <c r="BL110" s="32"/>
      <c r="BM110" s="32"/>
      <c r="BN110" s="32"/>
      <c r="BO110" s="32"/>
      <c r="BP110" s="32"/>
      <c r="BQ110" s="31"/>
      <c r="BR110" s="31"/>
      <c r="BS110" s="54"/>
      <c r="BT110" s="21" t="str">
        <f>IFERROR(VLOOKUP(July[[#This Row],[Drug Name7]],'Data Options'!$R$1:$S$100,2,FALSE), " ")</f>
        <v xml:space="preserve"> </v>
      </c>
      <c r="BU110" s="55"/>
      <c r="BV110" s="32"/>
      <c r="BW110" s="32"/>
      <c r="BX110" s="55"/>
      <c r="BY110" s="32"/>
      <c r="BZ110" s="54"/>
      <c r="CA110" s="21" t="str">
        <f>IFERROR(VLOOKUP(July[[#This Row],[Drug Name8]],'Data Options'!$R$1:$S$100,2,FALSE), " ")</f>
        <v xml:space="preserve"> </v>
      </c>
      <c r="CB110" s="55"/>
      <c r="CC110" s="32"/>
      <c r="CD110" s="32"/>
      <c r="CE110" s="55"/>
      <c r="CF110" s="32"/>
      <c r="CG110" s="54"/>
      <c r="CH110" s="21" t="str">
        <f>IFERROR(VLOOKUP(July[[#This Row],[Drug Name9]],'Data Options'!$R$1:$S$100,2,FALSE), " ")</f>
        <v xml:space="preserve"> </v>
      </c>
      <c r="CI110" s="55"/>
      <c r="CJ110" s="32"/>
      <c r="CK110" s="32"/>
      <c r="CL110" s="55"/>
      <c r="CM110" s="32"/>
    </row>
    <row r="111" spans="1:91">
      <c r="A111" s="5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1"/>
      <c r="P111" s="31"/>
      <c r="Q111" s="54"/>
      <c r="R111" s="21" t="str">
        <f>IFERROR(VLOOKUP(July[[#This Row],[Drug Name]],'Data Options'!$R$1:$S$100,2,FALSE), " ")</f>
        <v xml:space="preserve"> </v>
      </c>
      <c r="S111" s="55"/>
      <c r="T111" s="32"/>
      <c r="U111" s="32"/>
      <c r="V111" s="55"/>
      <c r="W111" s="32"/>
      <c r="X111" s="54"/>
      <c r="Y111" s="21" t="str">
        <f>IFERROR(VLOOKUP(July[[#This Row],[Drug Name2]],'Data Options'!$R$1:$S$100,2,FALSE), " ")</f>
        <v xml:space="preserve"> </v>
      </c>
      <c r="Z111" s="55"/>
      <c r="AA111" s="32"/>
      <c r="AB111" s="32"/>
      <c r="AC111" s="55"/>
      <c r="AD111" s="32"/>
      <c r="AE111" s="54"/>
      <c r="AF111" s="21" t="str">
        <f>IFERROR(VLOOKUP(July[[#This Row],[Drug Name3]],'Data Options'!$R$1:$S$100,2,FALSE), " ")</f>
        <v xml:space="preserve"> </v>
      </c>
      <c r="AG111" s="55"/>
      <c r="AH111" s="32"/>
      <c r="AI111" s="32"/>
      <c r="AJ111" s="55"/>
      <c r="AK111" s="32"/>
      <c r="AL111" s="32"/>
      <c r="AM111" s="32"/>
      <c r="AN111" s="32"/>
      <c r="AO111" s="32"/>
      <c r="AP111" s="31"/>
      <c r="AQ111" s="31"/>
      <c r="AR111" s="54"/>
      <c r="AS111" s="21" t="str">
        <f>IFERROR(VLOOKUP(July[[#This Row],[Drug Name4]],'Data Options'!$R$1:$S$100,2,FALSE), " ")</f>
        <v xml:space="preserve"> </v>
      </c>
      <c r="AT111" s="55"/>
      <c r="AU111" s="32"/>
      <c r="AV111" s="32"/>
      <c r="AW111" s="55"/>
      <c r="AX111" s="32"/>
      <c r="AY111" s="54"/>
      <c r="AZ111" s="21" t="str">
        <f>IFERROR(VLOOKUP(July[[#This Row],[Drug Name5]],'Data Options'!$R$1:$S$100,2,FALSE), " ")</f>
        <v xml:space="preserve"> </v>
      </c>
      <c r="BA111" s="55"/>
      <c r="BB111" s="32"/>
      <c r="BC111" s="32"/>
      <c r="BD111" s="55"/>
      <c r="BE111" s="32"/>
      <c r="BF111" s="54"/>
      <c r="BG111" s="21" t="str">
        <f>IFERROR(VLOOKUP(July[[#This Row],[Drug Name6]],'Data Options'!$R$1:$S$100,2,FALSE), " ")</f>
        <v xml:space="preserve"> </v>
      </c>
      <c r="BH111" s="55"/>
      <c r="BI111" s="32"/>
      <c r="BJ111" s="32"/>
      <c r="BK111" s="55"/>
      <c r="BL111" s="32"/>
      <c r="BM111" s="32"/>
      <c r="BN111" s="32"/>
      <c r="BO111" s="32"/>
      <c r="BP111" s="32"/>
      <c r="BQ111" s="31"/>
      <c r="BR111" s="31"/>
      <c r="BS111" s="54"/>
      <c r="BT111" s="21" t="str">
        <f>IFERROR(VLOOKUP(July[[#This Row],[Drug Name7]],'Data Options'!$R$1:$S$100,2,FALSE), " ")</f>
        <v xml:space="preserve"> </v>
      </c>
      <c r="BU111" s="55"/>
      <c r="BV111" s="32"/>
      <c r="BW111" s="32"/>
      <c r="BX111" s="55"/>
      <c r="BY111" s="32"/>
      <c r="BZ111" s="54"/>
      <c r="CA111" s="21" t="str">
        <f>IFERROR(VLOOKUP(July[[#This Row],[Drug Name8]],'Data Options'!$R$1:$S$100,2,FALSE), " ")</f>
        <v xml:space="preserve"> </v>
      </c>
      <c r="CB111" s="55"/>
      <c r="CC111" s="32"/>
      <c r="CD111" s="32"/>
      <c r="CE111" s="55"/>
      <c r="CF111" s="32"/>
      <c r="CG111" s="54"/>
      <c r="CH111" s="21" t="str">
        <f>IFERROR(VLOOKUP(July[[#This Row],[Drug Name9]],'Data Options'!$R$1:$S$100,2,FALSE), " ")</f>
        <v xml:space="preserve"> </v>
      </c>
      <c r="CI111" s="55"/>
      <c r="CJ111" s="32"/>
      <c r="CK111" s="32"/>
      <c r="CL111" s="55"/>
      <c r="CM111" s="32"/>
    </row>
    <row r="112" spans="1:91">
      <c r="A112" s="5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1"/>
      <c r="P112" s="31"/>
      <c r="Q112" s="54"/>
      <c r="R112" s="21" t="str">
        <f>IFERROR(VLOOKUP(July[[#This Row],[Drug Name]],'Data Options'!$R$1:$S$100,2,FALSE), " ")</f>
        <v xml:space="preserve"> </v>
      </c>
      <c r="S112" s="55"/>
      <c r="T112" s="32"/>
      <c r="U112" s="32"/>
      <c r="V112" s="55"/>
      <c r="W112" s="32"/>
      <c r="X112" s="54"/>
      <c r="Y112" s="21" t="str">
        <f>IFERROR(VLOOKUP(July[[#This Row],[Drug Name2]],'Data Options'!$R$1:$S$100,2,FALSE), " ")</f>
        <v xml:space="preserve"> </v>
      </c>
      <c r="Z112" s="55"/>
      <c r="AA112" s="32"/>
      <c r="AB112" s="32"/>
      <c r="AC112" s="55"/>
      <c r="AD112" s="32"/>
      <c r="AE112" s="54"/>
      <c r="AF112" s="21" t="str">
        <f>IFERROR(VLOOKUP(July[[#This Row],[Drug Name3]],'Data Options'!$R$1:$S$100,2,FALSE), " ")</f>
        <v xml:space="preserve"> </v>
      </c>
      <c r="AG112" s="55"/>
      <c r="AH112" s="32"/>
      <c r="AI112" s="32"/>
      <c r="AJ112" s="55"/>
      <c r="AK112" s="32"/>
      <c r="AL112" s="32"/>
      <c r="AM112" s="32"/>
      <c r="AN112" s="32"/>
      <c r="AO112" s="32"/>
      <c r="AP112" s="31"/>
      <c r="AQ112" s="31"/>
      <c r="AR112" s="54"/>
      <c r="AS112" s="21" t="str">
        <f>IFERROR(VLOOKUP(July[[#This Row],[Drug Name4]],'Data Options'!$R$1:$S$100,2,FALSE), " ")</f>
        <v xml:space="preserve"> </v>
      </c>
      <c r="AT112" s="55"/>
      <c r="AU112" s="32"/>
      <c r="AV112" s="32"/>
      <c r="AW112" s="55"/>
      <c r="AX112" s="32"/>
      <c r="AY112" s="54"/>
      <c r="AZ112" s="21" t="str">
        <f>IFERROR(VLOOKUP(July[[#This Row],[Drug Name5]],'Data Options'!$R$1:$S$100,2,FALSE), " ")</f>
        <v xml:space="preserve"> </v>
      </c>
      <c r="BA112" s="55"/>
      <c r="BB112" s="32"/>
      <c r="BC112" s="32"/>
      <c r="BD112" s="55"/>
      <c r="BE112" s="32"/>
      <c r="BF112" s="54"/>
      <c r="BG112" s="21" t="str">
        <f>IFERROR(VLOOKUP(July[[#This Row],[Drug Name6]],'Data Options'!$R$1:$S$100,2,FALSE), " ")</f>
        <v xml:space="preserve"> </v>
      </c>
      <c r="BH112" s="55"/>
      <c r="BI112" s="32"/>
      <c r="BJ112" s="32"/>
      <c r="BK112" s="55"/>
      <c r="BL112" s="32"/>
      <c r="BM112" s="32"/>
      <c r="BN112" s="32"/>
      <c r="BO112" s="32"/>
      <c r="BP112" s="32"/>
      <c r="BQ112" s="31"/>
      <c r="BR112" s="31"/>
      <c r="BS112" s="54"/>
      <c r="BT112" s="21" t="str">
        <f>IFERROR(VLOOKUP(July[[#This Row],[Drug Name7]],'Data Options'!$R$1:$S$100,2,FALSE), " ")</f>
        <v xml:space="preserve"> </v>
      </c>
      <c r="BU112" s="55"/>
      <c r="BV112" s="32"/>
      <c r="BW112" s="32"/>
      <c r="BX112" s="55"/>
      <c r="BY112" s="32"/>
      <c r="BZ112" s="54"/>
      <c r="CA112" s="21" t="str">
        <f>IFERROR(VLOOKUP(July[[#This Row],[Drug Name8]],'Data Options'!$R$1:$S$100,2,FALSE), " ")</f>
        <v xml:space="preserve"> </v>
      </c>
      <c r="CB112" s="55"/>
      <c r="CC112" s="32"/>
      <c r="CD112" s="32"/>
      <c r="CE112" s="55"/>
      <c r="CF112" s="32"/>
      <c r="CG112" s="54"/>
      <c r="CH112" s="21" t="str">
        <f>IFERROR(VLOOKUP(July[[#This Row],[Drug Name9]],'Data Options'!$R$1:$S$100,2,FALSE), " ")</f>
        <v xml:space="preserve"> </v>
      </c>
      <c r="CI112" s="55"/>
      <c r="CJ112" s="32"/>
      <c r="CK112" s="32"/>
      <c r="CL112" s="55"/>
      <c r="CM112" s="32"/>
    </row>
    <row r="113" spans="1:91">
      <c r="A113" s="5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1"/>
      <c r="P113" s="31"/>
      <c r="Q113" s="54"/>
      <c r="R113" s="21" t="str">
        <f>IFERROR(VLOOKUP(July[[#This Row],[Drug Name]],'Data Options'!$R$1:$S$100,2,FALSE), " ")</f>
        <v xml:space="preserve"> </v>
      </c>
      <c r="S113" s="55"/>
      <c r="T113" s="32"/>
      <c r="U113" s="32"/>
      <c r="V113" s="55"/>
      <c r="W113" s="32"/>
      <c r="X113" s="54"/>
      <c r="Y113" s="21" t="str">
        <f>IFERROR(VLOOKUP(July[[#This Row],[Drug Name2]],'Data Options'!$R$1:$S$100,2,FALSE), " ")</f>
        <v xml:space="preserve"> </v>
      </c>
      <c r="Z113" s="55"/>
      <c r="AA113" s="32"/>
      <c r="AB113" s="32"/>
      <c r="AC113" s="55"/>
      <c r="AD113" s="32"/>
      <c r="AE113" s="54"/>
      <c r="AF113" s="21" t="str">
        <f>IFERROR(VLOOKUP(July[[#This Row],[Drug Name3]],'Data Options'!$R$1:$S$100,2,FALSE), " ")</f>
        <v xml:space="preserve"> </v>
      </c>
      <c r="AG113" s="55"/>
      <c r="AH113" s="32"/>
      <c r="AI113" s="32"/>
      <c r="AJ113" s="55"/>
      <c r="AK113" s="32"/>
      <c r="AL113" s="32"/>
      <c r="AM113" s="32"/>
      <c r="AN113" s="32"/>
      <c r="AO113" s="32"/>
      <c r="AP113" s="31"/>
      <c r="AQ113" s="31"/>
      <c r="AR113" s="54"/>
      <c r="AS113" s="21" t="str">
        <f>IFERROR(VLOOKUP(July[[#This Row],[Drug Name4]],'Data Options'!$R$1:$S$100,2,FALSE), " ")</f>
        <v xml:space="preserve"> </v>
      </c>
      <c r="AT113" s="55"/>
      <c r="AU113" s="32"/>
      <c r="AV113" s="32"/>
      <c r="AW113" s="55"/>
      <c r="AX113" s="32"/>
      <c r="AY113" s="54"/>
      <c r="AZ113" s="21" t="str">
        <f>IFERROR(VLOOKUP(July[[#This Row],[Drug Name5]],'Data Options'!$R$1:$S$100,2,FALSE), " ")</f>
        <v xml:space="preserve"> </v>
      </c>
      <c r="BA113" s="55"/>
      <c r="BB113" s="32"/>
      <c r="BC113" s="32"/>
      <c r="BD113" s="55"/>
      <c r="BE113" s="32"/>
      <c r="BF113" s="54"/>
      <c r="BG113" s="21" t="str">
        <f>IFERROR(VLOOKUP(July[[#This Row],[Drug Name6]],'Data Options'!$R$1:$S$100,2,FALSE), " ")</f>
        <v xml:space="preserve"> </v>
      </c>
      <c r="BH113" s="55"/>
      <c r="BI113" s="32"/>
      <c r="BJ113" s="32"/>
      <c r="BK113" s="55"/>
      <c r="BL113" s="32"/>
      <c r="BM113" s="32"/>
      <c r="BN113" s="32"/>
      <c r="BO113" s="32"/>
      <c r="BP113" s="32"/>
      <c r="BQ113" s="31"/>
      <c r="BR113" s="31"/>
      <c r="BS113" s="54"/>
      <c r="BT113" s="21" t="str">
        <f>IFERROR(VLOOKUP(July[[#This Row],[Drug Name7]],'Data Options'!$R$1:$S$100,2,FALSE), " ")</f>
        <v xml:space="preserve"> </v>
      </c>
      <c r="BU113" s="55"/>
      <c r="BV113" s="32"/>
      <c r="BW113" s="32"/>
      <c r="BX113" s="55"/>
      <c r="BY113" s="32"/>
      <c r="BZ113" s="54"/>
      <c r="CA113" s="21" t="str">
        <f>IFERROR(VLOOKUP(July[[#This Row],[Drug Name8]],'Data Options'!$R$1:$S$100,2,FALSE), " ")</f>
        <v xml:space="preserve"> </v>
      </c>
      <c r="CB113" s="55"/>
      <c r="CC113" s="32"/>
      <c r="CD113" s="32"/>
      <c r="CE113" s="55"/>
      <c r="CF113" s="32"/>
      <c r="CG113" s="54"/>
      <c r="CH113" s="21" t="str">
        <f>IFERROR(VLOOKUP(July[[#This Row],[Drug Name9]],'Data Options'!$R$1:$S$100,2,FALSE), " ")</f>
        <v xml:space="preserve"> </v>
      </c>
      <c r="CI113" s="55"/>
      <c r="CJ113" s="32"/>
      <c r="CK113" s="32"/>
      <c r="CL113" s="55"/>
      <c r="CM113" s="32"/>
    </row>
    <row r="114" spans="1:91">
      <c r="A114" s="5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1"/>
      <c r="P114" s="31"/>
      <c r="Q114" s="54"/>
      <c r="R114" s="21" t="str">
        <f>IFERROR(VLOOKUP(July[[#This Row],[Drug Name]],'Data Options'!$R$1:$S$100,2,FALSE), " ")</f>
        <v xml:space="preserve"> </v>
      </c>
      <c r="S114" s="55"/>
      <c r="T114" s="32"/>
      <c r="U114" s="32"/>
      <c r="V114" s="55"/>
      <c r="W114" s="32"/>
      <c r="X114" s="54"/>
      <c r="Y114" s="21" t="str">
        <f>IFERROR(VLOOKUP(July[[#This Row],[Drug Name2]],'Data Options'!$R$1:$S$100,2,FALSE), " ")</f>
        <v xml:space="preserve"> </v>
      </c>
      <c r="Z114" s="55"/>
      <c r="AA114" s="32"/>
      <c r="AB114" s="32"/>
      <c r="AC114" s="55"/>
      <c r="AD114" s="32"/>
      <c r="AE114" s="54"/>
      <c r="AF114" s="21" t="str">
        <f>IFERROR(VLOOKUP(July[[#This Row],[Drug Name3]],'Data Options'!$R$1:$S$100,2,FALSE), " ")</f>
        <v xml:space="preserve"> </v>
      </c>
      <c r="AG114" s="55"/>
      <c r="AH114" s="32"/>
      <c r="AI114" s="32"/>
      <c r="AJ114" s="55"/>
      <c r="AK114" s="32"/>
      <c r="AL114" s="32"/>
      <c r="AM114" s="32"/>
      <c r="AN114" s="32"/>
      <c r="AO114" s="32"/>
      <c r="AP114" s="31"/>
      <c r="AQ114" s="31"/>
      <c r="AR114" s="54"/>
      <c r="AS114" s="21" t="str">
        <f>IFERROR(VLOOKUP(July[[#This Row],[Drug Name4]],'Data Options'!$R$1:$S$100,2,FALSE), " ")</f>
        <v xml:space="preserve"> </v>
      </c>
      <c r="AT114" s="55"/>
      <c r="AU114" s="32"/>
      <c r="AV114" s="32"/>
      <c r="AW114" s="55"/>
      <c r="AX114" s="32"/>
      <c r="AY114" s="54"/>
      <c r="AZ114" s="21" t="str">
        <f>IFERROR(VLOOKUP(July[[#This Row],[Drug Name5]],'Data Options'!$R$1:$S$100,2,FALSE), " ")</f>
        <v xml:space="preserve"> </v>
      </c>
      <c r="BA114" s="55"/>
      <c r="BB114" s="32"/>
      <c r="BC114" s="32"/>
      <c r="BD114" s="55"/>
      <c r="BE114" s="32"/>
      <c r="BF114" s="54"/>
      <c r="BG114" s="21" t="str">
        <f>IFERROR(VLOOKUP(July[[#This Row],[Drug Name6]],'Data Options'!$R$1:$S$100,2,FALSE), " ")</f>
        <v xml:space="preserve"> </v>
      </c>
      <c r="BH114" s="55"/>
      <c r="BI114" s="32"/>
      <c r="BJ114" s="32"/>
      <c r="BK114" s="55"/>
      <c r="BL114" s="32"/>
      <c r="BM114" s="32"/>
      <c r="BN114" s="32"/>
      <c r="BO114" s="32"/>
      <c r="BP114" s="32"/>
      <c r="BQ114" s="31"/>
      <c r="BR114" s="31"/>
      <c r="BS114" s="54"/>
      <c r="BT114" s="21" t="str">
        <f>IFERROR(VLOOKUP(July[[#This Row],[Drug Name7]],'Data Options'!$R$1:$S$100,2,FALSE), " ")</f>
        <v xml:space="preserve"> </v>
      </c>
      <c r="BU114" s="55"/>
      <c r="BV114" s="32"/>
      <c r="BW114" s="32"/>
      <c r="BX114" s="55"/>
      <c r="BY114" s="32"/>
      <c r="BZ114" s="54"/>
      <c r="CA114" s="21" t="str">
        <f>IFERROR(VLOOKUP(July[[#This Row],[Drug Name8]],'Data Options'!$R$1:$S$100,2,FALSE), " ")</f>
        <v xml:space="preserve"> </v>
      </c>
      <c r="CB114" s="55"/>
      <c r="CC114" s="32"/>
      <c r="CD114" s="32"/>
      <c r="CE114" s="55"/>
      <c r="CF114" s="32"/>
      <c r="CG114" s="54"/>
      <c r="CH114" s="21" t="str">
        <f>IFERROR(VLOOKUP(July[[#This Row],[Drug Name9]],'Data Options'!$R$1:$S$100,2,FALSE), " ")</f>
        <v xml:space="preserve"> </v>
      </c>
      <c r="CI114" s="55"/>
      <c r="CJ114" s="32"/>
      <c r="CK114" s="32"/>
      <c r="CL114" s="55"/>
      <c r="CM114" s="32"/>
    </row>
    <row r="115" spans="1:91">
      <c r="A115" s="5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1"/>
      <c r="P115" s="31"/>
      <c r="Q115" s="54"/>
      <c r="R115" s="21" t="str">
        <f>IFERROR(VLOOKUP(July[[#This Row],[Drug Name]],'Data Options'!$R$1:$S$100,2,FALSE), " ")</f>
        <v xml:space="preserve"> </v>
      </c>
      <c r="S115" s="55"/>
      <c r="T115" s="32"/>
      <c r="U115" s="32"/>
      <c r="V115" s="55"/>
      <c r="W115" s="32"/>
      <c r="X115" s="54"/>
      <c r="Y115" s="21" t="str">
        <f>IFERROR(VLOOKUP(July[[#This Row],[Drug Name2]],'Data Options'!$R$1:$S$100,2,FALSE), " ")</f>
        <v xml:space="preserve"> </v>
      </c>
      <c r="Z115" s="55"/>
      <c r="AA115" s="32"/>
      <c r="AB115" s="32"/>
      <c r="AC115" s="55"/>
      <c r="AD115" s="32"/>
      <c r="AE115" s="54"/>
      <c r="AF115" s="21" t="str">
        <f>IFERROR(VLOOKUP(July[[#This Row],[Drug Name3]],'Data Options'!$R$1:$S$100,2,FALSE), " ")</f>
        <v xml:space="preserve"> </v>
      </c>
      <c r="AG115" s="55"/>
      <c r="AH115" s="32"/>
      <c r="AI115" s="32"/>
      <c r="AJ115" s="55"/>
      <c r="AK115" s="32"/>
      <c r="AL115" s="32"/>
      <c r="AM115" s="32"/>
      <c r="AN115" s="32"/>
      <c r="AO115" s="32"/>
      <c r="AP115" s="31"/>
      <c r="AQ115" s="31"/>
      <c r="AR115" s="54"/>
      <c r="AS115" s="21" t="str">
        <f>IFERROR(VLOOKUP(July[[#This Row],[Drug Name4]],'Data Options'!$R$1:$S$100,2,FALSE), " ")</f>
        <v xml:space="preserve"> </v>
      </c>
      <c r="AT115" s="55"/>
      <c r="AU115" s="32"/>
      <c r="AV115" s="32"/>
      <c r="AW115" s="55"/>
      <c r="AX115" s="32"/>
      <c r="AY115" s="54"/>
      <c r="AZ115" s="21" t="str">
        <f>IFERROR(VLOOKUP(July[[#This Row],[Drug Name5]],'Data Options'!$R$1:$S$100,2,FALSE), " ")</f>
        <v xml:space="preserve"> </v>
      </c>
      <c r="BA115" s="55"/>
      <c r="BB115" s="32"/>
      <c r="BC115" s="32"/>
      <c r="BD115" s="55"/>
      <c r="BE115" s="32"/>
      <c r="BF115" s="54"/>
      <c r="BG115" s="21" t="str">
        <f>IFERROR(VLOOKUP(July[[#This Row],[Drug Name6]],'Data Options'!$R$1:$S$100,2,FALSE), " ")</f>
        <v xml:space="preserve"> </v>
      </c>
      <c r="BH115" s="55"/>
      <c r="BI115" s="32"/>
      <c r="BJ115" s="32"/>
      <c r="BK115" s="55"/>
      <c r="BL115" s="32"/>
      <c r="BM115" s="32"/>
      <c r="BN115" s="32"/>
      <c r="BO115" s="32"/>
      <c r="BP115" s="32"/>
      <c r="BQ115" s="31"/>
      <c r="BR115" s="31"/>
      <c r="BS115" s="54"/>
      <c r="BT115" s="21" t="str">
        <f>IFERROR(VLOOKUP(July[[#This Row],[Drug Name7]],'Data Options'!$R$1:$S$100,2,FALSE), " ")</f>
        <v xml:space="preserve"> </v>
      </c>
      <c r="BU115" s="55"/>
      <c r="BV115" s="32"/>
      <c r="BW115" s="32"/>
      <c r="BX115" s="55"/>
      <c r="BY115" s="32"/>
      <c r="BZ115" s="54"/>
      <c r="CA115" s="21" t="str">
        <f>IFERROR(VLOOKUP(July[[#This Row],[Drug Name8]],'Data Options'!$R$1:$S$100,2,FALSE), " ")</f>
        <v xml:space="preserve"> </v>
      </c>
      <c r="CB115" s="55"/>
      <c r="CC115" s="32"/>
      <c r="CD115" s="32"/>
      <c r="CE115" s="55"/>
      <c r="CF115" s="32"/>
      <c r="CG115" s="54"/>
      <c r="CH115" s="21" t="str">
        <f>IFERROR(VLOOKUP(July[[#This Row],[Drug Name9]],'Data Options'!$R$1:$S$100,2,FALSE), " ")</f>
        <v xml:space="preserve"> </v>
      </c>
      <c r="CI115" s="55"/>
      <c r="CJ115" s="32"/>
      <c r="CK115" s="32"/>
      <c r="CL115" s="55"/>
      <c r="CM115" s="32"/>
    </row>
    <row r="116" spans="1:91">
      <c r="A116" s="5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1"/>
      <c r="P116" s="31"/>
      <c r="Q116" s="54"/>
      <c r="R116" s="21" t="str">
        <f>IFERROR(VLOOKUP(July[[#This Row],[Drug Name]],'Data Options'!$R$1:$S$100,2,FALSE), " ")</f>
        <v xml:space="preserve"> </v>
      </c>
      <c r="S116" s="55"/>
      <c r="T116" s="32"/>
      <c r="U116" s="32"/>
      <c r="V116" s="55"/>
      <c r="W116" s="32"/>
      <c r="X116" s="54"/>
      <c r="Y116" s="21" t="str">
        <f>IFERROR(VLOOKUP(July[[#This Row],[Drug Name2]],'Data Options'!$R$1:$S$100,2,FALSE), " ")</f>
        <v xml:space="preserve"> </v>
      </c>
      <c r="Z116" s="55"/>
      <c r="AA116" s="32"/>
      <c r="AB116" s="32"/>
      <c r="AC116" s="55"/>
      <c r="AD116" s="32"/>
      <c r="AE116" s="54"/>
      <c r="AF116" s="21" t="str">
        <f>IFERROR(VLOOKUP(July[[#This Row],[Drug Name3]],'Data Options'!$R$1:$S$100,2,FALSE), " ")</f>
        <v xml:space="preserve"> </v>
      </c>
      <c r="AG116" s="55"/>
      <c r="AH116" s="32"/>
      <c r="AI116" s="32"/>
      <c r="AJ116" s="55"/>
      <c r="AK116" s="32"/>
      <c r="AL116" s="32"/>
      <c r="AM116" s="32"/>
      <c r="AN116" s="32"/>
      <c r="AO116" s="32"/>
      <c r="AP116" s="31"/>
      <c r="AQ116" s="31"/>
      <c r="AR116" s="54"/>
      <c r="AS116" s="21" t="str">
        <f>IFERROR(VLOOKUP(July[[#This Row],[Drug Name4]],'Data Options'!$R$1:$S$100,2,FALSE), " ")</f>
        <v xml:space="preserve"> </v>
      </c>
      <c r="AT116" s="55"/>
      <c r="AU116" s="32"/>
      <c r="AV116" s="32"/>
      <c r="AW116" s="55"/>
      <c r="AX116" s="32"/>
      <c r="AY116" s="54"/>
      <c r="AZ116" s="21" t="str">
        <f>IFERROR(VLOOKUP(July[[#This Row],[Drug Name5]],'Data Options'!$R$1:$S$100,2,FALSE), " ")</f>
        <v xml:space="preserve"> </v>
      </c>
      <c r="BA116" s="55"/>
      <c r="BB116" s="32"/>
      <c r="BC116" s="32"/>
      <c r="BD116" s="55"/>
      <c r="BE116" s="32"/>
      <c r="BF116" s="54"/>
      <c r="BG116" s="21" t="str">
        <f>IFERROR(VLOOKUP(July[[#This Row],[Drug Name6]],'Data Options'!$R$1:$S$100,2,FALSE), " ")</f>
        <v xml:space="preserve"> </v>
      </c>
      <c r="BH116" s="55"/>
      <c r="BI116" s="32"/>
      <c r="BJ116" s="32"/>
      <c r="BK116" s="55"/>
      <c r="BL116" s="32"/>
      <c r="BM116" s="32"/>
      <c r="BN116" s="32"/>
      <c r="BO116" s="32"/>
      <c r="BP116" s="32"/>
      <c r="BQ116" s="31"/>
      <c r="BR116" s="31"/>
      <c r="BS116" s="54"/>
      <c r="BT116" s="21" t="str">
        <f>IFERROR(VLOOKUP(July[[#This Row],[Drug Name7]],'Data Options'!$R$1:$S$100,2,FALSE), " ")</f>
        <v xml:space="preserve"> </v>
      </c>
      <c r="BU116" s="55"/>
      <c r="BV116" s="32"/>
      <c r="BW116" s="32"/>
      <c r="BX116" s="55"/>
      <c r="BY116" s="32"/>
      <c r="BZ116" s="54"/>
      <c r="CA116" s="21" t="str">
        <f>IFERROR(VLOOKUP(July[[#This Row],[Drug Name8]],'Data Options'!$R$1:$S$100,2,FALSE), " ")</f>
        <v xml:space="preserve"> </v>
      </c>
      <c r="CB116" s="55"/>
      <c r="CC116" s="32"/>
      <c r="CD116" s="32"/>
      <c r="CE116" s="55"/>
      <c r="CF116" s="32"/>
      <c r="CG116" s="54"/>
      <c r="CH116" s="21" t="str">
        <f>IFERROR(VLOOKUP(July[[#This Row],[Drug Name9]],'Data Options'!$R$1:$S$100,2,FALSE), " ")</f>
        <v xml:space="preserve"> </v>
      </c>
      <c r="CI116" s="55"/>
      <c r="CJ116" s="32"/>
      <c r="CK116" s="32"/>
      <c r="CL116" s="55"/>
      <c r="CM116" s="32"/>
    </row>
    <row r="117" spans="1:91">
      <c r="A117" s="5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1"/>
      <c r="P117" s="31"/>
      <c r="Q117" s="54"/>
      <c r="R117" s="21" t="str">
        <f>IFERROR(VLOOKUP(July[[#This Row],[Drug Name]],'Data Options'!$R$1:$S$100,2,FALSE), " ")</f>
        <v xml:space="preserve"> </v>
      </c>
      <c r="S117" s="55"/>
      <c r="T117" s="32"/>
      <c r="U117" s="32"/>
      <c r="V117" s="55"/>
      <c r="W117" s="32"/>
      <c r="X117" s="54"/>
      <c r="Y117" s="21" t="str">
        <f>IFERROR(VLOOKUP(July[[#This Row],[Drug Name2]],'Data Options'!$R$1:$S$100,2,FALSE), " ")</f>
        <v xml:space="preserve"> </v>
      </c>
      <c r="Z117" s="55"/>
      <c r="AA117" s="32"/>
      <c r="AB117" s="32"/>
      <c r="AC117" s="55"/>
      <c r="AD117" s="32"/>
      <c r="AE117" s="54"/>
      <c r="AF117" s="21" t="str">
        <f>IFERROR(VLOOKUP(July[[#This Row],[Drug Name3]],'Data Options'!$R$1:$S$100,2,FALSE), " ")</f>
        <v xml:space="preserve"> </v>
      </c>
      <c r="AG117" s="55"/>
      <c r="AH117" s="32"/>
      <c r="AI117" s="32"/>
      <c r="AJ117" s="55"/>
      <c r="AK117" s="32"/>
      <c r="AL117" s="32"/>
      <c r="AM117" s="32"/>
      <c r="AN117" s="32"/>
      <c r="AO117" s="32"/>
      <c r="AP117" s="31"/>
      <c r="AQ117" s="31"/>
      <c r="AR117" s="54"/>
      <c r="AS117" s="21" t="str">
        <f>IFERROR(VLOOKUP(July[[#This Row],[Drug Name4]],'Data Options'!$R$1:$S$100,2,FALSE), " ")</f>
        <v xml:space="preserve"> </v>
      </c>
      <c r="AT117" s="55"/>
      <c r="AU117" s="32"/>
      <c r="AV117" s="32"/>
      <c r="AW117" s="55"/>
      <c r="AX117" s="32"/>
      <c r="AY117" s="54"/>
      <c r="AZ117" s="21" t="str">
        <f>IFERROR(VLOOKUP(July[[#This Row],[Drug Name5]],'Data Options'!$R$1:$S$100,2,FALSE), " ")</f>
        <v xml:space="preserve"> </v>
      </c>
      <c r="BA117" s="55"/>
      <c r="BB117" s="32"/>
      <c r="BC117" s="32"/>
      <c r="BD117" s="55"/>
      <c r="BE117" s="32"/>
      <c r="BF117" s="54"/>
      <c r="BG117" s="21" t="str">
        <f>IFERROR(VLOOKUP(July[[#This Row],[Drug Name6]],'Data Options'!$R$1:$S$100,2,FALSE), " ")</f>
        <v xml:space="preserve"> </v>
      </c>
      <c r="BH117" s="55"/>
      <c r="BI117" s="32"/>
      <c r="BJ117" s="32"/>
      <c r="BK117" s="55"/>
      <c r="BL117" s="32"/>
      <c r="BM117" s="32"/>
      <c r="BN117" s="32"/>
      <c r="BO117" s="32"/>
      <c r="BP117" s="32"/>
      <c r="BQ117" s="31"/>
      <c r="BR117" s="31"/>
      <c r="BS117" s="54"/>
      <c r="BT117" s="21" t="str">
        <f>IFERROR(VLOOKUP(July[[#This Row],[Drug Name7]],'Data Options'!$R$1:$S$100,2,FALSE), " ")</f>
        <v xml:space="preserve"> </v>
      </c>
      <c r="BU117" s="55"/>
      <c r="BV117" s="32"/>
      <c r="BW117" s="32"/>
      <c r="BX117" s="55"/>
      <c r="BY117" s="32"/>
      <c r="BZ117" s="54"/>
      <c r="CA117" s="21" t="str">
        <f>IFERROR(VLOOKUP(July[[#This Row],[Drug Name8]],'Data Options'!$R$1:$S$100,2,FALSE), " ")</f>
        <v xml:space="preserve"> </v>
      </c>
      <c r="CB117" s="55"/>
      <c r="CC117" s="32"/>
      <c r="CD117" s="32"/>
      <c r="CE117" s="55"/>
      <c r="CF117" s="32"/>
      <c r="CG117" s="54"/>
      <c r="CH117" s="21" t="str">
        <f>IFERROR(VLOOKUP(July[[#This Row],[Drug Name9]],'Data Options'!$R$1:$S$100,2,FALSE), " ")</f>
        <v xml:space="preserve"> </v>
      </c>
      <c r="CI117" s="55"/>
      <c r="CJ117" s="32"/>
      <c r="CK117" s="32"/>
      <c r="CL117" s="55"/>
      <c r="CM117" s="32"/>
    </row>
    <row r="118" spans="1:91">
      <c r="A118" s="5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/>
      <c r="P118" s="31"/>
      <c r="Q118" s="54"/>
      <c r="R118" s="21" t="str">
        <f>IFERROR(VLOOKUP(July[[#This Row],[Drug Name]],'Data Options'!$R$1:$S$100,2,FALSE), " ")</f>
        <v xml:space="preserve"> </v>
      </c>
      <c r="S118" s="55"/>
      <c r="T118" s="32"/>
      <c r="U118" s="32"/>
      <c r="V118" s="55"/>
      <c r="W118" s="32"/>
      <c r="X118" s="54"/>
      <c r="Y118" s="21" t="str">
        <f>IFERROR(VLOOKUP(July[[#This Row],[Drug Name2]],'Data Options'!$R$1:$S$100,2,FALSE), " ")</f>
        <v xml:space="preserve"> </v>
      </c>
      <c r="Z118" s="55"/>
      <c r="AA118" s="32"/>
      <c r="AB118" s="32"/>
      <c r="AC118" s="55"/>
      <c r="AD118" s="32"/>
      <c r="AE118" s="54"/>
      <c r="AF118" s="21" t="str">
        <f>IFERROR(VLOOKUP(July[[#This Row],[Drug Name3]],'Data Options'!$R$1:$S$100,2,FALSE), " ")</f>
        <v xml:space="preserve"> </v>
      </c>
      <c r="AG118" s="55"/>
      <c r="AH118" s="32"/>
      <c r="AI118" s="32"/>
      <c r="AJ118" s="55"/>
      <c r="AK118" s="32"/>
      <c r="AL118" s="32"/>
      <c r="AM118" s="32"/>
      <c r="AN118" s="32"/>
      <c r="AO118" s="32"/>
      <c r="AP118" s="31"/>
      <c r="AQ118" s="31"/>
      <c r="AR118" s="54"/>
      <c r="AS118" s="21" t="str">
        <f>IFERROR(VLOOKUP(July[[#This Row],[Drug Name4]],'Data Options'!$R$1:$S$100,2,FALSE), " ")</f>
        <v xml:space="preserve"> </v>
      </c>
      <c r="AT118" s="55"/>
      <c r="AU118" s="32"/>
      <c r="AV118" s="32"/>
      <c r="AW118" s="55"/>
      <c r="AX118" s="32"/>
      <c r="AY118" s="54"/>
      <c r="AZ118" s="21" t="str">
        <f>IFERROR(VLOOKUP(July[[#This Row],[Drug Name5]],'Data Options'!$R$1:$S$100,2,FALSE), " ")</f>
        <v xml:space="preserve"> </v>
      </c>
      <c r="BA118" s="55"/>
      <c r="BB118" s="32"/>
      <c r="BC118" s="32"/>
      <c r="BD118" s="55"/>
      <c r="BE118" s="32"/>
      <c r="BF118" s="54"/>
      <c r="BG118" s="21" t="str">
        <f>IFERROR(VLOOKUP(July[[#This Row],[Drug Name6]],'Data Options'!$R$1:$S$100,2,FALSE), " ")</f>
        <v xml:space="preserve"> </v>
      </c>
      <c r="BH118" s="55"/>
      <c r="BI118" s="32"/>
      <c r="BJ118" s="32"/>
      <c r="BK118" s="55"/>
      <c r="BL118" s="32"/>
      <c r="BM118" s="32"/>
      <c r="BN118" s="32"/>
      <c r="BO118" s="32"/>
      <c r="BP118" s="32"/>
      <c r="BQ118" s="31"/>
      <c r="BR118" s="31"/>
      <c r="BS118" s="54"/>
      <c r="BT118" s="21" t="str">
        <f>IFERROR(VLOOKUP(July[[#This Row],[Drug Name7]],'Data Options'!$R$1:$S$100,2,FALSE), " ")</f>
        <v xml:space="preserve"> </v>
      </c>
      <c r="BU118" s="55"/>
      <c r="BV118" s="32"/>
      <c r="BW118" s="32"/>
      <c r="BX118" s="55"/>
      <c r="BY118" s="32"/>
      <c r="BZ118" s="54"/>
      <c r="CA118" s="21" t="str">
        <f>IFERROR(VLOOKUP(July[[#This Row],[Drug Name8]],'Data Options'!$R$1:$S$100,2,FALSE), " ")</f>
        <v xml:space="preserve"> </v>
      </c>
      <c r="CB118" s="55"/>
      <c r="CC118" s="32"/>
      <c r="CD118" s="32"/>
      <c r="CE118" s="55"/>
      <c r="CF118" s="32"/>
      <c r="CG118" s="54"/>
      <c r="CH118" s="21" t="str">
        <f>IFERROR(VLOOKUP(July[[#This Row],[Drug Name9]],'Data Options'!$R$1:$S$100,2,FALSE), " ")</f>
        <v xml:space="preserve"> </v>
      </c>
      <c r="CI118" s="55"/>
      <c r="CJ118" s="32"/>
      <c r="CK118" s="32"/>
      <c r="CL118" s="55"/>
      <c r="CM118" s="32"/>
    </row>
    <row r="119" spans="1:91">
      <c r="A119" s="5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1"/>
      <c r="P119" s="31"/>
      <c r="Q119" s="54"/>
      <c r="R119" s="21" t="str">
        <f>IFERROR(VLOOKUP(July[[#This Row],[Drug Name]],'Data Options'!$R$1:$S$100,2,FALSE), " ")</f>
        <v xml:space="preserve"> </v>
      </c>
      <c r="S119" s="55"/>
      <c r="T119" s="32"/>
      <c r="U119" s="32"/>
      <c r="V119" s="55"/>
      <c r="W119" s="32"/>
      <c r="X119" s="54"/>
      <c r="Y119" s="21" t="str">
        <f>IFERROR(VLOOKUP(July[[#This Row],[Drug Name2]],'Data Options'!$R$1:$S$100,2,FALSE), " ")</f>
        <v xml:space="preserve"> </v>
      </c>
      <c r="Z119" s="55"/>
      <c r="AA119" s="32"/>
      <c r="AB119" s="32"/>
      <c r="AC119" s="55"/>
      <c r="AD119" s="32"/>
      <c r="AE119" s="54"/>
      <c r="AF119" s="21" t="str">
        <f>IFERROR(VLOOKUP(July[[#This Row],[Drug Name3]],'Data Options'!$R$1:$S$100,2,FALSE), " ")</f>
        <v xml:space="preserve"> </v>
      </c>
      <c r="AG119" s="55"/>
      <c r="AH119" s="32"/>
      <c r="AI119" s="32"/>
      <c r="AJ119" s="55"/>
      <c r="AK119" s="32"/>
      <c r="AL119" s="32"/>
      <c r="AM119" s="32"/>
      <c r="AN119" s="32"/>
      <c r="AO119" s="32"/>
      <c r="AP119" s="31"/>
      <c r="AQ119" s="31"/>
      <c r="AR119" s="54"/>
      <c r="AS119" s="21" t="str">
        <f>IFERROR(VLOOKUP(July[[#This Row],[Drug Name4]],'Data Options'!$R$1:$S$100,2,FALSE), " ")</f>
        <v xml:space="preserve"> </v>
      </c>
      <c r="AT119" s="55"/>
      <c r="AU119" s="32"/>
      <c r="AV119" s="32"/>
      <c r="AW119" s="55"/>
      <c r="AX119" s="32"/>
      <c r="AY119" s="54"/>
      <c r="AZ119" s="21" t="str">
        <f>IFERROR(VLOOKUP(July[[#This Row],[Drug Name5]],'Data Options'!$R$1:$S$100,2,FALSE), " ")</f>
        <v xml:space="preserve"> </v>
      </c>
      <c r="BA119" s="55"/>
      <c r="BB119" s="32"/>
      <c r="BC119" s="32"/>
      <c r="BD119" s="55"/>
      <c r="BE119" s="32"/>
      <c r="BF119" s="54"/>
      <c r="BG119" s="21" t="str">
        <f>IFERROR(VLOOKUP(July[[#This Row],[Drug Name6]],'Data Options'!$R$1:$S$100,2,FALSE), " ")</f>
        <v xml:space="preserve"> </v>
      </c>
      <c r="BH119" s="55"/>
      <c r="BI119" s="32"/>
      <c r="BJ119" s="32"/>
      <c r="BK119" s="55"/>
      <c r="BL119" s="32"/>
      <c r="BM119" s="32"/>
      <c r="BN119" s="32"/>
      <c r="BO119" s="32"/>
      <c r="BP119" s="32"/>
      <c r="BQ119" s="31"/>
      <c r="BR119" s="31"/>
      <c r="BS119" s="54"/>
      <c r="BT119" s="21" t="str">
        <f>IFERROR(VLOOKUP(July[[#This Row],[Drug Name7]],'Data Options'!$R$1:$S$100,2,FALSE), " ")</f>
        <v xml:space="preserve"> </v>
      </c>
      <c r="BU119" s="55"/>
      <c r="BV119" s="32"/>
      <c r="BW119" s="32"/>
      <c r="BX119" s="55"/>
      <c r="BY119" s="32"/>
      <c r="BZ119" s="54"/>
      <c r="CA119" s="21" t="str">
        <f>IFERROR(VLOOKUP(July[[#This Row],[Drug Name8]],'Data Options'!$R$1:$S$100,2,FALSE), " ")</f>
        <v xml:space="preserve"> </v>
      </c>
      <c r="CB119" s="55"/>
      <c r="CC119" s="32"/>
      <c r="CD119" s="32"/>
      <c r="CE119" s="55"/>
      <c r="CF119" s="32"/>
      <c r="CG119" s="54"/>
      <c r="CH119" s="21" t="str">
        <f>IFERROR(VLOOKUP(July[[#This Row],[Drug Name9]],'Data Options'!$R$1:$S$100,2,FALSE), " ")</f>
        <v xml:space="preserve"> </v>
      </c>
      <c r="CI119" s="55"/>
      <c r="CJ119" s="32"/>
      <c r="CK119" s="32"/>
      <c r="CL119" s="55"/>
      <c r="CM119" s="32"/>
    </row>
    <row r="120" spans="1:91">
      <c r="A120" s="5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/>
      <c r="P120" s="31"/>
      <c r="Q120" s="54"/>
      <c r="R120" s="21" t="str">
        <f>IFERROR(VLOOKUP(July[[#This Row],[Drug Name]],'Data Options'!$R$1:$S$100,2,FALSE), " ")</f>
        <v xml:space="preserve"> </v>
      </c>
      <c r="S120" s="55"/>
      <c r="T120" s="32"/>
      <c r="U120" s="32"/>
      <c r="V120" s="55"/>
      <c r="W120" s="32"/>
      <c r="X120" s="54"/>
      <c r="Y120" s="21" t="str">
        <f>IFERROR(VLOOKUP(July[[#This Row],[Drug Name2]],'Data Options'!$R$1:$S$100,2,FALSE), " ")</f>
        <v xml:space="preserve"> </v>
      </c>
      <c r="Z120" s="55"/>
      <c r="AA120" s="32"/>
      <c r="AB120" s="32"/>
      <c r="AC120" s="55"/>
      <c r="AD120" s="32"/>
      <c r="AE120" s="54"/>
      <c r="AF120" s="21" t="str">
        <f>IFERROR(VLOOKUP(July[[#This Row],[Drug Name3]],'Data Options'!$R$1:$S$100,2,FALSE), " ")</f>
        <v xml:space="preserve"> </v>
      </c>
      <c r="AG120" s="55"/>
      <c r="AH120" s="32"/>
      <c r="AI120" s="32"/>
      <c r="AJ120" s="55"/>
      <c r="AK120" s="32"/>
      <c r="AL120" s="32"/>
      <c r="AM120" s="32"/>
      <c r="AN120" s="32"/>
      <c r="AO120" s="32"/>
      <c r="AP120" s="31"/>
      <c r="AQ120" s="31"/>
      <c r="AR120" s="54"/>
      <c r="AS120" s="21" t="str">
        <f>IFERROR(VLOOKUP(July[[#This Row],[Drug Name4]],'Data Options'!$R$1:$S$100,2,FALSE), " ")</f>
        <v xml:space="preserve"> </v>
      </c>
      <c r="AT120" s="55"/>
      <c r="AU120" s="32"/>
      <c r="AV120" s="32"/>
      <c r="AW120" s="55"/>
      <c r="AX120" s="32"/>
      <c r="AY120" s="54"/>
      <c r="AZ120" s="21" t="str">
        <f>IFERROR(VLOOKUP(July[[#This Row],[Drug Name5]],'Data Options'!$R$1:$S$100,2,FALSE), " ")</f>
        <v xml:space="preserve"> </v>
      </c>
      <c r="BA120" s="55"/>
      <c r="BB120" s="32"/>
      <c r="BC120" s="32"/>
      <c r="BD120" s="55"/>
      <c r="BE120" s="32"/>
      <c r="BF120" s="54"/>
      <c r="BG120" s="21" t="str">
        <f>IFERROR(VLOOKUP(July[[#This Row],[Drug Name6]],'Data Options'!$R$1:$S$100,2,FALSE), " ")</f>
        <v xml:space="preserve"> </v>
      </c>
      <c r="BH120" s="55"/>
      <c r="BI120" s="32"/>
      <c r="BJ120" s="32"/>
      <c r="BK120" s="55"/>
      <c r="BL120" s="32"/>
      <c r="BM120" s="32"/>
      <c r="BN120" s="32"/>
      <c r="BO120" s="32"/>
      <c r="BP120" s="32"/>
      <c r="BQ120" s="31"/>
      <c r="BR120" s="31"/>
      <c r="BS120" s="54"/>
      <c r="BT120" s="21" t="str">
        <f>IFERROR(VLOOKUP(July[[#This Row],[Drug Name7]],'Data Options'!$R$1:$S$100,2,FALSE), " ")</f>
        <v xml:space="preserve"> </v>
      </c>
      <c r="BU120" s="55"/>
      <c r="BV120" s="32"/>
      <c r="BW120" s="32"/>
      <c r="BX120" s="55"/>
      <c r="BY120" s="32"/>
      <c r="BZ120" s="54"/>
      <c r="CA120" s="21" t="str">
        <f>IFERROR(VLOOKUP(July[[#This Row],[Drug Name8]],'Data Options'!$R$1:$S$100,2,FALSE), " ")</f>
        <v xml:space="preserve"> </v>
      </c>
      <c r="CB120" s="55"/>
      <c r="CC120" s="32"/>
      <c r="CD120" s="32"/>
      <c r="CE120" s="55"/>
      <c r="CF120" s="32"/>
      <c r="CG120" s="54"/>
      <c r="CH120" s="21" t="str">
        <f>IFERROR(VLOOKUP(July[[#This Row],[Drug Name9]],'Data Options'!$R$1:$S$100,2,FALSE), " ")</f>
        <v xml:space="preserve"> </v>
      </c>
      <c r="CI120" s="55"/>
      <c r="CJ120" s="32"/>
      <c r="CK120" s="32"/>
      <c r="CL120" s="55"/>
      <c r="CM120" s="32"/>
    </row>
    <row r="121" spans="1:91">
      <c r="A121" s="5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1"/>
      <c r="P121" s="31"/>
      <c r="Q121" s="54"/>
      <c r="R121" s="21" t="str">
        <f>IFERROR(VLOOKUP(July[[#This Row],[Drug Name]],'Data Options'!$R$1:$S$100,2,FALSE), " ")</f>
        <v xml:space="preserve"> </v>
      </c>
      <c r="S121" s="55"/>
      <c r="T121" s="32"/>
      <c r="U121" s="32"/>
      <c r="V121" s="55"/>
      <c r="W121" s="32"/>
      <c r="X121" s="54"/>
      <c r="Y121" s="21" t="str">
        <f>IFERROR(VLOOKUP(July[[#This Row],[Drug Name2]],'Data Options'!$R$1:$S$100,2,FALSE), " ")</f>
        <v xml:space="preserve"> </v>
      </c>
      <c r="Z121" s="55"/>
      <c r="AA121" s="32"/>
      <c r="AB121" s="32"/>
      <c r="AC121" s="55"/>
      <c r="AD121" s="32"/>
      <c r="AE121" s="54"/>
      <c r="AF121" s="21" t="str">
        <f>IFERROR(VLOOKUP(July[[#This Row],[Drug Name3]],'Data Options'!$R$1:$S$100,2,FALSE), " ")</f>
        <v xml:space="preserve"> </v>
      </c>
      <c r="AG121" s="55"/>
      <c r="AH121" s="32"/>
      <c r="AI121" s="32"/>
      <c r="AJ121" s="55"/>
      <c r="AK121" s="32"/>
      <c r="AL121" s="32"/>
      <c r="AM121" s="32"/>
      <c r="AN121" s="32"/>
      <c r="AO121" s="32"/>
      <c r="AP121" s="31"/>
      <c r="AQ121" s="31"/>
      <c r="AR121" s="54"/>
      <c r="AS121" s="21" t="str">
        <f>IFERROR(VLOOKUP(July[[#This Row],[Drug Name4]],'Data Options'!$R$1:$S$100,2,FALSE), " ")</f>
        <v xml:space="preserve"> </v>
      </c>
      <c r="AT121" s="55"/>
      <c r="AU121" s="32"/>
      <c r="AV121" s="32"/>
      <c r="AW121" s="55"/>
      <c r="AX121" s="32"/>
      <c r="AY121" s="54"/>
      <c r="AZ121" s="21" t="str">
        <f>IFERROR(VLOOKUP(July[[#This Row],[Drug Name5]],'Data Options'!$R$1:$S$100,2,FALSE), " ")</f>
        <v xml:space="preserve"> </v>
      </c>
      <c r="BA121" s="55"/>
      <c r="BB121" s="32"/>
      <c r="BC121" s="32"/>
      <c r="BD121" s="55"/>
      <c r="BE121" s="32"/>
      <c r="BF121" s="54"/>
      <c r="BG121" s="21" t="str">
        <f>IFERROR(VLOOKUP(July[[#This Row],[Drug Name6]],'Data Options'!$R$1:$S$100,2,FALSE), " ")</f>
        <v xml:space="preserve"> </v>
      </c>
      <c r="BH121" s="55"/>
      <c r="BI121" s="32"/>
      <c r="BJ121" s="32"/>
      <c r="BK121" s="55"/>
      <c r="BL121" s="32"/>
      <c r="BM121" s="32"/>
      <c r="BN121" s="32"/>
      <c r="BO121" s="32"/>
      <c r="BP121" s="32"/>
      <c r="BQ121" s="31"/>
      <c r="BR121" s="31"/>
      <c r="BS121" s="54"/>
      <c r="BT121" s="21" t="str">
        <f>IFERROR(VLOOKUP(July[[#This Row],[Drug Name7]],'Data Options'!$R$1:$S$100,2,FALSE), " ")</f>
        <v xml:space="preserve"> </v>
      </c>
      <c r="BU121" s="55"/>
      <c r="BV121" s="32"/>
      <c r="BW121" s="32"/>
      <c r="BX121" s="55"/>
      <c r="BY121" s="32"/>
      <c r="BZ121" s="54"/>
      <c r="CA121" s="21" t="str">
        <f>IFERROR(VLOOKUP(July[[#This Row],[Drug Name8]],'Data Options'!$R$1:$S$100,2,FALSE), " ")</f>
        <v xml:space="preserve"> </v>
      </c>
      <c r="CB121" s="55"/>
      <c r="CC121" s="32"/>
      <c r="CD121" s="32"/>
      <c r="CE121" s="55"/>
      <c r="CF121" s="32"/>
      <c r="CG121" s="54"/>
      <c r="CH121" s="21" t="str">
        <f>IFERROR(VLOOKUP(July[[#This Row],[Drug Name9]],'Data Options'!$R$1:$S$100,2,FALSE), " ")</f>
        <v xml:space="preserve"> </v>
      </c>
      <c r="CI121" s="55"/>
      <c r="CJ121" s="32"/>
      <c r="CK121" s="32"/>
      <c r="CL121" s="55"/>
      <c r="CM121" s="32"/>
    </row>
    <row r="122" spans="1:91">
      <c r="A122" s="5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1"/>
      <c r="P122" s="31"/>
      <c r="Q122" s="54"/>
      <c r="R122" s="21" t="str">
        <f>IFERROR(VLOOKUP(July[[#This Row],[Drug Name]],'Data Options'!$R$1:$S$100,2,FALSE), " ")</f>
        <v xml:space="preserve"> </v>
      </c>
      <c r="S122" s="55"/>
      <c r="T122" s="32"/>
      <c r="U122" s="32"/>
      <c r="V122" s="55"/>
      <c r="W122" s="32"/>
      <c r="X122" s="54"/>
      <c r="Y122" s="21" t="str">
        <f>IFERROR(VLOOKUP(July[[#This Row],[Drug Name2]],'Data Options'!$R$1:$S$100,2,FALSE), " ")</f>
        <v xml:space="preserve"> </v>
      </c>
      <c r="Z122" s="55"/>
      <c r="AA122" s="32"/>
      <c r="AB122" s="32"/>
      <c r="AC122" s="55"/>
      <c r="AD122" s="32"/>
      <c r="AE122" s="54"/>
      <c r="AF122" s="21" t="str">
        <f>IFERROR(VLOOKUP(July[[#This Row],[Drug Name3]],'Data Options'!$R$1:$S$100,2,FALSE), " ")</f>
        <v xml:space="preserve"> </v>
      </c>
      <c r="AG122" s="55"/>
      <c r="AH122" s="32"/>
      <c r="AI122" s="32"/>
      <c r="AJ122" s="55"/>
      <c r="AK122" s="32"/>
      <c r="AL122" s="32"/>
      <c r="AM122" s="32"/>
      <c r="AN122" s="32"/>
      <c r="AO122" s="32"/>
      <c r="AP122" s="31"/>
      <c r="AQ122" s="31"/>
      <c r="AR122" s="54"/>
      <c r="AS122" s="21" t="str">
        <f>IFERROR(VLOOKUP(July[[#This Row],[Drug Name4]],'Data Options'!$R$1:$S$100,2,FALSE), " ")</f>
        <v xml:space="preserve"> </v>
      </c>
      <c r="AT122" s="55"/>
      <c r="AU122" s="32"/>
      <c r="AV122" s="32"/>
      <c r="AW122" s="55"/>
      <c r="AX122" s="32"/>
      <c r="AY122" s="54"/>
      <c r="AZ122" s="21" t="str">
        <f>IFERROR(VLOOKUP(July[[#This Row],[Drug Name5]],'Data Options'!$R$1:$S$100,2,FALSE), " ")</f>
        <v xml:space="preserve"> </v>
      </c>
      <c r="BA122" s="55"/>
      <c r="BB122" s="32"/>
      <c r="BC122" s="32"/>
      <c r="BD122" s="55"/>
      <c r="BE122" s="32"/>
      <c r="BF122" s="54"/>
      <c r="BG122" s="21" t="str">
        <f>IFERROR(VLOOKUP(July[[#This Row],[Drug Name6]],'Data Options'!$R$1:$S$100,2,FALSE), " ")</f>
        <v xml:space="preserve"> </v>
      </c>
      <c r="BH122" s="55"/>
      <c r="BI122" s="32"/>
      <c r="BJ122" s="32"/>
      <c r="BK122" s="55"/>
      <c r="BL122" s="32"/>
      <c r="BM122" s="32"/>
      <c r="BN122" s="32"/>
      <c r="BO122" s="32"/>
      <c r="BP122" s="32"/>
      <c r="BQ122" s="31"/>
      <c r="BR122" s="31"/>
      <c r="BS122" s="54"/>
      <c r="BT122" s="21" t="str">
        <f>IFERROR(VLOOKUP(July[[#This Row],[Drug Name7]],'Data Options'!$R$1:$S$100,2,FALSE), " ")</f>
        <v xml:space="preserve"> </v>
      </c>
      <c r="BU122" s="55"/>
      <c r="BV122" s="32"/>
      <c r="BW122" s="32"/>
      <c r="BX122" s="55"/>
      <c r="BY122" s="32"/>
      <c r="BZ122" s="54"/>
      <c r="CA122" s="21" t="str">
        <f>IFERROR(VLOOKUP(July[[#This Row],[Drug Name8]],'Data Options'!$R$1:$S$100,2,FALSE), " ")</f>
        <v xml:space="preserve"> </v>
      </c>
      <c r="CB122" s="55"/>
      <c r="CC122" s="32"/>
      <c r="CD122" s="32"/>
      <c r="CE122" s="55"/>
      <c r="CF122" s="32"/>
      <c r="CG122" s="54"/>
      <c r="CH122" s="21" t="str">
        <f>IFERROR(VLOOKUP(July[[#This Row],[Drug Name9]],'Data Options'!$R$1:$S$100,2,FALSE), " ")</f>
        <v xml:space="preserve"> </v>
      </c>
      <c r="CI122" s="55"/>
      <c r="CJ122" s="32"/>
      <c r="CK122" s="32"/>
      <c r="CL122" s="55"/>
      <c r="CM122" s="32"/>
    </row>
    <row r="123" spans="1:91">
      <c r="A123" s="5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1"/>
      <c r="P123" s="31"/>
      <c r="Q123" s="54"/>
      <c r="R123" s="21" t="str">
        <f>IFERROR(VLOOKUP(July[[#This Row],[Drug Name]],'Data Options'!$R$1:$S$100,2,FALSE), " ")</f>
        <v xml:space="preserve"> </v>
      </c>
      <c r="S123" s="55"/>
      <c r="T123" s="32"/>
      <c r="U123" s="32"/>
      <c r="V123" s="55"/>
      <c r="W123" s="32"/>
      <c r="X123" s="54"/>
      <c r="Y123" s="21" t="str">
        <f>IFERROR(VLOOKUP(July[[#This Row],[Drug Name2]],'Data Options'!$R$1:$S$100,2,FALSE), " ")</f>
        <v xml:space="preserve"> </v>
      </c>
      <c r="Z123" s="55"/>
      <c r="AA123" s="32"/>
      <c r="AB123" s="32"/>
      <c r="AC123" s="55"/>
      <c r="AD123" s="32"/>
      <c r="AE123" s="54"/>
      <c r="AF123" s="21" t="str">
        <f>IFERROR(VLOOKUP(July[[#This Row],[Drug Name3]],'Data Options'!$R$1:$S$100,2,FALSE), " ")</f>
        <v xml:space="preserve"> </v>
      </c>
      <c r="AG123" s="55"/>
      <c r="AH123" s="32"/>
      <c r="AI123" s="32"/>
      <c r="AJ123" s="55"/>
      <c r="AK123" s="32"/>
      <c r="AL123" s="32"/>
      <c r="AM123" s="32"/>
      <c r="AN123" s="32"/>
      <c r="AO123" s="32"/>
      <c r="AP123" s="31"/>
      <c r="AQ123" s="31"/>
      <c r="AR123" s="54"/>
      <c r="AS123" s="21" t="str">
        <f>IFERROR(VLOOKUP(July[[#This Row],[Drug Name4]],'Data Options'!$R$1:$S$100,2,FALSE), " ")</f>
        <v xml:space="preserve"> </v>
      </c>
      <c r="AT123" s="55"/>
      <c r="AU123" s="32"/>
      <c r="AV123" s="32"/>
      <c r="AW123" s="55"/>
      <c r="AX123" s="32"/>
      <c r="AY123" s="54"/>
      <c r="AZ123" s="21" t="str">
        <f>IFERROR(VLOOKUP(July[[#This Row],[Drug Name5]],'Data Options'!$R$1:$S$100,2,FALSE), " ")</f>
        <v xml:space="preserve"> </v>
      </c>
      <c r="BA123" s="55"/>
      <c r="BB123" s="32"/>
      <c r="BC123" s="32"/>
      <c r="BD123" s="55"/>
      <c r="BE123" s="32"/>
      <c r="BF123" s="54"/>
      <c r="BG123" s="21" t="str">
        <f>IFERROR(VLOOKUP(July[[#This Row],[Drug Name6]],'Data Options'!$R$1:$S$100,2,FALSE), " ")</f>
        <v xml:space="preserve"> </v>
      </c>
      <c r="BH123" s="55"/>
      <c r="BI123" s="32"/>
      <c r="BJ123" s="32"/>
      <c r="BK123" s="55"/>
      <c r="BL123" s="32"/>
      <c r="BM123" s="32"/>
      <c r="BN123" s="32"/>
      <c r="BO123" s="32"/>
      <c r="BP123" s="32"/>
      <c r="BQ123" s="31"/>
      <c r="BR123" s="31"/>
      <c r="BS123" s="54"/>
      <c r="BT123" s="21" t="str">
        <f>IFERROR(VLOOKUP(July[[#This Row],[Drug Name7]],'Data Options'!$R$1:$S$100,2,FALSE), " ")</f>
        <v xml:space="preserve"> </v>
      </c>
      <c r="BU123" s="55"/>
      <c r="BV123" s="32"/>
      <c r="BW123" s="32"/>
      <c r="BX123" s="55"/>
      <c r="BY123" s="32"/>
      <c r="BZ123" s="54"/>
      <c r="CA123" s="21" t="str">
        <f>IFERROR(VLOOKUP(July[[#This Row],[Drug Name8]],'Data Options'!$R$1:$S$100,2,FALSE), " ")</f>
        <v xml:space="preserve"> </v>
      </c>
      <c r="CB123" s="55"/>
      <c r="CC123" s="32"/>
      <c r="CD123" s="32"/>
      <c r="CE123" s="55"/>
      <c r="CF123" s="32"/>
      <c r="CG123" s="54"/>
      <c r="CH123" s="21" t="str">
        <f>IFERROR(VLOOKUP(July[[#This Row],[Drug Name9]],'Data Options'!$R$1:$S$100,2,FALSE), " ")</f>
        <v xml:space="preserve"> </v>
      </c>
      <c r="CI123" s="55"/>
      <c r="CJ123" s="32"/>
      <c r="CK123" s="32"/>
      <c r="CL123" s="55"/>
      <c r="CM123" s="32"/>
    </row>
    <row r="124" spans="1:91">
      <c r="A124" s="5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1"/>
      <c r="P124" s="31"/>
      <c r="Q124" s="54"/>
      <c r="R124" s="21" t="str">
        <f>IFERROR(VLOOKUP(July[[#This Row],[Drug Name]],'Data Options'!$R$1:$S$100,2,FALSE), " ")</f>
        <v xml:space="preserve"> </v>
      </c>
      <c r="S124" s="55"/>
      <c r="T124" s="32"/>
      <c r="U124" s="32"/>
      <c r="V124" s="55"/>
      <c r="W124" s="32"/>
      <c r="X124" s="54"/>
      <c r="Y124" s="21" t="str">
        <f>IFERROR(VLOOKUP(July[[#This Row],[Drug Name2]],'Data Options'!$R$1:$S$100,2,FALSE), " ")</f>
        <v xml:space="preserve"> </v>
      </c>
      <c r="Z124" s="55"/>
      <c r="AA124" s="32"/>
      <c r="AB124" s="32"/>
      <c r="AC124" s="55"/>
      <c r="AD124" s="32"/>
      <c r="AE124" s="54"/>
      <c r="AF124" s="21" t="str">
        <f>IFERROR(VLOOKUP(July[[#This Row],[Drug Name3]],'Data Options'!$R$1:$S$100,2,FALSE), " ")</f>
        <v xml:space="preserve"> </v>
      </c>
      <c r="AG124" s="55"/>
      <c r="AH124" s="32"/>
      <c r="AI124" s="32"/>
      <c r="AJ124" s="55"/>
      <c r="AK124" s="32"/>
      <c r="AL124" s="32"/>
      <c r="AM124" s="32"/>
      <c r="AN124" s="32"/>
      <c r="AO124" s="32"/>
      <c r="AP124" s="31"/>
      <c r="AQ124" s="31"/>
      <c r="AR124" s="54"/>
      <c r="AS124" s="21" t="str">
        <f>IFERROR(VLOOKUP(July[[#This Row],[Drug Name4]],'Data Options'!$R$1:$S$100,2,FALSE), " ")</f>
        <v xml:space="preserve"> </v>
      </c>
      <c r="AT124" s="55"/>
      <c r="AU124" s="32"/>
      <c r="AV124" s="32"/>
      <c r="AW124" s="55"/>
      <c r="AX124" s="32"/>
      <c r="AY124" s="54"/>
      <c r="AZ124" s="21" t="str">
        <f>IFERROR(VLOOKUP(July[[#This Row],[Drug Name5]],'Data Options'!$R$1:$S$100,2,FALSE), " ")</f>
        <v xml:space="preserve"> </v>
      </c>
      <c r="BA124" s="55"/>
      <c r="BB124" s="32"/>
      <c r="BC124" s="32"/>
      <c r="BD124" s="55"/>
      <c r="BE124" s="32"/>
      <c r="BF124" s="54"/>
      <c r="BG124" s="21" t="str">
        <f>IFERROR(VLOOKUP(July[[#This Row],[Drug Name6]],'Data Options'!$R$1:$S$100,2,FALSE), " ")</f>
        <v xml:space="preserve"> </v>
      </c>
      <c r="BH124" s="55"/>
      <c r="BI124" s="32"/>
      <c r="BJ124" s="32"/>
      <c r="BK124" s="55"/>
      <c r="BL124" s="32"/>
      <c r="BM124" s="32"/>
      <c r="BN124" s="32"/>
      <c r="BO124" s="32"/>
      <c r="BP124" s="32"/>
      <c r="BQ124" s="31"/>
      <c r="BR124" s="31"/>
      <c r="BS124" s="54"/>
      <c r="BT124" s="21" t="str">
        <f>IFERROR(VLOOKUP(July[[#This Row],[Drug Name7]],'Data Options'!$R$1:$S$100,2,FALSE), " ")</f>
        <v xml:space="preserve"> </v>
      </c>
      <c r="BU124" s="55"/>
      <c r="BV124" s="32"/>
      <c r="BW124" s="32"/>
      <c r="BX124" s="55"/>
      <c r="BY124" s="32"/>
      <c r="BZ124" s="54"/>
      <c r="CA124" s="21" t="str">
        <f>IFERROR(VLOOKUP(July[[#This Row],[Drug Name8]],'Data Options'!$R$1:$S$100,2,FALSE), " ")</f>
        <v xml:space="preserve"> </v>
      </c>
      <c r="CB124" s="55"/>
      <c r="CC124" s="32"/>
      <c r="CD124" s="32"/>
      <c r="CE124" s="55"/>
      <c r="CF124" s="32"/>
      <c r="CG124" s="54"/>
      <c r="CH124" s="21" t="str">
        <f>IFERROR(VLOOKUP(July[[#This Row],[Drug Name9]],'Data Options'!$R$1:$S$100,2,FALSE), " ")</f>
        <v xml:space="preserve"> </v>
      </c>
      <c r="CI124" s="55"/>
      <c r="CJ124" s="32"/>
      <c r="CK124" s="32"/>
      <c r="CL124" s="55"/>
      <c r="CM124" s="32"/>
    </row>
    <row r="125" spans="1:91">
      <c r="A125" s="5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1"/>
      <c r="P125" s="31"/>
      <c r="Q125" s="54"/>
      <c r="R125" s="21" t="str">
        <f>IFERROR(VLOOKUP(July[[#This Row],[Drug Name]],'Data Options'!$R$1:$S$100,2,FALSE), " ")</f>
        <v xml:space="preserve"> </v>
      </c>
      <c r="S125" s="55"/>
      <c r="T125" s="32"/>
      <c r="U125" s="32"/>
      <c r="V125" s="55"/>
      <c r="W125" s="32"/>
      <c r="X125" s="54"/>
      <c r="Y125" s="21" t="str">
        <f>IFERROR(VLOOKUP(July[[#This Row],[Drug Name2]],'Data Options'!$R$1:$S$100,2,FALSE), " ")</f>
        <v xml:space="preserve"> </v>
      </c>
      <c r="Z125" s="55"/>
      <c r="AA125" s="32"/>
      <c r="AB125" s="32"/>
      <c r="AC125" s="55"/>
      <c r="AD125" s="32"/>
      <c r="AE125" s="54"/>
      <c r="AF125" s="21" t="str">
        <f>IFERROR(VLOOKUP(July[[#This Row],[Drug Name3]],'Data Options'!$R$1:$S$100,2,FALSE), " ")</f>
        <v xml:space="preserve"> </v>
      </c>
      <c r="AG125" s="55"/>
      <c r="AH125" s="32"/>
      <c r="AI125" s="32"/>
      <c r="AJ125" s="55"/>
      <c r="AK125" s="32"/>
      <c r="AL125" s="32"/>
      <c r="AM125" s="32"/>
      <c r="AN125" s="32"/>
      <c r="AO125" s="32"/>
      <c r="AP125" s="31"/>
      <c r="AQ125" s="31"/>
      <c r="AR125" s="54"/>
      <c r="AS125" s="21" t="str">
        <f>IFERROR(VLOOKUP(July[[#This Row],[Drug Name4]],'Data Options'!$R$1:$S$100,2,FALSE), " ")</f>
        <v xml:space="preserve"> </v>
      </c>
      <c r="AT125" s="55"/>
      <c r="AU125" s="32"/>
      <c r="AV125" s="32"/>
      <c r="AW125" s="55"/>
      <c r="AX125" s="32"/>
      <c r="AY125" s="54"/>
      <c r="AZ125" s="21" t="str">
        <f>IFERROR(VLOOKUP(July[[#This Row],[Drug Name5]],'Data Options'!$R$1:$S$100,2,FALSE), " ")</f>
        <v xml:space="preserve"> </v>
      </c>
      <c r="BA125" s="55"/>
      <c r="BB125" s="32"/>
      <c r="BC125" s="32"/>
      <c r="BD125" s="55"/>
      <c r="BE125" s="32"/>
      <c r="BF125" s="54"/>
      <c r="BG125" s="21" t="str">
        <f>IFERROR(VLOOKUP(July[[#This Row],[Drug Name6]],'Data Options'!$R$1:$S$100,2,FALSE), " ")</f>
        <v xml:space="preserve"> </v>
      </c>
      <c r="BH125" s="55"/>
      <c r="BI125" s="32"/>
      <c r="BJ125" s="32"/>
      <c r="BK125" s="55"/>
      <c r="BL125" s="32"/>
      <c r="BM125" s="32"/>
      <c r="BN125" s="32"/>
      <c r="BO125" s="32"/>
      <c r="BP125" s="32"/>
      <c r="BQ125" s="31"/>
      <c r="BR125" s="31"/>
      <c r="BS125" s="54"/>
      <c r="BT125" s="21" t="str">
        <f>IFERROR(VLOOKUP(July[[#This Row],[Drug Name7]],'Data Options'!$R$1:$S$100,2,FALSE), " ")</f>
        <v xml:space="preserve"> </v>
      </c>
      <c r="BU125" s="55"/>
      <c r="BV125" s="32"/>
      <c r="BW125" s="32"/>
      <c r="BX125" s="55"/>
      <c r="BY125" s="32"/>
      <c r="BZ125" s="54"/>
      <c r="CA125" s="21" t="str">
        <f>IFERROR(VLOOKUP(July[[#This Row],[Drug Name8]],'Data Options'!$R$1:$S$100,2,FALSE), " ")</f>
        <v xml:space="preserve"> </v>
      </c>
      <c r="CB125" s="55"/>
      <c r="CC125" s="32"/>
      <c r="CD125" s="32"/>
      <c r="CE125" s="55"/>
      <c r="CF125" s="32"/>
      <c r="CG125" s="54"/>
      <c r="CH125" s="21" t="str">
        <f>IFERROR(VLOOKUP(July[[#This Row],[Drug Name9]],'Data Options'!$R$1:$S$100,2,FALSE), " ")</f>
        <v xml:space="preserve"> </v>
      </c>
      <c r="CI125" s="55"/>
      <c r="CJ125" s="32"/>
      <c r="CK125" s="32"/>
      <c r="CL125" s="55"/>
      <c r="CM125" s="32"/>
    </row>
    <row r="126" spans="1:91">
      <c r="A126" s="5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1"/>
      <c r="P126" s="31"/>
      <c r="Q126" s="54"/>
      <c r="R126" s="21" t="str">
        <f>IFERROR(VLOOKUP(July[[#This Row],[Drug Name]],'Data Options'!$R$1:$S$100,2,FALSE), " ")</f>
        <v xml:space="preserve"> </v>
      </c>
      <c r="S126" s="55"/>
      <c r="T126" s="32"/>
      <c r="U126" s="32"/>
      <c r="V126" s="55"/>
      <c r="W126" s="32"/>
      <c r="X126" s="54"/>
      <c r="Y126" s="21" t="str">
        <f>IFERROR(VLOOKUP(July[[#This Row],[Drug Name2]],'Data Options'!$R$1:$S$100,2,FALSE), " ")</f>
        <v xml:space="preserve"> </v>
      </c>
      <c r="Z126" s="55"/>
      <c r="AA126" s="32"/>
      <c r="AB126" s="32"/>
      <c r="AC126" s="55"/>
      <c r="AD126" s="32"/>
      <c r="AE126" s="54"/>
      <c r="AF126" s="21" t="str">
        <f>IFERROR(VLOOKUP(July[[#This Row],[Drug Name3]],'Data Options'!$R$1:$S$100,2,FALSE), " ")</f>
        <v xml:space="preserve"> </v>
      </c>
      <c r="AG126" s="55"/>
      <c r="AH126" s="32"/>
      <c r="AI126" s="32"/>
      <c r="AJ126" s="55"/>
      <c r="AK126" s="32"/>
      <c r="AL126" s="32"/>
      <c r="AM126" s="32"/>
      <c r="AN126" s="32"/>
      <c r="AO126" s="32"/>
      <c r="AP126" s="31"/>
      <c r="AQ126" s="31"/>
      <c r="AR126" s="54"/>
      <c r="AS126" s="21" t="str">
        <f>IFERROR(VLOOKUP(July[[#This Row],[Drug Name4]],'Data Options'!$R$1:$S$100,2,FALSE), " ")</f>
        <v xml:space="preserve"> </v>
      </c>
      <c r="AT126" s="55"/>
      <c r="AU126" s="32"/>
      <c r="AV126" s="32"/>
      <c r="AW126" s="55"/>
      <c r="AX126" s="32"/>
      <c r="AY126" s="54"/>
      <c r="AZ126" s="21" t="str">
        <f>IFERROR(VLOOKUP(July[[#This Row],[Drug Name5]],'Data Options'!$R$1:$S$100,2,FALSE), " ")</f>
        <v xml:space="preserve"> </v>
      </c>
      <c r="BA126" s="55"/>
      <c r="BB126" s="32"/>
      <c r="BC126" s="32"/>
      <c r="BD126" s="55"/>
      <c r="BE126" s="32"/>
      <c r="BF126" s="54"/>
      <c r="BG126" s="21" t="str">
        <f>IFERROR(VLOOKUP(July[[#This Row],[Drug Name6]],'Data Options'!$R$1:$S$100,2,FALSE), " ")</f>
        <v xml:space="preserve"> </v>
      </c>
      <c r="BH126" s="55"/>
      <c r="BI126" s="32"/>
      <c r="BJ126" s="32"/>
      <c r="BK126" s="55"/>
      <c r="BL126" s="32"/>
      <c r="BM126" s="32"/>
      <c r="BN126" s="32"/>
      <c r="BO126" s="32"/>
      <c r="BP126" s="32"/>
      <c r="BQ126" s="31"/>
      <c r="BR126" s="31"/>
      <c r="BS126" s="54"/>
      <c r="BT126" s="21" t="str">
        <f>IFERROR(VLOOKUP(July[[#This Row],[Drug Name7]],'Data Options'!$R$1:$S$100,2,FALSE), " ")</f>
        <v xml:space="preserve"> </v>
      </c>
      <c r="BU126" s="55"/>
      <c r="BV126" s="32"/>
      <c r="BW126" s="32"/>
      <c r="BX126" s="55"/>
      <c r="BY126" s="32"/>
      <c r="BZ126" s="54"/>
      <c r="CA126" s="21" t="str">
        <f>IFERROR(VLOOKUP(July[[#This Row],[Drug Name8]],'Data Options'!$R$1:$S$100,2,FALSE), " ")</f>
        <v xml:space="preserve"> </v>
      </c>
      <c r="CB126" s="55"/>
      <c r="CC126" s="32"/>
      <c r="CD126" s="32"/>
      <c r="CE126" s="55"/>
      <c r="CF126" s="32"/>
      <c r="CG126" s="54"/>
      <c r="CH126" s="21" t="str">
        <f>IFERROR(VLOOKUP(July[[#This Row],[Drug Name9]],'Data Options'!$R$1:$S$100,2,FALSE), " ")</f>
        <v xml:space="preserve"> </v>
      </c>
      <c r="CI126" s="55"/>
      <c r="CJ126" s="32"/>
      <c r="CK126" s="32"/>
      <c r="CL126" s="55"/>
      <c r="CM126" s="32"/>
    </row>
    <row r="127" spans="1:91">
      <c r="A127" s="5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1"/>
      <c r="P127" s="31"/>
      <c r="Q127" s="54"/>
      <c r="R127" s="21" t="str">
        <f>IFERROR(VLOOKUP(July[[#This Row],[Drug Name]],'Data Options'!$R$1:$S$100,2,FALSE), " ")</f>
        <v xml:space="preserve"> </v>
      </c>
      <c r="S127" s="55"/>
      <c r="T127" s="32"/>
      <c r="U127" s="32"/>
      <c r="V127" s="55"/>
      <c r="W127" s="32"/>
      <c r="X127" s="54"/>
      <c r="Y127" s="21" t="str">
        <f>IFERROR(VLOOKUP(July[[#This Row],[Drug Name2]],'Data Options'!$R$1:$S$100,2,FALSE), " ")</f>
        <v xml:space="preserve"> </v>
      </c>
      <c r="Z127" s="55"/>
      <c r="AA127" s="32"/>
      <c r="AB127" s="32"/>
      <c r="AC127" s="55"/>
      <c r="AD127" s="32"/>
      <c r="AE127" s="54"/>
      <c r="AF127" s="21" t="str">
        <f>IFERROR(VLOOKUP(July[[#This Row],[Drug Name3]],'Data Options'!$R$1:$S$100,2,FALSE), " ")</f>
        <v xml:space="preserve"> </v>
      </c>
      <c r="AG127" s="55"/>
      <c r="AH127" s="32"/>
      <c r="AI127" s="32"/>
      <c r="AJ127" s="55"/>
      <c r="AK127" s="32"/>
      <c r="AL127" s="32"/>
      <c r="AM127" s="32"/>
      <c r="AN127" s="32"/>
      <c r="AO127" s="32"/>
      <c r="AP127" s="31"/>
      <c r="AQ127" s="31"/>
      <c r="AR127" s="54"/>
      <c r="AS127" s="21" t="str">
        <f>IFERROR(VLOOKUP(July[[#This Row],[Drug Name4]],'Data Options'!$R$1:$S$100,2,FALSE), " ")</f>
        <v xml:space="preserve"> </v>
      </c>
      <c r="AT127" s="55"/>
      <c r="AU127" s="32"/>
      <c r="AV127" s="32"/>
      <c r="AW127" s="55"/>
      <c r="AX127" s="32"/>
      <c r="AY127" s="54"/>
      <c r="AZ127" s="21" t="str">
        <f>IFERROR(VLOOKUP(July[[#This Row],[Drug Name5]],'Data Options'!$R$1:$S$100,2,FALSE), " ")</f>
        <v xml:space="preserve"> </v>
      </c>
      <c r="BA127" s="55"/>
      <c r="BB127" s="32"/>
      <c r="BC127" s="32"/>
      <c r="BD127" s="55"/>
      <c r="BE127" s="32"/>
      <c r="BF127" s="54"/>
      <c r="BG127" s="21" t="str">
        <f>IFERROR(VLOOKUP(July[[#This Row],[Drug Name6]],'Data Options'!$R$1:$S$100,2,FALSE), " ")</f>
        <v xml:space="preserve"> </v>
      </c>
      <c r="BH127" s="55"/>
      <c r="BI127" s="32"/>
      <c r="BJ127" s="32"/>
      <c r="BK127" s="55"/>
      <c r="BL127" s="32"/>
      <c r="BM127" s="32"/>
      <c r="BN127" s="32"/>
      <c r="BO127" s="32"/>
      <c r="BP127" s="32"/>
      <c r="BQ127" s="31"/>
      <c r="BR127" s="31"/>
      <c r="BS127" s="54"/>
      <c r="BT127" s="21" t="str">
        <f>IFERROR(VLOOKUP(July[[#This Row],[Drug Name7]],'Data Options'!$R$1:$S$100,2,FALSE), " ")</f>
        <v xml:space="preserve"> </v>
      </c>
      <c r="BU127" s="55"/>
      <c r="BV127" s="32"/>
      <c r="BW127" s="32"/>
      <c r="BX127" s="55"/>
      <c r="BY127" s="32"/>
      <c r="BZ127" s="54"/>
      <c r="CA127" s="21" t="str">
        <f>IFERROR(VLOOKUP(July[[#This Row],[Drug Name8]],'Data Options'!$R$1:$S$100,2,FALSE), " ")</f>
        <v xml:space="preserve"> </v>
      </c>
      <c r="CB127" s="55"/>
      <c r="CC127" s="32"/>
      <c r="CD127" s="32"/>
      <c r="CE127" s="55"/>
      <c r="CF127" s="32"/>
      <c r="CG127" s="54"/>
      <c r="CH127" s="21" t="str">
        <f>IFERROR(VLOOKUP(July[[#This Row],[Drug Name9]],'Data Options'!$R$1:$S$100,2,FALSE), " ")</f>
        <v xml:space="preserve"> </v>
      </c>
      <c r="CI127" s="55"/>
      <c r="CJ127" s="32"/>
      <c r="CK127" s="32"/>
      <c r="CL127" s="55"/>
      <c r="CM127" s="32"/>
    </row>
    <row r="128" spans="1:91">
      <c r="A128" s="5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1"/>
      <c r="P128" s="31"/>
      <c r="Q128" s="54"/>
      <c r="R128" s="21" t="str">
        <f>IFERROR(VLOOKUP(July[[#This Row],[Drug Name]],'Data Options'!$R$1:$S$100,2,FALSE), " ")</f>
        <v xml:space="preserve"> </v>
      </c>
      <c r="S128" s="55"/>
      <c r="T128" s="32"/>
      <c r="U128" s="32"/>
      <c r="V128" s="55"/>
      <c r="W128" s="32"/>
      <c r="X128" s="54"/>
      <c r="Y128" s="21" t="str">
        <f>IFERROR(VLOOKUP(July[[#This Row],[Drug Name2]],'Data Options'!$R$1:$S$100,2,FALSE), " ")</f>
        <v xml:space="preserve"> </v>
      </c>
      <c r="Z128" s="55"/>
      <c r="AA128" s="32"/>
      <c r="AB128" s="32"/>
      <c r="AC128" s="55"/>
      <c r="AD128" s="32"/>
      <c r="AE128" s="54"/>
      <c r="AF128" s="21" t="str">
        <f>IFERROR(VLOOKUP(July[[#This Row],[Drug Name3]],'Data Options'!$R$1:$S$100,2,FALSE), " ")</f>
        <v xml:space="preserve"> </v>
      </c>
      <c r="AG128" s="55"/>
      <c r="AH128" s="32"/>
      <c r="AI128" s="32"/>
      <c r="AJ128" s="55"/>
      <c r="AK128" s="32"/>
      <c r="AL128" s="32"/>
      <c r="AM128" s="32"/>
      <c r="AN128" s="32"/>
      <c r="AO128" s="32"/>
      <c r="AP128" s="31"/>
      <c r="AQ128" s="31"/>
      <c r="AR128" s="54"/>
      <c r="AS128" s="21" t="str">
        <f>IFERROR(VLOOKUP(July[[#This Row],[Drug Name4]],'Data Options'!$R$1:$S$100,2,FALSE), " ")</f>
        <v xml:space="preserve"> </v>
      </c>
      <c r="AT128" s="55"/>
      <c r="AU128" s="32"/>
      <c r="AV128" s="32"/>
      <c r="AW128" s="55"/>
      <c r="AX128" s="32"/>
      <c r="AY128" s="54"/>
      <c r="AZ128" s="21" t="str">
        <f>IFERROR(VLOOKUP(July[[#This Row],[Drug Name5]],'Data Options'!$R$1:$S$100,2,FALSE), " ")</f>
        <v xml:space="preserve"> </v>
      </c>
      <c r="BA128" s="55"/>
      <c r="BB128" s="32"/>
      <c r="BC128" s="32"/>
      <c r="BD128" s="55"/>
      <c r="BE128" s="32"/>
      <c r="BF128" s="54"/>
      <c r="BG128" s="21" t="str">
        <f>IFERROR(VLOOKUP(July[[#This Row],[Drug Name6]],'Data Options'!$R$1:$S$100,2,FALSE), " ")</f>
        <v xml:space="preserve"> </v>
      </c>
      <c r="BH128" s="55"/>
      <c r="BI128" s="32"/>
      <c r="BJ128" s="32"/>
      <c r="BK128" s="55"/>
      <c r="BL128" s="32"/>
      <c r="BM128" s="32"/>
      <c r="BN128" s="32"/>
      <c r="BO128" s="32"/>
      <c r="BP128" s="32"/>
      <c r="BQ128" s="31"/>
      <c r="BR128" s="31"/>
      <c r="BS128" s="54"/>
      <c r="BT128" s="21" t="str">
        <f>IFERROR(VLOOKUP(July[[#This Row],[Drug Name7]],'Data Options'!$R$1:$S$100,2,FALSE), " ")</f>
        <v xml:space="preserve"> </v>
      </c>
      <c r="BU128" s="55"/>
      <c r="BV128" s="32"/>
      <c r="BW128" s="32"/>
      <c r="BX128" s="55"/>
      <c r="BY128" s="32"/>
      <c r="BZ128" s="54"/>
      <c r="CA128" s="21" t="str">
        <f>IFERROR(VLOOKUP(July[[#This Row],[Drug Name8]],'Data Options'!$R$1:$S$100,2,FALSE), " ")</f>
        <v xml:space="preserve"> </v>
      </c>
      <c r="CB128" s="55"/>
      <c r="CC128" s="32"/>
      <c r="CD128" s="32"/>
      <c r="CE128" s="55"/>
      <c r="CF128" s="32"/>
      <c r="CG128" s="54"/>
      <c r="CH128" s="21" t="str">
        <f>IFERROR(VLOOKUP(July[[#This Row],[Drug Name9]],'Data Options'!$R$1:$S$100,2,FALSE), " ")</f>
        <v xml:space="preserve"> </v>
      </c>
      <c r="CI128" s="55"/>
      <c r="CJ128" s="32"/>
      <c r="CK128" s="32"/>
      <c r="CL128" s="55"/>
      <c r="CM128" s="32"/>
    </row>
    <row r="129" spans="1:91">
      <c r="A129" s="5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1"/>
      <c r="P129" s="31"/>
      <c r="Q129" s="54"/>
      <c r="R129" s="21" t="str">
        <f>IFERROR(VLOOKUP(July[[#This Row],[Drug Name]],'Data Options'!$R$1:$S$100,2,FALSE), " ")</f>
        <v xml:space="preserve"> </v>
      </c>
      <c r="S129" s="55"/>
      <c r="T129" s="32"/>
      <c r="U129" s="32"/>
      <c r="V129" s="55"/>
      <c r="W129" s="32"/>
      <c r="X129" s="54"/>
      <c r="Y129" s="21" t="str">
        <f>IFERROR(VLOOKUP(July[[#This Row],[Drug Name2]],'Data Options'!$R$1:$S$100,2,FALSE), " ")</f>
        <v xml:space="preserve"> </v>
      </c>
      <c r="Z129" s="55"/>
      <c r="AA129" s="32"/>
      <c r="AB129" s="32"/>
      <c r="AC129" s="55"/>
      <c r="AD129" s="32"/>
      <c r="AE129" s="54"/>
      <c r="AF129" s="21" t="str">
        <f>IFERROR(VLOOKUP(July[[#This Row],[Drug Name3]],'Data Options'!$R$1:$S$100,2,FALSE), " ")</f>
        <v xml:space="preserve"> </v>
      </c>
      <c r="AG129" s="55"/>
      <c r="AH129" s="32"/>
      <c r="AI129" s="32"/>
      <c r="AJ129" s="55"/>
      <c r="AK129" s="32"/>
      <c r="AL129" s="32"/>
      <c r="AM129" s="32"/>
      <c r="AN129" s="32"/>
      <c r="AO129" s="32"/>
      <c r="AP129" s="31"/>
      <c r="AQ129" s="31"/>
      <c r="AR129" s="54"/>
      <c r="AS129" s="21" t="str">
        <f>IFERROR(VLOOKUP(July[[#This Row],[Drug Name4]],'Data Options'!$R$1:$S$100,2,FALSE), " ")</f>
        <v xml:space="preserve"> </v>
      </c>
      <c r="AT129" s="55"/>
      <c r="AU129" s="32"/>
      <c r="AV129" s="32"/>
      <c r="AW129" s="55"/>
      <c r="AX129" s="32"/>
      <c r="AY129" s="54"/>
      <c r="AZ129" s="21" t="str">
        <f>IFERROR(VLOOKUP(July[[#This Row],[Drug Name5]],'Data Options'!$R$1:$S$100,2,FALSE), " ")</f>
        <v xml:space="preserve"> </v>
      </c>
      <c r="BA129" s="55"/>
      <c r="BB129" s="32"/>
      <c r="BC129" s="32"/>
      <c r="BD129" s="55"/>
      <c r="BE129" s="32"/>
      <c r="BF129" s="54"/>
      <c r="BG129" s="21" t="str">
        <f>IFERROR(VLOOKUP(July[[#This Row],[Drug Name6]],'Data Options'!$R$1:$S$100,2,FALSE), " ")</f>
        <v xml:space="preserve"> </v>
      </c>
      <c r="BH129" s="55"/>
      <c r="BI129" s="32"/>
      <c r="BJ129" s="32"/>
      <c r="BK129" s="55"/>
      <c r="BL129" s="32"/>
      <c r="BM129" s="32"/>
      <c r="BN129" s="32"/>
      <c r="BO129" s="32"/>
      <c r="BP129" s="32"/>
      <c r="BQ129" s="31"/>
      <c r="BR129" s="31"/>
      <c r="BS129" s="54"/>
      <c r="BT129" s="21" t="str">
        <f>IFERROR(VLOOKUP(July[[#This Row],[Drug Name7]],'Data Options'!$R$1:$S$100,2,FALSE), " ")</f>
        <v xml:space="preserve"> </v>
      </c>
      <c r="BU129" s="55"/>
      <c r="BV129" s="32"/>
      <c r="BW129" s="32"/>
      <c r="BX129" s="55"/>
      <c r="BY129" s="32"/>
      <c r="BZ129" s="54"/>
      <c r="CA129" s="21" t="str">
        <f>IFERROR(VLOOKUP(July[[#This Row],[Drug Name8]],'Data Options'!$R$1:$S$100,2,FALSE), " ")</f>
        <v xml:space="preserve"> </v>
      </c>
      <c r="CB129" s="55"/>
      <c r="CC129" s="32"/>
      <c r="CD129" s="32"/>
      <c r="CE129" s="55"/>
      <c r="CF129" s="32"/>
      <c r="CG129" s="54"/>
      <c r="CH129" s="21" t="str">
        <f>IFERROR(VLOOKUP(July[[#This Row],[Drug Name9]],'Data Options'!$R$1:$S$100,2,FALSE), " ")</f>
        <v xml:space="preserve"> </v>
      </c>
      <c r="CI129" s="55"/>
      <c r="CJ129" s="32"/>
      <c r="CK129" s="32"/>
      <c r="CL129" s="55"/>
      <c r="CM129" s="32"/>
    </row>
    <row r="130" spans="1:91">
      <c r="A130" s="5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1"/>
      <c r="P130" s="31"/>
      <c r="Q130" s="54"/>
      <c r="R130" s="21" t="str">
        <f>IFERROR(VLOOKUP(July[[#This Row],[Drug Name]],'Data Options'!$R$1:$S$100,2,FALSE), " ")</f>
        <v xml:space="preserve"> </v>
      </c>
      <c r="S130" s="55"/>
      <c r="T130" s="32"/>
      <c r="U130" s="32"/>
      <c r="V130" s="55"/>
      <c r="W130" s="32"/>
      <c r="X130" s="54"/>
      <c r="Y130" s="21" t="str">
        <f>IFERROR(VLOOKUP(July[[#This Row],[Drug Name2]],'Data Options'!$R$1:$S$100,2,FALSE), " ")</f>
        <v xml:space="preserve"> </v>
      </c>
      <c r="Z130" s="55"/>
      <c r="AA130" s="32"/>
      <c r="AB130" s="32"/>
      <c r="AC130" s="55"/>
      <c r="AD130" s="32"/>
      <c r="AE130" s="54"/>
      <c r="AF130" s="21" t="str">
        <f>IFERROR(VLOOKUP(July[[#This Row],[Drug Name3]],'Data Options'!$R$1:$S$100,2,FALSE), " ")</f>
        <v xml:space="preserve"> </v>
      </c>
      <c r="AG130" s="55"/>
      <c r="AH130" s="32"/>
      <c r="AI130" s="32"/>
      <c r="AJ130" s="55"/>
      <c r="AK130" s="32"/>
      <c r="AL130" s="32"/>
      <c r="AM130" s="32"/>
      <c r="AN130" s="32"/>
      <c r="AO130" s="32"/>
      <c r="AP130" s="31"/>
      <c r="AQ130" s="31"/>
      <c r="AR130" s="54"/>
      <c r="AS130" s="21" t="str">
        <f>IFERROR(VLOOKUP(July[[#This Row],[Drug Name4]],'Data Options'!$R$1:$S$100,2,FALSE), " ")</f>
        <v xml:space="preserve"> </v>
      </c>
      <c r="AT130" s="55"/>
      <c r="AU130" s="32"/>
      <c r="AV130" s="32"/>
      <c r="AW130" s="55"/>
      <c r="AX130" s="32"/>
      <c r="AY130" s="54"/>
      <c r="AZ130" s="21" t="str">
        <f>IFERROR(VLOOKUP(July[[#This Row],[Drug Name5]],'Data Options'!$R$1:$S$100,2,FALSE), " ")</f>
        <v xml:space="preserve"> </v>
      </c>
      <c r="BA130" s="55"/>
      <c r="BB130" s="32"/>
      <c r="BC130" s="32"/>
      <c r="BD130" s="55"/>
      <c r="BE130" s="32"/>
      <c r="BF130" s="54"/>
      <c r="BG130" s="21" t="str">
        <f>IFERROR(VLOOKUP(July[[#This Row],[Drug Name6]],'Data Options'!$R$1:$S$100,2,FALSE), " ")</f>
        <v xml:space="preserve"> </v>
      </c>
      <c r="BH130" s="55"/>
      <c r="BI130" s="32"/>
      <c r="BJ130" s="32"/>
      <c r="BK130" s="55"/>
      <c r="BL130" s="32"/>
      <c r="BM130" s="32"/>
      <c r="BN130" s="32"/>
      <c r="BO130" s="32"/>
      <c r="BP130" s="32"/>
      <c r="BQ130" s="31"/>
      <c r="BR130" s="31"/>
      <c r="BS130" s="54"/>
      <c r="BT130" s="21" t="str">
        <f>IFERROR(VLOOKUP(July[[#This Row],[Drug Name7]],'Data Options'!$R$1:$S$100,2,FALSE), " ")</f>
        <v xml:space="preserve"> </v>
      </c>
      <c r="BU130" s="55"/>
      <c r="BV130" s="32"/>
      <c r="BW130" s="32"/>
      <c r="BX130" s="55"/>
      <c r="BY130" s="32"/>
      <c r="BZ130" s="54"/>
      <c r="CA130" s="21" t="str">
        <f>IFERROR(VLOOKUP(July[[#This Row],[Drug Name8]],'Data Options'!$R$1:$S$100,2,FALSE), " ")</f>
        <v xml:space="preserve"> </v>
      </c>
      <c r="CB130" s="55"/>
      <c r="CC130" s="32"/>
      <c r="CD130" s="32"/>
      <c r="CE130" s="55"/>
      <c r="CF130" s="32"/>
      <c r="CG130" s="54"/>
      <c r="CH130" s="21" t="str">
        <f>IFERROR(VLOOKUP(July[[#This Row],[Drug Name9]],'Data Options'!$R$1:$S$100,2,FALSE), " ")</f>
        <v xml:space="preserve"> </v>
      </c>
      <c r="CI130" s="55"/>
      <c r="CJ130" s="32"/>
      <c r="CK130" s="32"/>
      <c r="CL130" s="55"/>
      <c r="CM130" s="32"/>
    </row>
    <row r="131" spans="1:91">
      <c r="A131" s="5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1"/>
      <c r="P131" s="31"/>
      <c r="Q131" s="54"/>
      <c r="R131" s="21" t="str">
        <f>IFERROR(VLOOKUP(July[[#This Row],[Drug Name]],'Data Options'!$R$1:$S$100,2,FALSE), " ")</f>
        <v xml:space="preserve"> </v>
      </c>
      <c r="S131" s="55"/>
      <c r="T131" s="32"/>
      <c r="U131" s="32"/>
      <c r="V131" s="55"/>
      <c r="W131" s="32"/>
      <c r="X131" s="54"/>
      <c r="Y131" s="21" t="str">
        <f>IFERROR(VLOOKUP(July[[#This Row],[Drug Name2]],'Data Options'!$R$1:$S$100,2,FALSE), " ")</f>
        <v xml:space="preserve"> </v>
      </c>
      <c r="Z131" s="55"/>
      <c r="AA131" s="32"/>
      <c r="AB131" s="32"/>
      <c r="AC131" s="55"/>
      <c r="AD131" s="32"/>
      <c r="AE131" s="54"/>
      <c r="AF131" s="21" t="str">
        <f>IFERROR(VLOOKUP(July[[#This Row],[Drug Name3]],'Data Options'!$R$1:$S$100,2,FALSE), " ")</f>
        <v xml:space="preserve"> </v>
      </c>
      <c r="AG131" s="55"/>
      <c r="AH131" s="32"/>
      <c r="AI131" s="32"/>
      <c r="AJ131" s="55"/>
      <c r="AK131" s="32"/>
      <c r="AL131" s="32"/>
      <c r="AM131" s="32"/>
      <c r="AN131" s="32"/>
      <c r="AO131" s="32"/>
      <c r="AP131" s="31"/>
      <c r="AQ131" s="31"/>
      <c r="AR131" s="54"/>
      <c r="AS131" s="21" t="str">
        <f>IFERROR(VLOOKUP(July[[#This Row],[Drug Name4]],'Data Options'!$R$1:$S$100,2,FALSE), " ")</f>
        <v xml:space="preserve"> </v>
      </c>
      <c r="AT131" s="55"/>
      <c r="AU131" s="32"/>
      <c r="AV131" s="32"/>
      <c r="AW131" s="55"/>
      <c r="AX131" s="32"/>
      <c r="AY131" s="54"/>
      <c r="AZ131" s="21" t="str">
        <f>IFERROR(VLOOKUP(July[[#This Row],[Drug Name5]],'Data Options'!$R$1:$S$100,2,FALSE), " ")</f>
        <v xml:space="preserve"> </v>
      </c>
      <c r="BA131" s="55"/>
      <c r="BB131" s="32"/>
      <c r="BC131" s="32"/>
      <c r="BD131" s="55"/>
      <c r="BE131" s="32"/>
      <c r="BF131" s="54"/>
      <c r="BG131" s="21" t="str">
        <f>IFERROR(VLOOKUP(July[[#This Row],[Drug Name6]],'Data Options'!$R$1:$S$100,2,FALSE), " ")</f>
        <v xml:space="preserve"> </v>
      </c>
      <c r="BH131" s="55"/>
      <c r="BI131" s="32"/>
      <c r="BJ131" s="32"/>
      <c r="BK131" s="55"/>
      <c r="BL131" s="32"/>
      <c r="BM131" s="32"/>
      <c r="BN131" s="32"/>
      <c r="BO131" s="32"/>
      <c r="BP131" s="32"/>
      <c r="BQ131" s="31"/>
      <c r="BR131" s="31"/>
      <c r="BS131" s="54"/>
      <c r="BT131" s="21" t="str">
        <f>IFERROR(VLOOKUP(July[[#This Row],[Drug Name7]],'Data Options'!$R$1:$S$100,2,FALSE), " ")</f>
        <v xml:space="preserve"> </v>
      </c>
      <c r="BU131" s="55"/>
      <c r="BV131" s="32"/>
      <c r="BW131" s="32"/>
      <c r="BX131" s="55"/>
      <c r="BY131" s="32"/>
      <c r="BZ131" s="54"/>
      <c r="CA131" s="21" t="str">
        <f>IFERROR(VLOOKUP(July[[#This Row],[Drug Name8]],'Data Options'!$R$1:$S$100,2,FALSE), " ")</f>
        <v xml:space="preserve"> </v>
      </c>
      <c r="CB131" s="55"/>
      <c r="CC131" s="32"/>
      <c r="CD131" s="32"/>
      <c r="CE131" s="55"/>
      <c r="CF131" s="32"/>
      <c r="CG131" s="54"/>
      <c r="CH131" s="21" t="str">
        <f>IFERROR(VLOOKUP(July[[#This Row],[Drug Name9]],'Data Options'!$R$1:$S$100,2,FALSE), " ")</f>
        <v xml:space="preserve"> </v>
      </c>
      <c r="CI131" s="55"/>
      <c r="CJ131" s="32"/>
      <c r="CK131" s="32"/>
      <c r="CL131" s="55"/>
      <c r="CM131" s="32"/>
    </row>
    <row r="132" spans="1:91">
      <c r="A132" s="5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1"/>
      <c r="P132" s="31"/>
      <c r="Q132" s="54"/>
      <c r="R132" s="21" t="str">
        <f>IFERROR(VLOOKUP(July[[#This Row],[Drug Name]],'Data Options'!$R$1:$S$100,2,FALSE), " ")</f>
        <v xml:space="preserve"> </v>
      </c>
      <c r="S132" s="55"/>
      <c r="T132" s="32"/>
      <c r="U132" s="32"/>
      <c r="V132" s="55"/>
      <c r="W132" s="32"/>
      <c r="X132" s="54"/>
      <c r="Y132" s="21" t="str">
        <f>IFERROR(VLOOKUP(July[[#This Row],[Drug Name2]],'Data Options'!$R$1:$S$100,2,FALSE), " ")</f>
        <v xml:space="preserve"> </v>
      </c>
      <c r="Z132" s="55"/>
      <c r="AA132" s="32"/>
      <c r="AB132" s="32"/>
      <c r="AC132" s="55"/>
      <c r="AD132" s="32"/>
      <c r="AE132" s="54"/>
      <c r="AF132" s="21" t="str">
        <f>IFERROR(VLOOKUP(July[[#This Row],[Drug Name3]],'Data Options'!$R$1:$S$100,2,FALSE), " ")</f>
        <v xml:space="preserve"> </v>
      </c>
      <c r="AG132" s="55"/>
      <c r="AH132" s="32"/>
      <c r="AI132" s="32"/>
      <c r="AJ132" s="55"/>
      <c r="AK132" s="32"/>
      <c r="AL132" s="32"/>
      <c r="AM132" s="32"/>
      <c r="AN132" s="32"/>
      <c r="AO132" s="32"/>
      <c r="AP132" s="31"/>
      <c r="AQ132" s="31"/>
      <c r="AR132" s="54"/>
      <c r="AS132" s="21" t="str">
        <f>IFERROR(VLOOKUP(July[[#This Row],[Drug Name4]],'Data Options'!$R$1:$S$100,2,FALSE), " ")</f>
        <v xml:space="preserve"> </v>
      </c>
      <c r="AT132" s="55"/>
      <c r="AU132" s="32"/>
      <c r="AV132" s="32"/>
      <c r="AW132" s="55"/>
      <c r="AX132" s="32"/>
      <c r="AY132" s="54"/>
      <c r="AZ132" s="21" t="str">
        <f>IFERROR(VLOOKUP(July[[#This Row],[Drug Name5]],'Data Options'!$R$1:$S$100,2,FALSE), " ")</f>
        <v xml:space="preserve"> </v>
      </c>
      <c r="BA132" s="55"/>
      <c r="BB132" s="32"/>
      <c r="BC132" s="32"/>
      <c r="BD132" s="55"/>
      <c r="BE132" s="32"/>
      <c r="BF132" s="54"/>
      <c r="BG132" s="21" t="str">
        <f>IFERROR(VLOOKUP(July[[#This Row],[Drug Name6]],'Data Options'!$R$1:$S$100,2,FALSE), " ")</f>
        <v xml:space="preserve"> </v>
      </c>
      <c r="BH132" s="55"/>
      <c r="BI132" s="32"/>
      <c r="BJ132" s="32"/>
      <c r="BK132" s="55"/>
      <c r="BL132" s="32"/>
      <c r="BM132" s="32"/>
      <c r="BN132" s="32"/>
      <c r="BO132" s="32"/>
      <c r="BP132" s="32"/>
      <c r="BQ132" s="31"/>
      <c r="BR132" s="31"/>
      <c r="BS132" s="54"/>
      <c r="BT132" s="21" t="str">
        <f>IFERROR(VLOOKUP(July[[#This Row],[Drug Name7]],'Data Options'!$R$1:$S$100,2,FALSE), " ")</f>
        <v xml:space="preserve"> </v>
      </c>
      <c r="BU132" s="55"/>
      <c r="BV132" s="32"/>
      <c r="BW132" s="32"/>
      <c r="BX132" s="55"/>
      <c r="BY132" s="32"/>
      <c r="BZ132" s="54"/>
      <c r="CA132" s="21" t="str">
        <f>IFERROR(VLOOKUP(July[[#This Row],[Drug Name8]],'Data Options'!$R$1:$S$100,2,FALSE), " ")</f>
        <v xml:space="preserve"> </v>
      </c>
      <c r="CB132" s="55"/>
      <c r="CC132" s="32"/>
      <c r="CD132" s="32"/>
      <c r="CE132" s="55"/>
      <c r="CF132" s="32"/>
      <c r="CG132" s="54"/>
      <c r="CH132" s="21" t="str">
        <f>IFERROR(VLOOKUP(July[[#This Row],[Drug Name9]],'Data Options'!$R$1:$S$100,2,FALSE), " ")</f>
        <v xml:space="preserve"> </v>
      </c>
      <c r="CI132" s="55"/>
      <c r="CJ132" s="32"/>
      <c r="CK132" s="32"/>
      <c r="CL132" s="55"/>
      <c r="CM132" s="32"/>
    </row>
    <row r="133" spans="1:91">
      <c r="A133" s="5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54"/>
      <c r="R133" s="21" t="str">
        <f>IFERROR(VLOOKUP(July[[#This Row],[Drug Name]],'Data Options'!$R$1:$S$100,2,FALSE), " ")</f>
        <v xml:space="preserve"> </v>
      </c>
      <c r="S133" s="55"/>
      <c r="T133" s="32"/>
      <c r="U133" s="32"/>
      <c r="V133" s="55"/>
      <c r="W133" s="32"/>
      <c r="X133" s="54"/>
      <c r="Y133" s="21" t="str">
        <f>IFERROR(VLOOKUP(July[[#This Row],[Drug Name2]],'Data Options'!$R$1:$S$100,2,FALSE), " ")</f>
        <v xml:space="preserve"> </v>
      </c>
      <c r="Z133" s="55"/>
      <c r="AA133" s="32"/>
      <c r="AB133" s="32"/>
      <c r="AC133" s="55"/>
      <c r="AD133" s="32"/>
      <c r="AE133" s="54"/>
      <c r="AF133" s="21" t="str">
        <f>IFERROR(VLOOKUP(July[[#This Row],[Drug Name3]],'Data Options'!$R$1:$S$100,2,FALSE), " ")</f>
        <v xml:space="preserve"> </v>
      </c>
      <c r="AG133" s="55"/>
      <c r="AH133" s="32"/>
      <c r="AI133" s="32"/>
      <c r="AJ133" s="55"/>
      <c r="AK133" s="32"/>
      <c r="AL133" s="32"/>
      <c r="AM133" s="32"/>
      <c r="AN133" s="32"/>
      <c r="AO133" s="32"/>
      <c r="AP133" s="31"/>
      <c r="AQ133" s="31"/>
      <c r="AR133" s="54"/>
      <c r="AS133" s="21" t="str">
        <f>IFERROR(VLOOKUP(July[[#This Row],[Drug Name4]],'Data Options'!$R$1:$S$100,2,FALSE), " ")</f>
        <v xml:space="preserve"> </v>
      </c>
      <c r="AT133" s="55"/>
      <c r="AU133" s="32"/>
      <c r="AV133" s="32"/>
      <c r="AW133" s="55"/>
      <c r="AX133" s="32"/>
      <c r="AY133" s="54"/>
      <c r="AZ133" s="21" t="str">
        <f>IFERROR(VLOOKUP(July[[#This Row],[Drug Name5]],'Data Options'!$R$1:$S$100,2,FALSE), " ")</f>
        <v xml:space="preserve"> </v>
      </c>
      <c r="BA133" s="55"/>
      <c r="BB133" s="32"/>
      <c r="BC133" s="32"/>
      <c r="BD133" s="55"/>
      <c r="BE133" s="32"/>
      <c r="BF133" s="54"/>
      <c r="BG133" s="21" t="str">
        <f>IFERROR(VLOOKUP(July[[#This Row],[Drug Name6]],'Data Options'!$R$1:$S$100,2,FALSE), " ")</f>
        <v xml:space="preserve"> </v>
      </c>
      <c r="BH133" s="55"/>
      <c r="BI133" s="32"/>
      <c r="BJ133" s="32"/>
      <c r="BK133" s="55"/>
      <c r="BL133" s="32"/>
      <c r="BM133" s="32"/>
      <c r="BN133" s="32"/>
      <c r="BO133" s="32"/>
      <c r="BP133" s="32"/>
      <c r="BQ133" s="31"/>
      <c r="BR133" s="31"/>
      <c r="BS133" s="54"/>
      <c r="BT133" s="21" t="str">
        <f>IFERROR(VLOOKUP(July[[#This Row],[Drug Name7]],'Data Options'!$R$1:$S$100,2,FALSE), " ")</f>
        <v xml:space="preserve"> </v>
      </c>
      <c r="BU133" s="55"/>
      <c r="BV133" s="32"/>
      <c r="BW133" s="32"/>
      <c r="BX133" s="55"/>
      <c r="BY133" s="32"/>
      <c r="BZ133" s="54"/>
      <c r="CA133" s="21" t="str">
        <f>IFERROR(VLOOKUP(July[[#This Row],[Drug Name8]],'Data Options'!$R$1:$S$100,2,FALSE), " ")</f>
        <v xml:space="preserve"> </v>
      </c>
      <c r="CB133" s="55"/>
      <c r="CC133" s="32"/>
      <c r="CD133" s="32"/>
      <c r="CE133" s="55"/>
      <c r="CF133" s="32"/>
      <c r="CG133" s="54"/>
      <c r="CH133" s="21" t="str">
        <f>IFERROR(VLOOKUP(July[[#This Row],[Drug Name9]],'Data Options'!$R$1:$S$100,2,FALSE), " ")</f>
        <v xml:space="preserve"> </v>
      </c>
      <c r="CI133" s="55"/>
      <c r="CJ133" s="32"/>
      <c r="CK133" s="32"/>
      <c r="CL133" s="55"/>
      <c r="CM133" s="32"/>
    </row>
    <row r="134" spans="1:91">
      <c r="A134" s="5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54"/>
      <c r="R134" s="21" t="str">
        <f>IFERROR(VLOOKUP(July[[#This Row],[Drug Name]],'Data Options'!$R$1:$S$100,2,FALSE), " ")</f>
        <v xml:space="preserve"> </v>
      </c>
      <c r="S134" s="55"/>
      <c r="T134" s="32"/>
      <c r="U134" s="32"/>
      <c r="V134" s="55"/>
      <c r="W134" s="32"/>
      <c r="X134" s="54"/>
      <c r="Y134" s="21" t="str">
        <f>IFERROR(VLOOKUP(July[[#This Row],[Drug Name2]],'Data Options'!$R$1:$S$100,2,FALSE), " ")</f>
        <v xml:space="preserve"> </v>
      </c>
      <c r="Z134" s="55"/>
      <c r="AA134" s="32"/>
      <c r="AB134" s="32"/>
      <c r="AC134" s="55"/>
      <c r="AD134" s="32"/>
      <c r="AE134" s="54"/>
      <c r="AF134" s="21" t="str">
        <f>IFERROR(VLOOKUP(July[[#This Row],[Drug Name3]],'Data Options'!$R$1:$S$100,2,FALSE), " ")</f>
        <v xml:space="preserve"> </v>
      </c>
      <c r="AG134" s="55"/>
      <c r="AH134" s="32"/>
      <c r="AI134" s="32"/>
      <c r="AJ134" s="55"/>
      <c r="AK134" s="32"/>
      <c r="AL134" s="32"/>
      <c r="AM134" s="32"/>
      <c r="AN134" s="32"/>
      <c r="AO134" s="32"/>
      <c r="AP134" s="31"/>
      <c r="AQ134" s="31"/>
      <c r="AR134" s="54"/>
      <c r="AS134" s="21" t="str">
        <f>IFERROR(VLOOKUP(July[[#This Row],[Drug Name4]],'Data Options'!$R$1:$S$100,2,FALSE), " ")</f>
        <v xml:space="preserve"> </v>
      </c>
      <c r="AT134" s="55"/>
      <c r="AU134" s="32"/>
      <c r="AV134" s="32"/>
      <c r="AW134" s="55"/>
      <c r="AX134" s="32"/>
      <c r="AY134" s="54"/>
      <c r="AZ134" s="21" t="str">
        <f>IFERROR(VLOOKUP(July[[#This Row],[Drug Name5]],'Data Options'!$R$1:$S$100,2,FALSE), " ")</f>
        <v xml:space="preserve"> </v>
      </c>
      <c r="BA134" s="55"/>
      <c r="BB134" s="32"/>
      <c r="BC134" s="32"/>
      <c r="BD134" s="55"/>
      <c r="BE134" s="32"/>
      <c r="BF134" s="54"/>
      <c r="BG134" s="21" t="str">
        <f>IFERROR(VLOOKUP(July[[#This Row],[Drug Name6]],'Data Options'!$R$1:$S$100,2,FALSE), " ")</f>
        <v xml:space="preserve"> </v>
      </c>
      <c r="BH134" s="55"/>
      <c r="BI134" s="32"/>
      <c r="BJ134" s="32"/>
      <c r="BK134" s="55"/>
      <c r="BL134" s="32"/>
      <c r="BM134" s="32"/>
      <c r="BN134" s="32"/>
      <c r="BO134" s="32"/>
      <c r="BP134" s="32"/>
      <c r="BQ134" s="31"/>
      <c r="BR134" s="31"/>
      <c r="BS134" s="54"/>
      <c r="BT134" s="21" t="str">
        <f>IFERROR(VLOOKUP(July[[#This Row],[Drug Name7]],'Data Options'!$R$1:$S$100,2,FALSE), " ")</f>
        <v xml:space="preserve"> </v>
      </c>
      <c r="BU134" s="55"/>
      <c r="BV134" s="32"/>
      <c r="BW134" s="32"/>
      <c r="BX134" s="55"/>
      <c r="BY134" s="32"/>
      <c r="BZ134" s="54"/>
      <c r="CA134" s="21" t="str">
        <f>IFERROR(VLOOKUP(July[[#This Row],[Drug Name8]],'Data Options'!$R$1:$S$100,2,FALSE), " ")</f>
        <v xml:space="preserve"> </v>
      </c>
      <c r="CB134" s="55"/>
      <c r="CC134" s="32"/>
      <c r="CD134" s="32"/>
      <c r="CE134" s="55"/>
      <c r="CF134" s="32"/>
      <c r="CG134" s="54"/>
      <c r="CH134" s="21" t="str">
        <f>IFERROR(VLOOKUP(July[[#This Row],[Drug Name9]],'Data Options'!$R$1:$S$100,2,FALSE), " ")</f>
        <v xml:space="preserve"> </v>
      </c>
      <c r="CI134" s="55"/>
      <c r="CJ134" s="32"/>
      <c r="CK134" s="32"/>
      <c r="CL134" s="55"/>
      <c r="CM134" s="32"/>
    </row>
    <row r="135" spans="1:91">
      <c r="A135" s="5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1"/>
      <c r="P135" s="31"/>
      <c r="Q135" s="54"/>
      <c r="R135" s="21" t="str">
        <f>IFERROR(VLOOKUP(July[[#This Row],[Drug Name]],'Data Options'!$R$1:$S$100,2,FALSE), " ")</f>
        <v xml:space="preserve"> </v>
      </c>
      <c r="S135" s="55"/>
      <c r="T135" s="32"/>
      <c r="U135" s="32"/>
      <c r="V135" s="55"/>
      <c r="W135" s="32"/>
      <c r="X135" s="54"/>
      <c r="Y135" s="21" t="str">
        <f>IFERROR(VLOOKUP(July[[#This Row],[Drug Name2]],'Data Options'!$R$1:$S$100,2,FALSE), " ")</f>
        <v xml:space="preserve"> </v>
      </c>
      <c r="Z135" s="55"/>
      <c r="AA135" s="32"/>
      <c r="AB135" s="32"/>
      <c r="AC135" s="55"/>
      <c r="AD135" s="32"/>
      <c r="AE135" s="54"/>
      <c r="AF135" s="21" t="str">
        <f>IFERROR(VLOOKUP(July[[#This Row],[Drug Name3]],'Data Options'!$R$1:$S$100,2,FALSE), " ")</f>
        <v xml:space="preserve"> </v>
      </c>
      <c r="AG135" s="55"/>
      <c r="AH135" s="32"/>
      <c r="AI135" s="32"/>
      <c r="AJ135" s="55"/>
      <c r="AK135" s="32"/>
      <c r="AL135" s="32"/>
      <c r="AM135" s="32"/>
      <c r="AN135" s="32"/>
      <c r="AO135" s="32"/>
      <c r="AP135" s="31"/>
      <c r="AQ135" s="31"/>
      <c r="AR135" s="54"/>
      <c r="AS135" s="21" t="str">
        <f>IFERROR(VLOOKUP(July[[#This Row],[Drug Name4]],'Data Options'!$R$1:$S$100,2,FALSE), " ")</f>
        <v xml:space="preserve"> </v>
      </c>
      <c r="AT135" s="55"/>
      <c r="AU135" s="32"/>
      <c r="AV135" s="32"/>
      <c r="AW135" s="55"/>
      <c r="AX135" s="32"/>
      <c r="AY135" s="54"/>
      <c r="AZ135" s="21" t="str">
        <f>IFERROR(VLOOKUP(July[[#This Row],[Drug Name5]],'Data Options'!$R$1:$S$100,2,FALSE), " ")</f>
        <v xml:space="preserve"> </v>
      </c>
      <c r="BA135" s="55"/>
      <c r="BB135" s="32"/>
      <c r="BC135" s="32"/>
      <c r="BD135" s="55"/>
      <c r="BE135" s="32"/>
      <c r="BF135" s="54"/>
      <c r="BG135" s="21" t="str">
        <f>IFERROR(VLOOKUP(July[[#This Row],[Drug Name6]],'Data Options'!$R$1:$S$100,2,FALSE), " ")</f>
        <v xml:space="preserve"> </v>
      </c>
      <c r="BH135" s="55"/>
      <c r="BI135" s="32"/>
      <c r="BJ135" s="32"/>
      <c r="BK135" s="55"/>
      <c r="BL135" s="32"/>
      <c r="BM135" s="32"/>
      <c r="BN135" s="32"/>
      <c r="BO135" s="32"/>
      <c r="BP135" s="32"/>
      <c r="BQ135" s="31"/>
      <c r="BR135" s="31"/>
      <c r="BS135" s="54"/>
      <c r="BT135" s="21" t="str">
        <f>IFERROR(VLOOKUP(July[[#This Row],[Drug Name7]],'Data Options'!$R$1:$S$100,2,FALSE), " ")</f>
        <v xml:space="preserve"> </v>
      </c>
      <c r="BU135" s="55"/>
      <c r="BV135" s="32"/>
      <c r="BW135" s="32"/>
      <c r="BX135" s="55"/>
      <c r="BY135" s="32"/>
      <c r="BZ135" s="54"/>
      <c r="CA135" s="21" t="str">
        <f>IFERROR(VLOOKUP(July[[#This Row],[Drug Name8]],'Data Options'!$R$1:$S$100,2,FALSE), " ")</f>
        <v xml:space="preserve"> </v>
      </c>
      <c r="CB135" s="55"/>
      <c r="CC135" s="32"/>
      <c r="CD135" s="32"/>
      <c r="CE135" s="55"/>
      <c r="CF135" s="32"/>
      <c r="CG135" s="54"/>
      <c r="CH135" s="21" t="str">
        <f>IFERROR(VLOOKUP(July[[#This Row],[Drug Name9]],'Data Options'!$R$1:$S$100,2,FALSE), " ")</f>
        <v xml:space="preserve"> </v>
      </c>
      <c r="CI135" s="55"/>
      <c r="CJ135" s="32"/>
      <c r="CK135" s="32"/>
      <c r="CL135" s="55"/>
      <c r="CM135" s="32"/>
    </row>
    <row r="136" spans="1:91">
      <c r="A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1"/>
      <c r="P136" s="31"/>
      <c r="Q136" s="54"/>
      <c r="R136" s="21" t="str">
        <f>IFERROR(VLOOKUP(July[[#This Row],[Drug Name]],'Data Options'!$R$1:$S$100,2,FALSE), " ")</f>
        <v xml:space="preserve"> </v>
      </c>
      <c r="S136" s="55"/>
      <c r="T136" s="32"/>
      <c r="U136" s="32"/>
      <c r="V136" s="55"/>
      <c r="W136" s="32"/>
      <c r="X136" s="54"/>
      <c r="Y136" s="21" t="str">
        <f>IFERROR(VLOOKUP(July[[#This Row],[Drug Name2]],'Data Options'!$R$1:$S$100,2,FALSE), " ")</f>
        <v xml:space="preserve"> </v>
      </c>
      <c r="Z136" s="55"/>
      <c r="AA136" s="32"/>
      <c r="AB136" s="32"/>
      <c r="AC136" s="55"/>
      <c r="AD136" s="32"/>
      <c r="AE136" s="54"/>
      <c r="AF136" s="21" t="str">
        <f>IFERROR(VLOOKUP(July[[#This Row],[Drug Name3]],'Data Options'!$R$1:$S$100,2,FALSE), " ")</f>
        <v xml:space="preserve"> </v>
      </c>
      <c r="AG136" s="55"/>
      <c r="AH136" s="32"/>
      <c r="AI136" s="32"/>
      <c r="AJ136" s="55"/>
      <c r="AK136" s="32"/>
      <c r="AL136" s="32"/>
      <c r="AM136" s="32"/>
      <c r="AN136" s="32"/>
      <c r="AO136" s="32"/>
      <c r="AP136" s="31"/>
      <c r="AQ136" s="31"/>
      <c r="AR136" s="54"/>
      <c r="AS136" s="21" t="str">
        <f>IFERROR(VLOOKUP(July[[#This Row],[Drug Name4]],'Data Options'!$R$1:$S$100,2,FALSE), " ")</f>
        <v xml:space="preserve"> </v>
      </c>
      <c r="AT136" s="55"/>
      <c r="AU136" s="32"/>
      <c r="AV136" s="32"/>
      <c r="AW136" s="55"/>
      <c r="AX136" s="32"/>
      <c r="AY136" s="54"/>
      <c r="AZ136" s="21" t="str">
        <f>IFERROR(VLOOKUP(July[[#This Row],[Drug Name5]],'Data Options'!$R$1:$S$100,2,FALSE), " ")</f>
        <v xml:space="preserve"> </v>
      </c>
      <c r="BA136" s="55"/>
      <c r="BB136" s="32"/>
      <c r="BC136" s="32"/>
      <c r="BD136" s="55"/>
      <c r="BE136" s="32"/>
      <c r="BF136" s="54"/>
      <c r="BG136" s="21" t="str">
        <f>IFERROR(VLOOKUP(July[[#This Row],[Drug Name6]],'Data Options'!$R$1:$S$100,2,FALSE), " ")</f>
        <v xml:space="preserve"> </v>
      </c>
      <c r="BH136" s="55"/>
      <c r="BI136" s="32"/>
      <c r="BJ136" s="32"/>
      <c r="BK136" s="55"/>
      <c r="BL136" s="32"/>
      <c r="BM136" s="32"/>
      <c r="BN136" s="32"/>
      <c r="BO136" s="32"/>
      <c r="BP136" s="32"/>
      <c r="BQ136" s="31"/>
      <c r="BR136" s="31"/>
      <c r="BS136" s="54"/>
      <c r="BT136" s="21" t="str">
        <f>IFERROR(VLOOKUP(July[[#This Row],[Drug Name7]],'Data Options'!$R$1:$S$100,2,FALSE), " ")</f>
        <v xml:space="preserve"> </v>
      </c>
      <c r="BU136" s="55"/>
      <c r="BV136" s="32"/>
      <c r="BW136" s="32"/>
      <c r="BX136" s="55"/>
      <c r="BY136" s="32"/>
      <c r="BZ136" s="54"/>
      <c r="CA136" s="21" t="str">
        <f>IFERROR(VLOOKUP(July[[#This Row],[Drug Name8]],'Data Options'!$R$1:$S$100,2,FALSE), " ")</f>
        <v xml:space="preserve"> </v>
      </c>
      <c r="CB136" s="55"/>
      <c r="CC136" s="32"/>
      <c r="CD136" s="32"/>
      <c r="CE136" s="55"/>
      <c r="CF136" s="32"/>
      <c r="CG136" s="54"/>
      <c r="CH136" s="21" t="str">
        <f>IFERROR(VLOOKUP(July[[#This Row],[Drug Name9]],'Data Options'!$R$1:$S$100,2,FALSE), " ")</f>
        <v xml:space="preserve"> </v>
      </c>
      <c r="CI136" s="55"/>
      <c r="CJ136" s="32"/>
      <c r="CK136" s="32"/>
      <c r="CL136" s="55"/>
      <c r="CM136" s="32"/>
    </row>
    <row r="137" spans="1:91">
      <c r="A137" s="5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/>
      <c r="P137" s="31"/>
      <c r="Q137" s="54"/>
      <c r="R137" s="21" t="str">
        <f>IFERROR(VLOOKUP(July[[#This Row],[Drug Name]],'Data Options'!$R$1:$S$100,2,FALSE), " ")</f>
        <v xml:space="preserve"> </v>
      </c>
      <c r="S137" s="55"/>
      <c r="T137" s="32"/>
      <c r="U137" s="32"/>
      <c r="V137" s="55"/>
      <c r="W137" s="32"/>
      <c r="X137" s="54"/>
      <c r="Y137" s="21" t="str">
        <f>IFERROR(VLOOKUP(July[[#This Row],[Drug Name2]],'Data Options'!$R$1:$S$100,2,FALSE), " ")</f>
        <v xml:space="preserve"> </v>
      </c>
      <c r="Z137" s="55"/>
      <c r="AA137" s="32"/>
      <c r="AB137" s="32"/>
      <c r="AC137" s="55"/>
      <c r="AD137" s="32"/>
      <c r="AE137" s="54"/>
      <c r="AF137" s="21" t="str">
        <f>IFERROR(VLOOKUP(July[[#This Row],[Drug Name3]],'Data Options'!$R$1:$S$100,2,FALSE), " ")</f>
        <v xml:space="preserve"> </v>
      </c>
      <c r="AG137" s="55"/>
      <c r="AH137" s="32"/>
      <c r="AI137" s="32"/>
      <c r="AJ137" s="55"/>
      <c r="AK137" s="32"/>
      <c r="AL137" s="32"/>
      <c r="AM137" s="32"/>
      <c r="AN137" s="32"/>
      <c r="AO137" s="32"/>
      <c r="AP137" s="31"/>
      <c r="AQ137" s="31"/>
      <c r="AR137" s="54"/>
      <c r="AS137" s="21" t="str">
        <f>IFERROR(VLOOKUP(July[[#This Row],[Drug Name4]],'Data Options'!$R$1:$S$100,2,FALSE), " ")</f>
        <v xml:space="preserve"> </v>
      </c>
      <c r="AT137" s="55"/>
      <c r="AU137" s="32"/>
      <c r="AV137" s="32"/>
      <c r="AW137" s="55"/>
      <c r="AX137" s="32"/>
      <c r="AY137" s="54"/>
      <c r="AZ137" s="21" t="str">
        <f>IFERROR(VLOOKUP(July[[#This Row],[Drug Name5]],'Data Options'!$R$1:$S$100,2,FALSE), " ")</f>
        <v xml:space="preserve"> </v>
      </c>
      <c r="BA137" s="55"/>
      <c r="BB137" s="32"/>
      <c r="BC137" s="32"/>
      <c r="BD137" s="55"/>
      <c r="BE137" s="32"/>
      <c r="BF137" s="54"/>
      <c r="BG137" s="21" t="str">
        <f>IFERROR(VLOOKUP(July[[#This Row],[Drug Name6]],'Data Options'!$R$1:$S$100,2,FALSE), " ")</f>
        <v xml:space="preserve"> </v>
      </c>
      <c r="BH137" s="55"/>
      <c r="BI137" s="32"/>
      <c r="BJ137" s="32"/>
      <c r="BK137" s="55"/>
      <c r="BL137" s="32"/>
      <c r="BM137" s="32"/>
      <c r="BN137" s="32"/>
      <c r="BO137" s="32"/>
      <c r="BP137" s="32"/>
      <c r="BQ137" s="31"/>
      <c r="BR137" s="31"/>
      <c r="BS137" s="54"/>
      <c r="BT137" s="21" t="str">
        <f>IFERROR(VLOOKUP(July[[#This Row],[Drug Name7]],'Data Options'!$R$1:$S$100,2,FALSE), " ")</f>
        <v xml:space="preserve"> </v>
      </c>
      <c r="BU137" s="55"/>
      <c r="BV137" s="32"/>
      <c r="BW137" s="32"/>
      <c r="BX137" s="55"/>
      <c r="BY137" s="32"/>
      <c r="BZ137" s="54"/>
      <c r="CA137" s="21" t="str">
        <f>IFERROR(VLOOKUP(July[[#This Row],[Drug Name8]],'Data Options'!$R$1:$S$100,2,FALSE), " ")</f>
        <v xml:space="preserve"> </v>
      </c>
      <c r="CB137" s="55"/>
      <c r="CC137" s="32"/>
      <c r="CD137" s="32"/>
      <c r="CE137" s="55"/>
      <c r="CF137" s="32"/>
      <c r="CG137" s="54"/>
      <c r="CH137" s="21" t="str">
        <f>IFERROR(VLOOKUP(July[[#This Row],[Drug Name9]],'Data Options'!$R$1:$S$100,2,FALSE), " ")</f>
        <v xml:space="preserve"> </v>
      </c>
      <c r="CI137" s="55"/>
      <c r="CJ137" s="32"/>
      <c r="CK137" s="32"/>
      <c r="CL137" s="55"/>
      <c r="CM137" s="32"/>
    </row>
    <row r="138" spans="1:91">
      <c r="A138" s="5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1"/>
      <c r="P138" s="31"/>
      <c r="Q138" s="54"/>
      <c r="R138" s="21" t="str">
        <f>IFERROR(VLOOKUP(July[[#This Row],[Drug Name]],'Data Options'!$R$1:$S$100,2,FALSE), " ")</f>
        <v xml:space="preserve"> </v>
      </c>
      <c r="S138" s="55"/>
      <c r="T138" s="32"/>
      <c r="U138" s="32"/>
      <c r="V138" s="55"/>
      <c r="W138" s="32"/>
      <c r="X138" s="54"/>
      <c r="Y138" s="21" t="str">
        <f>IFERROR(VLOOKUP(July[[#This Row],[Drug Name2]],'Data Options'!$R$1:$S$100,2,FALSE), " ")</f>
        <v xml:space="preserve"> </v>
      </c>
      <c r="Z138" s="55"/>
      <c r="AA138" s="32"/>
      <c r="AB138" s="32"/>
      <c r="AC138" s="55"/>
      <c r="AD138" s="32"/>
      <c r="AE138" s="54"/>
      <c r="AF138" s="21" t="str">
        <f>IFERROR(VLOOKUP(July[[#This Row],[Drug Name3]],'Data Options'!$R$1:$S$100,2,FALSE), " ")</f>
        <v xml:space="preserve"> </v>
      </c>
      <c r="AG138" s="55"/>
      <c r="AH138" s="32"/>
      <c r="AI138" s="32"/>
      <c r="AJ138" s="55"/>
      <c r="AK138" s="32"/>
      <c r="AL138" s="32"/>
      <c r="AM138" s="32"/>
      <c r="AN138" s="32"/>
      <c r="AO138" s="32"/>
      <c r="AP138" s="31"/>
      <c r="AQ138" s="31"/>
      <c r="AR138" s="54"/>
      <c r="AS138" s="21" t="str">
        <f>IFERROR(VLOOKUP(July[[#This Row],[Drug Name4]],'Data Options'!$R$1:$S$100,2,FALSE), " ")</f>
        <v xml:space="preserve"> </v>
      </c>
      <c r="AT138" s="55"/>
      <c r="AU138" s="32"/>
      <c r="AV138" s="32"/>
      <c r="AW138" s="55"/>
      <c r="AX138" s="32"/>
      <c r="AY138" s="54"/>
      <c r="AZ138" s="21" t="str">
        <f>IFERROR(VLOOKUP(July[[#This Row],[Drug Name5]],'Data Options'!$R$1:$S$100,2,FALSE), " ")</f>
        <v xml:space="preserve"> </v>
      </c>
      <c r="BA138" s="55"/>
      <c r="BB138" s="32"/>
      <c r="BC138" s="32"/>
      <c r="BD138" s="55"/>
      <c r="BE138" s="32"/>
      <c r="BF138" s="54"/>
      <c r="BG138" s="21" t="str">
        <f>IFERROR(VLOOKUP(July[[#This Row],[Drug Name6]],'Data Options'!$R$1:$S$100,2,FALSE), " ")</f>
        <v xml:space="preserve"> </v>
      </c>
      <c r="BH138" s="55"/>
      <c r="BI138" s="32"/>
      <c r="BJ138" s="32"/>
      <c r="BK138" s="55"/>
      <c r="BL138" s="32"/>
      <c r="BM138" s="32"/>
      <c r="BN138" s="32"/>
      <c r="BO138" s="32"/>
      <c r="BP138" s="32"/>
      <c r="BQ138" s="31"/>
      <c r="BR138" s="31"/>
      <c r="BS138" s="54"/>
      <c r="BT138" s="21" t="str">
        <f>IFERROR(VLOOKUP(July[[#This Row],[Drug Name7]],'Data Options'!$R$1:$S$100,2,FALSE), " ")</f>
        <v xml:space="preserve"> </v>
      </c>
      <c r="BU138" s="55"/>
      <c r="BV138" s="32"/>
      <c r="BW138" s="32"/>
      <c r="BX138" s="55"/>
      <c r="BY138" s="32"/>
      <c r="BZ138" s="54"/>
      <c r="CA138" s="21" t="str">
        <f>IFERROR(VLOOKUP(July[[#This Row],[Drug Name8]],'Data Options'!$R$1:$S$100,2,FALSE), " ")</f>
        <v xml:space="preserve"> </v>
      </c>
      <c r="CB138" s="55"/>
      <c r="CC138" s="32"/>
      <c r="CD138" s="32"/>
      <c r="CE138" s="55"/>
      <c r="CF138" s="32"/>
      <c r="CG138" s="54"/>
      <c r="CH138" s="21" t="str">
        <f>IFERROR(VLOOKUP(July[[#This Row],[Drug Name9]],'Data Options'!$R$1:$S$100,2,FALSE), " ")</f>
        <v xml:space="preserve"> </v>
      </c>
      <c r="CI138" s="55"/>
      <c r="CJ138" s="32"/>
      <c r="CK138" s="32"/>
      <c r="CL138" s="55"/>
      <c r="CM138" s="32"/>
    </row>
    <row r="139" spans="1:91">
      <c r="A139" s="5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1"/>
      <c r="P139" s="31"/>
      <c r="Q139" s="54"/>
      <c r="R139" s="21" t="str">
        <f>IFERROR(VLOOKUP(July[[#This Row],[Drug Name]],'Data Options'!$R$1:$S$100,2,FALSE), " ")</f>
        <v xml:space="preserve"> </v>
      </c>
      <c r="S139" s="55"/>
      <c r="T139" s="32"/>
      <c r="U139" s="32"/>
      <c r="V139" s="55"/>
      <c r="W139" s="32"/>
      <c r="X139" s="54"/>
      <c r="Y139" s="21" t="str">
        <f>IFERROR(VLOOKUP(July[[#This Row],[Drug Name2]],'Data Options'!$R$1:$S$100,2,FALSE), " ")</f>
        <v xml:space="preserve"> </v>
      </c>
      <c r="Z139" s="55"/>
      <c r="AA139" s="32"/>
      <c r="AB139" s="32"/>
      <c r="AC139" s="55"/>
      <c r="AD139" s="32"/>
      <c r="AE139" s="54"/>
      <c r="AF139" s="21" t="str">
        <f>IFERROR(VLOOKUP(July[[#This Row],[Drug Name3]],'Data Options'!$R$1:$S$100,2,FALSE), " ")</f>
        <v xml:space="preserve"> </v>
      </c>
      <c r="AG139" s="55"/>
      <c r="AH139" s="32"/>
      <c r="AI139" s="32"/>
      <c r="AJ139" s="55"/>
      <c r="AK139" s="32"/>
      <c r="AL139" s="32"/>
      <c r="AM139" s="32"/>
      <c r="AN139" s="32"/>
      <c r="AO139" s="32"/>
      <c r="AP139" s="31"/>
      <c r="AQ139" s="31"/>
      <c r="AR139" s="54"/>
      <c r="AS139" s="21" t="str">
        <f>IFERROR(VLOOKUP(July[[#This Row],[Drug Name4]],'Data Options'!$R$1:$S$100,2,FALSE), " ")</f>
        <v xml:space="preserve"> </v>
      </c>
      <c r="AT139" s="55"/>
      <c r="AU139" s="32"/>
      <c r="AV139" s="32"/>
      <c r="AW139" s="55"/>
      <c r="AX139" s="32"/>
      <c r="AY139" s="54"/>
      <c r="AZ139" s="21" t="str">
        <f>IFERROR(VLOOKUP(July[[#This Row],[Drug Name5]],'Data Options'!$R$1:$S$100,2,FALSE), " ")</f>
        <v xml:space="preserve"> </v>
      </c>
      <c r="BA139" s="55"/>
      <c r="BB139" s="32"/>
      <c r="BC139" s="32"/>
      <c r="BD139" s="55"/>
      <c r="BE139" s="32"/>
      <c r="BF139" s="54"/>
      <c r="BG139" s="21" t="str">
        <f>IFERROR(VLOOKUP(July[[#This Row],[Drug Name6]],'Data Options'!$R$1:$S$100,2,FALSE), " ")</f>
        <v xml:space="preserve"> </v>
      </c>
      <c r="BH139" s="55"/>
      <c r="BI139" s="32"/>
      <c r="BJ139" s="32"/>
      <c r="BK139" s="55"/>
      <c r="BL139" s="32"/>
      <c r="BM139" s="32"/>
      <c r="BN139" s="32"/>
      <c r="BO139" s="32"/>
      <c r="BP139" s="32"/>
      <c r="BQ139" s="31"/>
      <c r="BR139" s="31"/>
      <c r="BS139" s="54"/>
      <c r="BT139" s="21" t="str">
        <f>IFERROR(VLOOKUP(July[[#This Row],[Drug Name7]],'Data Options'!$R$1:$S$100,2,FALSE), " ")</f>
        <v xml:space="preserve"> </v>
      </c>
      <c r="BU139" s="55"/>
      <c r="BV139" s="32"/>
      <c r="BW139" s="32"/>
      <c r="BX139" s="55"/>
      <c r="BY139" s="32"/>
      <c r="BZ139" s="54"/>
      <c r="CA139" s="21" t="str">
        <f>IFERROR(VLOOKUP(July[[#This Row],[Drug Name8]],'Data Options'!$R$1:$S$100,2,FALSE), " ")</f>
        <v xml:space="preserve"> </v>
      </c>
      <c r="CB139" s="55"/>
      <c r="CC139" s="32"/>
      <c r="CD139" s="32"/>
      <c r="CE139" s="55"/>
      <c r="CF139" s="32"/>
      <c r="CG139" s="54"/>
      <c r="CH139" s="21" t="str">
        <f>IFERROR(VLOOKUP(July[[#This Row],[Drug Name9]],'Data Options'!$R$1:$S$100,2,FALSE), " ")</f>
        <v xml:space="preserve"> </v>
      </c>
      <c r="CI139" s="55"/>
      <c r="CJ139" s="32"/>
      <c r="CK139" s="32"/>
      <c r="CL139" s="55"/>
      <c r="CM139" s="32"/>
    </row>
    <row r="140" spans="1:91">
      <c r="A140" s="5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1"/>
      <c r="P140" s="31"/>
      <c r="Q140" s="54"/>
      <c r="R140" s="21" t="str">
        <f>IFERROR(VLOOKUP(July[[#This Row],[Drug Name]],'Data Options'!$R$1:$S$100,2,FALSE), " ")</f>
        <v xml:space="preserve"> </v>
      </c>
      <c r="S140" s="55"/>
      <c r="T140" s="32"/>
      <c r="U140" s="32"/>
      <c r="V140" s="55"/>
      <c r="W140" s="32"/>
      <c r="X140" s="54"/>
      <c r="Y140" s="21" t="str">
        <f>IFERROR(VLOOKUP(July[[#This Row],[Drug Name2]],'Data Options'!$R$1:$S$100,2,FALSE), " ")</f>
        <v xml:space="preserve"> </v>
      </c>
      <c r="Z140" s="55"/>
      <c r="AA140" s="32"/>
      <c r="AB140" s="32"/>
      <c r="AC140" s="55"/>
      <c r="AD140" s="32"/>
      <c r="AE140" s="54"/>
      <c r="AF140" s="21" t="str">
        <f>IFERROR(VLOOKUP(July[[#This Row],[Drug Name3]],'Data Options'!$R$1:$S$100,2,FALSE), " ")</f>
        <v xml:space="preserve"> </v>
      </c>
      <c r="AG140" s="55"/>
      <c r="AH140" s="32"/>
      <c r="AI140" s="32"/>
      <c r="AJ140" s="55"/>
      <c r="AK140" s="32"/>
      <c r="AL140" s="32"/>
      <c r="AM140" s="32"/>
      <c r="AN140" s="32"/>
      <c r="AO140" s="32"/>
      <c r="AP140" s="31"/>
      <c r="AQ140" s="31"/>
      <c r="AR140" s="54"/>
      <c r="AS140" s="21" t="str">
        <f>IFERROR(VLOOKUP(July[[#This Row],[Drug Name4]],'Data Options'!$R$1:$S$100,2,FALSE), " ")</f>
        <v xml:space="preserve"> </v>
      </c>
      <c r="AT140" s="55"/>
      <c r="AU140" s="32"/>
      <c r="AV140" s="32"/>
      <c r="AW140" s="55"/>
      <c r="AX140" s="32"/>
      <c r="AY140" s="54"/>
      <c r="AZ140" s="21" t="str">
        <f>IFERROR(VLOOKUP(July[[#This Row],[Drug Name5]],'Data Options'!$R$1:$S$100,2,FALSE), " ")</f>
        <v xml:space="preserve"> </v>
      </c>
      <c r="BA140" s="55"/>
      <c r="BB140" s="32"/>
      <c r="BC140" s="32"/>
      <c r="BD140" s="55"/>
      <c r="BE140" s="32"/>
      <c r="BF140" s="54"/>
      <c r="BG140" s="21" t="str">
        <f>IFERROR(VLOOKUP(July[[#This Row],[Drug Name6]],'Data Options'!$R$1:$S$100,2,FALSE), " ")</f>
        <v xml:space="preserve"> </v>
      </c>
      <c r="BH140" s="55"/>
      <c r="BI140" s="32"/>
      <c r="BJ140" s="32"/>
      <c r="BK140" s="55"/>
      <c r="BL140" s="32"/>
      <c r="BM140" s="32"/>
      <c r="BN140" s="32"/>
      <c r="BO140" s="32"/>
      <c r="BP140" s="32"/>
      <c r="BQ140" s="31"/>
      <c r="BR140" s="31"/>
      <c r="BS140" s="54"/>
      <c r="BT140" s="21" t="str">
        <f>IFERROR(VLOOKUP(July[[#This Row],[Drug Name7]],'Data Options'!$R$1:$S$100,2,FALSE), " ")</f>
        <v xml:space="preserve"> </v>
      </c>
      <c r="BU140" s="55"/>
      <c r="BV140" s="32"/>
      <c r="BW140" s="32"/>
      <c r="BX140" s="55"/>
      <c r="BY140" s="32"/>
      <c r="BZ140" s="54"/>
      <c r="CA140" s="21" t="str">
        <f>IFERROR(VLOOKUP(July[[#This Row],[Drug Name8]],'Data Options'!$R$1:$S$100,2,FALSE), " ")</f>
        <v xml:space="preserve"> </v>
      </c>
      <c r="CB140" s="55"/>
      <c r="CC140" s="32"/>
      <c r="CD140" s="32"/>
      <c r="CE140" s="55"/>
      <c r="CF140" s="32"/>
      <c r="CG140" s="54"/>
      <c r="CH140" s="21" t="str">
        <f>IFERROR(VLOOKUP(July[[#This Row],[Drug Name9]],'Data Options'!$R$1:$S$100,2,FALSE), " ")</f>
        <v xml:space="preserve"> </v>
      </c>
      <c r="CI140" s="55"/>
      <c r="CJ140" s="32"/>
      <c r="CK140" s="32"/>
      <c r="CL140" s="55"/>
      <c r="CM140" s="32"/>
    </row>
    <row r="141" spans="1:91">
      <c r="A141" s="5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1"/>
      <c r="Q141" s="54"/>
      <c r="R141" s="21" t="str">
        <f>IFERROR(VLOOKUP(July[[#This Row],[Drug Name]],'Data Options'!$R$1:$S$100,2,FALSE), " ")</f>
        <v xml:space="preserve"> </v>
      </c>
      <c r="S141" s="55"/>
      <c r="T141" s="32"/>
      <c r="U141" s="32"/>
      <c r="V141" s="55"/>
      <c r="W141" s="32"/>
      <c r="X141" s="54"/>
      <c r="Y141" s="21" t="str">
        <f>IFERROR(VLOOKUP(July[[#This Row],[Drug Name2]],'Data Options'!$R$1:$S$100,2,FALSE), " ")</f>
        <v xml:space="preserve"> </v>
      </c>
      <c r="Z141" s="55"/>
      <c r="AA141" s="32"/>
      <c r="AB141" s="32"/>
      <c r="AC141" s="55"/>
      <c r="AD141" s="32"/>
      <c r="AE141" s="54"/>
      <c r="AF141" s="21" t="str">
        <f>IFERROR(VLOOKUP(July[[#This Row],[Drug Name3]],'Data Options'!$R$1:$S$100,2,FALSE), " ")</f>
        <v xml:space="preserve"> </v>
      </c>
      <c r="AG141" s="55"/>
      <c r="AH141" s="32"/>
      <c r="AI141" s="32"/>
      <c r="AJ141" s="55"/>
      <c r="AK141" s="32"/>
      <c r="AL141" s="32"/>
      <c r="AM141" s="32"/>
      <c r="AN141" s="32"/>
      <c r="AO141" s="32"/>
      <c r="AP141" s="31"/>
      <c r="AQ141" s="31"/>
      <c r="AR141" s="54"/>
      <c r="AS141" s="21" t="str">
        <f>IFERROR(VLOOKUP(July[[#This Row],[Drug Name4]],'Data Options'!$R$1:$S$100,2,FALSE), " ")</f>
        <v xml:space="preserve"> </v>
      </c>
      <c r="AT141" s="55"/>
      <c r="AU141" s="32"/>
      <c r="AV141" s="32"/>
      <c r="AW141" s="55"/>
      <c r="AX141" s="32"/>
      <c r="AY141" s="54"/>
      <c r="AZ141" s="21" t="str">
        <f>IFERROR(VLOOKUP(July[[#This Row],[Drug Name5]],'Data Options'!$R$1:$S$100,2,FALSE), " ")</f>
        <v xml:space="preserve"> </v>
      </c>
      <c r="BA141" s="55"/>
      <c r="BB141" s="32"/>
      <c r="BC141" s="32"/>
      <c r="BD141" s="55"/>
      <c r="BE141" s="32"/>
      <c r="BF141" s="54"/>
      <c r="BG141" s="21" t="str">
        <f>IFERROR(VLOOKUP(July[[#This Row],[Drug Name6]],'Data Options'!$R$1:$S$100,2,FALSE), " ")</f>
        <v xml:space="preserve"> </v>
      </c>
      <c r="BH141" s="55"/>
      <c r="BI141" s="32"/>
      <c r="BJ141" s="32"/>
      <c r="BK141" s="55"/>
      <c r="BL141" s="32"/>
      <c r="BM141" s="32"/>
      <c r="BN141" s="32"/>
      <c r="BO141" s="32"/>
      <c r="BP141" s="32"/>
      <c r="BQ141" s="31"/>
      <c r="BR141" s="31"/>
      <c r="BS141" s="54"/>
      <c r="BT141" s="21" t="str">
        <f>IFERROR(VLOOKUP(July[[#This Row],[Drug Name7]],'Data Options'!$R$1:$S$100,2,FALSE), " ")</f>
        <v xml:space="preserve"> </v>
      </c>
      <c r="BU141" s="55"/>
      <c r="BV141" s="32"/>
      <c r="BW141" s="32"/>
      <c r="BX141" s="55"/>
      <c r="BY141" s="32"/>
      <c r="BZ141" s="54"/>
      <c r="CA141" s="21" t="str">
        <f>IFERROR(VLOOKUP(July[[#This Row],[Drug Name8]],'Data Options'!$R$1:$S$100,2,FALSE), " ")</f>
        <v xml:space="preserve"> </v>
      </c>
      <c r="CB141" s="55"/>
      <c r="CC141" s="32"/>
      <c r="CD141" s="32"/>
      <c r="CE141" s="55"/>
      <c r="CF141" s="32"/>
      <c r="CG141" s="54"/>
      <c r="CH141" s="21" t="str">
        <f>IFERROR(VLOOKUP(July[[#This Row],[Drug Name9]],'Data Options'!$R$1:$S$100,2,FALSE), " ")</f>
        <v xml:space="preserve"> </v>
      </c>
      <c r="CI141" s="55"/>
      <c r="CJ141" s="32"/>
      <c r="CK141" s="32"/>
      <c r="CL141" s="55"/>
      <c r="CM141" s="32"/>
    </row>
    <row r="142" spans="1:91">
      <c r="A142" s="5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1"/>
      <c r="P142" s="31"/>
      <c r="Q142" s="54"/>
      <c r="R142" s="21" t="str">
        <f>IFERROR(VLOOKUP(July[[#This Row],[Drug Name]],'Data Options'!$R$1:$S$100,2,FALSE), " ")</f>
        <v xml:space="preserve"> </v>
      </c>
      <c r="S142" s="55"/>
      <c r="T142" s="32"/>
      <c r="U142" s="32"/>
      <c r="V142" s="55"/>
      <c r="W142" s="32"/>
      <c r="X142" s="54"/>
      <c r="Y142" s="21" t="str">
        <f>IFERROR(VLOOKUP(July[[#This Row],[Drug Name2]],'Data Options'!$R$1:$S$100,2,FALSE), " ")</f>
        <v xml:space="preserve"> </v>
      </c>
      <c r="Z142" s="55"/>
      <c r="AA142" s="32"/>
      <c r="AB142" s="32"/>
      <c r="AC142" s="55"/>
      <c r="AD142" s="32"/>
      <c r="AE142" s="54"/>
      <c r="AF142" s="21" t="str">
        <f>IFERROR(VLOOKUP(July[[#This Row],[Drug Name3]],'Data Options'!$R$1:$S$100,2,FALSE), " ")</f>
        <v xml:space="preserve"> </v>
      </c>
      <c r="AG142" s="55"/>
      <c r="AH142" s="32"/>
      <c r="AI142" s="32"/>
      <c r="AJ142" s="55"/>
      <c r="AK142" s="32"/>
      <c r="AL142" s="32"/>
      <c r="AM142" s="32"/>
      <c r="AN142" s="32"/>
      <c r="AO142" s="32"/>
      <c r="AP142" s="31"/>
      <c r="AQ142" s="31"/>
      <c r="AR142" s="54"/>
      <c r="AS142" s="21" t="str">
        <f>IFERROR(VLOOKUP(July[[#This Row],[Drug Name4]],'Data Options'!$R$1:$S$100,2,FALSE), " ")</f>
        <v xml:space="preserve"> </v>
      </c>
      <c r="AT142" s="55"/>
      <c r="AU142" s="32"/>
      <c r="AV142" s="32"/>
      <c r="AW142" s="55"/>
      <c r="AX142" s="32"/>
      <c r="AY142" s="54"/>
      <c r="AZ142" s="21" t="str">
        <f>IFERROR(VLOOKUP(July[[#This Row],[Drug Name5]],'Data Options'!$R$1:$S$100,2,FALSE), " ")</f>
        <v xml:space="preserve"> </v>
      </c>
      <c r="BA142" s="55"/>
      <c r="BB142" s="32"/>
      <c r="BC142" s="32"/>
      <c r="BD142" s="55"/>
      <c r="BE142" s="32"/>
      <c r="BF142" s="54"/>
      <c r="BG142" s="21" t="str">
        <f>IFERROR(VLOOKUP(July[[#This Row],[Drug Name6]],'Data Options'!$R$1:$S$100,2,FALSE), " ")</f>
        <v xml:space="preserve"> </v>
      </c>
      <c r="BH142" s="55"/>
      <c r="BI142" s="32"/>
      <c r="BJ142" s="32"/>
      <c r="BK142" s="55"/>
      <c r="BL142" s="32"/>
      <c r="BM142" s="32"/>
      <c r="BN142" s="32"/>
      <c r="BO142" s="32"/>
      <c r="BP142" s="32"/>
      <c r="BQ142" s="31"/>
      <c r="BR142" s="31"/>
      <c r="BS142" s="54"/>
      <c r="BT142" s="21" t="str">
        <f>IFERROR(VLOOKUP(July[[#This Row],[Drug Name7]],'Data Options'!$R$1:$S$100,2,FALSE), " ")</f>
        <v xml:space="preserve"> </v>
      </c>
      <c r="BU142" s="55"/>
      <c r="BV142" s="32"/>
      <c r="BW142" s="32"/>
      <c r="BX142" s="55"/>
      <c r="BY142" s="32"/>
      <c r="BZ142" s="54"/>
      <c r="CA142" s="21" t="str">
        <f>IFERROR(VLOOKUP(July[[#This Row],[Drug Name8]],'Data Options'!$R$1:$S$100,2,FALSE), " ")</f>
        <v xml:space="preserve"> </v>
      </c>
      <c r="CB142" s="55"/>
      <c r="CC142" s="32"/>
      <c r="CD142" s="32"/>
      <c r="CE142" s="55"/>
      <c r="CF142" s="32"/>
      <c r="CG142" s="54"/>
      <c r="CH142" s="21" t="str">
        <f>IFERROR(VLOOKUP(July[[#This Row],[Drug Name9]],'Data Options'!$R$1:$S$100,2,FALSE), " ")</f>
        <v xml:space="preserve"> </v>
      </c>
      <c r="CI142" s="55"/>
      <c r="CJ142" s="32"/>
      <c r="CK142" s="32"/>
      <c r="CL142" s="55"/>
      <c r="CM142" s="32"/>
    </row>
    <row r="143" spans="1:91">
      <c r="A143" s="5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1"/>
      <c r="P143" s="31"/>
      <c r="Q143" s="54"/>
      <c r="R143" s="21" t="str">
        <f>IFERROR(VLOOKUP(July[[#This Row],[Drug Name]],'Data Options'!$R$1:$S$100,2,FALSE), " ")</f>
        <v xml:space="preserve"> </v>
      </c>
      <c r="S143" s="55"/>
      <c r="T143" s="32"/>
      <c r="U143" s="32"/>
      <c r="V143" s="55"/>
      <c r="W143" s="32"/>
      <c r="X143" s="54"/>
      <c r="Y143" s="21" t="str">
        <f>IFERROR(VLOOKUP(July[[#This Row],[Drug Name2]],'Data Options'!$R$1:$S$100,2,FALSE), " ")</f>
        <v xml:space="preserve"> </v>
      </c>
      <c r="Z143" s="55"/>
      <c r="AA143" s="32"/>
      <c r="AB143" s="32"/>
      <c r="AC143" s="55"/>
      <c r="AD143" s="32"/>
      <c r="AE143" s="54"/>
      <c r="AF143" s="21" t="str">
        <f>IFERROR(VLOOKUP(July[[#This Row],[Drug Name3]],'Data Options'!$R$1:$S$100,2,FALSE), " ")</f>
        <v xml:space="preserve"> </v>
      </c>
      <c r="AG143" s="55"/>
      <c r="AH143" s="32"/>
      <c r="AI143" s="32"/>
      <c r="AJ143" s="55"/>
      <c r="AK143" s="32"/>
      <c r="AL143" s="32"/>
      <c r="AM143" s="32"/>
      <c r="AN143" s="32"/>
      <c r="AO143" s="32"/>
      <c r="AP143" s="31"/>
      <c r="AQ143" s="31"/>
      <c r="AR143" s="54"/>
      <c r="AS143" s="21" t="str">
        <f>IFERROR(VLOOKUP(July[[#This Row],[Drug Name4]],'Data Options'!$R$1:$S$100,2,FALSE), " ")</f>
        <v xml:space="preserve"> </v>
      </c>
      <c r="AT143" s="55"/>
      <c r="AU143" s="32"/>
      <c r="AV143" s="32"/>
      <c r="AW143" s="55"/>
      <c r="AX143" s="32"/>
      <c r="AY143" s="54"/>
      <c r="AZ143" s="21" t="str">
        <f>IFERROR(VLOOKUP(July[[#This Row],[Drug Name5]],'Data Options'!$R$1:$S$100,2,FALSE), " ")</f>
        <v xml:space="preserve"> </v>
      </c>
      <c r="BA143" s="55"/>
      <c r="BB143" s="32"/>
      <c r="BC143" s="32"/>
      <c r="BD143" s="55"/>
      <c r="BE143" s="32"/>
      <c r="BF143" s="54"/>
      <c r="BG143" s="21" t="str">
        <f>IFERROR(VLOOKUP(July[[#This Row],[Drug Name6]],'Data Options'!$R$1:$S$100,2,FALSE), " ")</f>
        <v xml:space="preserve"> </v>
      </c>
      <c r="BH143" s="55"/>
      <c r="BI143" s="32"/>
      <c r="BJ143" s="32"/>
      <c r="BK143" s="55"/>
      <c r="BL143" s="32"/>
      <c r="BM143" s="32"/>
      <c r="BN143" s="32"/>
      <c r="BO143" s="32"/>
      <c r="BP143" s="32"/>
      <c r="BQ143" s="31"/>
      <c r="BR143" s="31"/>
      <c r="BS143" s="54"/>
      <c r="BT143" s="21" t="str">
        <f>IFERROR(VLOOKUP(July[[#This Row],[Drug Name7]],'Data Options'!$R$1:$S$100,2,FALSE), " ")</f>
        <v xml:space="preserve"> </v>
      </c>
      <c r="BU143" s="55"/>
      <c r="BV143" s="32"/>
      <c r="BW143" s="32"/>
      <c r="BX143" s="55"/>
      <c r="BY143" s="32"/>
      <c r="BZ143" s="54"/>
      <c r="CA143" s="21" t="str">
        <f>IFERROR(VLOOKUP(July[[#This Row],[Drug Name8]],'Data Options'!$R$1:$S$100,2,FALSE), " ")</f>
        <v xml:space="preserve"> </v>
      </c>
      <c r="CB143" s="55"/>
      <c r="CC143" s="32"/>
      <c r="CD143" s="32"/>
      <c r="CE143" s="55"/>
      <c r="CF143" s="32"/>
      <c r="CG143" s="54"/>
      <c r="CH143" s="21" t="str">
        <f>IFERROR(VLOOKUP(July[[#This Row],[Drug Name9]],'Data Options'!$R$1:$S$100,2,FALSE), " ")</f>
        <v xml:space="preserve"> </v>
      </c>
      <c r="CI143" s="55"/>
      <c r="CJ143" s="32"/>
      <c r="CK143" s="32"/>
      <c r="CL143" s="55"/>
      <c r="CM143" s="32"/>
    </row>
    <row r="144" spans="1:91">
      <c r="A144" s="5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1"/>
      <c r="P144" s="31"/>
      <c r="Q144" s="54"/>
      <c r="R144" s="21" t="str">
        <f>IFERROR(VLOOKUP(July[[#This Row],[Drug Name]],'Data Options'!$R$1:$S$100,2,FALSE), " ")</f>
        <v xml:space="preserve"> </v>
      </c>
      <c r="S144" s="55"/>
      <c r="T144" s="32"/>
      <c r="U144" s="32"/>
      <c r="V144" s="55"/>
      <c r="W144" s="32"/>
      <c r="X144" s="54"/>
      <c r="Y144" s="21" t="str">
        <f>IFERROR(VLOOKUP(July[[#This Row],[Drug Name2]],'Data Options'!$R$1:$S$100,2,FALSE), " ")</f>
        <v xml:space="preserve"> </v>
      </c>
      <c r="Z144" s="55"/>
      <c r="AA144" s="32"/>
      <c r="AB144" s="32"/>
      <c r="AC144" s="55"/>
      <c r="AD144" s="32"/>
      <c r="AE144" s="54"/>
      <c r="AF144" s="21" t="str">
        <f>IFERROR(VLOOKUP(July[[#This Row],[Drug Name3]],'Data Options'!$R$1:$S$100,2,FALSE), " ")</f>
        <v xml:space="preserve"> </v>
      </c>
      <c r="AG144" s="55"/>
      <c r="AH144" s="32"/>
      <c r="AI144" s="32"/>
      <c r="AJ144" s="55"/>
      <c r="AK144" s="32"/>
      <c r="AL144" s="32"/>
      <c r="AM144" s="32"/>
      <c r="AN144" s="32"/>
      <c r="AO144" s="32"/>
      <c r="AP144" s="31"/>
      <c r="AQ144" s="31"/>
      <c r="AR144" s="54"/>
      <c r="AS144" s="21" t="str">
        <f>IFERROR(VLOOKUP(July[[#This Row],[Drug Name4]],'Data Options'!$R$1:$S$100,2,FALSE), " ")</f>
        <v xml:space="preserve"> </v>
      </c>
      <c r="AT144" s="55"/>
      <c r="AU144" s="32"/>
      <c r="AV144" s="32"/>
      <c r="AW144" s="55"/>
      <c r="AX144" s="32"/>
      <c r="AY144" s="54"/>
      <c r="AZ144" s="21" t="str">
        <f>IFERROR(VLOOKUP(July[[#This Row],[Drug Name5]],'Data Options'!$R$1:$S$100,2,FALSE), " ")</f>
        <v xml:space="preserve"> </v>
      </c>
      <c r="BA144" s="55"/>
      <c r="BB144" s="32"/>
      <c r="BC144" s="32"/>
      <c r="BD144" s="55"/>
      <c r="BE144" s="32"/>
      <c r="BF144" s="54"/>
      <c r="BG144" s="21" t="str">
        <f>IFERROR(VLOOKUP(July[[#This Row],[Drug Name6]],'Data Options'!$R$1:$S$100,2,FALSE), " ")</f>
        <v xml:space="preserve"> </v>
      </c>
      <c r="BH144" s="55"/>
      <c r="BI144" s="32"/>
      <c r="BJ144" s="32"/>
      <c r="BK144" s="55"/>
      <c r="BL144" s="32"/>
      <c r="BM144" s="32"/>
      <c r="BN144" s="32"/>
      <c r="BO144" s="32"/>
      <c r="BP144" s="32"/>
      <c r="BQ144" s="31"/>
      <c r="BR144" s="31"/>
      <c r="BS144" s="54"/>
      <c r="BT144" s="21" t="str">
        <f>IFERROR(VLOOKUP(July[[#This Row],[Drug Name7]],'Data Options'!$R$1:$S$100,2,FALSE), " ")</f>
        <v xml:space="preserve"> </v>
      </c>
      <c r="BU144" s="55"/>
      <c r="BV144" s="32"/>
      <c r="BW144" s="32"/>
      <c r="BX144" s="55"/>
      <c r="BY144" s="32"/>
      <c r="BZ144" s="54"/>
      <c r="CA144" s="21" t="str">
        <f>IFERROR(VLOOKUP(July[[#This Row],[Drug Name8]],'Data Options'!$R$1:$S$100,2,FALSE), " ")</f>
        <v xml:space="preserve"> </v>
      </c>
      <c r="CB144" s="55"/>
      <c r="CC144" s="32"/>
      <c r="CD144" s="32"/>
      <c r="CE144" s="55"/>
      <c r="CF144" s="32"/>
      <c r="CG144" s="54"/>
      <c r="CH144" s="21" t="str">
        <f>IFERROR(VLOOKUP(July[[#This Row],[Drug Name9]],'Data Options'!$R$1:$S$100,2,FALSE), " ")</f>
        <v xml:space="preserve"> </v>
      </c>
      <c r="CI144" s="55"/>
      <c r="CJ144" s="32"/>
      <c r="CK144" s="32"/>
      <c r="CL144" s="55"/>
      <c r="CM144" s="32"/>
    </row>
    <row r="145" spans="1:91">
      <c r="A145" s="5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1"/>
      <c r="P145" s="31"/>
      <c r="Q145" s="54"/>
      <c r="R145" s="21" t="str">
        <f>IFERROR(VLOOKUP(July[[#This Row],[Drug Name]],'Data Options'!$R$1:$S$100,2,FALSE), " ")</f>
        <v xml:space="preserve"> </v>
      </c>
      <c r="S145" s="55"/>
      <c r="T145" s="32"/>
      <c r="U145" s="32"/>
      <c r="V145" s="55"/>
      <c r="W145" s="32"/>
      <c r="X145" s="54"/>
      <c r="Y145" s="21" t="str">
        <f>IFERROR(VLOOKUP(July[[#This Row],[Drug Name2]],'Data Options'!$R$1:$S$100,2,FALSE), " ")</f>
        <v xml:space="preserve"> </v>
      </c>
      <c r="Z145" s="55"/>
      <c r="AA145" s="32"/>
      <c r="AB145" s="32"/>
      <c r="AC145" s="55"/>
      <c r="AD145" s="32"/>
      <c r="AE145" s="54"/>
      <c r="AF145" s="21" t="str">
        <f>IFERROR(VLOOKUP(July[[#This Row],[Drug Name3]],'Data Options'!$R$1:$S$100,2,FALSE), " ")</f>
        <v xml:space="preserve"> </v>
      </c>
      <c r="AG145" s="55"/>
      <c r="AH145" s="32"/>
      <c r="AI145" s="32"/>
      <c r="AJ145" s="55"/>
      <c r="AK145" s="32"/>
      <c r="AL145" s="32"/>
      <c r="AM145" s="32"/>
      <c r="AN145" s="32"/>
      <c r="AO145" s="32"/>
      <c r="AP145" s="31"/>
      <c r="AQ145" s="31"/>
      <c r="AR145" s="54"/>
      <c r="AS145" s="21" t="str">
        <f>IFERROR(VLOOKUP(July[[#This Row],[Drug Name4]],'Data Options'!$R$1:$S$100,2,FALSE), " ")</f>
        <v xml:space="preserve"> </v>
      </c>
      <c r="AT145" s="55"/>
      <c r="AU145" s="32"/>
      <c r="AV145" s="32"/>
      <c r="AW145" s="55"/>
      <c r="AX145" s="32"/>
      <c r="AY145" s="54"/>
      <c r="AZ145" s="21" t="str">
        <f>IFERROR(VLOOKUP(July[[#This Row],[Drug Name5]],'Data Options'!$R$1:$S$100,2,FALSE), " ")</f>
        <v xml:space="preserve"> </v>
      </c>
      <c r="BA145" s="55"/>
      <c r="BB145" s="32"/>
      <c r="BC145" s="32"/>
      <c r="BD145" s="55"/>
      <c r="BE145" s="32"/>
      <c r="BF145" s="54"/>
      <c r="BG145" s="21" t="str">
        <f>IFERROR(VLOOKUP(July[[#This Row],[Drug Name6]],'Data Options'!$R$1:$S$100,2,FALSE), " ")</f>
        <v xml:space="preserve"> </v>
      </c>
      <c r="BH145" s="55"/>
      <c r="BI145" s="32"/>
      <c r="BJ145" s="32"/>
      <c r="BK145" s="55"/>
      <c r="BL145" s="32"/>
      <c r="BM145" s="32"/>
      <c r="BN145" s="32"/>
      <c r="BO145" s="32"/>
      <c r="BP145" s="32"/>
      <c r="BQ145" s="31"/>
      <c r="BR145" s="31"/>
      <c r="BS145" s="54"/>
      <c r="BT145" s="21" t="str">
        <f>IFERROR(VLOOKUP(July[[#This Row],[Drug Name7]],'Data Options'!$R$1:$S$100,2,FALSE), " ")</f>
        <v xml:space="preserve"> </v>
      </c>
      <c r="BU145" s="55"/>
      <c r="BV145" s="32"/>
      <c r="BW145" s="32"/>
      <c r="BX145" s="55"/>
      <c r="BY145" s="32"/>
      <c r="BZ145" s="54"/>
      <c r="CA145" s="21" t="str">
        <f>IFERROR(VLOOKUP(July[[#This Row],[Drug Name8]],'Data Options'!$R$1:$S$100,2,FALSE), " ")</f>
        <v xml:space="preserve"> </v>
      </c>
      <c r="CB145" s="55"/>
      <c r="CC145" s="32"/>
      <c r="CD145" s="32"/>
      <c r="CE145" s="55"/>
      <c r="CF145" s="32"/>
      <c r="CG145" s="54"/>
      <c r="CH145" s="21" t="str">
        <f>IFERROR(VLOOKUP(July[[#This Row],[Drug Name9]],'Data Options'!$R$1:$S$100,2,FALSE), " ")</f>
        <v xml:space="preserve"> </v>
      </c>
      <c r="CI145" s="55"/>
      <c r="CJ145" s="32"/>
      <c r="CK145" s="32"/>
      <c r="CL145" s="55"/>
      <c r="CM145" s="32"/>
    </row>
    <row r="146" spans="1:91">
      <c r="A146" s="5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1"/>
      <c r="P146" s="31"/>
      <c r="Q146" s="54"/>
      <c r="R146" s="21" t="str">
        <f>IFERROR(VLOOKUP(July[[#This Row],[Drug Name]],'Data Options'!$R$1:$S$100,2,FALSE), " ")</f>
        <v xml:space="preserve"> </v>
      </c>
      <c r="S146" s="55"/>
      <c r="T146" s="32"/>
      <c r="U146" s="32"/>
      <c r="V146" s="55"/>
      <c r="W146" s="32"/>
      <c r="X146" s="54"/>
      <c r="Y146" s="21" t="str">
        <f>IFERROR(VLOOKUP(July[[#This Row],[Drug Name2]],'Data Options'!$R$1:$S$100,2,FALSE), " ")</f>
        <v xml:space="preserve"> </v>
      </c>
      <c r="Z146" s="55"/>
      <c r="AA146" s="32"/>
      <c r="AB146" s="32"/>
      <c r="AC146" s="55"/>
      <c r="AD146" s="32"/>
      <c r="AE146" s="54"/>
      <c r="AF146" s="21" t="str">
        <f>IFERROR(VLOOKUP(July[[#This Row],[Drug Name3]],'Data Options'!$R$1:$S$100,2,FALSE), " ")</f>
        <v xml:space="preserve"> </v>
      </c>
      <c r="AG146" s="55"/>
      <c r="AH146" s="32"/>
      <c r="AI146" s="32"/>
      <c r="AJ146" s="55"/>
      <c r="AK146" s="32"/>
      <c r="AL146" s="32"/>
      <c r="AM146" s="32"/>
      <c r="AN146" s="32"/>
      <c r="AO146" s="32"/>
      <c r="AP146" s="31"/>
      <c r="AQ146" s="31"/>
      <c r="AR146" s="54"/>
      <c r="AS146" s="21" t="str">
        <f>IFERROR(VLOOKUP(July[[#This Row],[Drug Name4]],'Data Options'!$R$1:$S$100,2,FALSE), " ")</f>
        <v xml:space="preserve"> </v>
      </c>
      <c r="AT146" s="55"/>
      <c r="AU146" s="32"/>
      <c r="AV146" s="32"/>
      <c r="AW146" s="55"/>
      <c r="AX146" s="32"/>
      <c r="AY146" s="54"/>
      <c r="AZ146" s="21" t="str">
        <f>IFERROR(VLOOKUP(July[[#This Row],[Drug Name5]],'Data Options'!$R$1:$S$100,2,FALSE), " ")</f>
        <v xml:space="preserve"> </v>
      </c>
      <c r="BA146" s="55"/>
      <c r="BB146" s="32"/>
      <c r="BC146" s="32"/>
      <c r="BD146" s="55"/>
      <c r="BE146" s="32"/>
      <c r="BF146" s="54"/>
      <c r="BG146" s="21" t="str">
        <f>IFERROR(VLOOKUP(July[[#This Row],[Drug Name6]],'Data Options'!$R$1:$S$100,2,FALSE), " ")</f>
        <v xml:space="preserve"> </v>
      </c>
      <c r="BH146" s="55"/>
      <c r="BI146" s="32"/>
      <c r="BJ146" s="32"/>
      <c r="BK146" s="55"/>
      <c r="BL146" s="32"/>
      <c r="BM146" s="32"/>
      <c r="BN146" s="32"/>
      <c r="BO146" s="32"/>
      <c r="BP146" s="32"/>
      <c r="BQ146" s="31"/>
      <c r="BR146" s="31"/>
      <c r="BS146" s="54"/>
      <c r="BT146" s="21" t="str">
        <f>IFERROR(VLOOKUP(July[[#This Row],[Drug Name7]],'Data Options'!$R$1:$S$100,2,FALSE), " ")</f>
        <v xml:space="preserve"> </v>
      </c>
      <c r="BU146" s="55"/>
      <c r="BV146" s="32"/>
      <c r="BW146" s="32"/>
      <c r="BX146" s="55"/>
      <c r="BY146" s="32"/>
      <c r="BZ146" s="54"/>
      <c r="CA146" s="21" t="str">
        <f>IFERROR(VLOOKUP(July[[#This Row],[Drug Name8]],'Data Options'!$R$1:$S$100,2,FALSE), " ")</f>
        <v xml:space="preserve"> </v>
      </c>
      <c r="CB146" s="55"/>
      <c r="CC146" s="32"/>
      <c r="CD146" s="32"/>
      <c r="CE146" s="55"/>
      <c r="CF146" s="32"/>
      <c r="CG146" s="54"/>
      <c r="CH146" s="21" t="str">
        <f>IFERROR(VLOOKUP(July[[#This Row],[Drug Name9]],'Data Options'!$R$1:$S$100,2,FALSE), " ")</f>
        <v xml:space="preserve"> </v>
      </c>
      <c r="CI146" s="55"/>
      <c r="CJ146" s="32"/>
      <c r="CK146" s="32"/>
      <c r="CL146" s="55"/>
      <c r="CM146" s="32"/>
    </row>
    <row r="147" spans="1:91">
      <c r="A147" s="5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1"/>
      <c r="P147" s="31"/>
      <c r="Q147" s="54"/>
      <c r="R147" s="21" t="str">
        <f>IFERROR(VLOOKUP(July[[#This Row],[Drug Name]],'Data Options'!$R$1:$S$100,2,FALSE), " ")</f>
        <v xml:space="preserve"> </v>
      </c>
      <c r="S147" s="55"/>
      <c r="T147" s="32"/>
      <c r="U147" s="32"/>
      <c r="V147" s="55"/>
      <c r="W147" s="32"/>
      <c r="X147" s="54"/>
      <c r="Y147" s="21" t="str">
        <f>IFERROR(VLOOKUP(July[[#This Row],[Drug Name2]],'Data Options'!$R$1:$S$100,2,FALSE), " ")</f>
        <v xml:space="preserve"> </v>
      </c>
      <c r="Z147" s="55"/>
      <c r="AA147" s="32"/>
      <c r="AB147" s="32"/>
      <c r="AC147" s="55"/>
      <c r="AD147" s="32"/>
      <c r="AE147" s="54"/>
      <c r="AF147" s="21" t="str">
        <f>IFERROR(VLOOKUP(July[[#This Row],[Drug Name3]],'Data Options'!$R$1:$S$100,2,FALSE), " ")</f>
        <v xml:space="preserve"> </v>
      </c>
      <c r="AG147" s="55"/>
      <c r="AH147" s="32"/>
      <c r="AI147" s="32"/>
      <c r="AJ147" s="55"/>
      <c r="AK147" s="32"/>
      <c r="AL147" s="32"/>
      <c r="AM147" s="32"/>
      <c r="AN147" s="32"/>
      <c r="AO147" s="32"/>
      <c r="AP147" s="31"/>
      <c r="AQ147" s="31"/>
      <c r="AR147" s="54"/>
      <c r="AS147" s="21" t="str">
        <f>IFERROR(VLOOKUP(July[[#This Row],[Drug Name4]],'Data Options'!$R$1:$S$100,2,FALSE), " ")</f>
        <v xml:space="preserve"> </v>
      </c>
      <c r="AT147" s="55"/>
      <c r="AU147" s="32"/>
      <c r="AV147" s="32"/>
      <c r="AW147" s="55"/>
      <c r="AX147" s="32"/>
      <c r="AY147" s="54"/>
      <c r="AZ147" s="21" t="str">
        <f>IFERROR(VLOOKUP(July[[#This Row],[Drug Name5]],'Data Options'!$R$1:$S$100,2,FALSE), " ")</f>
        <v xml:space="preserve"> </v>
      </c>
      <c r="BA147" s="55"/>
      <c r="BB147" s="32"/>
      <c r="BC147" s="32"/>
      <c r="BD147" s="55"/>
      <c r="BE147" s="32"/>
      <c r="BF147" s="54"/>
      <c r="BG147" s="21" t="str">
        <f>IFERROR(VLOOKUP(July[[#This Row],[Drug Name6]],'Data Options'!$R$1:$S$100,2,FALSE), " ")</f>
        <v xml:space="preserve"> </v>
      </c>
      <c r="BH147" s="55"/>
      <c r="BI147" s="32"/>
      <c r="BJ147" s="32"/>
      <c r="BK147" s="55"/>
      <c r="BL147" s="32"/>
      <c r="BM147" s="32"/>
      <c r="BN147" s="32"/>
      <c r="BO147" s="32"/>
      <c r="BP147" s="32"/>
      <c r="BQ147" s="31"/>
      <c r="BR147" s="31"/>
      <c r="BS147" s="54"/>
      <c r="BT147" s="21" t="str">
        <f>IFERROR(VLOOKUP(July[[#This Row],[Drug Name7]],'Data Options'!$R$1:$S$100,2,FALSE), " ")</f>
        <v xml:space="preserve"> </v>
      </c>
      <c r="BU147" s="55"/>
      <c r="BV147" s="32"/>
      <c r="BW147" s="32"/>
      <c r="BX147" s="55"/>
      <c r="BY147" s="32"/>
      <c r="BZ147" s="54"/>
      <c r="CA147" s="21" t="str">
        <f>IFERROR(VLOOKUP(July[[#This Row],[Drug Name8]],'Data Options'!$R$1:$S$100,2,FALSE), " ")</f>
        <v xml:space="preserve"> </v>
      </c>
      <c r="CB147" s="55"/>
      <c r="CC147" s="32"/>
      <c r="CD147" s="32"/>
      <c r="CE147" s="55"/>
      <c r="CF147" s="32"/>
      <c r="CG147" s="54"/>
      <c r="CH147" s="21" t="str">
        <f>IFERROR(VLOOKUP(July[[#This Row],[Drug Name9]],'Data Options'!$R$1:$S$100,2,FALSE), " ")</f>
        <v xml:space="preserve"> </v>
      </c>
      <c r="CI147" s="55"/>
      <c r="CJ147" s="32"/>
      <c r="CK147" s="32"/>
      <c r="CL147" s="55"/>
      <c r="CM147" s="32"/>
    </row>
    <row r="148" spans="1:91">
      <c r="A148" s="5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1"/>
      <c r="P148" s="31"/>
      <c r="Q148" s="54"/>
      <c r="R148" s="21" t="str">
        <f>IFERROR(VLOOKUP(July[[#This Row],[Drug Name]],'Data Options'!$R$1:$S$100,2,FALSE), " ")</f>
        <v xml:space="preserve"> </v>
      </c>
      <c r="S148" s="55"/>
      <c r="T148" s="32"/>
      <c r="U148" s="32"/>
      <c r="V148" s="55"/>
      <c r="W148" s="32"/>
      <c r="X148" s="54"/>
      <c r="Y148" s="21" t="str">
        <f>IFERROR(VLOOKUP(July[[#This Row],[Drug Name2]],'Data Options'!$R$1:$S$100,2,FALSE), " ")</f>
        <v xml:space="preserve"> </v>
      </c>
      <c r="Z148" s="55"/>
      <c r="AA148" s="32"/>
      <c r="AB148" s="32"/>
      <c r="AC148" s="55"/>
      <c r="AD148" s="32"/>
      <c r="AE148" s="54"/>
      <c r="AF148" s="21" t="str">
        <f>IFERROR(VLOOKUP(July[[#This Row],[Drug Name3]],'Data Options'!$R$1:$S$100,2,FALSE), " ")</f>
        <v xml:space="preserve"> </v>
      </c>
      <c r="AG148" s="55"/>
      <c r="AH148" s="32"/>
      <c r="AI148" s="32"/>
      <c r="AJ148" s="55"/>
      <c r="AK148" s="32"/>
      <c r="AL148" s="32"/>
      <c r="AM148" s="32"/>
      <c r="AN148" s="32"/>
      <c r="AO148" s="32"/>
      <c r="AP148" s="31"/>
      <c r="AQ148" s="31"/>
      <c r="AR148" s="54"/>
      <c r="AS148" s="21" t="str">
        <f>IFERROR(VLOOKUP(July[[#This Row],[Drug Name4]],'Data Options'!$R$1:$S$100,2,FALSE), " ")</f>
        <v xml:space="preserve"> </v>
      </c>
      <c r="AT148" s="55"/>
      <c r="AU148" s="32"/>
      <c r="AV148" s="32"/>
      <c r="AW148" s="55"/>
      <c r="AX148" s="32"/>
      <c r="AY148" s="54"/>
      <c r="AZ148" s="21" t="str">
        <f>IFERROR(VLOOKUP(July[[#This Row],[Drug Name5]],'Data Options'!$R$1:$S$100,2,FALSE), " ")</f>
        <v xml:space="preserve"> </v>
      </c>
      <c r="BA148" s="55"/>
      <c r="BB148" s="32"/>
      <c r="BC148" s="32"/>
      <c r="BD148" s="55"/>
      <c r="BE148" s="32"/>
      <c r="BF148" s="54"/>
      <c r="BG148" s="21" t="str">
        <f>IFERROR(VLOOKUP(July[[#This Row],[Drug Name6]],'Data Options'!$R$1:$S$100,2,FALSE), " ")</f>
        <v xml:space="preserve"> </v>
      </c>
      <c r="BH148" s="55"/>
      <c r="BI148" s="32"/>
      <c r="BJ148" s="32"/>
      <c r="BK148" s="55"/>
      <c r="BL148" s="32"/>
      <c r="BM148" s="32"/>
      <c r="BN148" s="32"/>
      <c r="BO148" s="32"/>
      <c r="BP148" s="32"/>
      <c r="BQ148" s="31"/>
      <c r="BR148" s="31"/>
      <c r="BS148" s="54"/>
      <c r="BT148" s="21" t="str">
        <f>IFERROR(VLOOKUP(July[[#This Row],[Drug Name7]],'Data Options'!$R$1:$S$100,2,FALSE), " ")</f>
        <v xml:space="preserve"> </v>
      </c>
      <c r="BU148" s="55"/>
      <c r="BV148" s="32"/>
      <c r="BW148" s="32"/>
      <c r="BX148" s="55"/>
      <c r="BY148" s="32"/>
      <c r="BZ148" s="54"/>
      <c r="CA148" s="21" t="str">
        <f>IFERROR(VLOOKUP(July[[#This Row],[Drug Name8]],'Data Options'!$R$1:$S$100,2,FALSE), " ")</f>
        <v xml:space="preserve"> </v>
      </c>
      <c r="CB148" s="55"/>
      <c r="CC148" s="32"/>
      <c r="CD148" s="32"/>
      <c r="CE148" s="55"/>
      <c r="CF148" s="32"/>
      <c r="CG148" s="54"/>
      <c r="CH148" s="21" t="str">
        <f>IFERROR(VLOOKUP(July[[#This Row],[Drug Name9]],'Data Options'!$R$1:$S$100,2,FALSE), " ")</f>
        <v xml:space="preserve"> </v>
      </c>
      <c r="CI148" s="55"/>
      <c r="CJ148" s="32"/>
      <c r="CK148" s="32"/>
      <c r="CL148" s="55"/>
      <c r="CM148" s="32"/>
    </row>
    <row r="149" spans="1:91">
      <c r="A149" s="5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1"/>
      <c r="P149" s="31"/>
      <c r="Q149" s="54"/>
      <c r="R149" s="21" t="str">
        <f>IFERROR(VLOOKUP(July[[#This Row],[Drug Name]],'Data Options'!$R$1:$S$100,2,FALSE), " ")</f>
        <v xml:space="preserve"> </v>
      </c>
      <c r="S149" s="55"/>
      <c r="T149" s="32"/>
      <c r="U149" s="32"/>
      <c r="V149" s="55"/>
      <c r="W149" s="32"/>
      <c r="X149" s="54"/>
      <c r="Y149" s="21" t="str">
        <f>IFERROR(VLOOKUP(July[[#This Row],[Drug Name2]],'Data Options'!$R$1:$S$100,2,FALSE), " ")</f>
        <v xml:space="preserve"> </v>
      </c>
      <c r="Z149" s="55"/>
      <c r="AA149" s="32"/>
      <c r="AB149" s="32"/>
      <c r="AC149" s="55"/>
      <c r="AD149" s="32"/>
      <c r="AE149" s="54"/>
      <c r="AF149" s="21" t="str">
        <f>IFERROR(VLOOKUP(July[[#This Row],[Drug Name3]],'Data Options'!$R$1:$S$100,2,FALSE), " ")</f>
        <v xml:space="preserve"> </v>
      </c>
      <c r="AG149" s="55"/>
      <c r="AH149" s="32"/>
      <c r="AI149" s="32"/>
      <c r="AJ149" s="55"/>
      <c r="AK149" s="32"/>
      <c r="AL149" s="32"/>
      <c r="AM149" s="32"/>
      <c r="AN149" s="32"/>
      <c r="AO149" s="32"/>
      <c r="AP149" s="31"/>
      <c r="AQ149" s="31"/>
      <c r="AR149" s="54"/>
      <c r="AS149" s="21" t="str">
        <f>IFERROR(VLOOKUP(July[[#This Row],[Drug Name4]],'Data Options'!$R$1:$S$100,2,FALSE), " ")</f>
        <v xml:space="preserve"> </v>
      </c>
      <c r="AT149" s="55"/>
      <c r="AU149" s="32"/>
      <c r="AV149" s="32"/>
      <c r="AW149" s="55"/>
      <c r="AX149" s="32"/>
      <c r="AY149" s="54"/>
      <c r="AZ149" s="21" t="str">
        <f>IFERROR(VLOOKUP(July[[#This Row],[Drug Name5]],'Data Options'!$R$1:$S$100,2,FALSE), " ")</f>
        <v xml:space="preserve"> </v>
      </c>
      <c r="BA149" s="55"/>
      <c r="BB149" s="32"/>
      <c r="BC149" s="32"/>
      <c r="BD149" s="55"/>
      <c r="BE149" s="32"/>
      <c r="BF149" s="54"/>
      <c r="BG149" s="21" t="str">
        <f>IFERROR(VLOOKUP(July[[#This Row],[Drug Name6]],'Data Options'!$R$1:$S$100,2,FALSE), " ")</f>
        <v xml:space="preserve"> </v>
      </c>
      <c r="BH149" s="55"/>
      <c r="BI149" s="32"/>
      <c r="BJ149" s="32"/>
      <c r="BK149" s="55"/>
      <c r="BL149" s="32"/>
      <c r="BM149" s="32"/>
      <c r="BN149" s="32"/>
      <c r="BO149" s="32"/>
      <c r="BP149" s="32"/>
      <c r="BQ149" s="31"/>
      <c r="BR149" s="31"/>
      <c r="BS149" s="54"/>
      <c r="BT149" s="21" t="str">
        <f>IFERROR(VLOOKUP(July[[#This Row],[Drug Name7]],'Data Options'!$R$1:$S$100,2,FALSE), " ")</f>
        <v xml:space="preserve"> </v>
      </c>
      <c r="BU149" s="55"/>
      <c r="BV149" s="32"/>
      <c r="BW149" s="32"/>
      <c r="BX149" s="55"/>
      <c r="BY149" s="32"/>
      <c r="BZ149" s="54"/>
      <c r="CA149" s="21" t="str">
        <f>IFERROR(VLOOKUP(July[[#This Row],[Drug Name8]],'Data Options'!$R$1:$S$100,2,FALSE), " ")</f>
        <v xml:space="preserve"> </v>
      </c>
      <c r="CB149" s="55"/>
      <c r="CC149" s="32"/>
      <c r="CD149" s="32"/>
      <c r="CE149" s="55"/>
      <c r="CF149" s="32"/>
      <c r="CG149" s="54"/>
      <c r="CH149" s="21" t="str">
        <f>IFERROR(VLOOKUP(July[[#This Row],[Drug Name9]],'Data Options'!$R$1:$S$100,2,FALSE), " ")</f>
        <v xml:space="preserve"> </v>
      </c>
      <c r="CI149" s="55"/>
      <c r="CJ149" s="32"/>
      <c r="CK149" s="32"/>
      <c r="CL149" s="55"/>
      <c r="CM149" s="32"/>
    </row>
    <row r="150" spans="1:91">
      <c r="A150" s="5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1"/>
      <c r="P150" s="31"/>
      <c r="Q150" s="54"/>
      <c r="R150" s="21" t="str">
        <f>IFERROR(VLOOKUP(July[[#This Row],[Drug Name]],'Data Options'!$R$1:$S$100,2,FALSE), " ")</f>
        <v xml:space="preserve"> </v>
      </c>
      <c r="S150" s="55"/>
      <c r="T150" s="32"/>
      <c r="U150" s="32"/>
      <c r="V150" s="55"/>
      <c r="W150" s="32"/>
      <c r="X150" s="54"/>
      <c r="Y150" s="21" t="str">
        <f>IFERROR(VLOOKUP(July[[#This Row],[Drug Name2]],'Data Options'!$R$1:$S$100,2,FALSE), " ")</f>
        <v xml:space="preserve"> </v>
      </c>
      <c r="Z150" s="55"/>
      <c r="AA150" s="32"/>
      <c r="AB150" s="32"/>
      <c r="AC150" s="55"/>
      <c r="AD150" s="32"/>
      <c r="AE150" s="54"/>
      <c r="AF150" s="21" t="str">
        <f>IFERROR(VLOOKUP(July[[#This Row],[Drug Name3]],'Data Options'!$R$1:$S$100,2,FALSE), " ")</f>
        <v xml:space="preserve"> </v>
      </c>
      <c r="AG150" s="55"/>
      <c r="AH150" s="32"/>
      <c r="AI150" s="32"/>
      <c r="AJ150" s="55"/>
      <c r="AK150" s="32"/>
      <c r="AL150" s="32"/>
      <c r="AM150" s="32"/>
      <c r="AN150" s="32"/>
      <c r="AO150" s="32"/>
      <c r="AP150" s="31"/>
      <c r="AQ150" s="31"/>
      <c r="AR150" s="54"/>
      <c r="AS150" s="21" t="str">
        <f>IFERROR(VLOOKUP(July[[#This Row],[Drug Name4]],'Data Options'!$R$1:$S$100,2,FALSE), " ")</f>
        <v xml:space="preserve"> </v>
      </c>
      <c r="AT150" s="55"/>
      <c r="AU150" s="32"/>
      <c r="AV150" s="32"/>
      <c r="AW150" s="55"/>
      <c r="AX150" s="32"/>
      <c r="AY150" s="54"/>
      <c r="AZ150" s="21" t="str">
        <f>IFERROR(VLOOKUP(July[[#This Row],[Drug Name5]],'Data Options'!$R$1:$S$100,2,FALSE), " ")</f>
        <v xml:space="preserve"> </v>
      </c>
      <c r="BA150" s="55"/>
      <c r="BB150" s="32"/>
      <c r="BC150" s="32"/>
      <c r="BD150" s="55"/>
      <c r="BE150" s="32"/>
      <c r="BF150" s="54"/>
      <c r="BG150" s="21" t="str">
        <f>IFERROR(VLOOKUP(July[[#This Row],[Drug Name6]],'Data Options'!$R$1:$S$100,2,FALSE), " ")</f>
        <v xml:space="preserve"> </v>
      </c>
      <c r="BH150" s="55"/>
      <c r="BI150" s="32"/>
      <c r="BJ150" s="32"/>
      <c r="BK150" s="55"/>
      <c r="BL150" s="32"/>
      <c r="BM150" s="32"/>
      <c r="BN150" s="32"/>
      <c r="BO150" s="32"/>
      <c r="BP150" s="32"/>
      <c r="BQ150" s="31"/>
      <c r="BR150" s="31"/>
      <c r="BS150" s="54"/>
      <c r="BT150" s="21" t="str">
        <f>IFERROR(VLOOKUP(July[[#This Row],[Drug Name7]],'Data Options'!$R$1:$S$100,2,FALSE), " ")</f>
        <v xml:space="preserve"> </v>
      </c>
      <c r="BU150" s="55"/>
      <c r="BV150" s="32"/>
      <c r="BW150" s="32"/>
      <c r="BX150" s="55"/>
      <c r="BY150" s="32"/>
      <c r="BZ150" s="54"/>
      <c r="CA150" s="21" t="str">
        <f>IFERROR(VLOOKUP(July[[#This Row],[Drug Name8]],'Data Options'!$R$1:$S$100,2,FALSE), " ")</f>
        <v xml:space="preserve"> </v>
      </c>
      <c r="CB150" s="55"/>
      <c r="CC150" s="32"/>
      <c r="CD150" s="32"/>
      <c r="CE150" s="55"/>
      <c r="CF150" s="32"/>
      <c r="CG150" s="54"/>
      <c r="CH150" s="21" t="str">
        <f>IFERROR(VLOOKUP(July[[#This Row],[Drug Name9]],'Data Options'!$R$1:$S$100,2,FALSE), " ")</f>
        <v xml:space="preserve"> </v>
      </c>
      <c r="CI150" s="55"/>
      <c r="CJ150" s="32"/>
      <c r="CK150" s="32"/>
      <c r="CL150" s="55"/>
      <c r="CM150" s="32"/>
    </row>
    <row r="151" spans="1:91">
      <c r="A151" s="5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1"/>
      <c r="P151" s="31"/>
      <c r="Q151" s="54"/>
      <c r="R151" s="21" t="str">
        <f>IFERROR(VLOOKUP(July[[#This Row],[Drug Name]],'Data Options'!$R$1:$S$100,2,FALSE), " ")</f>
        <v xml:space="preserve"> </v>
      </c>
      <c r="S151" s="55"/>
      <c r="T151" s="32"/>
      <c r="U151" s="32"/>
      <c r="V151" s="55"/>
      <c r="W151" s="32"/>
      <c r="X151" s="54"/>
      <c r="Y151" s="21" t="str">
        <f>IFERROR(VLOOKUP(July[[#This Row],[Drug Name2]],'Data Options'!$R$1:$S$100,2,FALSE), " ")</f>
        <v xml:space="preserve"> </v>
      </c>
      <c r="Z151" s="55"/>
      <c r="AA151" s="32"/>
      <c r="AB151" s="32"/>
      <c r="AC151" s="55"/>
      <c r="AD151" s="32"/>
      <c r="AE151" s="54"/>
      <c r="AF151" s="21" t="str">
        <f>IFERROR(VLOOKUP(July[[#This Row],[Drug Name3]],'Data Options'!$R$1:$S$100,2,FALSE), " ")</f>
        <v xml:space="preserve"> </v>
      </c>
      <c r="AG151" s="55"/>
      <c r="AH151" s="32"/>
      <c r="AI151" s="32"/>
      <c r="AJ151" s="55"/>
      <c r="AK151" s="32"/>
      <c r="AL151" s="32"/>
      <c r="AM151" s="32"/>
      <c r="AN151" s="32"/>
      <c r="AO151" s="32"/>
      <c r="AP151" s="31"/>
      <c r="AQ151" s="31"/>
      <c r="AR151" s="54"/>
      <c r="AS151" s="21" t="str">
        <f>IFERROR(VLOOKUP(July[[#This Row],[Drug Name4]],'Data Options'!$R$1:$S$100,2,FALSE), " ")</f>
        <v xml:space="preserve"> </v>
      </c>
      <c r="AT151" s="55"/>
      <c r="AU151" s="32"/>
      <c r="AV151" s="32"/>
      <c r="AW151" s="55"/>
      <c r="AX151" s="32"/>
      <c r="AY151" s="54"/>
      <c r="AZ151" s="21" t="str">
        <f>IFERROR(VLOOKUP(July[[#This Row],[Drug Name5]],'Data Options'!$R$1:$S$100,2,FALSE), " ")</f>
        <v xml:space="preserve"> </v>
      </c>
      <c r="BA151" s="55"/>
      <c r="BB151" s="32"/>
      <c r="BC151" s="32"/>
      <c r="BD151" s="55"/>
      <c r="BE151" s="32"/>
      <c r="BF151" s="54"/>
      <c r="BG151" s="21" t="str">
        <f>IFERROR(VLOOKUP(July[[#This Row],[Drug Name6]],'Data Options'!$R$1:$S$100,2,FALSE), " ")</f>
        <v xml:space="preserve"> </v>
      </c>
      <c r="BH151" s="55"/>
      <c r="BI151" s="32"/>
      <c r="BJ151" s="32"/>
      <c r="BK151" s="55"/>
      <c r="BL151" s="32"/>
      <c r="BM151" s="32"/>
      <c r="BN151" s="32"/>
      <c r="BO151" s="32"/>
      <c r="BP151" s="32"/>
      <c r="BQ151" s="31"/>
      <c r="BR151" s="31"/>
      <c r="BS151" s="54"/>
      <c r="BT151" s="21" t="str">
        <f>IFERROR(VLOOKUP(July[[#This Row],[Drug Name7]],'Data Options'!$R$1:$S$100,2,FALSE), " ")</f>
        <v xml:space="preserve"> </v>
      </c>
      <c r="BU151" s="55"/>
      <c r="BV151" s="32"/>
      <c r="BW151" s="32"/>
      <c r="BX151" s="55"/>
      <c r="BY151" s="32"/>
      <c r="BZ151" s="54"/>
      <c r="CA151" s="21" t="str">
        <f>IFERROR(VLOOKUP(July[[#This Row],[Drug Name8]],'Data Options'!$R$1:$S$100,2,FALSE), " ")</f>
        <v xml:space="preserve"> </v>
      </c>
      <c r="CB151" s="55"/>
      <c r="CC151" s="32"/>
      <c r="CD151" s="32"/>
      <c r="CE151" s="55"/>
      <c r="CF151" s="32"/>
      <c r="CG151" s="54"/>
      <c r="CH151" s="21" t="str">
        <f>IFERROR(VLOOKUP(July[[#This Row],[Drug Name9]],'Data Options'!$R$1:$S$100,2,FALSE), " ")</f>
        <v xml:space="preserve"> </v>
      </c>
      <c r="CI151" s="55"/>
      <c r="CJ151" s="32"/>
      <c r="CK151" s="32"/>
      <c r="CL151" s="55"/>
      <c r="CM151" s="32"/>
    </row>
    <row r="152" spans="1:91">
      <c r="A152" s="5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1"/>
      <c r="P152" s="31"/>
      <c r="Q152" s="54"/>
      <c r="R152" s="21" t="str">
        <f>IFERROR(VLOOKUP(July[[#This Row],[Drug Name]],'Data Options'!$R$1:$S$100,2,FALSE), " ")</f>
        <v xml:space="preserve"> </v>
      </c>
      <c r="S152" s="55"/>
      <c r="T152" s="32"/>
      <c r="U152" s="32"/>
      <c r="V152" s="55"/>
      <c r="W152" s="32"/>
      <c r="X152" s="54"/>
      <c r="Y152" s="21" t="str">
        <f>IFERROR(VLOOKUP(July[[#This Row],[Drug Name2]],'Data Options'!$R$1:$S$100,2,FALSE), " ")</f>
        <v xml:space="preserve"> </v>
      </c>
      <c r="Z152" s="55"/>
      <c r="AA152" s="32"/>
      <c r="AB152" s="32"/>
      <c r="AC152" s="55"/>
      <c r="AD152" s="32"/>
      <c r="AE152" s="54"/>
      <c r="AF152" s="21" t="str">
        <f>IFERROR(VLOOKUP(July[[#This Row],[Drug Name3]],'Data Options'!$R$1:$S$100,2,FALSE), " ")</f>
        <v xml:space="preserve"> </v>
      </c>
      <c r="AG152" s="55"/>
      <c r="AH152" s="32"/>
      <c r="AI152" s="32"/>
      <c r="AJ152" s="55"/>
      <c r="AK152" s="32"/>
      <c r="AL152" s="32"/>
      <c r="AM152" s="32"/>
      <c r="AN152" s="32"/>
      <c r="AO152" s="32"/>
      <c r="AP152" s="31"/>
      <c r="AQ152" s="31"/>
      <c r="AR152" s="54"/>
      <c r="AS152" s="21" t="str">
        <f>IFERROR(VLOOKUP(July[[#This Row],[Drug Name4]],'Data Options'!$R$1:$S$100,2,FALSE), " ")</f>
        <v xml:space="preserve"> </v>
      </c>
      <c r="AT152" s="55"/>
      <c r="AU152" s="32"/>
      <c r="AV152" s="32"/>
      <c r="AW152" s="55"/>
      <c r="AX152" s="32"/>
      <c r="AY152" s="54"/>
      <c r="AZ152" s="21" t="str">
        <f>IFERROR(VLOOKUP(July[[#This Row],[Drug Name5]],'Data Options'!$R$1:$S$100,2,FALSE), " ")</f>
        <v xml:space="preserve"> </v>
      </c>
      <c r="BA152" s="55"/>
      <c r="BB152" s="32"/>
      <c r="BC152" s="32"/>
      <c r="BD152" s="55"/>
      <c r="BE152" s="32"/>
      <c r="BF152" s="54"/>
      <c r="BG152" s="21" t="str">
        <f>IFERROR(VLOOKUP(July[[#This Row],[Drug Name6]],'Data Options'!$R$1:$S$100,2,FALSE), " ")</f>
        <v xml:space="preserve"> </v>
      </c>
      <c r="BH152" s="55"/>
      <c r="BI152" s="32"/>
      <c r="BJ152" s="32"/>
      <c r="BK152" s="55"/>
      <c r="BL152" s="32"/>
      <c r="BM152" s="32"/>
      <c r="BN152" s="32"/>
      <c r="BO152" s="32"/>
      <c r="BP152" s="32"/>
      <c r="BQ152" s="31"/>
      <c r="BR152" s="31"/>
      <c r="BS152" s="54"/>
      <c r="BT152" s="21" t="str">
        <f>IFERROR(VLOOKUP(July[[#This Row],[Drug Name7]],'Data Options'!$R$1:$S$100,2,FALSE), " ")</f>
        <v xml:space="preserve"> </v>
      </c>
      <c r="BU152" s="55"/>
      <c r="BV152" s="32"/>
      <c r="BW152" s="32"/>
      <c r="BX152" s="55"/>
      <c r="BY152" s="32"/>
      <c r="BZ152" s="54"/>
      <c r="CA152" s="21" t="str">
        <f>IFERROR(VLOOKUP(July[[#This Row],[Drug Name8]],'Data Options'!$R$1:$S$100,2,FALSE), " ")</f>
        <v xml:space="preserve"> </v>
      </c>
      <c r="CB152" s="55"/>
      <c r="CC152" s="32"/>
      <c r="CD152" s="32"/>
      <c r="CE152" s="55"/>
      <c r="CF152" s="32"/>
      <c r="CG152" s="54"/>
      <c r="CH152" s="21" t="str">
        <f>IFERROR(VLOOKUP(July[[#This Row],[Drug Name9]],'Data Options'!$R$1:$S$100,2,FALSE), " ")</f>
        <v xml:space="preserve"> </v>
      </c>
      <c r="CI152" s="55"/>
      <c r="CJ152" s="32"/>
      <c r="CK152" s="32"/>
      <c r="CL152" s="55"/>
      <c r="CM152" s="32"/>
    </row>
    <row r="153" spans="1:91">
      <c r="A153" s="5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1"/>
      <c r="P153" s="31"/>
      <c r="Q153" s="54"/>
      <c r="R153" s="21" t="str">
        <f>IFERROR(VLOOKUP(July[[#This Row],[Drug Name]],'Data Options'!$R$1:$S$100,2,FALSE), " ")</f>
        <v xml:space="preserve"> </v>
      </c>
      <c r="S153" s="55"/>
      <c r="T153" s="32"/>
      <c r="U153" s="32"/>
      <c r="V153" s="55"/>
      <c r="W153" s="32"/>
      <c r="X153" s="54"/>
      <c r="Y153" s="21" t="str">
        <f>IFERROR(VLOOKUP(July[[#This Row],[Drug Name2]],'Data Options'!$R$1:$S$100,2,FALSE), " ")</f>
        <v xml:space="preserve"> </v>
      </c>
      <c r="Z153" s="55"/>
      <c r="AA153" s="32"/>
      <c r="AB153" s="32"/>
      <c r="AC153" s="55"/>
      <c r="AD153" s="32"/>
      <c r="AE153" s="54"/>
      <c r="AF153" s="21" t="str">
        <f>IFERROR(VLOOKUP(July[[#This Row],[Drug Name3]],'Data Options'!$R$1:$S$100,2,FALSE), " ")</f>
        <v xml:space="preserve"> </v>
      </c>
      <c r="AG153" s="55"/>
      <c r="AH153" s="32"/>
      <c r="AI153" s="32"/>
      <c r="AJ153" s="55"/>
      <c r="AK153" s="32"/>
      <c r="AL153" s="32"/>
      <c r="AM153" s="32"/>
      <c r="AN153" s="32"/>
      <c r="AO153" s="32"/>
      <c r="AP153" s="31"/>
      <c r="AQ153" s="31"/>
      <c r="AR153" s="54"/>
      <c r="AS153" s="21" t="str">
        <f>IFERROR(VLOOKUP(July[[#This Row],[Drug Name4]],'Data Options'!$R$1:$S$100,2,FALSE), " ")</f>
        <v xml:space="preserve"> </v>
      </c>
      <c r="AT153" s="55"/>
      <c r="AU153" s="32"/>
      <c r="AV153" s="32"/>
      <c r="AW153" s="55"/>
      <c r="AX153" s="32"/>
      <c r="AY153" s="54"/>
      <c r="AZ153" s="21" t="str">
        <f>IFERROR(VLOOKUP(July[[#This Row],[Drug Name5]],'Data Options'!$R$1:$S$100,2,FALSE), " ")</f>
        <v xml:space="preserve"> </v>
      </c>
      <c r="BA153" s="55"/>
      <c r="BB153" s="32"/>
      <c r="BC153" s="32"/>
      <c r="BD153" s="55"/>
      <c r="BE153" s="32"/>
      <c r="BF153" s="54"/>
      <c r="BG153" s="21" t="str">
        <f>IFERROR(VLOOKUP(July[[#This Row],[Drug Name6]],'Data Options'!$R$1:$S$100,2,FALSE), " ")</f>
        <v xml:space="preserve"> </v>
      </c>
      <c r="BH153" s="55"/>
      <c r="BI153" s="32"/>
      <c r="BJ153" s="32"/>
      <c r="BK153" s="55"/>
      <c r="BL153" s="32"/>
      <c r="BM153" s="32"/>
      <c r="BN153" s="32"/>
      <c r="BO153" s="32"/>
      <c r="BP153" s="32"/>
      <c r="BQ153" s="31"/>
      <c r="BR153" s="31"/>
      <c r="BS153" s="54"/>
      <c r="BT153" s="21" t="str">
        <f>IFERROR(VLOOKUP(July[[#This Row],[Drug Name7]],'Data Options'!$R$1:$S$100,2,FALSE), " ")</f>
        <v xml:space="preserve"> </v>
      </c>
      <c r="BU153" s="55"/>
      <c r="BV153" s="32"/>
      <c r="BW153" s="32"/>
      <c r="BX153" s="55"/>
      <c r="BY153" s="32"/>
      <c r="BZ153" s="54"/>
      <c r="CA153" s="21" t="str">
        <f>IFERROR(VLOOKUP(July[[#This Row],[Drug Name8]],'Data Options'!$R$1:$S$100,2,FALSE), " ")</f>
        <v xml:space="preserve"> </v>
      </c>
      <c r="CB153" s="55"/>
      <c r="CC153" s="32"/>
      <c r="CD153" s="32"/>
      <c r="CE153" s="55"/>
      <c r="CF153" s="32"/>
      <c r="CG153" s="54"/>
      <c r="CH153" s="21" t="str">
        <f>IFERROR(VLOOKUP(July[[#This Row],[Drug Name9]],'Data Options'!$R$1:$S$100,2,FALSE), " ")</f>
        <v xml:space="preserve"> </v>
      </c>
      <c r="CI153" s="55"/>
      <c r="CJ153" s="32"/>
      <c r="CK153" s="32"/>
      <c r="CL153" s="55"/>
      <c r="CM153" s="32"/>
    </row>
    <row r="154" spans="1:91">
      <c r="A154" s="5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1"/>
      <c r="P154" s="31"/>
      <c r="Q154" s="54"/>
      <c r="R154" s="21" t="str">
        <f>IFERROR(VLOOKUP(July[[#This Row],[Drug Name]],'Data Options'!$R$1:$S$100,2,FALSE), " ")</f>
        <v xml:space="preserve"> </v>
      </c>
      <c r="S154" s="55"/>
      <c r="T154" s="32"/>
      <c r="U154" s="32"/>
      <c r="V154" s="55"/>
      <c r="W154" s="32"/>
      <c r="X154" s="54"/>
      <c r="Y154" s="21" t="str">
        <f>IFERROR(VLOOKUP(July[[#This Row],[Drug Name2]],'Data Options'!$R$1:$S$100,2,FALSE), " ")</f>
        <v xml:space="preserve"> </v>
      </c>
      <c r="Z154" s="55"/>
      <c r="AA154" s="32"/>
      <c r="AB154" s="32"/>
      <c r="AC154" s="55"/>
      <c r="AD154" s="32"/>
      <c r="AE154" s="54"/>
      <c r="AF154" s="21" t="str">
        <f>IFERROR(VLOOKUP(July[[#This Row],[Drug Name3]],'Data Options'!$R$1:$S$100,2,FALSE), " ")</f>
        <v xml:space="preserve"> </v>
      </c>
      <c r="AG154" s="55"/>
      <c r="AH154" s="32"/>
      <c r="AI154" s="32"/>
      <c r="AJ154" s="55"/>
      <c r="AK154" s="32"/>
      <c r="AL154" s="32"/>
      <c r="AM154" s="32"/>
      <c r="AN154" s="32"/>
      <c r="AO154" s="32"/>
      <c r="AP154" s="31"/>
      <c r="AQ154" s="31"/>
      <c r="AR154" s="54"/>
      <c r="AS154" s="21" t="str">
        <f>IFERROR(VLOOKUP(July[[#This Row],[Drug Name4]],'Data Options'!$R$1:$S$100,2,FALSE), " ")</f>
        <v xml:space="preserve"> </v>
      </c>
      <c r="AT154" s="55"/>
      <c r="AU154" s="32"/>
      <c r="AV154" s="32"/>
      <c r="AW154" s="55"/>
      <c r="AX154" s="32"/>
      <c r="AY154" s="54"/>
      <c r="AZ154" s="21" t="str">
        <f>IFERROR(VLOOKUP(July[[#This Row],[Drug Name5]],'Data Options'!$R$1:$S$100,2,FALSE), " ")</f>
        <v xml:space="preserve"> </v>
      </c>
      <c r="BA154" s="55"/>
      <c r="BB154" s="32"/>
      <c r="BC154" s="32"/>
      <c r="BD154" s="55"/>
      <c r="BE154" s="32"/>
      <c r="BF154" s="54"/>
      <c r="BG154" s="21" t="str">
        <f>IFERROR(VLOOKUP(July[[#This Row],[Drug Name6]],'Data Options'!$R$1:$S$100,2,FALSE), " ")</f>
        <v xml:space="preserve"> </v>
      </c>
      <c r="BH154" s="55"/>
      <c r="BI154" s="32"/>
      <c r="BJ154" s="32"/>
      <c r="BK154" s="55"/>
      <c r="BL154" s="32"/>
      <c r="BM154" s="32"/>
      <c r="BN154" s="32"/>
      <c r="BO154" s="32"/>
      <c r="BP154" s="32"/>
      <c r="BQ154" s="31"/>
      <c r="BR154" s="31"/>
      <c r="BS154" s="54"/>
      <c r="BT154" s="21" t="str">
        <f>IFERROR(VLOOKUP(July[[#This Row],[Drug Name7]],'Data Options'!$R$1:$S$100,2,FALSE), " ")</f>
        <v xml:space="preserve"> </v>
      </c>
      <c r="BU154" s="55"/>
      <c r="BV154" s="32"/>
      <c r="BW154" s="32"/>
      <c r="BX154" s="55"/>
      <c r="BY154" s="32"/>
      <c r="BZ154" s="54"/>
      <c r="CA154" s="21" t="str">
        <f>IFERROR(VLOOKUP(July[[#This Row],[Drug Name8]],'Data Options'!$R$1:$S$100,2,FALSE), " ")</f>
        <v xml:space="preserve"> </v>
      </c>
      <c r="CB154" s="55"/>
      <c r="CC154" s="32"/>
      <c r="CD154" s="32"/>
      <c r="CE154" s="55"/>
      <c r="CF154" s="32"/>
      <c r="CG154" s="54"/>
      <c r="CH154" s="21" t="str">
        <f>IFERROR(VLOOKUP(July[[#This Row],[Drug Name9]],'Data Options'!$R$1:$S$100,2,FALSE), " ")</f>
        <v xml:space="preserve"> </v>
      </c>
      <c r="CI154" s="55"/>
      <c r="CJ154" s="32"/>
      <c r="CK154" s="32"/>
      <c r="CL154" s="55"/>
      <c r="CM154" s="32"/>
    </row>
    <row r="155" spans="1:91">
      <c r="A155" s="5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54"/>
      <c r="R155" s="21" t="str">
        <f>IFERROR(VLOOKUP(July[[#This Row],[Drug Name]],'Data Options'!$R$1:$S$100,2,FALSE), " ")</f>
        <v xml:space="preserve"> </v>
      </c>
      <c r="S155" s="55"/>
      <c r="T155" s="32"/>
      <c r="U155" s="32"/>
      <c r="V155" s="55"/>
      <c r="W155" s="32"/>
      <c r="X155" s="54"/>
      <c r="Y155" s="21" t="str">
        <f>IFERROR(VLOOKUP(July[[#This Row],[Drug Name2]],'Data Options'!$R$1:$S$100,2,FALSE), " ")</f>
        <v xml:space="preserve"> </v>
      </c>
      <c r="Z155" s="55"/>
      <c r="AA155" s="32"/>
      <c r="AB155" s="32"/>
      <c r="AC155" s="55"/>
      <c r="AD155" s="32"/>
      <c r="AE155" s="54"/>
      <c r="AF155" s="21" t="str">
        <f>IFERROR(VLOOKUP(July[[#This Row],[Drug Name3]],'Data Options'!$R$1:$S$100,2,FALSE), " ")</f>
        <v xml:space="preserve"> </v>
      </c>
      <c r="AG155" s="55"/>
      <c r="AH155" s="32"/>
      <c r="AI155" s="32"/>
      <c r="AJ155" s="55"/>
      <c r="AK155" s="32"/>
      <c r="AL155" s="32"/>
      <c r="AM155" s="32"/>
      <c r="AN155" s="32"/>
      <c r="AO155" s="32"/>
      <c r="AP155" s="31"/>
      <c r="AQ155" s="31"/>
      <c r="AR155" s="54"/>
      <c r="AS155" s="21" t="str">
        <f>IFERROR(VLOOKUP(July[[#This Row],[Drug Name4]],'Data Options'!$R$1:$S$100,2,FALSE), " ")</f>
        <v xml:space="preserve"> </v>
      </c>
      <c r="AT155" s="55"/>
      <c r="AU155" s="32"/>
      <c r="AV155" s="32"/>
      <c r="AW155" s="55"/>
      <c r="AX155" s="32"/>
      <c r="AY155" s="54"/>
      <c r="AZ155" s="21" t="str">
        <f>IFERROR(VLOOKUP(July[[#This Row],[Drug Name5]],'Data Options'!$R$1:$S$100,2,FALSE), " ")</f>
        <v xml:space="preserve"> </v>
      </c>
      <c r="BA155" s="55"/>
      <c r="BB155" s="32"/>
      <c r="BC155" s="32"/>
      <c r="BD155" s="55"/>
      <c r="BE155" s="32"/>
      <c r="BF155" s="54"/>
      <c r="BG155" s="21" t="str">
        <f>IFERROR(VLOOKUP(July[[#This Row],[Drug Name6]],'Data Options'!$R$1:$S$100,2,FALSE), " ")</f>
        <v xml:space="preserve"> </v>
      </c>
      <c r="BH155" s="55"/>
      <c r="BI155" s="32"/>
      <c r="BJ155" s="32"/>
      <c r="BK155" s="55"/>
      <c r="BL155" s="32"/>
      <c r="BM155" s="32"/>
      <c r="BN155" s="32"/>
      <c r="BO155" s="32"/>
      <c r="BP155" s="32"/>
      <c r="BQ155" s="31"/>
      <c r="BR155" s="31"/>
      <c r="BS155" s="54"/>
      <c r="BT155" s="21" t="str">
        <f>IFERROR(VLOOKUP(July[[#This Row],[Drug Name7]],'Data Options'!$R$1:$S$100,2,FALSE), " ")</f>
        <v xml:space="preserve"> </v>
      </c>
      <c r="BU155" s="55"/>
      <c r="BV155" s="32"/>
      <c r="BW155" s="32"/>
      <c r="BX155" s="55"/>
      <c r="BY155" s="32"/>
      <c r="BZ155" s="54"/>
      <c r="CA155" s="21" t="str">
        <f>IFERROR(VLOOKUP(July[[#This Row],[Drug Name8]],'Data Options'!$R$1:$S$100,2,FALSE), " ")</f>
        <v xml:space="preserve"> </v>
      </c>
      <c r="CB155" s="55"/>
      <c r="CC155" s="32"/>
      <c r="CD155" s="32"/>
      <c r="CE155" s="55"/>
      <c r="CF155" s="32"/>
      <c r="CG155" s="54"/>
      <c r="CH155" s="21" t="str">
        <f>IFERROR(VLOOKUP(July[[#This Row],[Drug Name9]],'Data Options'!$R$1:$S$100,2,FALSE), " ")</f>
        <v xml:space="preserve"> </v>
      </c>
      <c r="CI155" s="55"/>
      <c r="CJ155" s="32"/>
      <c r="CK155" s="32"/>
      <c r="CL155" s="55"/>
      <c r="CM155" s="32"/>
    </row>
    <row r="156" spans="1:91">
      <c r="A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1"/>
      <c r="P156" s="31"/>
      <c r="Q156" s="54"/>
      <c r="R156" s="21" t="str">
        <f>IFERROR(VLOOKUP(July[[#This Row],[Drug Name]],'Data Options'!$R$1:$S$100,2,FALSE), " ")</f>
        <v xml:space="preserve"> </v>
      </c>
      <c r="S156" s="55"/>
      <c r="T156" s="32"/>
      <c r="U156" s="32"/>
      <c r="V156" s="55"/>
      <c r="W156" s="32"/>
      <c r="X156" s="54"/>
      <c r="Y156" s="21" t="str">
        <f>IFERROR(VLOOKUP(July[[#This Row],[Drug Name2]],'Data Options'!$R$1:$S$100,2,FALSE), " ")</f>
        <v xml:space="preserve"> </v>
      </c>
      <c r="Z156" s="55"/>
      <c r="AA156" s="32"/>
      <c r="AB156" s="32"/>
      <c r="AC156" s="55"/>
      <c r="AD156" s="32"/>
      <c r="AE156" s="54"/>
      <c r="AF156" s="21" t="str">
        <f>IFERROR(VLOOKUP(July[[#This Row],[Drug Name3]],'Data Options'!$R$1:$S$100,2,FALSE), " ")</f>
        <v xml:space="preserve"> </v>
      </c>
      <c r="AG156" s="55"/>
      <c r="AH156" s="32"/>
      <c r="AI156" s="32"/>
      <c r="AJ156" s="55"/>
      <c r="AK156" s="32"/>
      <c r="AL156" s="32"/>
      <c r="AM156" s="32"/>
      <c r="AN156" s="32"/>
      <c r="AO156" s="32"/>
      <c r="AP156" s="31"/>
      <c r="AQ156" s="31"/>
      <c r="AR156" s="54"/>
      <c r="AS156" s="21" t="str">
        <f>IFERROR(VLOOKUP(July[[#This Row],[Drug Name4]],'Data Options'!$R$1:$S$100,2,FALSE), " ")</f>
        <v xml:space="preserve"> </v>
      </c>
      <c r="AT156" s="55"/>
      <c r="AU156" s="32"/>
      <c r="AV156" s="32"/>
      <c r="AW156" s="55"/>
      <c r="AX156" s="32"/>
      <c r="AY156" s="54"/>
      <c r="AZ156" s="21" t="str">
        <f>IFERROR(VLOOKUP(July[[#This Row],[Drug Name5]],'Data Options'!$R$1:$S$100,2,FALSE), " ")</f>
        <v xml:space="preserve"> </v>
      </c>
      <c r="BA156" s="55"/>
      <c r="BB156" s="32"/>
      <c r="BC156" s="32"/>
      <c r="BD156" s="55"/>
      <c r="BE156" s="32"/>
      <c r="BF156" s="54"/>
      <c r="BG156" s="21" t="str">
        <f>IFERROR(VLOOKUP(July[[#This Row],[Drug Name6]],'Data Options'!$R$1:$S$100,2,FALSE), " ")</f>
        <v xml:space="preserve"> </v>
      </c>
      <c r="BH156" s="55"/>
      <c r="BI156" s="32"/>
      <c r="BJ156" s="32"/>
      <c r="BK156" s="55"/>
      <c r="BL156" s="32"/>
      <c r="BM156" s="32"/>
      <c r="BN156" s="32"/>
      <c r="BO156" s="32"/>
      <c r="BP156" s="32"/>
      <c r="BQ156" s="31"/>
      <c r="BR156" s="31"/>
      <c r="BS156" s="54"/>
      <c r="BT156" s="21" t="str">
        <f>IFERROR(VLOOKUP(July[[#This Row],[Drug Name7]],'Data Options'!$R$1:$S$100,2,FALSE), " ")</f>
        <v xml:space="preserve"> </v>
      </c>
      <c r="BU156" s="55"/>
      <c r="BV156" s="32"/>
      <c r="BW156" s="32"/>
      <c r="BX156" s="55"/>
      <c r="BY156" s="32"/>
      <c r="BZ156" s="54"/>
      <c r="CA156" s="21" t="str">
        <f>IFERROR(VLOOKUP(July[[#This Row],[Drug Name8]],'Data Options'!$R$1:$S$100,2,FALSE), " ")</f>
        <v xml:space="preserve"> </v>
      </c>
      <c r="CB156" s="55"/>
      <c r="CC156" s="32"/>
      <c r="CD156" s="32"/>
      <c r="CE156" s="55"/>
      <c r="CF156" s="32"/>
      <c r="CG156" s="54"/>
      <c r="CH156" s="21" t="str">
        <f>IFERROR(VLOOKUP(July[[#This Row],[Drug Name9]],'Data Options'!$R$1:$S$100,2,FALSE), " ")</f>
        <v xml:space="preserve"> </v>
      </c>
      <c r="CI156" s="55"/>
      <c r="CJ156" s="32"/>
      <c r="CK156" s="32"/>
      <c r="CL156" s="55"/>
      <c r="CM156" s="32"/>
    </row>
    <row r="157" spans="1:91">
      <c r="A157" s="5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1"/>
      <c r="P157" s="31"/>
      <c r="Q157" s="54"/>
      <c r="R157" s="21" t="str">
        <f>IFERROR(VLOOKUP(July[[#This Row],[Drug Name]],'Data Options'!$R$1:$S$100,2,FALSE), " ")</f>
        <v xml:space="preserve"> </v>
      </c>
      <c r="S157" s="55"/>
      <c r="T157" s="32"/>
      <c r="U157" s="32"/>
      <c r="V157" s="55"/>
      <c r="W157" s="32"/>
      <c r="X157" s="54"/>
      <c r="Y157" s="21" t="str">
        <f>IFERROR(VLOOKUP(July[[#This Row],[Drug Name2]],'Data Options'!$R$1:$S$100,2,FALSE), " ")</f>
        <v xml:space="preserve"> </v>
      </c>
      <c r="Z157" s="55"/>
      <c r="AA157" s="32"/>
      <c r="AB157" s="32"/>
      <c r="AC157" s="55"/>
      <c r="AD157" s="32"/>
      <c r="AE157" s="54"/>
      <c r="AF157" s="21" t="str">
        <f>IFERROR(VLOOKUP(July[[#This Row],[Drug Name3]],'Data Options'!$R$1:$S$100,2,FALSE), " ")</f>
        <v xml:space="preserve"> </v>
      </c>
      <c r="AG157" s="55"/>
      <c r="AH157" s="32"/>
      <c r="AI157" s="32"/>
      <c r="AJ157" s="55"/>
      <c r="AK157" s="32"/>
      <c r="AL157" s="32"/>
      <c r="AM157" s="32"/>
      <c r="AN157" s="32"/>
      <c r="AO157" s="32"/>
      <c r="AP157" s="31"/>
      <c r="AQ157" s="31"/>
      <c r="AR157" s="54"/>
      <c r="AS157" s="21" t="str">
        <f>IFERROR(VLOOKUP(July[[#This Row],[Drug Name4]],'Data Options'!$R$1:$S$100,2,FALSE), " ")</f>
        <v xml:space="preserve"> </v>
      </c>
      <c r="AT157" s="55"/>
      <c r="AU157" s="32"/>
      <c r="AV157" s="32"/>
      <c r="AW157" s="55"/>
      <c r="AX157" s="32"/>
      <c r="AY157" s="54"/>
      <c r="AZ157" s="21" t="str">
        <f>IFERROR(VLOOKUP(July[[#This Row],[Drug Name5]],'Data Options'!$R$1:$S$100,2,FALSE), " ")</f>
        <v xml:space="preserve"> </v>
      </c>
      <c r="BA157" s="55"/>
      <c r="BB157" s="32"/>
      <c r="BC157" s="32"/>
      <c r="BD157" s="55"/>
      <c r="BE157" s="32"/>
      <c r="BF157" s="54"/>
      <c r="BG157" s="21" t="str">
        <f>IFERROR(VLOOKUP(July[[#This Row],[Drug Name6]],'Data Options'!$R$1:$S$100,2,FALSE), " ")</f>
        <v xml:space="preserve"> </v>
      </c>
      <c r="BH157" s="55"/>
      <c r="BI157" s="32"/>
      <c r="BJ157" s="32"/>
      <c r="BK157" s="55"/>
      <c r="BL157" s="32"/>
      <c r="BM157" s="32"/>
      <c r="BN157" s="32"/>
      <c r="BO157" s="32"/>
      <c r="BP157" s="32"/>
      <c r="BQ157" s="31"/>
      <c r="BR157" s="31"/>
      <c r="BS157" s="54"/>
      <c r="BT157" s="21" t="str">
        <f>IFERROR(VLOOKUP(July[[#This Row],[Drug Name7]],'Data Options'!$R$1:$S$100,2,FALSE), " ")</f>
        <v xml:space="preserve"> </v>
      </c>
      <c r="BU157" s="55"/>
      <c r="BV157" s="32"/>
      <c r="BW157" s="32"/>
      <c r="BX157" s="55"/>
      <c r="BY157" s="32"/>
      <c r="BZ157" s="54"/>
      <c r="CA157" s="21" t="str">
        <f>IFERROR(VLOOKUP(July[[#This Row],[Drug Name8]],'Data Options'!$R$1:$S$100,2,FALSE), " ")</f>
        <v xml:space="preserve"> </v>
      </c>
      <c r="CB157" s="55"/>
      <c r="CC157" s="32"/>
      <c r="CD157" s="32"/>
      <c r="CE157" s="55"/>
      <c r="CF157" s="32"/>
      <c r="CG157" s="54"/>
      <c r="CH157" s="21" t="str">
        <f>IFERROR(VLOOKUP(July[[#This Row],[Drug Name9]],'Data Options'!$R$1:$S$100,2,FALSE), " ")</f>
        <v xml:space="preserve"> </v>
      </c>
      <c r="CI157" s="55"/>
      <c r="CJ157" s="32"/>
      <c r="CK157" s="32"/>
      <c r="CL157" s="55"/>
      <c r="CM157" s="32"/>
    </row>
    <row r="158" spans="1:91">
      <c r="A158" s="5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1"/>
      <c r="P158" s="31"/>
      <c r="Q158" s="54"/>
      <c r="R158" s="21" t="str">
        <f>IFERROR(VLOOKUP(July[[#This Row],[Drug Name]],'Data Options'!$R$1:$S$100,2,FALSE), " ")</f>
        <v xml:space="preserve"> </v>
      </c>
      <c r="S158" s="55"/>
      <c r="T158" s="32"/>
      <c r="U158" s="32"/>
      <c r="V158" s="55"/>
      <c r="W158" s="32"/>
      <c r="X158" s="54"/>
      <c r="Y158" s="21" t="str">
        <f>IFERROR(VLOOKUP(July[[#This Row],[Drug Name2]],'Data Options'!$R$1:$S$100,2,FALSE), " ")</f>
        <v xml:space="preserve"> </v>
      </c>
      <c r="Z158" s="55"/>
      <c r="AA158" s="32"/>
      <c r="AB158" s="32"/>
      <c r="AC158" s="55"/>
      <c r="AD158" s="32"/>
      <c r="AE158" s="54"/>
      <c r="AF158" s="21" t="str">
        <f>IFERROR(VLOOKUP(July[[#This Row],[Drug Name3]],'Data Options'!$R$1:$S$100,2,FALSE), " ")</f>
        <v xml:space="preserve"> </v>
      </c>
      <c r="AG158" s="55"/>
      <c r="AH158" s="32"/>
      <c r="AI158" s="32"/>
      <c r="AJ158" s="55"/>
      <c r="AK158" s="32"/>
      <c r="AL158" s="32"/>
      <c r="AM158" s="32"/>
      <c r="AN158" s="32"/>
      <c r="AO158" s="32"/>
      <c r="AP158" s="31"/>
      <c r="AQ158" s="31"/>
      <c r="AR158" s="54"/>
      <c r="AS158" s="21" t="str">
        <f>IFERROR(VLOOKUP(July[[#This Row],[Drug Name4]],'Data Options'!$R$1:$S$100,2,FALSE), " ")</f>
        <v xml:space="preserve"> </v>
      </c>
      <c r="AT158" s="55"/>
      <c r="AU158" s="32"/>
      <c r="AV158" s="32"/>
      <c r="AW158" s="55"/>
      <c r="AX158" s="32"/>
      <c r="AY158" s="54"/>
      <c r="AZ158" s="21" t="str">
        <f>IFERROR(VLOOKUP(July[[#This Row],[Drug Name5]],'Data Options'!$R$1:$S$100,2,FALSE), " ")</f>
        <v xml:space="preserve"> </v>
      </c>
      <c r="BA158" s="55"/>
      <c r="BB158" s="32"/>
      <c r="BC158" s="32"/>
      <c r="BD158" s="55"/>
      <c r="BE158" s="32"/>
      <c r="BF158" s="54"/>
      <c r="BG158" s="21" t="str">
        <f>IFERROR(VLOOKUP(July[[#This Row],[Drug Name6]],'Data Options'!$R$1:$S$100,2,FALSE), " ")</f>
        <v xml:space="preserve"> </v>
      </c>
      <c r="BH158" s="55"/>
      <c r="BI158" s="32"/>
      <c r="BJ158" s="32"/>
      <c r="BK158" s="55"/>
      <c r="BL158" s="32"/>
      <c r="BM158" s="32"/>
      <c r="BN158" s="32"/>
      <c r="BO158" s="32"/>
      <c r="BP158" s="32"/>
      <c r="BQ158" s="31"/>
      <c r="BR158" s="31"/>
      <c r="BS158" s="54"/>
      <c r="BT158" s="21" t="str">
        <f>IFERROR(VLOOKUP(July[[#This Row],[Drug Name7]],'Data Options'!$R$1:$S$100,2,FALSE), " ")</f>
        <v xml:space="preserve"> </v>
      </c>
      <c r="BU158" s="55"/>
      <c r="BV158" s="32"/>
      <c r="BW158" s="32"/>
      <c r="BX158" s="55"/>
      <c r="BY158" s="32"/>
      <c r="BZ158" s="54"/>
      <c r="CA158" s="21" t="str">
        <f>IFERROR(VLOOKUP(July[[#This Row],[Drug Name8]],'Data Options'!$R$1:$S$100,2,FALSE), " ")</f>
        <v xml:space="preserve"> </v>
      </c>
      <c r="CB158" s="55"/>
      <c r="CC158" s="32"/>
      <c r="CD158" s="32"/>
      <c r="CE158" s="55"/>
      <c r="CF158" s="32"/>
      <c r="CG158" s="54"/>
      <c r="CH158" s="21" t="str">
        <f>IFERROR(VLOOKUP(July[[#This Row],[Drug Name9]],'Data Options'!$R$1:$S$100,2,FALSE), " ")</f>
        <v xml:space="preserve"> </v>
      </c>
      <c r="CI158" s="55"/>
      <c r="CJ158" s="32"/>
      <c r="CK158" s="32"/>
      <c r="CL158" s="55"/>
      <c r="CM158" s="32"/>
    </row>
    <row r="159" spans="1:91">
      <c r="A159" s="5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1"/>
      <c r="P159" s="31"/>
      <c r="Q159" s="54"/>
      <c r="R159" s="21" t="str">
        <f>IFERROR(VLOOKUP(July[[#This Row],[Drug Name]],'Data Options'!$R$1:$S$100,2,FALSE), " ")</f>
        <v xml:space="preserve"> </v>
      </c>
      <c r="S159" s="55"/>
      <c r="T159" s="32"/>
      <c r="U159" s="32"/>
      <c r="V159" s="55"/>
      <c r="W159" s="32"/>
      <c r="X159" s="54"/>
      <c r="Y159" s="21" t="str">
        <f>IFERROR(VLOOKUP(July[[#This Row],[Drug Name2]],'Data Options'!$R$1:$S$100,2,FALSE), " ")</f>
        <v xml:space="preserve"> </v>
      </c>
      <c r="Z159" s="55"/>
      <c r="AA159" s="32"/>
      <c r="AB159" s="32"/>
      <c r="AC159" s="55"/>
      <c r="AD159" s="32"/>
      <c r="AE159" s="54"/>
      <c r="AF159" s="21" t="str">
        <f>IFERROR(VLOOKUP(July[[#This Row],[Drug Name3]],'Data Options'!$R$1:$S$100,2,FALSE), " ")</f>
        <v xml:space="preserve"> </v>
      </c>
      <c r="AG159" s="55"/>
      <c r="AH159" s="32"/>
      <c r="AI159" s="32"/>
      <c r="AJ159" s="55"/>
      <c r="AK159" s="32"/>
      <c r="AL159" s="32"/>
      <c r="AM159" s="32"/>
      <c r="AN159" s="32"/>
      <c r="AO159" s="32"/>
      <c r="AP159" s="31"/>
      <c r="AQ159" s="31"/>
      <c r="AR159" s="54"/>
      <c r="AS159" s="21" t="str">
        <f>IFERROR(VLOOKUP(July[[#This Row],[Drug Name4]],'Data Options'!$R$1:$S$100,2,FALSE), " ")</f>
        <v xml:space="preserve"> </v>
      </c>
      <c r="AT159" s="55"/>
      <c r="AU159" s="32"/>
      <c r="AV159" s="32"/>
      <c r="AW159" s="55"/>
      <c r="AX159" s="32"/>
      <c r="AY159" s="54"/>
      <c r="AZ159" s="21" t="str">
        <f>IFERROR(VLOOKUP(July[[#This Row],[Drug Name5]],'Data Options'!$R$1:$S$100,2,FALSE), " ")</f>
        <v xml:space="preserve"> </v>
      </c>
      <c r="BA159" s="55"/>
      <c r="BB159" s="32"/>
      <c r="BC159" s="32"/>
      <c r="BD159" s="55"/>
      <c r="BE159" s="32"/>
      <c r="BF159" s="54"/>
      <c r="BG159" s="21" t="str">
        <f>IFERROR(VLOOKUP(July[[#This Row],[Drug Name6]],'Data Options'!$R$1:$S$100,2,FALSE), " ")</f>
        <v xml:space="preserve"> </v>
      </c>
      <c r="BH159" s="55"/>
      <c r="BI159" s="32"/>
      <c r="BJ159" s="32"/>
      <c r="BK159" s="55"/>
      <c r="BL159" s="32"/>
      <c r="BM159" s="32"/>
      <c r="BN159" s="32"/>
      <c r="BO159" s="32"/>
      <c r="BP159" s="32"/>
      <c r="BQ159" s="31"/>
      <c r="BR159" s="31"/>
      <c r="BS159" s="54"/>
      <c r="BT159" s="21" t="str">
        <f>IFERROR(VLOOKUP(July[[#This Row],[Drug Name7]],'Data Options'!$R$1:$S$100,2,FALSE), " ")</f>
        <v xml:space="preserve"> </v>
      </c>
      <c r="BU159" s="55"/>
      <c r="BV159" s="32"/>
      <c r="BW159" s="32"/>
      <c r="BX159" s="55"/>
      <c r="BY159" s="32"/>
      <c r="BZ159" s="54"/>
      <c r="CA159" s="21" t="str">
        <f>IFERROR(VLOOKUP(July[[#This Row],[Drug Name8]],'Data Options'!$R$1:$S$100,2,FALSE), " ")</f>
        <v xml:space="preserve"> </v>
      </c>
      <c r="CB159" s="55"/>
      <c r="CC159" s="32"/>
      <c r="CD159" s="32"/>
      <c r="CE159" s="55"/>
      <c r="CF159" s="32"/>
      <c r="CG159" s="54"/>
      <c r="CH159" s="21" t="str">
        <f>IFERROR(VLOOKUP(July[[#This Row],[Drug Name9]],'Data Options'!$R$1:$S$100,2,FALSE), " ")</f>
        <v xml:space="preserve"> </v>
      </c>
      <c r="CI159" s="55"/>
      <c r="CJ159" s="32"/>
      <c r="CK159" s="32"/>
      <c r="CL159" s="55"/>
      <c r="CM159" s="32"/>
    </row>
    <row r="160" spans="1:91">
      <c r="A160" s="5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1"/>
      <c r="P160" s="31"/>
      <c r="Q160" s="54"/>
      <c r="R160" s="21" t="str">
        <f>IFERROR(VLOOKUP(July[[#This Row],[Drug Name]],'Data Options'!$R$1:$S$100,2,FALSE), " ")</f>
        <v xml:space="preserve"> </v>
      </c>
      <c r="S160" s="55"/>
      <c r="T160" s="32"/>
      <c r="U160" s="32"/>
      <c r="V160" s="55"/>
      <c r="W160" s="32"/>
      <c r="X160" s="54"/>
      <c r="Y160" s="21" t="str">
        <f>IFERROR(VLOOKUP(July[[#This Row],[Drug Name2]],'Data Options'!$R$1:$S$100,2,FALSE), " ")</f>
        <v xml:space="preserve"> </v>
      </c>
      <c r="Z160" s="55"/>
      <c r="AA160" s="32"/>
      <c r="AB160" s="32"/>
      <c r="AC160" s="55"/>
      <c r="AD160" s="32"/>
      <c r="AE160" s="54"/>
      <c r="AF160" s="21" t="str">
        <f>IFERROR(VLOOKUP(July[[#This Row],[Drug Name3]],'Data Options'!$R$1:$S$100,2,FALSE), " ")</f>
        <v xml:space="preserve"> </v>
      </c>
      <c r="AG160" s="55"/>
      <c r="AH160" s="32"/>
      <c r="AI160" s="32"/>
      <c r="AJ160" s="55"/>
      <c r="AK160" s="32"/>
      <c r="AL160" s="32"/>
      <c r="AM160" s="32"/>
      <c r="AN160" s="32"/>
      <c r="AO160" s="32"/>
      <c r="AP160" s="31"/>
      <c r="AQ160" s="31"/>
      <c r="AR160" s="54"/>
      <c r="AS160" s="21" t="str">
        <f>IFERROR(VLOOKUP(July[[#This Row],[Drug Name4]],'Data Options'!$R$1:$S$100,2,FALSE), " ")</f>
        <v xml:space="preserve"> </v>
      </c>
      <c r="AT160" s="55"/>
      <c r="AU160" s="32"/>
      <c r="AV160" s="32"/>
      <c r="AW160" s="55"/>
      <c r="AX160" s="32"/>
      <c r="AY160" s="54"/>
      <c r="AZ160" s="21" t="str">
        <f>IFERROR(VLOOKUP(July[[#This Row],[Drug Name5]],'Data Options'!$R$1:$S$100,2,FALSE), " ")</f>
        <v xml:space="preserve"> </v>
      </c>
      <c r="BA160" s="55"/>
      <c r="BB160" s="32"/>
      <c r="BC160" s="32"/>
      <c r="BD160" s="55"/>
      <c r="BE160" s="32"/>
      <c r="BF160" s="54"/>
      <c r="BG160" s="21" t="str">
        <f>IFERROR(VLOOKUP(July[[#This Row],[Drug Name6]],'Data Options'!$R$1:$S$100,2,FALSE), " ")</f>
        <v xml:space="preserve"> </v>
      </c>
      <c r="BH160" s="55"/>
      <c r="BI160" s="32"/>
      <c r="BJ160" s="32"/>
      <c r="BK160" s="55"/>
      <c r="BL160" s="32"/>
      <c r="BM160" s="32"/>
      <c r="BN160" s="32"/>
      <c r="BO160" s="32"/>
      <c r="BP160" s="32"/>
      <c r="BQ160" s="31"/>
      <c r="BR160" s="31"/>
      <c r="BS160" s="54"/>
      <c r="BT160" s="21" t="str">
        <f>IFERROR(VLOOKUP(July[[#This Row],[Drug Name7]],'Data Options'!$R$1:$S$100,2,FALSE), " ")</f>
        <v xml:space="preserve"> </v>
      </c>
      <c r="BU160" s="55"/>
      <c r="BV160" s="32"/>
      <c r="BW160" s="32"/>
      <c r="BX160" s="55"/>
      <c r="BY160" s="32"/>
      <c r="BZ160" s="54"/>
      <c r="CA160" s="21" t="str">
        <f>IFERROR(VLOOKUP(July[[#This Row],[Drug Name8]],'Data Options'!$R$1:$S$100,2,FALSE), " ")</f>
        <v xml:space="preserve"> </v>
      </c>
      <c r="CB160" s="55"/>
      <c r="CC160" s="32"/>
      <c r="CD160" s="32"/>
      <c r="CE160" s="55"/>
      <c r="CF160" s="32"/>
      <c r="CG160" s="54"/>
      <c r="CH160" s="21" t="str">
        <f>IFERROR(VLOOKUP(July[[#This Row],[Drug Name9]],'Data Options'!$R$1:$S$100,2,FALSE), " ")</f>
        <v xml:space="preserve"> </v>
      </c>
      <c r="CI160" s="55"/>
      <c r="CJ160" s="32"/>
      <c r="CK160" s="32"/>
      <c r="CL160" s="55"/>
      <c r="CM160" s="32"/>
    </row>
    <row r="161" spans="1:91">
      <c r="A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1"/>
      <c r="P161" s="31"/>
      <c r="Q161" s="54"/>
      <c r="R161" s="21" t="str">
        <f>IFERROR(VLOOKUP(July[[#This Row],[Drug Name]],'Data Options'!$R$1:$S$100,2,FALSE), " ")</f>
        <v xml:space="preserve"> </v>
      </c>
      <c r="S161" s="55"/>
      <c r="T161" s="32"/>
      <c r="U161" s="32"/>
      <c r="V161" s="55"/>
      <c r="W161" s="32"/>
      <c r="X161" s="54"/>
      <c r="Y161" s="21" t="str">
        <f>IFERROR(VLOOKUP(July[[#This Row],[Drug Name2]],'Data Options'!$R$1:$S$100,2,FALSE), " ")</f>
        <v xml:space="preserve"> </v>
      </c>
      <c r="Z161" s="55"/>
      <c r="AA161" s="32"/>
      <c r="AB161" s="32"/>
      <c r="AC161" s="55"/>
      <c r="AD161" s="32"/>
      <c r="AE161" s="54"/>
      <c r="AF161" s="21" t="str">
        <f>IFERROR(VLOOKUP(July[[#This Row],[Drug Name3]],'Data Options'!$R$1:$S$100,2,FALSE), " ")</f>
        <v xml:space="preserve"> </v>
      </c>
      <c r="AG161" s="55"/>
      <c r="AH161" s="32"/>
      <c r="AI161" s="32"/>
      <c r="AJ161" s="55"/>
      <c r="AK161" s="32"/>
      <c r="AL161" s="32"/>
      <c r="AM161" s="32"/>
      <c r="AN161" s="32"/>
      <c r="AO161" s="32"/>
      <c r="AP161" s="31"/>
      <c r="AQ161" s="31"/>
      <c r="AR161" s="54"/>
      <c r="AS161" s="21" t="str">
        <f>IFERROR(VLOOKUP(July[[#This Row],[Drug Name4]],'Data Options'!$R$1:$S$100,2,FALSE), " ")</f>
        <v xml:space="preserve"> </v>
      </c>
      <c r="AT161" s="55"/>
      <c r="AU161" s="32"/>
      <c r="AV161" s="32"/>
      <c r="AW161" s="55"/>
      <c r="AX161" s="32"/>
      <c r="AY161" s="54"/>
      <c r="AZ161" s="21" t="str">
        <f>IFERROR(VLOOKUP(July[[#This Row],[Drug Name5]],'Data Options'!$R$1:$S$100,2,FALSE), " ")</f>
        <v xml:space="preserve"> </v>
      </c>
      <c r="BA161" s="55"/>
      <c r="BB161" s="32"/>
      <c r="BC161" s="32"/>
      <c r="BD161" s="55"/>
      <c r="BE161" s="32"/>
      <c r="BF161" s="54"/>
      <c r="BG161" s="21" t="str">
        <f>IFERROR(VLOOKUP(July[[#This Row],[Drug Name6]],'Data Options'!$R$1:$S$100,2,FALSE), " ")</f>
        <v xml:space="preserve"> </v>
      </c>
      <c r="BH161" s="55"/>
      <c r="BI161" s="32"/>
      <c r="BJ161" s="32"/>
      <c r="BK161" s="55"/>
      <c r="BL161" s="32"/>
      <c r="BM161" s="32"/>
      <c r="BN161" s="32"/>
      <c r="BO161" s="32"/>
      <c r="BP161" s="32"/>
      <c r="BQ161" s="31"/>
      <c r="BR161" s="31"/>
      <c r="BS161" s="54"/>
      <c r="BT161" s="21" t="str">
        <f>IFERROR(VLOOKUP(July[[#This Row],[Drug Name7]],'Data Options'!$R$1:$S$100,2,FALSE), " ")</f>
        <v xml:space="preserve"> </v>
      </c>
      <c r="BU161" s="55"/>
      <c r="BV161" s="32"/>
      <c r="BW161" s="32"/>
      <c r="BX161" s="55"/>
      <c r="BY161" s="32"/>
      <c r="BZ161" s="54"/>
      <c r="CA161" s="21" t="str">
        <f>IFERROR(VLOOKUP(July[[#This Row],[Drug Name8]],'Data Options'!$R$1:$S$100,2,FALSE), " ")</f>
        <v xml:space="preserve"> </v>
      </c>
      <c r="CB161" s="55"/>
      <c r="CC161" s="32"/>
      <c r="CD161" s="32"/>
      <c r="CE161" s="55"/>
      <c r="CF161" s="32"/>
      <c r="CG161" s="54"/>
      <c r="CH161" s="21" t="str">
        <f>IFERROR(VLOOKUP(July[[#This Row],[Drug Name9]],'Data Options'!$R$1:$S$100,2,FALSE), " ")</f>
        <v xml:space="preserve"> </v>
      </c>
      <c r="CI161" s="55"/>
      <c r="CJ161" s="32"/>
      <c r="CK161" s="32"/>
      <c r="CL161" s="55"/>
      <c r="CM161" s="32"/>
    </row>
    <row r="162" spans="1:91">
      <c r="A162" s="5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1"/>
      <c r="P162" s="31"/>
      <c r="Q162" s="54"/>
      <c r="R162" s="21" t="str">
        <f>IFERROR(VLOOKUP(July[[#This Row],[Drug Name]],'Data Options'!$R$1:$S$100,2,FALSE), " ")</f>
        <v xml:space="preserve"> </v>
      </c>
      <c r="S162" s="55"/>
      <c r="T162" s="32"/>
      <c r="U162" s="32"/>
      <c r="V162" s="55"/>
      <c r="W162" s="32"/>
      <c r="X162" s="54"/>
      <c r="Y162" s="21" t="str">
        <f>IFERROR(VLOOKUP(July[[#This Row],[Drug Name2]],'Data Options'!$R$1:$S$100,2,FALSE), " ")</f>
        <v xml:space="preserve"> </v>
      </c>
      <c r="Z162" s="55"/>
      <c r="AA162" s="32"/>
      <c r="AB162" s="32"/>
      <c r="AC162" s="55"/>
      <c r="AD162" s="32"/>
      <c r="AE162" s="54"/>
      <c r="AF162" s="21" t="str">
        <f>IFERROR(VLOOKUP(July[[#This Row],[Drug Name3]],'Data Options'!$R$1:$S$100,2,FALSE), " ")</f>
        <v xml:space="preserve"> </v>
      </c>
      <c r="AG162" s="55"/>
      <c r="AH162" s="32"/>
      <c r="AI162" s="32"/>
      <c r="AJ162" s="55"/>
      <c r="AK162" s="32"/>
      <c r="AL162" s="32"/>
      <c r="AM162" s="32"/>
      <c r="AN162" s="32"/>
      <c r="AO162" s="32"/>
      <c r="AP162" s="31"/>
      <c r="AQ162" s="31"/>
      <c r="AR162" s="54"/>
      <c r="AS162" s="21" t="str">
        <f>IFERROR(VLOOKUP(July[[#This Row],[Drug Name4]],'Data Options'!$R$1:$S$100,2,FALSE), " ")</f>
        <v xml:space="preserve"> </v>
      </c>
      <c r="AT162" s="55"/>
      <c r="AU162" s="32"/>
      <c r="AV162" s="32"/>
      <c r="AW162" s="55"/>
      <c r="AX162" s="32"/>
      <c r="AY162" s="54"/>
      <c r="AZ162" s="21" t="str">
        <f>IFERROR(VLOOKUP(July[[#This Row],[Drug Name5]],'Data Options'!$R$1:$S$100,2,FALSE), " ")</f>
        <v xml:space="preserve"> </v>
      </c>
      <c r="BA162" s="55"/>
      <c r="BB162" s="32"/>
      <c r="BC162" s="32"/>
      <c r="BD162" s="55"/>
      <c r="BE162" s="32"/>
      <c r="BF162" s="54"/>
      <c r="BG162" s="21" t="str">
        <f>IFERROR(VLOOKUP(July[[#This Row],[Drug Name6]],'Data Options'!$R$1:$S$100,2,FALSE), " ")</f>
        <v xml:space="preserve"> </v>
      </c>
      <c r="BH162" s="55"/>
      <c r="BI162" s="32"/>
      <c r="BJ162" s="32"/>
      <c r="BK162" s="55"/>
      <c r="BL162" s="32"/>
      <c r="BM162" s="32"/>
      <c r="BN162" s="32"/>
      <c r="BO162" s="32"/>
      <c r="BP162" s="32"/>
      <c r="BQ162" s="31"/>
      <c r="BR162" s="31"/>
      <c r="BS162" s="54"/>
      <c r="BT162" s="21" t="str">
        <f>IFERROR(VLOOKUP(July[[#This Row],[Drug Name7]],'Data Options'!$R$1:$S$100,2,FALSE), " ")</f>
        <v xml:space="preserve"> </v>
      </c>
      <c r="BU162" s="55"/>
      <c r="BV162" s="32"/>
      <c r="BW162" s="32"/>
      <c r="BX162" s="55"/>
      <c r="BY162" s="32"/>
      <c r="BZ162" s="54"/>
      <c r="CA162" s="21" t="str">
        <f>IFERROR(VLOOKUP(July[[#This Row],[Drug Name8]],'Data Options'!$R$1:$S$100,2,FALSE), " ")</f>
        <v xml:space="preserve"> </v>
      </c>
      <c r="CB162" s="55"/>
      <c r="CC162" s="32"/>
      <c r="CD162" s="32"/>
      <c r="CE162" s="55"/>
      <c r="CF162" s="32"/>
      <c r="CG162" s="54"/>
      <c r="CH162" s="21" t="str">
        <f>IFERROR(VLOOKUP(July[[#This Row],[Drug Name9]],'Data Options'!$R$1:$S$100,2,FALSE), " ")</f>
        <v xml:space="preserve"> </v>
      </c>
      <c r="CI162" s="55"/>
      <c r="CJ162" s="32"/>
      <c r="CK162" s="32"/>
      <c r="CL162" s="55"/>
      <c r="CM162" s="32"/>
    </row>
    <row r="163" spans="1:91">
      <c r="A163" s="5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1"/>
      <c r="P163" s="31"/>
      <c r="Q163" s="54"/>
      <c r="R163" s="21" t="str">
        <f>IFERROR(VLOOKUP(July[[#This Row],[Drug Name]],'Data Options'!$R$1:$S$100,2,FALSE), " ")</f>
        <v xml:space="preserve"> </v>
      </c>
      <c r="S163" s="55"/>
      <c r="T163" s="32"/>
      <c r="U163" s="32"/>
      <c r="V163" s="55"/>
      <c r="W163" s="32"/>
      <c r="X163" s="54"/>
      <c r="Y163" s="21" t="str">
        <f>IFERROR(VLOOKUP(July[[#This Row],[Drug Name2]],'Data Options'!$R$1:$S$100,2,FALSE), " ")</f>
        <v xml:space="preserve"> </v>
      </c>
      <c r="Z163" s="55"/>
      <c r="AA163" s="32"/>
      <c r="AB163" s="32"/>
      <c r="AC163" s="55"/>
      <c r="AD163" s="32"/>
      <c r="AE163" s="54"/>
      <c r="AF163" s="21" t="str">
        <f>IFERROR(VLOOKUP(July[[#This Row],[Drug Name3]],'Data Options'!$R$1:$S$100,2,FALSE), " ")</f>
        <v xml:space="preserve"> </v>
      </c>
      <c r="AG163" s="55"/>
      <c r="AH163" s="32"/>
      <c r="AI163" s="32"/>
      <c r="AJ163" s="55"/>
      <c r="AK163" s="32"/>
      <c r="AL163" s="32"/>
      <c r="AM163" s="32"/>
      <c r="AN163" s="32"/>
      <c r="AO163" s="32"/>
      <c r="AP163" s="31"/>
      <c r="AQ163" s="31"/>
      <c r="AR163" s="54"/>
      <c r="AS163" s="21" t="str">
        <f>IFERROR(VLOOKUP(July[[#This Row],[Drug Name4]],'Data Options'!$R$1:$S$100,2,FALSE), " ")</f>
        <v xml:space="preserve"> </v>
      </c>
      <c r="AT163" s="55"/>
      <c r="AU163" s="32"/>
      <c r="AV163" s="32"/>
      <c r="AW163" s="55"/>
      <c r="AX163" s="32"/>
      <c r="AY163" s="54"/>
      <c r="AZ163" s="21" t="str">
        <f>IFERROR(VLOOKUP(July[[#This Row],[Drug Name5]],'Data Options'!$R$1:$S$100,2,FALSE), " ")</f>
        <v xml:space="preserve"> </v>
      </c>
      <c r="BA163" s="55"/>
      <c r="BB163" s="32"/>
      <c r="BC163" s="32"/>
      <c r="BD163" s="55"/>
      <c r="BE163" s="32"/>
      <c r="BF163" s="54"/>
      <c r="BG163" s="21" t="str">
        <f>IFERROR(VLOOKUP(July[[#This Row],[Drug Name6]],'Data Options'!$R$1:$S$100,2,FALSE), " ")</f>
        <v xml:space="preserve"> </v>
      </c>
      <c r="BH163" s="55"/>
      <c r="BI163" s="32"/>
      <c r="BJ163" s="32"/>
      <c r="BK163" s="55"/>
      <c r="BL163" s="32"/>
      <c r="BM163" s="32"/>
      <c r="BN163" s="32"/>
      <c r="BO163" s="32"/>
      <c r="BP163" s="32"/>
      <c r="BQ163" s="31"/>
      <c r="BR163" s="31"/>
      <c r="BS163" s="54"/>
      <c r="BT163" s="21" t="str">
        <f>IFERROR(VLOOKUP(July[[#This Row],[Drug Name7]],'Data Options'!$R$1:$S$100,2,FALSE), " ")</f>
        <v xml:space="preserve"> </v>
      </c>
      <c r="BU163" s="55"/>
      <c r="BV163" s="32"/>
      <c r="BW163" s="32"/>
      <c r="BX163" s="55"/>
      <c r="BY163" s="32"/>
      <c r="BZ163" s="54"/>
      <c r="CA163" s="21" t="str">
        <f>IFERROR(VLOOKUP(July[[#This Row],[Drug Name8]],'Data Options'!$R$1:$S$100,2,FALSE), " ")</f>
        <v xml:space="preserve"> </v>
      </c>
      <c r="CB163" s="55"/>
      <c r="CC163" s="32"/>
      <c r="CD163" s="32"/>
      <c r="CE163" s="55"/>
      <c r="CF163" s="32"/>
      <c r="CG163" s="54"/>
      <c r="CH163" s="21" t="str">
        <f>IFERROR(VLOOKUP(July[[#This Row],[Drug Name9]],'Data Options'!$R$1:$S$100,2,FALSE), " ")</f>
        <v xml:space="preserve"> </v>
      </c>
      <c r="CI163" s="55"/>
      <c r="CJ163" s="32"/>
      <c r="CK163" s="32"/>
      <c r="CL163" s="55"/>
      <c r="CM163" s="32"/>
    </row>
    <row r="164" spans="1:91">
      <c r="A164" s="5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1"/>
      <c r="P164" s="31"/>
      <c r="Q164" s="54"/>
      <c r="R164" s="21" t="str">
        <f>IFERROR(VLOOKUP(July[[#This Row],[Drug Name]],'Data Options'!$R$1:$S$100,2,FALSE), " ")</f>
        <v xml:space="preserve"> </v>
      </c>
      <c r="S164" s="55"/>
      <c r="T164" s="32"/>
      <c r="U164" s="32"/>
      <c r="V164" s="55"/>
      <c r="W164" s="32"/>
      <c r="X164" s="54"/>
      <c r="Y164" s="21" t="str">
        <f>IFERROR(VLOOKUP(July[[#This Row],[Drug Name2]],'Data Options'!$R$1:$S$100,2,FALSE), " ")</f>
        <v xml:space="preserve"> </v>
      </c>
      <c r="Z164" s="55"/>
      <c r="AA164" s="32"/>
      <c r="AB164" s="32"/>
      <c r="AC164" s="55"/>
      <c r="AD164" s="32"/>
      <c r="AE164" s="54"/>
      <c r="AF164" s="21" t="str">
        <f>IFERROR(VLOOKUP(July[[#This Row],[Drug Name3]],'Data Options'!$R$1:$S$100,2,FALSE), " ")</f>
        <v xml:space="preserve"> </v>
      </c>
      <c r="AG164" s="55"/>
      <c r="AH164" s="32"/>
      <c r="AI164" s="32"/>
      <c r="AJ164" s="55"/>
      <c r="AK164" s="32"/>
      <c r="AL164" s="32"/>
      <c r="AM164" s="32"/>
      <c r="AN164" s="32"/>
      <c r="AO164" s="32"/>
      <c r="AP164" s="31"/>
      <c r="AQ164" s="31"/>
      <c r="AR164" s="54"/>
      <c r="AS164" s="21" t="str">
        <f>IFERROR(VLOOKUP(July[[#This Row],[Drug Name4]],'Data Options'!$R$1:$S$100,2,FALSE), " ")</f>
        <v xml:space="preserve"> </v>
      </c>
      <c r="AT164" s="55"/>
      <c r="AU164" s="32"/>
      <c r="AV164" s="32"/>
      <c r="AW164" s="55"/>
      <c r="AX164" s="32"/>
      <c r="AY164" s="54"/>
      <c r="AZ164" s="21" t="str">
        <f>IFERROR(VLOOKUP(July[[#This Row],[Drug Name5]],'Data Options'!$R$1:$S$100,2,FALSE), " ")</f>
        <v xml:space="preserve"> </v>
      </c>
      <c r="BA164" s="55"/>
      <c r="BB164" s="32"/>
      <c r="BC164" s="32"/>
      <c r="BD164" s="55"/>
      <c r="BE164" s="32"/>
      <c r="BF164" s="54"/>
      <c r="BG164" s="21" t="str">
        <f>IFERROR(VLOOKUP(July[[#This Row],[Drug Name6]],'Data Options'!$R$1:$S$100,2,FALSE), " ")</f>
        <v xml:space="preserve"> </v>
      </c>
      <c r="BH164" s="55"/>
      <c r="BI164" s="32"/>
      <c r="BJ164" s="32"/>
      <c r="BK164" s="55"/>
      <c r="BL164" s="32"/>
      <c r="BM164" s="32"/>
      <c r="BN164" s="32"/>
      <c r="BO164" s="32"/>
      <c r="BP164" s="32"/>
      <c r="BQ164" s="31"/>
      <c r="BR164" s="31"/>
      <c r="BS164" s="54"/>
      <c r="BT164" s="21" t="str">
        <f>IFERROR(VLOOKUP(July[[#This Row],[Drug Name7]],'Data Options'!$R$1:$S$100,2,FALSE), " ")</f>
        <v xml:space="preserve"> </v>
      </c>
      <c r="BU164" s="55"/>
      <c r="BV164" s="32"/>
      <c r="BW164" s="32"/>
      <c r="BX164" s="55"/>
      <c r="BY164" s="32"/>
      <c r="BZ164" s="54"/>
      <c r="CA164" s="21" t="str">
        <f>IFERROR(VLOOKUP(July[[#This Row],[Drug Name8]],'Data Options'!$R$1:$S$100,2,FALSE), " ")</f>
        <v xml:space="preserve"> </v>
      </c>
      <c r="CB164" s="55"/>
      <c r="CC164" s="32"/>
      <c r="CD164" s="32"/>
      <c r="CE164" s="55"/>
      <c r="CF164" s="32"/>
      <c r="CG164" s="54"/>
      <c r="CH164" s="21" t="str">
        <f>IFERROR(VLOOKUP(July[[#This Row],[Drug Name9]],'Data Options'!$R$1:$S$100,2,FALSE), " ")</f>
        <v xml:space="preserve"> </v>
      </c>
      <c r="CI164" s="55"/>
      <c r="CJ164" s="32"/>
      <c r="CK164" s="32"/>
      <c r="CL164" s="55"/>
      <c r="CM164" s="32"/>
    </row>
    <row r="165" spans="1:91">
      <c r="A165" s="5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1"/>
      <c r="P165" s="31"/>
      <c r="Q165" s="54"/>
      <c r="R165" s="21" t="str">
        <f>IFERROR(VLOOKUP(July[[#This Row],[Drug Name]],'Data Options'!$R$1:$S$100,2,FALSE), " ")</f>
        <v xml:space="preserve"> </v>
      </c>
      <c r="S165" s="55"/>
      <c r="T165" s="32"/>
      <c r="U165" s="32"/>
      <c r="V165" s="55"/>
      <c r="W165" s="32"/>
      <c r="X165" s="54"/>
      <c r="Y165" s="21" t="str">
        <f>IFERROR(VLOOKUP(July[[#This Row],[Drug Name2]],'Data Options'!$R$1:$S$100,2,FALSE), " ")</f>
        <v xml:space="preserve"> </v>
      </c>
      <c r="Z165" s="55"/>
      <c r="AA165" s="32"/>
      <c r="AB165" s="32"/>
      <c r="AC165" s="55"/>
      <c r="AD165" s="32"/>
      <c r="AE165" s="54"/>
      <c r="AF165" s="21" t="str">
        <f>IFERROR(VLOOKUP(July[[#This Row],[Drug Name3]],'Data Options'!$R$1:$S$100,2,FALSE), " ")</f>
        <v xml:space="preserve"> </v>
      </c>
      <c r="AG165" s="55"/>
      <c r="AH165" s="32"/>
      <c r="AI165" s="32"/>
      <c r="AJ165" s="55"/>
      <c r="AK165" s="32"/>
      <c r="AL165" s="32"/>
      <c r="AM165" s="32"/>
      <c r="AN165" s="32"/>
      <c r="AO165" s="32"/>
      <c r="AP165" s="31"/>
      <c r="AQ165" s="31"/>
      <c r="AR165" s="54"/>
      <c r="AS165" s="21" t="str">
        <f>IFERROR(VLOOKUP(July[[#This Row],[Drug Name4]],'Data Options'!$R$1:$S$100,2,FALSE), " ")</f>
        <v xml:space="preserve"> </v>
      </c>
      <c r="AT165" s="55"/>
      <c r="AU165" s="32"/>
      <c r="AV165" s="32"/>
      <c r="AW165" s="55"/>
      <c r="AX165" s="32"/>
      <c r="AY165" s="54"/>
      <c r="AZ165" s="21" t="str">
        <f>IFERROR(VLOOKUP(July[[#This Row],[Drug Name5]],'Data Options'!$R$1:$S$100,2,FALSE), " ")</f>
        <v xml:space="preserve"> </v>
      </c>
      <c r="BA165" s="55"/>
      <c r="BB165" s="32"/>
      <c r="BC165" s="32"/>
      <c r="BD165" s="55"/>
      <c r="BE165" s="32"/>
      <c r="BF165" s="54"/>
      <c r="BG165" s="21" t="str">
        <f>IFERROR(VLOOKUP(July[[#This Row],[Drug Name6]],'Data Options'!$R$1:$S$100,2,FALSE), " ")</f>
        <v xml:space="preserve"> </v>
      </c>
      <c r="BH165" s="55"/>
      <c r="BI165" s="32"/>
      <c r="BJ165" s="32"/>
      <c r="BK165" s="55"/>
      <c r="BL165" s="32"/>
      <c r="BM165" s="32"/>
      <c r="BN165" s="32"/>
      <c r="BO165" s="32"/>
      <c r="BP165" s="32"/>
      <c r="BQ165" s="31"/>
      <c r="BR165" s="31"/>
      <c r="BS165" s="54"/>
      <c r="BT165" s="21" t="str">
        <f>IFERROR(VLOOKUP(July[[#This Row],[Drug Name7]],'Data Options'!$R$1:$S$100,2,FALSE), " ")</f>
        <v xml:space="preserve"> </v>
      </c>
      <c r="BU165" s="55"/>
      <c r="BV165" s="32"/>
      <c r="BW165" s="32"/>
      <c r="BX165" s="55"/>
      <c r="BY165" s="32"/>
      <c r="BZ165" s="54"/>
      <c r="CA165" s="21" t="str">
        <f>IFERROR(VLOOKUP(July[[#This Row],[Drug Name8]],'Data Options'!$R$1:$S$100,2,FALSE), " ")</f>
        <v xml:space="preserve"> </v>
      </c>
      <c r="CB165" s="55"/>
      <c r="CC165" s="32"/>
      <c r="CD165" s="32"/>
      <c r="CE165" s="55"/>
      <c r="CF165" s="32"/>
      <c r="CG165" s="54"/>
      <c r="CH165" s="21" t="str">
        <f>IFERROR(VLOOKUP(July[[#This Row],[Drug Name9]],'Data Options'!$R$1:$S$100,2,FALSE), " ")</f>
        <v xml:space="preserve"> </v>
      </c>
      <c r="CI165" s="55"/>
      <c r="CJ165" s="32"/>
      <c r="CK165" s="32"/>
      <c r="CL165" s="55"/>
      <c r="CM165" s="32"/>
    </row>
    <row r="166" spans="1:91">
      <c r="A166" s="5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1"/>
      <c r="P166" s="31"/>
      <c r="Q166" s="54"/>
      <c r="R166" s="21" t="str">
        <f>IFERROR(VLOOKUP(July[[#This Row],[Drug Name]],'Data Options'!$R$1:$S$100,2,FALSE), " ")</f>
        <v xml:space="preserve"> </v>
      </c>
      <c r="S166" s="55"/>
      <c r="T166" s="32"/>
      <c r="U166" s="32"/>
      <c r="V166" s="55"/>
      <c r="W166" s="32"/>
      <c r="X166" s="54"/>
      <c r="Y166" s="21" t="str">
        <f>IFERROR(VLOOKUP(July[[#This Row],[Drug Name2]],'Data Options'!$R$1:$S$100,2,FALSE), " ")</f>
        <v xml:space="preserve"> </v>
      </c>
      <c r="Z166" s="55"/>
      <c r="AA166" s="32"/>
      <c r="AB166" s="32"/>
      <c r="AC166" s="55"/>
      <c r="AD166" s="32"/>
      <c r="AE166" s="54"/>
      <c r="AF166" s="21" t="str">
        <f>IFERROR(VLOOKUP(July[[#This Row],[Drug Name3]],'Data Options'!$R$1:$S$100,2,FALSE), " ")</f>
        <v xml:space="preserve"> </v>
      </c>
      <c r="AG166" s="55"/>
      <c r="AH166" s="32"/>
      <c r="AI166" s="32"/>
      <c r="AJ166" s="55"/>
      <c r="AK166" s="32"/>
      <c r="AL166" s="32"/>
      <c r="AM166" s="32"/>
      <c r="AN166" s="32"/>
      <c r="AO166" s="32"/>
      <c r="AP166" s="31"/>
      <c r="AQ166" s="31"/>
      <c r="AR166" s="54"/>
      <c r="AS166" s="21" t="str">
        <f>IFERROR(VLOOKUP(July[[#This Row],[Drug Name4]],'Data Options'!$R$1:$S$100,2,FALSE), " ")</f>
        <v xml:space="preserve"> </v>
      </c>
      <c r="AT166" s="55"/>
      <c r="AU166" s="32"/>
      <c r="AV166" s="32"/>
      <c r="AW166" s="55"/>
      <c r="AX166" s="32"/>
      <c r="AY166" s="54"/>
      <c r="AZ166" s="21" t="str">
        <f>IFERROR(VLOOKUP(July[[#This Row],[Drug Name5]],'Data Options'!$R$1:$S$100,2,FALSE), " ")</f>
        <v xml:space="preserve"> </v>
      </c>
      <c r="BA166" s="55"/>
      <c r="BB166" s="32"/>
      <c r="BC166" s="32"/>
      <c r="BD166" s="55"/>
      <c r="BE166" s="32"/>
      <c r="BF166" s="54"/>
      <c r="BG166" s="21" t="str">
        <f>IFERROR(VLOOKUP(July[[#This Row],[Drug Name6]],'Data Options'!$R$1:$S$100,2,FALSE), " ")</f>
        <v xml:space="preserve"> </v>
      </c>
      <c r="BH166" s="55"/>
      <c r="BI166" s="32"/>
      <c r="BJ166" s="32"/>
      <c r="BK166" s="55"/>
      <c r="BL166" s="32"/>
      <c r="BM166" s="32"/>
      <c r="BN166" s="32"/>
      <c r="BO166" s="32"/>
      <c r="BP166" s="32"/>
      <c r="BQ166" s="31"/>
      <c r="BR166" s="31"/>
      <c r="BS166" s="54"/>
      <c r="BT166" s="21" t="str">
        <f>IFERROR(VLOOKUP(July[[#This Row],[Drug Name7]],'Data Options'!$R$1:$S$100,2,FALSE), " ")</f>
        <v xml:space="preserve"> </v>
      </c>
      <c r="BU166" s="55"/>
      <c r="BV166" s="32"/>
      <c r="BW166" s="32"/>
      <c r="BX166" s="55"/>
      <c r="BY166" s="32"/>
      <c r="BZ166" s="54"/>
      <c r="CA166" s="21" t="str">
        <f>IFERROR(VLOOKUP(July[[#This Row],[Drug Name8]],'Data Options'!$R$1:$S$100,2,FALSE), " ")</f>
        <v xml:space="preserve"> </v>
      </c>
      <c r="CB166" s="55"/>
      <c r="CC166" s="32"/>
      <c r="CD166" s="32"/>
      <c r="CE166" s="55"/>
      <c r="CF166" s="32"/>
      <c r="CG166" s="54"/>
      <c r="CH166" s="21" t="str">
        <f>IFERROR(VLOOKUP(July[[#This Row],[Drug Name9]],'Data Options'!$R$1:$S$100,2,FALSE), " ")</f>
        <v xml:space="preserve"> </v>
      </c>
      <c r="CI166" s="55"/>
      <c r="CJ166" s="32"/>
      <c r="CK166" s="32"/>
      <c r="CL166" s="55"/>
      <c r="CM166" s="32"/>
    </row>
    <row r="167" spans="1:91">
      <c r="A167" s="5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1"/>
      <c r="P167" s="31"/>
      <c r="Q167" s="54"/>
      <c r="R167" s="21" t="str">
        <f>IFERROR(VLOOKUP(July[[#This Row],[Drug Name]],'Data Options'!$R$1:$S$100,2,FALSE), " ")</f>
        <v xml:space="preserve"> </v>
      </c>
      <c r="S167" s="55"/>
      <c r="T167" s="32"/>
      <c r="U167" s="32"/>
      <c r="V167" s="55"/>
      <c r="W167" s="32"/>
      <c r="X167" s="54"/>
      <c r="Y167" s="21" t="str">
        <f>IFERROR(VLOOKUP(July[[#This Row],[Drug Name2]],'Data Options'!$R$1:$S$100,2,FALSE), " ")</f>
        <v xml:space="preserve"> </v>
      </c>
      <c r="Z167" s="55"/>
      <c r="AA167" s="32"/>
      <c r="AB167" s="32"/>
      <c r="AC167" s="55"/>
      <c r="AD167" s="32"/>
      <c r="AE167" s="54"/>
      <c r="AF167" s="21" t="str">
        <f>IFERROR(VLOOKUP(July[[#This Row],[Drug Name3]],'Data Options'!$R$1:$S$100,2,FALSE), " ")</f>
        <v xml:space="preserve"> </v>
      </c>
      <c r="AG167" s="55"/>
      <c r="AH167" s="32"/>
      <c r="AI167" s="32"/>
      <c r="AJ167" s="55"/>
      <c r="AK167" s="32"/>
      <c r="AL167" s="32"/>
      <c r="AM167" s="32"/>
      <c r="AN167" s="32"/>
      <c r="AO167" s="32"/>
      <c r="AP167" s="31"/>
      <c r="AQ167" s="31"/>
      <c r="AR167" s="54"/>
      <c r="AS167" s="21" t="str">
        <f>IFERROR(VLOOKUP(July[[#This Row],[Drug Name4]],'Data Options'!$R$1:$S$100,2,FALSE), " ")</f>
        <v xml:space="preserve"> </v>
      </c>
      <c r="AT167" s="55"/>
      <c r="AU167" s="32"/>
      <c r="AV167" s="32"/>
      <c r="AW167" s="55"/>
      <c r="AX167" s="32"/>
      <c r="AY167" s="54"/>
      <c r="AZ167" s="21" t="str">
        <f>IFERROR(VLOOKUP(July[[#This Row],[Drug Name5]],'Data Options'!$R$1:$S$100,2,FALSE), " ")</f>
        <v xml:space="preserve"> </v>
      </c>
      <c r="BA167" s="55"/>
      <c r="BB167" s="32"/>
      <c r="BC167" s="32"/>
      <c r="BD167" s="55"/>
      <c r="BE167" s="32"/>
      <c r="BF167" s="54"/>
      <c r="BG167" s="21" t="str">
        <f>IFERROR(VLOOKUP(July[[#This Row],[Drug Name6]],'Data Options'!$R$1:$S$100,2,FALSE), " ")</f>
        <v xml:space="preserve"> </v>
      </c>
      <c r="BH167" s="55"/>
      <c r="BI167" s="32"/>
      <c r="BJ167" s="32"/>
      <c r="BK167" s="55"/>
      <c r="BL167" s="32"/>
      <c r="BM167" s="32"/>
      <c r="BN167" s="32"/>
      <c r="BO167" s="32"/>
      <c r="BP167" s="32"/>
      <c r="BQ167" s="31"/>
      <c r="BR167" s="31"/>
      <c r="BS167" s="54"/>
      <c r="BT167" s="21" t="str">
        <f>IFERROR(VLOOKUP(July[[#This Row],[Drug Name7]],'Data Options'!$R$1:$S$100,2,FALSE), " ")</f>
        <v xml:space="preserve"> </v>
      </c>
      <c r="BU167" s="55"/>
      <c r="BV167" s="32"/>
      <c r="BW167" s="32"/>
      <c r="BX167" s="55"/>
      <c r="BY167" s="32"/>
      <c r="BZ167" s="54"/>
      <c r="CA167" s="21" t="str">
        <f>IFERROR(VLOOKUP(July[[#This Row],[Drug Name8]],'Data Options'!$R$1:$S$100,2,FALSE), " ")</f>
        <v xml:space="preserve"> </v>
      </c>
      <c r="CB167" s="55"/>
      <c r="CC167" s="32"/>
      <c r="CD167" s="32"/>
      <c r="CE167" s="55"/>
      <c r="CF167" s="32"/>
      <c r="CG167" s="54"/>
      <c r="CH167" s="21" t="str">
        <f>IFERROR(VLOOKUP(July[[#This Row],[Drug Name9]],'Data Options'!$R$1:$S$100,2,FALSE), " ")</f>
        <v xml:space="preserve"> </v>
      </c>
      <c r="CI167" s="55"/>
      <c r="CJ167" s="32"/>
      <c r="CK167" s="32"/>
      <c r="CL167" s="55"/>
      <c r="CM167" s="32"/>
    </row>
    <row r="168" spans="1:91">
      <c r="A168" s="5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1"/>
      <c r="P168" s="31"/>
      <c r="Q168" s="54"/>
      <c r="R168" s="21" t="str">
        <f>IFERROR(VLOOKUP(July[[#This Row],[Drug Name]],'Data Options'!$R$1:$S$100,2,FALSE), " ")</f>
        <v xml:space="preserve"> </v>
      </c>
      <c r="S168" s="55"/>
      <c r="T168" s="32"/>
      <c r="U168" s="32"/>
      <c r="V168" s="55"/>
      <c r="W168" s="32"/>
      <c r="X168" s="54"/>
      <c r="Y168" s="21" t="str">
        <f>IFERROR(VLOOKUP(July[[#This Row],[Drug Name2]],'Data Options'!$R$1:$S$100,2,FALSE), " ")</f>
        <v xml:space="preserve"> </v>
      </c>
      <c r="Z168" s="55"/>
      <c r="AA168" s="32"/>
      <c r="AB168" s="32"/>
      <c r="AC168" s="55"/>
      <c r="AD168" s="32"/>
      <c r="AE168" s="54"/>
      <c r="AF168" s="21" t="str">
        <f>IFERROR(VLOOKUP(July[[#This Row],[Drug Name3]],'Data Options'!$R$1:$S$100,2,FALSE), " ")</f>
        <v xml:space="preserve"> </v>
      </c>
      <c r="AG168" s="55"/>
      <c r="AH168" s="32"/>
      <c r="AI168" s="32"/>
      <c r="AJ168" s="55"/>
      <c r="AK168" s="32"/>
      <c r="AL168" s="32"/>
      <c r="AM168" s="32"/>
      <c r="AN168" s="32"/>
      <c r="AO168" s="32"/>
      <c r="AP168" s="31"/>
      <c r="AQ168" s="31"/>
      <c r="AR168" s="54"/>
      <c r="AS168" s="21" t="str">
        <f>IFERROR(VLOOKUP(July[[#This Row],[Drug Name4]],'Data Options'!$R$1:$S$100,2,FALSE), " ")</f>
        <v xml:space="preserve"> </v>
      </c>
      <c r="AT168" s="55"/>
      <c r="AU168" s="32"/>
      <c r="AV168" s="32"/>
      <c r="AW168" s="55"/>
      <c r="AX168" s="32"/>
      <c r="AY168" s="54"/>
      <c r="AZ168" s="21" t="str">
        <f>IFERROR(VLOOKUP(July[[#This Row],[Drug Name5]],'Data Options'!$R$1:$S$100,2,FALSE), " ")</f>
        <v xml:space="preserve"> </v>
      </c>
      <c r="BA168" s="55"/>
      <c r="BB168" s="32"/>
      <c r="BC168" s="32"/>
      <c r="BD168" s="55"/>
      <c r="BE168" s="32"/>
      <c r="BF168" s="54"/>
      <c r="BG168" s="21" t="str">
        <f>IFERROR(VLOOKUP(July[[#This Row],[Drug Name6]],'Data Options'!$R$1:$S$100,2,FALSE), " ")</f>
        <v xml:space="preserve"> </v>
      </c>
      <c r="BH168" s="55"/>
      <c r="BI168" s="32"/>
      <c r="BJ168" s="32"/>
      <c r="BK168" s="55"/>
      <c r="BL168" s="32"/>
      <c r="BM168" s="32"/>
      <c r="BN168" s="32"/>
      <c r="BO168" s="32"/>
      <c r="BP168" s="32"/>
      <c r="BQ168" s="31"/>
      <c r="BR168" s="31"/>
      <c r="BS168" s="54"/>
      <c r="BT168" s="21" t="str">
        <f>IFERROR(VLOOKUP(July[[#This Row],[Drug Name7]],'Data Options'!$R$1:$S$100,2,FALSE), " ")</f>
        <v xml:space="preserve"> </v>
      </c>
      <c r="BU168" s="55"/>
      <c r="BV168" s="32"/>
      <c r="BW168" s="32"/>
      <c r="BX168" s="55"/>
      <c r="BY168" s="32"/>
      <c r="BZ168" s="54"/>
      <c r="CA168" s="21" t="str">
        <f>IFERROR(VLOOKUP(July[[#This Row],[Drug Name8]],'Data Options'!$R$1:$S$100,2,FALSE), " ")</f>
        <v xml:space="preserve"> </v>
      </c>
      <c r="CB168" s="55"/>
      <c r="CC168" s="32"/>
      <c r="CD168" s="32"/>
      <c r="CE168" s="55"/>
      <c r="CF168" s="32"/>
      <c r="CG168" s="54"/>
      <c r="CH168" s="21" t="str">
        <f>IFERROR(VLOOKUP(July[[#This Row],[Drug Name9]],'Data Options'!$R$1:$S$100,2,FALSE), " ")</f>
        <v xml:space="preserve"> </v>
      </c>
      <c r="CI168" s="55"/>
      <c r="CJ168" s="32"/>
      <c r="CK168" s="32"/>
      <c r="CL168" s="55"/>
      <c r="CM168" s="32"/>
    </row>
    <row r="169" spans="1:91">
      <c r="A169" s="5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1"/>
      <c r="P169" s="31"/>
      <c r="Q169" s="54"/>
      <c r="R169" s="21" t="str">
        <f>IFERROR(VLOOKUP(July[[#This Row],[Drug Name]],'Data Options'!$R$1:$S$100,2,FALSE), " ")</f>
        <v xml:space="preserve"> </v>
      </c>
      <c r="S169" s="55"/>
      <c r="T169" s="32"/>
      <c r="U169" s="32"/>
      <c r="V169" s="55"/>
      <c r="W169" s="32"/>
      <c r="X169" s="54"/>
      <c r="Y169" s="21" t="str">
        <f>IFERROR(VLOOKUP(July[[#This Row],[Drug Name2]],'Data Options'!$R$1:$S$100,2,FALSE), " ")</f>
        <v xml:space="preserve"> </v>
      </c>
      <c r="Z169" s="55"/>
      <c r="AA169" s="32"/>
      <c r="AB169" s="32"/>
      <c r="AC169" s="55"/>
      <c r="AD169" s="32"/>
      <c r="AE169" s="54"/>
      <c r="AF169" s="21" t="str">
        <f>IFERROR(VLOOKUP(July[[#This Row],[Drug Name3]],'Data Options'!$R$1:$S$100,2,FALSE), " ")</f>
        <v xml:space="preserve"> </v>
      </c>
      <c r="AG169" s="55"/>
      <c r="AH169" s="32"/>
      <c r="AI169" s="32"/>
      <c r="AJ169" s="55"/>
      <c r="AK169" s="32"/>
      <c r="AL169" s="32"/>
      <c r="AM169" s="32"/>
      <c r="AN169" s="32"/>
      <c r="AO169" s="32"/>
      <c r="AP169" s="31"/>
      <c r="AQ169" s="31"/>
      <c r="AR169" s="54"/>
      <c r="AS169" s="21" t="str">
        <f>IFERROR(VLOOKUP(July[[#This Row],[Drug Name4]],'Data Options'!$R$1:$S$100,2,FALSE), " ")</f>
        <v xml:space="preserve"> </v>
      </c>
      <c r="AT169" s="55"/>
      <c r="AU169" s="32"/>
      <c r="AV169" s="32"/>
      <c r="AW169" s="55"/>
      <c r="AX169" s="32"/>
      <c r="AY169" s="54"/>
      <c r="AZ169" s="21" t="str">
        <f>IFERROR(VLOOKUP(July[[#This Row],[Drug Name5]],'Data Options'!$R$1:$S$100,2,FALSE), " ")</f>
        <v xml:space="preserve"> </v>
      </c>
      <c r="BA169" s="55"/>
      <c r="BB169" s="32"/>
      <c r="BC169" s="32"/>
      <c r="BD169" s="55"/>
      <c r="BE169" s="32"/>
      <c r="BF169" s="54"/>
      <c r="BG169" s="21" t="str">
        <f>IFERROR(VLOOKUP(July[[#This Row],[Drug Name6]],'Data Options'!$R$1:$S$100,2,FALSE), " ")</f>
        <v xml:space="preserve"> </v>
      </c>
      <c r="BH169" s="55"/>
      <c r="BI169" s="32"/>
      <c r="BJ169" s="32"/>
      <c r="BK169" s="55"/>
      <c r="BL169" s="32"/>
      <c r="BM169" s="32"/>
      <c r="BN169" s="32"/>
      <c r="BO169" s="32"/>
      <c r="BP169" s="32"/>
      <c r="BQ169" s="31"/>
      <c r="BR169" s="31"/>
      <c r="BS169" s="54"/>
      <c r="BT169" s="21" t="str">
        <f>IFERROR(VLOOKUP(July[[#This Row],[Drug Name7]],'Data Options'!$R$1:$S$100,2,FALSE), " ")</f>
        <v xml:space="preserve"> </v>
      </c>
      <c r="BU169" s="55"/>
      <c r="BV169" s="32"/>
      <c r="BW169" s="32"/>
      <c r="BX169" s="55"/>
      <c r="BY169" s="32"/>
      <c r="BZ169" s="54"/>
      <c r="CA169" s="21" t="str">
        <f>IFERROR(VLOOKUP(July[[#This Row],[Drug Name8]],'Data Options'!$R$1:$S$100,2,FALSE), " ")</f>
        <v xml:space="preserve"> </v>
      </c>
      <c r="CB169" s="55"/>
      <c r="CC169" s="32"/>
      <c r="CD169" s="32"/>
      <c r="CE169" s="55"/>
      <c r="CF169" s="32"/>
      <c r="CG169" s="54"/>
      <c r="CH169" s="21" t="str">
        <f>IFERROR(VLOOKUP(July[[#This Row],[Drug Name9]],'Data Options'!$R$1:$S$100,2,FALSE), " ")</f>
        <v xml:space="preserve"> </v>
      </c>
      <c r="CI169" s="55"/>
      <c r="CJ169" s="32"/>
      <c r="CK169" s="32"/>
      <c r="CL169" s="55"/>
      <c r="CM169" s="32"/>
    </row>
    <row r="170" spans="1:91">
      <c r="A170" s="5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1"/>
      <c r="P170" s="31"/>
      <c r="Q170" s="54"/>
      <c r="R170" s="21" t="str">
        <f>IFERROR(VLOOKUP(July[[#This Row],[Drug Name]],'Data Options'!$R$1:$S$100,2,FALSE), " ")</f>
        <v xml:space="preserve"> </v>
      </c>
      <c r="S170" s="55"/>
      <c r="T170" s="32"/>
      <c r="U170" s="32"/>
      <c r="V170" s="55"/>
      <c r="W170" s="32"/>
      <c r="X170" s="54"/>
      <c r="Y170" s="21" t="str">
        <f>IFERROR(VLOOKUP(July[[#This Row],[Drug Name2]],'Data Options'!$R$1:$S$100,2,FALSE), " ")</f>
        <v xml:space="preserve"> </v>
      </c>
      <c r="Z170" s="55"/>
      <c r="AA170" s="32"/>
      <c r="AB170" s="32"/>
      <c r="AC170" s="55"/>
      <c r="AD170" s="32"/>
      <c r="AE170" s="54"/>
      <c r="AF170" s="21" t="str">
        <f>IFERROR(VLOOKUP(July[[#This Row],[Drug Name3]],'Data Options'!$R$1:$S$100,2,FALSE), " ")</f>
        <v xml:space="preserve"> </v>
      </c>
      <c r="AG170" s="55"/>
      <c r="AH170" s="32"/>
      <c r="AI170" s="32"/>
      <c r="AJ170" s="55"/>
      <c r="AK170" s="32"/>
      <c r="AL170" s="32"/>
      <c r="AM170" s="32"/>
      <c r="AN170" s="32"/>
      <c r="AO170" s="32"/>
      <c r="AP170" s="31"/>
      <c r="AQ170" s="31"/>
      <c r="AR170" s="54"/>
      <c r="AS170" s="21" t="str">
        <f>IFERROR(VLOOKUP(July[[#This Row],[Drug Name4]],'Data Options'!$R$1:$S$100,2,FALSE), " ")</f>
        <v xml:space="preserve"> </v>
      </c>
      <c r="AT170" s="55"/>
      <c r="AU170" s="32"/>
      <c r="AV170" s="32"/>
      <c r="AW170" s="55"/>
      <c r="AX170" s="32"/>
      <c r="AY170" s="54"/>
      <c r="AZ170" s="21" t="str">
        <f>IFERROR(VLOOKUP(July[[#This Row],[Drug Name5]],'Data Options'!$R$1:$S$100,2,FALSE), " ")</f>
        <v xml:space="preserve"> </v>
      </c>
      <c r="BA170" s="55"/>
      <c r="BB170" s="32"/>
      <c r="BC170" s="32"/>
      <c r="BD170" s="55"/>
      <c r="BE170" s="32"/>
      <c r="BF170" s="54"/>
      <c r="BG170" s="21" t="str">
        <f>IFERROR(VLOOKUP(July[[#This Row],[Drug Name6]],'Data Options'!$R$1:$S$100,2,FALSE), " ")</f>
        <v xml:space="preserve"> </v>
      </c>
      <c r="BH170" s="55"/>
      <c r="BI170" s="32"/>
      <c r="BJ170" s="32"/>
      <c r="BK170" s="55"/>
      <c r="BL170" s="32"/>
      <c r="BM170" s="32"/>
      <c r="BN170" s="32"/>
      <c r="BO170" s="32"/>
      <c r="BP170" s="32"/>
      <c r="BQ170" s="31"/>
      <c r="BR170" s="31"/>
      <c r="BS170" s="54"/>
      <c r="BT170" s="21" t="str">
        <f>IFERROR(VLOOKUP(July[[#This Row],[Drug Name7]],'Data Options'!$R$1:$S$100,2,FALSE), " ")</f>
        <v xml:space="preserve"> </v>
      </c>
      <c r="BU170" s="55"/>
      <c r="BV170" s="32"/>
      <c r="BW170" s="32"/>
      <c r="BX170" s="55"/>
      <c r="BY170" s="32"/>
      <c r="BZ170" s="54"/>
      <c r="CA170" s="21" t="str">
        <f>IFERROR(VLOOKUP(July[[#This Row],[Drug Name8]],'Data Options'!$R$1:$S$100,2,FALSE), " ")</f>
        <v xml:space="preserve"> </v>
      </c>
      <c r="CB170" s="55"/>
      <c r="CC170" s="32"/>
      <c r="CD170" s="32"/>
      <c r="CE170" s="55"/>
      <c r="CF170" s="32"/>
      <c r="CG170" s="54"/>
      <c r="CH170" s="21" t="str">
        <f>IFERROR(VLOOKUP(July[[#This Row],[Drug Name9]],'Data Options'!$R$1:$S$100,2,FALSE), " ")</f>
        <v xml:space="preserve"> </v>
      </c>
      <c r="CI170" s="55"/>
      <c r="CJ170" s="32"/>
      <c r="CK170" s="32"/>
      <c r="CL170" s="55"/>
      <c r="CM170" s="32"/>
    </row>
    <row r="171" spans="1:91">
      <c r="A171" s="5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1"/>
      <c r="P171" s="31"/>
      <c r="Q171" s="54"/>
      <c r="R171" s="21" t="str">
        <f>IFERROR(VLOOKUP(July[[#This Row],[Drug Name]],'Data Options'!$R$1:$S$100,2,FALSE), " ")</f>
        <v xml:space="preserve"> </v>
      </c>
      <c r="S171" s="55"/>
      <c r="T171" s="32"/>
      <c r="U171" s="32"/>
      <c r="V171" s="55"/>
      <c r="W171" s="32"/>
      <c r="X171" s="54"/>
      <c r="Y171" s="21" t="str">
        <f>IFERROR(VLOOKUP(July[[#This Row],[Drug Name2]],'Data Options'!$R$1:$S$100,2,FALSE), " ")</f>
        <v xml:space="preserve"> </v>
      </c>
      <c r="Z171" s="55"/>
      <c r="AA171" s="32"/>
      <c r="AB171" s="32"/>
      <c r="AC171" s="55"/>
      <c r="AD171" s="32"/>
      <c r="AE171" s="54"/>
      <c r="AF171" s="21" t="str">
        <f>IFERROR(VLOOKUP(July[[#This Row],[Drug Name3]],'Data Options'!$R$1:$S$100,2,FALSE), " ")</f>
        <v xml:space="preserve"> </v>
      </c>
      <c r="AG171" s="55"/>
      <c r="AH171" s="32"/>
      <c r="AI171" s="32"/>
      <c r="AJ171" s="55"/>
      <c r="AK171" s="32"/>
      <c r="AL171" s="32"/>
      <c r="AM171" s="32"/>
      <c r="AN171" s="32"/>
      <c r="AO171" s="32"/>
      <c r="AP171" s="31"/>
      <c r="AQ171" s="31"/>
      <c r="AR171" s="54"/>
      <c r="AS171" s="21" t="str">
        <f>IFERROR(VLOOKUP(July[[#This Row],[Drug Name4]],'Data Options'!$R$1:$S$100,2,FALSE), " ")</f>
        <v xml:space="preserve"> </v>
      </c>
      <c r="AT171" s="55"/>
      <c r="AU171" s="32"/>
      <c r="AV171" s="32"/>
      <c r="AW171" s="55"/>
      <c r="AX171" s="32"/>
      <c r="AY171" s="54"/>
      <c r="AZ171" s="21" t="str">
        <f>IFERROR(VLOOKUP(July[[#This Row],[Drug Name5]],'Data Options'!$R$1:$S$100,2,FALSE), " ")</f>
        <v xml:space="preserve"> </v>
      </c>
      <c r="BA171" s="55"/>
      <c r="BB171" s="32"/>
      <c r="BC171" s="32"/>
      <c r="BD171" s="55"/>
      <c r="BE171" s="32"/>
      <c r="BF171" s="54"/>
      <c r="BG171" s="21" t="str">
        <f>IFERROR(VLOOKUP(July[[#This Row],[Drug Name6]],'Data Options'!$R$1:$S$100,2,FALSE), " ")</f>
        <v xml:space="preserve"> </v>
      </c>
      <c r="BH171" s="55"/>
      <c r="BI171" s="32"/>
      <c r="BJ171" s="32"/>
      <c r="BK171" s="55"/>
      <c r="BL171" s="32"/>
      <c r="BM171" s="32"/>
      <c r="BN171" s="32"/>
      <c r="BO171" s="32"/>
      <c r="BP171" s="32"/>
      <c r="BQ171" s="31"/>
      <c r="BR171" s="31"/>
      <c r="BS171" s="54"/>
      <c r="BT171" s="21" t="str">
        <f>IFERROR(VLOOKUP(July[[#This Row],[Drug Name7]],'Data Options'!$R$1:$S$100,2,FALSE), " ")</f>
        <v xml:space="preserve"> </v>
      </c>
      <c r="BU171" s="55"/>
      <c r="BV171" s="32"/>
      <c r="BW171" s="32"/>
      <c r="BX171" s="55"/>
      <c r="BY171" s="32"/>
      <c r="BZ171" s="54"/>
      <c r="CA171" s="21" t="str">
        <f>IFERROR(VLOOKUP(July[[#This Row],[Drug Name8]],'Data Options'!$R$1:$S$100,2,FALSE), " ")</f>
        <v xml:space="preserve"> </v>
      </c>
      <c r="CB171" s="55"/>
      <c r="CC171" s="32"/>
      <c r="CD171" s="32"/>
      <c r="CE171" s="55"/>
      <c r="CF171" s="32"/>
      <c r="CG171" s="54"/>
      <c r="CH171" s="21" t="str">
        <f>IFERROR(VLOOKUP(July[[#This Row],[Drug Name9]],'Data Options'!$R$1:$S$100,2,FALSE), " ")</f>
        <v xml:space="preserve"> </v>
      </c>
      <c r="CI171" s="55"/>
      <c r="CJ171" s="32"/>
      <c r="CK171" s="32"/>
      <c r="CL171" s="55"/>
      <c r="CM171" s="32"/>
    </row>
    <row r="172" spans="1:91">
      <c r="A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1"/>
      <c r="P172" s="31"/>
      <c r="Q172" s="54"/>
      <c r="R172" s="21" t="str">
        <f>IFERROR(VLOOKUP(July[[#This Row],[Drug Name]],'Data Options'!$R$1:$S$100,2,FALSE), " ")</f>
        <v xml:space="preserve"> </v>
      </c>
      <c r="S172" s="55"/>
      <c r="T172" s="32"/>
      <c r="U172" s="32"/>
      <c r="V172" s="55"/>
      <c r="W172" s="32"/>
      <c r="X172" s="54"/>
      <c r="Y172" s="21" t="str">
        <f>IFERROR(VLOOKUP(July[[#This Row],[Drug Name2]],'Data Options'!$R$1:$S$100,2,FALSE), " ")</f>
        <v xml:space="preserve"> </v>
      </c>
      <c r="Z172" s="55"/>
      <c r="AA172" s="32"/>
      <c r="AB172" s="32"/>
      <c r="AC172" s="55"/>
      <c r="AD172" s="32"/>
      <c r="AE172" s="54"/>
      <c r="AF172" s="21" t="str">
        <f>IFERROR(VLOOKUP(July[[#This Row],[Drug Name3]],'Data Options'!$R$1:$S$100,2,FALSE), " ")</f>
        <v xml:space="preserve"> </v>
      </c>
      <c r="AG172" s="55"/>
      <c r="AH172" s="32"/>
      <c r="AI172" s="32"/>
      <c r="AJ172" s="55"/>
      <c r="AK172" s="32"/>
      <c r="AL172" s="32"/>
      <c r="AM172" s="32"/>
      <c r="AN172" s="32"/>
      <c r="AO172" s="32"/>
      <c r="AP172" s="31"/>
      <c r="AQ172" s="31"/>
      <c r="AR172" s="54"/>
      <c r="AS172" s="21" t="str">
        <f>IFERROR(VLOOKUP(July[[#This Row],[Drug Name4]],'Data Options'!$R$1:$S$100,2,FALSE), " ")</f>
        <v xml:space="preserve"> </v>
      </c>
      <c r="AT172" s="55"/>
      <c r="AU172" s="32"/>
      <c r="AV172" s="32"/>
      <c r="AW172" s="55"/>
      <c r="AX172" s="32"/>
      <c r="AY172" s="54"/>
      <c r="AZ172" s="21" t="str">
        <f>IFERROR(VLOOKUP(July[[#This Row],[Drug Name5]],'Data Options'!$R$1:$S$100,2,FALSE), " ")</f>
        <v xml:space="preserve"> </v>
      </c>
      <c r="BA172" s="55"/>
      <c r="BB172" s="32"/>
      <c r="BC172" s="32"/>
      <c r="BD172" s="55"/>
      <c r="BE172" s="32"/>
      <c r="BF172" s="54"/>
      <c r="BG172" s="21" t="str">
        <f>IFERROR(VLOOKUP(July[[#This Row],[Drug Name6]],'Data Options'!$R$1:$S$100,2,FALSE), " ")</f>
        <v xml:space="preserve"> </v>
      </c>
      <c r="BH172" s="55"/>
      <c r="BI172" s="32"/>
      <c r="BJ172" s="32"/>
      <c r="BK172" s="55"/>
      <c r="BL172" s="32"/>
      <c r="BM172" s="32"/>
      <c r="BN172" s="32"/>
      <c r="BO172" s="32"/>
      <c r="BP172" s="32"/>
      <c r="BQ172" s="31"/>
      <c r="BR172" s="31"/>
      <c r="BS172" s="54"/>
      <c r="BT172" s="21" t="str">
        <f>IFERROR(VLOOKUP(July[[#This Row],[Drug Name7]],'Data Options'!$R$1:$S$100,2,FALSE), " ")</f>
        <v xml:space="preserve"> </v>
      </c>
      <c r="BU172" s="55"/>
      <c r="BV172" s="32"/>
      <c r="BW172" s="32"/>
      <c r="BX172" s="55"/>
      <c r="BY172" s="32"/>
      <c r="BZ172" s="54"/>
      <c r="CA172" s="21" t="str">
        <f>IFERROR(VLOOKUP(July[[#This Row],[Drug Name8]],'Data Options'!$R$1:$S$100,2,FALSE), " ")</f>
        <v xml:space="preserve"> </v>
      </c>
      <c r="CB172" s="55"/>
      <c r="CC172" s="32"/>
      <c r="CD172" s="32"/>
      <c r="CE172" s="55"/>
      <c r="CF172" s="32"/>
      <c r="CG172" s="54"/>
      <c r="CH172" s="21" t="str">
        <f>IFERROR(VLOOKUP(July[[#This Row],[Drug Name9]],'Data Options'!$R$1:$S$100,2,FALSE), " ")</f>
        <v xml:space="preserve"> </v>
      </c>
      <c r="CI172" s="55"/>
      <c r="CJ172" s="32"/>
      <c r="CK172" s="32"/>
      <c r="CL172" s="55"/>
      <c r="CM172" s="32"/>
    </row>
    <row r="173" spans="1:91">
      <c r="A173" s="5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1"/>
      <c r="P173" s="31"/>
      <c r="Q173" s="54"/>
      <c r="R173" s="21" t="str">
        <f>IFERROR(VLOOKUP(July[[#This Row],[Drug Name]],'Data Options'!$R$1:$S$100,2,FALSE), " ")</f>
        <v xml:space="preserve"> </v>
      </c>
      <c r="S173" s="55"/>
      <c r="T173" s="32"/>
      <c r="U173" s="32"/>
      <c r="V173" s="55"/>
      <c r="W173" s="32"/>
      <c r="X173" s="54"/>
      <c r="Y173" s="21" t="str">
        <f>IFERROR(VLOOKUP(July[[#This Row],[Drug Name2]],'Data Options'!$R$1:$S$100,2,FALSE), " ")</f>
        <v xml:space="preserve"> </v>
      </c>
      <c r="Z173" s="55"/>
      <c r="AA173" s="32"/>
      <c r="AB173" s="32"/>
      <c r="AC173" s="55"/>
      <c r="AD173" s="32"/>
      <c r="AE173" s="54"/>
      <c r="AF173" s="21" t="str">
        <f>IFERROR(VLOOKUP(July[[#This Row],[Drug Name3]],'Data Options'!$R$1:$S$100,2,FALSE), " ")</f>
        <v xml:space="preserve"> </v>
      </c>
      <c r="AG173" s="55"/>
      <c r="AH173" s="32"/>
      <c r="AI173" s="32"/>
      <c r="AJ173" s="55"/>
      <c r="AK173" s="32"/>
      <c r="AL173" s="32"/>
      <c r="AM173" s="32"/>
      <c r="AN173" s="32"/>
      <c r="AO173" s="32"/>
      <c r="AP173" s="31"/>
      <c r="AQ173" s="31"/>
      <c r="AR173" s="54"/>
      <c r="AS173" s="21" t="str">
        <f>IFERROR(VLOOKUP(July[[#This Row],[Drug Name4]],'Data Options'!$R$1:$S$100,2,FALSE), " ")</f>
        <v xml:space="preserve"> </v>
      </c>
      <c r="AT173" s="55"/>
      <c r="AU173" s="32"/>
      <c r="AV173" s="32"/>
      <c r="AW173" s="55"/>
      <c r="AX173" s="32"/>
      <c r="AY173" s="54"/>
      <c r="AZ173" s="21" t="str">
        <f>IFERROR(VLOOKUP(July[[#This Row],[Drug Name5]],'Data Options'!$R$1:$S$100,2,FALSE), " ")</f>
        <v xml:space="preserve"> </v>
      </c>
      <c r="BA173" s="55"/>
      <c r="BB173" s="32"/>
      <c r="BC173" s="32"/>
      <c r="BD173" s="55"/>
      <c r="BE173" s="32"/>
      <c r="BF173" s="54"/>
      <c r="BG173" s="21" t="str">
        <f>IFERROR(VLOOKUP(July[[#This Row],[Drug Name6]],'Data Options'!$R$1:$S$100,2,FALSE), " ")</f>
        <v xml:space="preserve"> </v>
      </c>
      <c r="BH173" s="55"/>
      <c r="BI173" s="32"/>
      <c r="BJ173" s="32"/>
      <c r="BK173" s="55"/>
      <c r="BL173" s="32"/>
      <c r="BM173" s="32"/>
      <c r="BN173" s="32"/>
      <c r="BO173" s="32"/>
      <c r="BP173" s="32"/>
      <c r="BQ173" s="31"/>
      <c r="BR173" s="31"/>
      <c r="BS173" s="54"/>
      <c r="BT173" s="21" t="str">
        <f>IFERROR(VLOOKUP(July[[#This Row],[Drug Name7]],'Data Options'!$R$1:$S$100,2,FALSE), " ")</f>
        <v xml:space="preserve"> </v>
      </c>
      <c r="BU173" s="55"/>
      <c r="BV173" s="32"/>
      <c r="BW173" s="32"/>
      <c r="BX173" s="55"/>
      <c r="BY173" s="32"/>
      <c r="BZ173" s="54"/>
      <c r="CA173" s="21" t="str">
        <f>IFERROR(VLOOKUP(July[[#This Row],[Drug Name8]],'Data Options'!$R$1:$S$100,2,FALSE), " ")</f>
        <v xml:space="preserve"> </v>
      </c>
      <c r="CB173" s="55"/>
      <c r="CC173" s="32"/>
      <c r="CD173" s="32"/>
      <c r="CE173" s="55"/>
      <c r="CF173" s="32"/>
      <c r="CG173" s="54"/>
      <c r="CH173" s="21" t="str">
        <f>IFERROR(VLOOKUP(July[[#This Row],[Drug Name9]],'Data Options'!$R$1:$S$100,2,FALSE), " ")</f>
        <v xml:space="preserve"> </v>
      </c>
      <c r="CI173" s="55"/>
      <c r="CJ173" s="32"/>
      <c r="CK173" s="32"/>
      <c r="CL173" s="55"/>
      <c r="CM173" s="32"/>
    </row>
    <row r="174" spans="1:91">
      <c r="A174" s="5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1"/>
      <c r="P174" s="31"/>
      <c r="Q174" s="54"/>
      <c r="R174" s="21" t="str">
        <f>IFERROR(VLOOKUP(July[[#This Row],[Drug Name]],'Data Options'!$R$1:$S$100,2,FALSE), " ")</f>
        <v xml:space="preserve"> </v>
      </c>
      <c r="S174" s="55"/>
      <c r="T174" s="32"/>
      <c r="U174" s="32"/>
      <c r="V174" s="55"/>
      <c r="W174" s="32"/>
      <c r="X174" s="54"/>
      <c r="Y174" s="21" t="str">
        <f>IFERROR(VLOOKUP(July[[#This Row],[Drug Name2]],'Data Options'!$R$1:$S$100,2,FALSE), " ")</f>
        <v xml:space="preserve"> </v>
      </c>
      <c r="Z174" s="55"/>
      <c r="AA174" s="32"/>
      <c r="AB174" s="32"/>
      <c r="AC174" s="55"/>
      <c r="AD174" s="32"/>
      <c r="AE174" s="54"/>
      <c r="AF174" s="21" t="str">
        <f>IFERROR(VLOOKUP(July[[#This Row],[Drug Name3]],'Data Options'!$R$1:$S$100,2,FALSE), " ")</f>
        <v xml:space="preserve"> </v>
      </c>
      <c r="AG174" s="55"/>
      <c r="AH174" s="32"/>
      <c r="AI174" s="32"/>
      <c r="AJ174" s="55"/>
      <c r="AK174" s="32"/>
      <c r="AL174" s="32"/>
      <c r="AM174" s="32"/>
      <c r="AN174" s="32"/>
      <c r="AO174" s="32"/>
      <c r="AP174" s="31"/>
      <c r="AQ174" s="31"/>
      <c r="AR174" s="54"/>
      <c r="AS174" s="21" t="str">
        <f>IFERROR(VLOOKUP(July[[#This Row],[Drug Name4]],'Data Options'!$R$1:$S$100,2,FALSE), " ")</f>
        <v xml:space="preserve"> </v>
      </c>
      <c r="AT174" s="55"/>
      <c r="AU174" s="32"/>
      <c r="AV174" s="32"/>
      <c r="AW174" s="55"/>
      <c r="AX174" s="32"/>
      <c r="AY174" s="54"/>
      <c r="AZ174" s="21" t="str">
        <f>IFERROR(VLOOKUP(July[[#This Row],[Drug Name5]],'Data Options'!$R$1:$S$100,2,FALSE), " ")</f>
        <v xml:space="preserve"> </v>
      </c>
      <c r="BA174" s="55"/>
      <c r="BB174" s="32"/>
      <c r="BC174" s="32"/>
      <c r="BD174" s="55"/>
      <c r="BE174" s="32"/>
      <c r="BF174" s="54"/>
      <c r="BG174" s="21" t="str">
        <f>IFERROR(VLOOKUP(July[[#This Row],[Drug Name6]],'Data Options'!$R$1:$S$100,2,FALSE), " ")</f>
        <v xml:space="preserve"> </v>
      </c>
      <c r="BH174" s="55"/>
      <c r="BI174" s="32"/>
      <c r="BJ174" s="32"/>
      <c r="BK174" s="55"/>
      <c r="BL174" s="32"/>
      <c r="BM174" s="32"/>
      <c r="BN174" s="32"/>
      <c r="BO174" s="32"/>
      <c r="BP174" s="32"/>
      <c r="BQ174" s="31"/>
      <c r="BR174" s="31"/>
      <c r="BS174" s="54"/>
      <c r="BT174" s="21" t="str">
        <f>IFERROR(VLOOKUP(July[[#This Row],[Drug Name7]],'Data Options'!$R$1:$S$100,2,FALSE), " ")</f>
        <v xml:space="preserve"> </v>
      </c>
      <c r="BU174" s="55"/>
      <c r="BV174" s="32"/>
      <c r="BW174" s="32"/>
      <c r="BX174" s="55"/>
      <c r="BY174" s="32"/>
      <c r="BZ174" s="54"/>
      <c r="CA174" s="21" t="str">
        <f>IFERROR(VLOOKUP(July[[#This Row],[Drug Name8]],'Data Options'!$R$1:$S$100,2,FALSE), " ")</f>
        <v xml:space="preserve"> </v>
      </c>
      <c r="CB174" s="55"/>
      <c r="CC174" s="32"/>
      <c r="CD174" s="32"/>
      <c r="CE174" s="55"/>
      <c r="CF174" s="32"/>
      <c r="CG174" s="54"/>
      <c r="CH174" s="21" t="str">
        <f>IFERROR(VLOOKUP(July[[#This Row],[Drug Name9]],'Data Options'!$R$1:$S$100,2,FALSE), " ")</f>
        <v xml:space="preserve"> </v>
      </c>
      <c r="CI174" s="55"/>
      <c r="CJ174" s="32"/>
      <c r="CK174" s="32"/>
      <c r="CL174" s="55"/>
      <c r="CM174" s="32"/>
    </row>
    <row r="175" spans="1:91">
      <c r="A175" s="5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1"/>
      <c r="P175" s="31"/>
      <c r="Q175" s="54"/>
      <c r="R175" s="21" t="str">
        <f>IFERROR(VLOOKUP(July[[#This Row],[Drug Name]],'Data Options'!$R$1:$S$100,2,FALSE), " ")</f>
        <v xml:space="preserve"> </v>
      </c>
      <c r="S175" s="55"/>
      <c r="T175" s="32"/>
      <c r="U175" s="32"/>
      <c r="V175" s="55"/>
      <c r="W175" s="32"/>
      <c r="X175" s="54"/>
      <c r="Y175" s="21" t="str">
        <f>IFERROR(VLOOKUP(July[[#This Row],[Drug Name2]],'Data Options'!$R$1:$S$100,2,FALSE), " ")</f>
        <v xml:space="preserve"> </v>
      </c>
      <c r="Z175" s="55"/>
      <c r="AA175" s="32"/>
      <c r="AB175" s="32"/>
      <c r="AC175" s="55"/>
      <c r="AD175" s="32"/>
      <c r="AE175" s="54"/>
      <c r="AF175" s="21" t="str">
        <f>IFERROR(VLOOKUP(July[[#This Row],[Drug Name3]],'Data Options'!$R$1:$S$100,2,FALSE), " ")</f>
        <v xml:space="preserve"> </v>
      </c>
      <c r="AG175" s="55"/>
      <c r="AH175" s="32"/>
      <c r="AI175" s="32"/>
      <c r="AJ175" s="55"/>
      <c r="AK175" s="32"/>
      <c r="AL175" s="32"/>
      <c r="AM175" s="32"/>
      <c r="AN175" s="32"/>
      <c r="AO175" s="32"/>
      <c r="AP175" s="31"/>
      <c r="AQ175" s="31"/>
      <c r="AR175" s="54"/>
      <c r="AS175" s="21" t="str">
        <f>IFERROR(VLOOKUP(July[[#This Row],[Drug Name4]],'Data Options'!$R$1:$S$100,2,FALSE), " ")</f>
        <v xml:space="preserve"> </v>
      </c>
      <c r="AT175" s="55"/>
      <c r="AU175" s="32"/>
      <c r="AV175" s="32"/>
      <c r="AW175" s="55"/>
      <c r="AX175" s="32"/>
      <c r="AY175" s="54"/>
      <c r="AZ175" s="21" t="str">
        <f>IFERROR(VLOOKUP(July[[#This Row],[Drug Name5]],'Data Options'!$R$1:$S$100,2,FALSE), " ")</f>
        <v xml:space="preserve"> </v>
      </c>
      <c r="BA175" s="55"/>
      <c r="BB175" s="32"/>
      <c r="BC175" s="32"/>
      <c r="BD175" s="55"/>
      <c r="BE175" s="32"/>
      <c r="BF175" s="54"/>
      <c r="BG175" s="21" t="str">
        <f>IFERROR(VLOOKUP(July[[#This Row],[Drug Name6]],'Data Options'!$R$1:$S$100,2,FALSE), " ")</f>
        <v xml:space="preserve"> </v>
      </c>
      <c r="BH175" s="55"/>
      <c r="BI175" s="32"/>
      <c r="BJ175" s="32"/>
      <c r="BK175" s="55"/>
      <c r="BL175" s="32"/>
      <c r="BM175" s="32"/>
      <c r="BN175" s="32"/>
      <c r="BO175" s="32"/>
      <c r="BP175" s="32"/>
      <c r="BQ175" s="31"/>
      <c r="BR175" s="31"/>
      <c r="BS175" s="54"/>
      <c r="BT175" s="21" t="str">
        <f>IFERROR(VLOOKUP(July[[#This Row],[Drug Name7]],'Data Options'!$R$1:$S$100,2,FALSE), " ")</f>
        <v xml:space="preserve"> </v>
      </c>
      <c r="BU175" s="55"/>
      <c r="BV175" s="32"/>
      <c r="BW175" s="32"/>
      <c r="BX175" s="55"/>
      <c r="BY175" s="32"/>
      <c r="BZ175" s="54"/>
      <c r="CA175" s="21" t="str">
        <f>IFERROR(VLOOKUP(July[[#This Row],[Drug Name8]],'Data Options'!$R$1:$S$100,2,FALSE), " ")</f>
        <v xml:space="preserve"> </v>
      </c>
      <c r="CB175" s="55"/>
      <c r="CC175" s="32"/>
      <c r="CD175" s="32"/>
      <c r="CE175" s="55"/>
      <c r="CF175" s="32"/>
      <c r="CG175" s="54"/>
      <c r="CH175" s="21" t="str">
        <f>IFERROR(VLOOKUP(July[[#This Row],[Drug Name9]],'Data Options'!$R$1:$S$100,2,FALSE), " ")</f>
        <v xml:space="preserve"> </v>
      </c>
      <c r="CI175" s="55"/>
      <c r="CJ175" s="32"/>
      <c r="CK175" s="32"/>
      <c r="CL175" s="55"/>
      <c r="CM175" s="32"/>
    </row>
    <row r="176" spans="1:91">
      <c r="A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1"/>
      <c r="P176" s="31"/>
      <c r="Q176" s="54"/>
      <c r="R176" s="21" t="str">
        <f>IFERROR(VLOOKUP(July[[#This Row],[Drug Name]],'Data Options'!$R$1:$S$100,2,FALSE), " ")</f>
        <v xml:space="preserve"> </v>
      </c>
      <c r="S176" s="55"/>
      <c r="T176" s="32"/>
      <c r="U176" s="32"/>
      <c r="V176" s="55"/>
      <c r="W176" s="32"/>
      <c r="X176" s="54"/>
      <c r="Y176" s="21" t="str">
        <f>IFERROR(VLOOKUP(July[[#This Row],[Drug Name2]],'Data Options'!$R$1:$S$100,2,FALSE), " ")</f>
        <v xml:space="preserve"> </v>
      </c>
      <c r="Z176" s="55"/>
      <c r="AA176" s="32"/>
      <c r="AB176" s="32"/>
      <c r="AC176" s="55"/>
      <c r="AD176" s="32"/>
      <c r="AE176" s="54"/>
      <c r="AF176" s="21" t="str">
        <f>IFERROR(VLOOKUP(July[[#This Row],[Drug Name3]],'Data Options'!$R$1:$S$100,2,FALSE), " ")</f>
        <v xml:space="preserve"> </v>
      </c>
      <c r="AG176" s="55"/>
      <c r="AH176" s="32"/>
      <c r="AI176" s="32"/>
      <c r="AJ176" s="55"/>
      <c r="AK176" s="32"/>
      <c r="AL176" s="32"/>
      <c r="AM176" s="32"/>
      <c r="AN176" s="32"/>
      <c r="AO176" s="32"/>
      <c r="AP176" s="31"/>
      <c r="AQ176" s="31"/>
      <c r="AR176" s="54"/>
      <c r="AS176" s="21" t="str">
        <f>IFERROR(VLOOKUP(July[[#This Row],[Drug Name4]],'Data Options'!$R$1:$S$100,2,FALSE), " ")</f>
        <v xml:space="preserve"> </v>
      </c>
      <c r="AT176" s="55"/>
      <c r="AU176" s="32"/>
      <c r="AV176" s="32"/>
      <c r="AW176" s="55"/>
      <c r="AX176" s="32"/>
      <c r="AY176" s="54"/>
      <c r="AZ176" s="21" t="str">
        <f>IFERROR(VLOOKUP(July[[#This Row],[Drug Name5]],'Data Options'!$R$1:$S$100,2,FALSE), " ")</f>
        <v xml:space="preserve"> </v>
      </c>
      <c r="BA176" s="55"/>
      <c r="BB176" s="32"/>
      <c r="BC176" s="32"/>
      <c r="BD176" s="55"/>
      <c r="BE176" s="32"/>
      <c r="BF176" s="54"/>
      <c r="BG176" s="21" t="str">
        <f>IFERROR(VLOOKUP(July[[#This Row],[Drug Name6]],'Data Options'!$R$1:$S$100,2,FALSE), " ")</f>
        <v xml:space="preserve"> </v>
      </c>
      <c r="BH176" s="55"/>
      <c r="BI176" s="32"/>
      <c r="BJ176" s="32"/>
      <c r="BK176" s="55"/>
      <c r="BL176" s="32"/>
      <c r="BM176" s="32"/>
      <c r="BN176" s="32"/>
      <c r="BO176" s="32"/>
      <c r="BP176" s="32"/>
      <c r="BQ176" s="31"/>
      <c r="BR176" s="31"/>
      <c r="BS176" s="54"/>
      <c r="BT176" s="21" t="str">
        <f>IFERROR(VLOOKUP(July[[#This Row],[Drug Name7]],'Data Options'!$R$1:$S$100,2,FALSE), " ")</f>
        <v xml:space="preserve"> </v>
      </c>
      <c r="BU176" s="55"/>
      <c r="BV176" s="32"/>
      <c r="BW176" s="32"/>
      <c r="BX176" s="55"/>
      <c r="BY176" s="32"/>
      <c r="BZ176" s="54"/>
      <c r="CA176" s="21" t="str">
        <f>IFERROR(VLOOKUP(July[[#This Row],[Drug Name8]],'Data Options'!$R$1:$S$100,2,FALSE), " ")</f>
        <v xml:space="preserve"> </v>
      </c>
      <c r="CB176" s="55"/>
      <c r="CC176" s="32"/>
      <c r="CD176" s="32"/>
      <c r="CE176" s="55"/>
      <c r="CF176" s="32"/>
      <c r="CG176" s="54"/>
      <c r="CH176" s="21" t="str">
        <f>IFERROR(VLOOKUP(July[[#This Row],[Drug Name9]],'Data Options'!$R$1:$S$100,2,FALSE), " ")</f>
        <v xml:space="preserve"> </v>
      </c>
      <c r="CI176" s="55"/>
      <c r="CJ176" s="32"/>
      <c r="CK176" s="32"/>
      <c r="CL176" s="55"/>
      <c r="CM176" s="32"/>
    </row>
    <row r="177" spans="1:91">
      <c r="A177" s="5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1"/>
      <c r="P177" s="31"/>
      <c r="Q177" s="54"/>
      <c r="R177" s="21" t="str">
        <f>IFERROR(VLOOKUP(July[[#This Row],[Drug Name]],'Data Options'!$R$1:$S$100,2,FALSE), " ")</f>
        <v xml:space="preserve"> </v>
      </c>
      <c r="S177" s="55"/>
      <c r="T177" s="32"/>
      <c r="U177" s="32"/>
      <c r="V177" s="55"/>
      <c r="W177" s="32"/>
      <c r="X177" s="54"/>
      <c r="Y177" s="21" t="str">
        <f>IFERROR(VLOOKUP(July[[#This Row],[Drug Name2]],'Data Options'!$R$1:$S$100,2,FALSE), " ")</f>
        <v xml:space="preserve"> </v>
      </c>
      <c r="Z177" s="55"/>
      <c r="AA177" s="32"/>
      <c r="AB177" s="32"/>
      <c r="AC177" s="55"/>
      <c r="AD177" s="32"/>
      <c r="AE177" s="54"/>
      <c r="AF177" s="21" t="str">
        <f>IFERROR(VLOOKUP(July[[#This Row],[Drug Name3]],'Data Options'!$R$1:$S$100,2,FALSE), " ")</f>
        <v xml:space="preserve"> </v>
      </c>
      <c r="AG177" s="55"/>
      <c r="AH177" s="32"/>
      <c r="AI177" s="32"/>
      <c r="AJ177" s="55"/>
      <c r="AK177" s="32"/>
      <c r="AL177" s="32"/>
      <c r="AM177" s="32"/>
      <c r="AN177" s="32"/>
      <c r="AO177" s="32"/>
      <c r="AP177" s="31"/>
      <c r="AQ177" s="31"/>
      <c r="AR177" s="54"/>
      <c r="AS177" s="21" t="str">
        <f>IFERROR(VLOOKUP(July[[#This Row],[Drug Name4]],'Data Options'!$R$1:$S$100,2,FALSE), " ")</f>
        <v xml:space="preserve"> </v>
      </c>
      <c r="AT177" s="55"/>
      <c r="AU177" s="32"/>
      <c r="AV177" s="32"/>
      <c r="AW177" s="55"/>
      <c r="AX177" s="32"/>
      <c r="AY177" s="54"/>
      <c r="AZ177" s="21" t="str">
        <f>IFERROR(VLOOKUP(July[[#This Row],[Drug Name5]],'Data Options'!$R$1:$S$100,2,FALSE), " ")</f>
        <v xml:space="preserve"> </v>
      </c>
      <c r="BA177" s="55"/>
      <c r="BB177" s="32"/>
      <c r="BC177" s="32"/>
      <c r="BD177" s="55"/>
      <c r="BE177" s="32"/>
      <c r="BF177" s="54"/>
      <c r="BG177" s="21" t="str">
        <f>IFERROR(VLOOKUP(July[[#This Row],[Drug Name6]],'Data Options'!$R$1:$S$100,2,FALSE), " ")</f>
        <v xml:space="preserve"> </v>
      </c>
      <c r="BH177" s="55"/>
      <c r="BI177" s="32"/>
      <c r="BJ177" s="32"/>
      <c r="BK177" s="55"/>
      <c r="BL177" s="32"/>
      <c r="BM177" s="32"/>
      <c r="BN177" s="32"/>
      <c r="BO177" s="32"/>
      <c r="BP177" s="32"/>
      <c r="BQ177" s="31"/>
      <c r="BR177" s="31"/>
      <c r="BS177" s="54"/>
      <c r="BT177" s="21" t="str">
        <f>IFERROR(VLOOKUP(July[[#This Row],[Drug Name7]],'Data Options'!$R$1:$S$100,2,FALSE), " ")</f>
        <v xml:space="preserve"> </v>
      </c>
      <c r="BU177" s="55"/>
      <c r="BV177" s="32"/>
      <c r="BW177" s="32"/>
      <c r="BX177" s="55"/>
      <c r="BY177" s="32"/>
      <c r="BZ177" s="54"/>
      <c r="CA177" s="21" t="str">
        <f>IFERROR(VLOOKUP(July[[#This Row],[Drug Name8]],'Data Options'!$R$1:$S$100,2,FALSE), " ")</f>
        <v xml:space="preserve"> </v>
      </c>
      <c r="CB177" s="55"/>
      <c r="CC177" s="32"/>
      <c r="CD177" s="32"/>
      <c r="CE177" s="55"/>
      <c r="CF177" s="32"/>
      <c r="CG177" s="54"/>
      <c r="CH177" s="21" t="str">
        <f>IFERROR(VLOOKUP(July[[#This Row],[Drug Name9]],'Data Options'!$R$1:$S$100,2,FALSE), " ")</f>
        <v xml:space="preserve"> </v>
      </c>
      <c r="CI177" s="55"/>
      <c r="CJ177" s="32"/>
      <c r="CK177" s="32"/>
      <c r="CL177" s="55"/>
      <c r="CM177" s="32"/>
    </row>
    <row r="178" spans="1:91">
      <c r="A178" s="5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1"/>
      <c r="P178" s="31"/>
      <c r="Q178" s="54"/>
      <c r="R178" s="21" t="str">
        <f>IFERROR(VLOOKUP(July[[#This Row],[Drug Name]],'Data Options'!$R$1:$S$100,2,FALSE), " ")</f>
        <v xml:space="preserve"> </v>
      </c>
      <c r="S178" s="55"/>
      <c r="T178" s="32"/>
      <c r="U178" s="32"/>
      <c r="V178" s="55"/>
      <c r="W178" s="32"/>
      <c r="X178" s="54"/>
      <c r="Y178" s="21" t="str">
        <f>IFERROR(VLOOKUP(July[[#This Row],[Drug Name2]],'Data Options'!$R$1:$S$100,2,FALSE), " ")</f>
        <v xml:space="preserve"> </v>
      </c>
      <c r="Z178" s="55"/>
      <c r="AA178" s="32"/>
      <c r="AB178" s="32"/>
      <c r="AC178" s="55"/>
      <c r="AD178" s="32"/>
      <c r="AE178" s="54"/>
      <c r="AF178" s="21" t="str">
        <f>IFERROR(VLOOKUP(July[[#This Row],[Drug Name3]],'Data Options'!$R$1:$S$100,2,FALSE), " ")</f>
        <v xml:space="preserve"> </v>
      </c>
      <c r="AG178" s="55"/>
      <c r="AH178" s="32"/>
      <c r="AI178" s="32"/>
      <c r="AJ178" s="55"/>
      <c r="AK178" s="32"/>
      <c r="AL178" s="32"/>
      <c r="AM178" s="32"/>
      <c r="AN178" s="32"/>
      <c r="AO178" s="32"/>
      <c r="AP178" s="31"/>
      <c r="AQ178" s="31"/>
      <c r="AR178" s="54"/>
      <c r="AS178" s="21" t="str">
        <f>IFERROR(VLOOKUP(July[[#This Row],[Drug Name4]],'Data Options'!$R$1:$S$100,2,FALSE), " ")</f>
        <v xml:space="preserve"> </v>
      </c>
      <c r="AT178" s="55"/>
      <c r="AU178" s="32"/>
      <c r="AV178" s="32"/>
      <c r="AW178" s="55"/>
      <c r="AX178" s="32"/>
      <c r="AY178" s="54"/>
      <c r="AZ178" s="21" t="str">
        <f>IFERROR(VLOOKUP(July[[#This Row],[Drug Name5]],'Data Options'!$R$1:$S$100,2,FALSE), " ")</f>
        <v xml:space="preserve"> </v>
      </c>
      <c r="BA178" s="55"/>
      <c r="BB178" s="32"/>
      <c r="BC178" s="32"/>
      <c r="BD178" s="55"/>
      <c r="BE178" s="32"/>
      <c r="BF178" s="54"/>
      <c r="BG178" s="21" t="str">
        <f>IFERROR(VLOOKUP(July[[#This Row],[Drug Name6]],'Data Options'!$R$1:$S$100,2,FALSE), " ")</f>
        <v xml:space="preserve"> </v>
      </c>
      <c r="BH178" s="55"/>
      <c r="BI178" s="32"/>
      <c r="BJ178" s="32"/>
      <c r="BK178" s="55"/>
      <c r="BL178" s="32"/>
      <c r="BM178" s="32"/>
      <c r="BN178" s="32"/>
      <c r="BO178" s="32"/>
      <c r="BP178" s="32"/>
      <c r="BQ178" s="31"/>
      <c r="BR178" s="31"/>
      <c r="BS178" s="54"/>
      <c r="BT178" s="21" t="str">
        <f>IFERROR(VLOOKUP(July[[#This Row],[Drug Name7]],'Data Options'!$R$1:$S$100,2,FALSE), " ")</f>
        <v xml:space="preserve"> </v>
      </c>
      <c r="BU178" s="55"/>
      <c r="BV178" s="32"/>
      <c r="BW178" s="32"/>
      <c r="BX178" s="55"/>
      <c r="BY178" s="32"/>
      <c r="BZ178" s="54"/>
      <c r="CA178" s="21" t="str">
        <f>IFERROR(VLOOKUP(July[[#This Row],[Drug Name8]],'Data Options'!$R$1:$S$100,2,FALSE), " ")</f>
        <v xml:space="preserve"> </v>
      </c>
      <c r="CB178" s="55"/>
      <c r="CC178" s="32"/>
      <c r="CD178" s="32"/>
      <c r="CE178" s="55"/>
      <c r="CF178" s="32"/>
      <c r="CG178" s="54"/>
      <c r="CH178" s="21" t="str">
        <f>IFERROR(VLOOKUP(July[[#This Row],[Drug Name9]],'Data Options'!$R$1:$S$100,2,FALSE), " ")</f>
        <v xml:space="preserve"> </v>
      </c>
      <c r="CI178" s="55"/>
      <c r="CJ178" s="32"/>
      <c r="CK178" s="32"/>
      <c r="CL178" s="55"/>
      <c r="CM178" s="32"/>
    </row>
    <row r="179" spans="1:91">
      <c r="A179" s="5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1"/>
      <c r="P179" s="31"/>
      <c r="Q179" s="54"/>
      <c r="R179" s="21" t="str">
        <f>IFERROR(VLOOKUP(July[[#This Row],[Drug Name]],'Data Options'!$R$1:$S$100,2,FALSE), " ")</f>
        <v xml:space="preserve"> </v>
      </c>
      <c r="S179" s="55"/>
      <c r="T179" s="32"/>
      <c r="U179" s="32"/>
      <c r="V179" s="55"/>
      <c r="W179" s="32"/>
      <c r="X179" s="54"/>
      <c r="Y179" s="21" t="str">
        <f>IFERROR(VLOOKUP(July[[#This Row],[Drug Name2]],'Data Options'!$R$1:$S$100,2,FALSE), " ")</f>
        <v xml:space="preserve"> </v>
      </c>
      <c r="Z179" s="55"/>
      <c r="AA179" s="32"/>
      <c r="AB179" s="32"/>
      <c r="AC179" s="55"/>
      <c r="AD179" s="32"/>
      <c r="AE179" s="54"/>
      <c r="AF179" s="21" t="str">
        <f>IFERROR(VLOOKUP(July[[#This Row],[Drug Name3]],'Data Options'!$R$1:$S$100,2,FALSE), " ")</f>
        <v xml:space="preserve"> </v>
      </c>
      <c r="AG179" s="55"/>
      <c r="AH179" s="32"/>
      <c r="AI179" s="32"/>
      <c r="AJ179" s="55"/>
      <c r="AK179" s="32"/>
      <c r="AL179" s="32"/>
      <c r="AM179" s="32"/>
      <c r="AN179" s="32"/>
      <c r="AO179" s="32"/>
      <c r="AP179" s="31"/>
      <c r="AQ179" s="31"/>
      <c r="AR179" s="54"/>
      <c r="AS179" s="21" t="str">
        <f>IFERROR(VLOOKUP(July[[#This Row],[Drug Name4]],'Data Options'!$R$1:$S$100,2,FALSE), " ")</f>
        <v xml:space="preserve"> </v>
      </c>
      <c r="AT179" s="55"/>
      <c r="AU179" s="32"/>
      <c r="AV179" s="32"/>
      <c r="AW179" s="55"/>
      <c r="AX179" s="32"/>
      <c r="AY179" s="54"/>
      <c r="AZ179" s="21" t="str">
        <f>IFERROR(VLOOKUP(July[[#This Row],[Drug Name5]],'Data Options'!$R$1:$S$100,2,FALSE), " ")</f>
        <v xml:space="preserve"> </v>
      </c>
      <c r="BA179" s="55"/>
      <c r="BB179" s="32"/>
      <c r="BC179" s="32"/>
      <c r="BD179" s="55"/>
      <c r="BE179" s="32"/>
      <c r="BF179" s="54"/>
      <c r="BG179" s="21" t="str">
        <f>IFERROR(VLOOKUP(July[[#This Row],[Drug Name6]],'Data Options'!$R$1:$S$100,2,FALSE), " ")</f>
        <v xml:space="preserve"> </v>
      </c>
      <c r="BH179" s="55"/>
      <c r="BI179" s="32"/>
      <c r="BJ179" s="32"/>
      <c r="BK179" s="55"/>
      <c r="BL179" s="32"/>
      <c r="BM179" s="32"/>
      <c r="BN179" s="32"/>
      <c r="BO179" s="32"/>
      <c r="BP179" s="32"/>
      <c r="BQ179" s="31"/>
      <c r="BR179" s="31"/>
      <c r="BS179" s="54"/>
      <c r="BT179" s="21" t="str">
        <f>IFERROR(VLOOKUP(July[[#This Row],[Drug Name7]],'Data Options'!$R$1:$S$100,2,FALSE), " ")</f>
        <v xml:space="preserve"> </v>
      </c>
      <c r="BU179" s="55"/>
      <c r="BV179" s="32"/>
      <c r="BW179" s="32"/>
      <c r="BX179" s="55"/>
      <c r="BY179" s="32"/>
      <c r="BZ179" s="54"/>
      <c r="CA179" s="21" t="str">
        <f>IFERROR(VLOOKUP(July[[#This Row],[Drug Name8]],'Data Options'!$R$1:$S$100,2,FALSE), " ")</f>
        <v xml:space="preserve"> </v>
      </c>
      <c r="CB179" s="55"/>
      <c r="CC179" s="32"/>
      <c r="CD179" s="32"/>
      <c r="CE179" s="55"/>
      <c r="CF179" s="32"/>
      <c r="CG179" s="54"/>
      <c r="CH179" s="21" t="str">
        <f>IFERROR(VLOOKUP(July[[#This Row],[Drug Name9]],'Data Options'!$R$1:$S$100,2,FALSE), " ")</f>
        <v xml:space="preserve"> </v>
      </c>
      <c r="CI179" s="55"/>
      <c r="CJ179" s="32"/>
      <c r="CK179" s="32"/>
      <c r="CL179" s="55"/>
      <c r="CM179" s="32"/>
    </row>
    <row r="180" spans="1:91">
      <c r="A180" s="5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1"/>
      <c r="P180" s="31"/>
      <c r="Q180" s="54"/>
      <c r="R180" s="21" t="str">
        <f>IFERROR(VLOOKUP(July[[#This Row],[Drug Name]],'Data Options'!$R$1:$S$100,2,FALSE), " ")</f>
        <v xml:space="preserve"> </v>
      </c>
      <c r="S180" s="55"/>
      <c r="T180" s="32"/>
      <c r="U180" s="32"/>
      <c r="V180" s="55"/>
      <c r="W180" s="32"/>
      <c r="X180" s="54"/>
      <c r="Y180" s="21" t="str">
        <f>IFERROR(VLOOKUP(July[[#This Row],[Drug Name2]],'Data Options'!$R$1:$S$100,2,FALSE), " ")</f>
        <v xml:space="preserve"> </v>
      </c>
      <c r="Z180" s="55"/>
      <c r="AA180" s="32"/>
      <c r="AB180" s="32"/>
      <c r="AC180" s="55"/>
      <c r="AD180" s="32"/>
      <c r="AE180" s="54"/>
      <c r="AF180" s="21" t="str">
        <f>IFERROR(VLOOKUP(July[[#This Row],[Drug Name3]],'Data Options'!$R$1:$S$100,2,FALSE), " ")</f>
        <v xml:space="preserve"> </v>
      </c>
      <c r="AG180" s="55"/>
      <c r="AH180" s="32"/>
      <c r="AI180" s="32"/>
      <c r="AJ180" s="55"/>
      <c r="AK180" s="32"/>
      <c r="AL180" s="32"/>
      <c r="AM180" s="32"/>
      <c r="AN180" s="32"/>
      <c r="AO180" s="32"/>
      <c r="AP180" s="31"/>
      <c r="AQ180" s="31"/>
      <c r="AR180" s="54"/>
      <c r="AS180" s="21" t="str">
        <f>IFERROR(VLOOKUP(July[[#This Row],[Drug Name4]],'Data Options'!$R$1:$S$100,2,FALSE), " ")</f>
        <v xml:space="preserve"> </v>
      </c>
      <c r="AT180" s="55"/>
      <c r="AU180" s="32"/>
      <c r="AV180" s="32"/>
      <c r="AW180" s="55"/>
      <c r="AX180" s="32"/>
      <c r="AY180" s="54"/>
      <c r="AZ180" s="21" t="str">
        <f>IFERROR(VLOOKUP(July[[#This Row],[Drug Name5]],'Data Options'!$R$1:$S$100,2,FALSE), " ")</f>
        <v xml:space="preserve"> </v>
      </c>
      <c r="BA180" s="55"/>
      <c r="BB180" s="32"/>
      <c r="BC180" s="32"/>
      <c r="BD180" s="55"/>
      <c r="BE180" s="32"/>
      <c r="BF180" s="54"/>
      <c r="BG180" s="21" t="str">
        <f>IFERROR(VLOOKUP(July[[#This Row],[Drug Name6]],'Data Options'!$R$1:$S$100,2,FALSE), " ")</f>
        <v xml:space="preserve"> </v>
      </c>
      <c r="BH180" s="55"/>
      <c r="BI180" s="32"/>
      <c r="BJ180" s="32"/>
      <c r="BK180" s="55"/>
      <c r="BL180" s="32"/>
      <c r="BM180" s="32"/>
      <c r="BN180" s="32"/>
      <c r="BO180" s="32"/>
      <c r="BP180" s="32"/>
      <c r="BQ180" s="31"/>
      <c r="BR180" s="31"/>
      <c r="BS180" s="54"/>
      <c r="BT180" s="21" t="str">
        <f>IFERROR(VLOOKUP(July[[#This Row],[Drug Name7]],'Data Options'!$R$1:$S$100,2,FALSE), " ")</f>
        <v xml:space="preserve"> </v>
      </c>
      <c r="BU180" s="55"/>
      <c r="BV180" s="32"/>
      <c r="BW180" s="32"/>
      <c r="BX180" s="55"/>
      <c r="BY180" s="32"/>
      <c r="BZ180" s="54"/>
      <c r="CA180" s="21" t="str">
        <f>IFERROR(VLOOKUP(July[[#This Row],[Drug Name8]],'Data Options'!$R$1:$S$100,2,FALSE), " ")</f>
        <v xml:space="preserve"> </v>
      </c>
      <c r="CB180" s="55"/>
      <c r="CC180" s="32"/>
      <c r="CD180" s="32"/>
      <c r="CE180" s="55"/>
      <c r="CF180" s="32"/>
      <c r="CG180" s="54"/>
      <c r="CH180" s="21" t="str">
        <f>IFERROR(VLOOKUP(July[[#This Row],[Drug Name9]],'Data Options'!$R$1:$S$100,2,FALSE), " ")</f>
        <v xml:space="preserve"> </v>
      </c>
      <c r="CI180" s="55"/>
      <c r="CJ180" s="32"/>
      <c r="CK180" s="32"/>
      <c r="CL180" s="55"/>
      <c r="CM180" s="32"/>
    </row>
    <row r="181" spans="1:91">
      <c r="A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1"/>
      <c r="P181" s="31"/>
      <c r="Q181" s="54"/>
      <c r="R181" s="21" t="str">
        <f>IFERROR(VLOOKUP(July[[#This Row],[Drug Name]],'Data Options'!$R$1:$S$100,2,FALSE), " ")</f>
        <v xml:space="preserve"> </v>
      </c>
      <c r="S181" s="55"/>
      <c r="T181" s="32"/>
      <c r="U181" s="32"/>
      <c r="V181" s="55"/>
      <c r="W181" s="32"/>
      <c r="X181" s="54"/>
      <c r="Y181" s="21" t="str">
        <f>IFERROR(VLOOKUP(July[[#This Row],[Drug Name2]],'Data Options'!$R$1:$S$100,2,FALSE), " ")</f>
        <v xml:space="preserve"> </v>
      </c>
      <c r="Z181" s="55"/>
      <c r="AA181" s="32"/>
      <c r="AB181" s="32"/>
      <c r="AC181" s="55"/>
      <c r="AD181" s="32"/>
      <c r="AE181" s="54"/>
      <c r="AF181" s="21" t="str">
        <f>IFERROR(VLOOKUP(July[[#This Row],[Drug Name3]],'Data Options'!$R$1:$S$100,2,FALSE), " ")</f>
        <v xml:space="preserve"> </v>
      </c>
      <c r="AG181" s="55"/>
      <c r="AH181" s="32"/>
      <c r="AI181" s="32"/>
      <c r="AJ181" s="55"/>
      <c r="AK181" s="32"/>
      <c r="AL181" s="32"/>
      <c r="AM181" s="32"/>
      <c r="AN181" s="32"/>
      <c r="AO181" s="32"/>
      <c r="AP181" s="31"/>
      <c r="AQ181" s="31"/>
      <c r="AR181" s="54"/>
      <c r="AS181" s="21" t="str">
        <f>IFERROR(VLOOKUP(July[[#This Row],[Drug Name4]],'Data Options'!$R$1:$S$100,2,FALSE), " ")</f>
        <v xml:space="preserve"> </v>
      </c>
      <c r="AT181" s="55"/>
      <c r="AU181" s="32"/>
      <c r="AV181" s="32"/>
      <c r="AW181" s="55"/>
      <c r="AX181" s="32"/>
      <c r="AY181" s="54"/>
      <c r="AZ181" s="21" t="str">
        <f>IFERROR(VLOOKUP(July[[#This Row],[Drug Name5]],'Data Options'!$R$1:$S$100,2,FALSE), " ")</f>
        <v xml:space="preserve"> </v>
      </c>
      <c r="BA181" s="55"/>
      <c r="BB181" s="32"/>
      <c r="BC181" s="32"/>
      <c r="BD181" s="55"/>
      <c r="BE181" s="32"/>
      <c r="BF181" s="54"/>
      <c r="BG181" s="21" t="str">
        <f>IFERROR(VLOOKUP(July[[#This Row],[Drug Name6]],'Data Options'!$R$1:$S$100,2,FALSE), " ")</f>
        <v xml:space="preserve"> </v>
      </c>
      <c r="BH181" s="55"/>
      <c r="BI181" s="32"/>
      <c r="BJ181" s="32"/>
      <c r="BK181" s="55"/>
      <c r="BL181" s="32"/>
      <c r="BM181" s="32"/>
      <c r="BN181" s="32"/>
      <c r="BO181" s="32"/>
      <c r="BP181" s="32"/>
      <c r="BQ181" s="31"/>
      <c r="BR181" s="31"/>
      <c r="BS181" s="54"/>
      <c r="BT181" s="21" t="str">
        <f>IFERROR(VLOOKUP(July[[#This Row],[Drug Name7]],'Data Options'!$R$1:$S$100,2,FALSE), " ")</f>
        <v xml:space="preserve"> </v>
      </c>
      <c r="BU181" s="55"/>
      <c r="BV181" s="32"/>
      <c r="BW181" s="32"/>
      <c r="BX181" s="55"/>
      <c r="BY181" s="32"/>
      <c r="BZ181" s="54"/>
      <c r="CA181" s="21" t="str">
        <f>IFERROR(VLOOKUP(July[[#This Row],[Drug Name8]],'Data Options'!$R$1:$S$100,2,FALSE), " ")</f>
        <v xml:space="preserve"> </v>
      </c>
      <c r="CB181" s="55"/>
      <c r="CC181" s="32"/>
      <c r="CD181" s="32"/>
      <c r="CE181" s="55"/>
      <c r="CF181" s="32"/>
      <c r="CG181" s="54"/>
      <c r="CH181" s="21" t="str">
        <f>IFERROR(VLOOKUP(July[[#This Row],[Drug Name9]],'Data Options'!$R$1:$S$100,2,FALSE), " ")</f>
        <v xml:space="preserve"> </v>
      </c>
      <c r="CI181" s="55"/>
      <c r="CJ181" s="32"/>
      <c r="CK181" s="32"/>
      <c r="CL181" s="55"/>
      <c r="CM181" s="32"/>
    </row>
    <row r="182" spans="1:91">
      <c r="A182" s="5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1"/>
      <c r="P182" s="31"/>
      <c r="Q182" s="54"/>
      <c r="R182" s="21" t="str">
        <f>IFERROR(VLOOKUP(July[[#This Row],[Drug Name]],'Data Options'!$R$1:$S$100,2,FALSE), " ")</f>
        <v xml:space="preserve"> </v>
      </c>
      <c r="S182" s="55"/>
      <c r="T182" s="32"/>
      <c r="U182" s="32"/>
      <c r="V182" s="55"/>
      <c r="W182" s="32"/>
      <c r="X182" s="54"/>
      <c r="Y182" s="21" t="str">
        <f>IFERROR(VLOOKUP(July[[#This Row],[Drug Name2]],'Data Options'!$R$1:$S$100,2,FALSE), " ")</f>
        <v xml:space="preserve"> </v>
      </c>
      <c r="Z182" s="55"/>
      <c r="AA182" s="32"/>
      <c r="AB182" s="32"/>
      <c r="AC182" s="55"/>
      <c r="AD182" s="32"/>
      <c r="AE182" s="54"/>
      <c r="AF182" s="21" t="str">
        <f>IFERROR(VLOOKUP(July[[#This Row],[Drug Name3]],'Data Options'!$R$1:$S$100,2,FALSE), " ")</f>
        <v xml:space="preserve"> </v>
      </c>
      <c r="AG182" s="55"/>
      <c r="AH182" s="32"/>
      <c r="AI182" s="32"/>
      <c r="AJ182" s="55"/>
      <c r="AK182" s="32"/>
      <c r="AL182" s="32"/>
      <c r="AM182" s="32"/>
      <c r="AN182" s="32"/>
      <c r="AO182" s="32"/>
      <c r="AP182" s="31"/>
      <c r="AQ182" s="31"/>
      <c r="AR182" s="54"/>
      <c r="AS182" s="21" t="str">
        <f>IFERROR(VLOOKUP(July[[#This Row],[Drug Name4]],'Data Options'!$R$1:$S$100,2,FALSE), " ")</f>
        <v xml:space="preserve"> </v>
      </c>
      <c r="AT182" s="55"/>
      <c r="AU182" s="32"/>
      <c r="AV182" s="32"/>
      <c r="AW182" s="55"/>
      <c r="AX182" s="32"/>
      <c r="AY182" s="54"/>
      <c r="AZ182" s="21" t="str">
        <f>IFERROR(VLOOKUP(July[[#This Row],[Drug Name5]],'Data Options'!$R$1:$S$100,2,FALSE), " ")</f>
        <v xml:space="preserve"> </v>
      </c>
      <c r="BA182" s="55"/>
      <c r="BB182" s="32"/>
      <c r="BC182" s="32"/>
      <c r="BD182" s="55"/>
      <c r="BE182" s="32"/>
      <c r="BF182" s="54"/>
      <c r="BG182" s="21" t="str">
        <f>IFERROR(VLOOKUP(July[[#This Row],[Drug Name6]],'Data Options'!$R$1:$S$100,2,FALSE), " ")</f>
        <v xml:space="preserve"> </v>
      </c>
      <c r="BH182" s="55"/>
      <c r="BI182" s="32"/>
      <c r="BJ182" s="32"/>
      <c r="BK182" s="55"/>
      <c r="BL182" s="32"/>
      <c r="BM182" s="32"/>
      <c r="BN182" s="32"/>
      <c r="BO182" s="32"/>
      <c r="BP182" s="32"/>
      <c r="BQ182" s="31"/>
      <c r="BR182" s="31"/>
      <c r="BS182" s="54"/>
      <c r="BT182" s="21" t="str">
        <f>IFERROR(VLOOKUP(July[[#This Row],[Drug Name7]],'Data Options'!$R$1:$S$100,2,FALSE), " ")</f>
        <v xml:space="preserve"> </v>
      </c>
      <c r="BU182" s="55"/>
      <c r="BV182" s="32"/>
      <c r="BW182" s="32"/>
      <c r="BX182" s="55"/>
      <c r="BY182" s="32"/>
      <c r="BZ182" s="54"/>
      <c r="CA182" s="21" t="str">
        <f>IFERROR(VLOOKUP(July[[#This Row],[Drug Name8]],'Data Options'!$R$1:$S$100,2,FALSE), " ")</f>
        <v xml:space="preserve"> </v>
      </c>
      <c r="CB182" s="55"/>
      <c r="CC182" s="32"/>
      <c r="CD182" s="32"/>
      <c r="CE182" s="55"/>
      <c r="CF182" s="32"/>
      <c r="CG182" s="54"/>
      <c r="CH182" s="21" t="str">
        <f>IFERROR(VLOOKUP(July[[#This Row],[Drug Name9]],'Data Options'!$R$1:$S$100,2,FALSE), " ")</f>
        <v xml:space="preserve"> </v>
      </c>
      <c r="CI182" s="55"/>
      <c r="CJ182" s="32"/>
      <c r="CK182" s="32"/>
      <c r="CL182" s="55"/>
      <c r="CM182" s="32"/>
    </row>
    <row r="183" spans="1:91">
      <c r="A183" s="5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1"/>
      <c r="P183" s="31"/>
      <c r="Q183" s="54"/>
      <c r="R183" s="21" t="str">
        <f>IFERROR(VLOOKUP(July[[#This Row],[Drug Name]],'Data Options'!$R$1:$S$100,2,FALSE), " ")</f>
        <v xml:space="preserve"> </v>
      </c>
      <c r="S183" s="55"/>
      <c r="T183" s="32"/>
      <c r="U183" s="32"/>
      <c r="V183" s="55"/>
      <c r="W183" s="32"/>
      <c r="X183" s="54"/>
      <c r="Y183" s="21" t="str">
        <f>IFERROR(VLOOKUP(July[[#This Row],[Drug Name2]],'Data Options'!$R$1:$S$100,2,FALSE), " ")</f>
        <v xml:space="preserve"> </v>
      </c>
      <c r="Z183" s="55"/>
      <c r="AA183" s="32"/>
      <c r="AB183" s="32"/>
      <c r="AC183" s="55"/>
      <c r="AD183" s="32"/>
      <c r="AE183" s="54"/>
      <c r="AF183" s="21" t="str">
        <f>IFERROR(VLOOKUP(July[[#This Row],[Drug Name3]],'Data Options'!$R$1:$S$100,2,FALSE), " ")</f>
        <v xml:space="preserve"> </v>
      </c>
      <c r="AG183" s="55"/>
      <c r="AH183" s="32"/>
      <c r="AI183" s="32"/>
      <c r="AJ183" s="55"/>
      <c r="AK183" s="32"/>
      <c r="AL183" s="32"/>
      <c r="AM183" s="32"/>
      <c r="AN183" s="32"/>
      <c r="AO183" s="32"/>
      <c r="AP183" s="31"/>
      <c r="AQ183" s="31"/>
      <c r="AR183" s="54"/>
      <c r="AS183" s="21" t="str">
        <f>IFERROR(VLOOKUP(July[[#This Row],[Drug Name4]],'Data Options'!$R$1:$S$100,2,FALSE), " ")</f>
        <v xml:space="preserve"> </v>
      </c>
      <c r="AT183" s="55"/>
      <c r="AU183" s="32"/>
      <c r="AV183" s="32"/>
      <c r="AW183" s="55"/>
      <c r="AX183" s="32"/>
      <c r="AY183" s="54"/>
      <c r="AZ183" s="21" t="str">
        <f>IFERROR(VLOOKUP(July[[#This Row],[Drug Name5]],'Data Options'!$R$1:$S$100,2,FALSE), " ")</f>
        <v xml:space="preserve"> </v>
      </c>
      <c r="BA183" s="55"/>
      <c r="BB183" s="32"/>
      <c r="BC183" s="32"/>
      <c r="BD183" s="55"/>
      <c r="BE183" s="32"/>
      <c r="BF183" s="54"/>
      <c r="BG183" s="21" t="str">
        <f>IFERROR(VLOOKUP(July[[#This Row],[Drug Name6]],'Data Options'!$R$1:$S$100,2,FALSE), " ")</f>
        <v xml:space="preserve"> </v>
      </c>
      <c r="BH183" s="55"/>
      <c r="BI183" s="32"/>
      <c r="BJ183" s="32"/>
      <c r="BK183" s="55"/>
      <c r="BL183" s="32"/>
      <c r="BM183" s="32"/>
      <c r="BN183" s="32"/>
      <c r="BO183" s="32"/>
      <c r="BP183" s="32"/>
      <c r="BQ183" s="31"/>
      <c r="BR183" s="31"/>
      <c r="BS183" s="54"/>
      <c r="BT183" s="21" t="str">
        <f>IFERROR(VLOOKUP(July[[#This Row],[Drug Name7]],'Data Options'!$R$1:$S$100,2,FALSE), " ")</f>
        <v xml:space="preserve"> </v>
      </c>
      <c r="BU183" s="55"/>
      <c r="BV183" s="32"/>
      <c r="BW183" s="32"/>
      <c r="BX183" s="55"/>
      <c r="BY183" s="32"/>
      <c r="BZ183" s="54"/>
      <c r="CA183" s="21" t="str">
        <f>IFERROR(VLOOKUP(July[[#This Row],[Drug Name8]],'Data Options'!$R$1:$S$100,2,FALSE), " ")</f>
        <v xml:space="preserve"> </v>
      </c>
      <c r="CB183" s="55"/>
      <c r="CC183" s="32"/>
      <c r="CD183" s="32"/>
      <c r="CE183" s="55"/>
      <c r="CF183" s="32"/>
      <c r="CG183" s="54"/>
      <c r="CH183" s="21" t="str">
        <f>IFERROR(VLOOKUP(July[[#This Row],[Drug Name9]],'Data Options'!$R$1:$S$100,2,FALSE), " ")</f>
        <v xml:space="preserve"> </v>
      </c>
      <c r="CI183" s="55"/>
      <c r="CJ183" s="32"/>
      <c r="CK183" s="32"/>
      <c r="CL183" s="55"/>
      <c r="CM183" s="32"/>
    </row>
    <row r="184" spans="1:91">
      <c r="A184" s="5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1"/>
      <c r="P184" s="31"/>
      <c r="Q184" s="54"/>
      <c r="R184" s="21" t="str">
        <f>IFERROR(VLOOKUP(July[[#This Row],[Drug Name]],'Data Options'!$R$1:$S$100,2,FALSE), " ")</f>
        <v xml:space="preserve"> </v>
      </c>
      <c r="S184" s="55"/>
      <c r="T184" s="32"/>
      <c r="U184" s="32"/>
      <c r="V184" s="55"/>
      <c r="W184" s="32"/>
      <c r="X184" s="54"/>
      <c r="Y184" s="21" t="str">
        <f>IFERROR(VLOOKUP(July[[#This Row],[Drug Name2]],'Data Options'!$R$1:$S$100,2,FALSE), " ")</f>
        <v xml:space="preserve"> </v>
      </c>
      <c r="Z184" s="55"/>
      <c r="AA184" s="32"/>
      <c r="AB184" s="32"/>
      <c r="AC184" s="55"/>
      <c r="AD184" s="32"/>
      <c r="AE184" s="54"/>
      <c r="AF184" s="21" t="str">
        <f>IFERROR(VLOOKUP(July[[#This Row],[Drug Name3]],'Data Options'!$R$1:$S$100,2,FALSE), " ")</f>
        <v xml:space="preserve"> </v>
      </c>
      <c r="AG184" s="55"/>
      <c r="AH184" s="32"/>
      <c r="AI184" s="32"/>
      <c r="AJ184" s="55"/>
      <c r="AK184" s="32"/>
      <c r="AL184" s="32"/>
      <c r="AM184" s="32"/>
      <c r="AN184" s="32"/>
      <c r="AO184" s="32"/>
      <c r="AP184" s="31"/>
      <c r="AQ184" s="31"/>
      <c r="AR184" s="54"/>
      <c r="AS184" s="21" t="str">
        <f>IFERROR(VLOOKUP(July[[#This Row],[Drug Name4]],'Data Options'!$R$1:$S$100,2,FALSE), " ")</f>
        <v xml:space="preserve"> </v>
      </c>
      <c r="AT184" s="55"/>
      <c r="AU184" s="32"/>
      <c r="AV184" s="32"/>
      <c r="AW184" s="55"/>
      <c r="AX184" s="32"/>
      <c r="AY184" s="54"/>
      <c r="AZ184" s="21" t="str">
        <f>IFERROR(VLOOKUP(July[[#This Row],[Drug Name5]],'Data Options'!$R$1:$S$100,2,FALSE), " ")</f>
        <v xml:space="preserve"> </v>
      </c>
      <c r="BA184" s="55"/>
      <c r="BB184" s="32"/>
      <c r="BC184" s="32"/>
      <c r="BD184" s="55"/>
      <c r="BE184" s="32"/>
      <c r="BF184" s="54"/>
      <c r="BG184" s="21" t="str">
        <f>IFERROR(VLOOKUP(July[[#This Row],[Drug Name6]],'Data Options'!$R$1:$S$100,2,FALSE), " ")</f>
        <v xml:space="preserve"> </v>
      </c>
      <c r="BH184" s="55"/>
      <c r="BI184" s="32"/>
      <c r="BJ184" s="32"/>
      <c r="BK184" s="55"/>
      <c r="BL184" s="32"/>
      <c r="BM184" s="32"/>
      <c r="BN184" s="32"/>
      <c r="BO184" s="32"/>
      <c r="BP184" s="32"/>
      <c r="BQ184" s="31"/>
      <c r="BR184" s="31"/>
      <c r="BS184" s="54"/>
      <c r="BT184" s="21" t="str">
        <f>IFERROR(VLOOKUP(July[[#This Row],[Drug Name7]],'Data Options'!$R$1:$S$100,2,FALSE), " ")</f>
        <v xml:space="preserve"> </v>
      </c>
      <c r="BU184" s="55"/>
      <c r="BV184" s="32"/>
      <c r="BW184" s="32"/>
      <c r="BX184" s="55"/>
      <c r="BY184" s="32"/>
      <c r="BZ184" s="54"/>
      <c r="CA184" s="21" t="str">
        <f>IFERROR(VLOOKUP(July[[#This Row],[Drug Name8]],'Data Options'!$R$1:$S$100,2,FALSE), " ")</f>
        <v xml:space="preserve"> </v>
      </c>
      <c r="CB184" s="55"/>
      <c r="CC184" s="32"/>
      <c r="CD184" s="32"/>
      <c r="CE184" s="55"/>
      <c r="CF184" s="32"/>
      <c r="CG184" s="54"/>
      <c r="CH184" s="21" t="str">
        <f>IFERROR(VLOOKUP(July[[#This Row],[Drug Name9]],'Data Options'!$R$1:$S$100,2,FALSE), " ")</f>
        <v xml:space="preserve"> </v>
      </c>
      <c r="CI184" s="55"/>
      <c r="CJ184" s="32"/>
      <c r="CK184" s="32"/>
      <c r="CL184" s="55"/>
      <c r="CM184" s="32"/>
    </row>
    <row r="185" spans="1:91">
      <c r="A185" s="5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1"/>
      <c r="P185" s="31"/>
      <c r="Q185" s="54"/>
      <c r="R185" s="21" t="str">
        <f>IFERROR(VLOOKUP(July[[#This Row],[Drug Name]],'Data Options'!$R$1:$S$100,2,FALSE), " ")</f>
        <v xml:space="preserve"> </v>
      </c>
      <c r="S185" s="55"/>
      <c r="T185" s="32"/>
      <c r="U185" s="32"/>
      <c r="V185" s="55"/>
      <c r="W185" s="32"/>
      <c r="X185" s="54"/>
      <c r="Y185" s="21" t="str">
        <f>IFERROR(VLOOKUP(July[[#This Row],[Drug Name2]],'Data Options'!$R$1:$S$100,2,FALSE), " ")</f>
        <v xml:space="preserve"> </v>
      </c>
      <c r="Z185" s="55"/>
      <c r="AA185" s="32"/>
      <c r="AB185" s="32"/>
      <c r="AC185" s="55"/>
      <c r="AD185" s="32"/>
      <c r="AE185" s="54"/>
      <c r="AF185" s="21" t="str">
        <f>IFERROR(VLOOKUP(July[[#This Row],[Drug Name3]],'Data Options'!$R$1:$S$100,2,FALSE), " ")</f>
        <v xml:space="preserve"> </v>
      </c>
      <c r="AG185" s="55"/>
      <c r="AH185" s="32"/>
      <c r="AI185" s="32"/>
      <c r="AJ185" s="55"/>
      <c r="AK185" s="32"/>
      <c r="AL185" s="32"/>
      <c r="AM185" s="32"/>
      <c r="AN185" s="32"/>
      <c r="AO185" s="32"/>
      <c r="AP185" s="31"/>
      <c r="AQ185" s="31"/>
      <c r="AR185" s="54"/>
      <c r="AS185" s="21" t="str">
        <f>IFERROR(VLOOKUP(July[[#This Row],[Drug Name4]],'Data Options'!$R$1:$S$100,2,FALSE), " ")</f>
        <v xml:space="preserve"> </v>
      </c>
      <c r="AT185" s="55"/>
      <c r="AU185" s="32"/>
      <c r="AV185" s="32"/>
      <c r="AW185" s="55"/>
      <c r="AX185" s="32"/>
      <c r="AY185" s="54"/>
      <c r="AZ185" s="21" t="str">
        <f>IFERROR(VLOOKUP(July[[#This Row],[Drug Name5]],'Data Options'!$R$1:$S$100,2,FALSE), " ")</f>
        <v xml:space="preserve"> </v>
      </c>
      <c r="BA185" s="55"/>
      <c r="BB185" s="32"/>
      <c r="BC185" s="32"/>
      <c r="BD185" s="55"/>
      <c r="BE185" s="32"/>
      <c r="BF185" s="54"/>
      <c r="BG185" s="21" t="str">
        <f>IFERROR(VLOOKUP(July[[#This Row],[Drug Name6]],'Data Options'!$R$1:$S$100,2,FALSE), " ")</f>
        <v xml:space="preserve"> </v>
      </c>
      <c r="BH185" s="55"/>
      <c r="BI185" s="32"/>
      <c r="BJ185" s="32"/>
      <c r="BK185" s="55"/>
      <c r="BL185" s="32"/>
      <c r="BM185" s="32"/>
      <c r="BN185" s="32"/>
      <c r="BO185" s="32"/>
      <c r="BP185" s="32"/>
      <c r="BQ185" s="31"/>
      <c r="BR185" s="31"/>
      <c r="BS185" s="54"/>
      <c r="BT185" s="21" t="str">
        <f>IFERROR(VLOOKUP(July[[#This Row],[Drug Name7]],'Data Options'!$R$1:$S$100,2,FALSE), " ")</f>
        <v xml:space="preserve"> </v>
      </c>
      <c r="BU185" s="55"/>
      <c r="BV185" s="32"/>
      <c r="BW185" s="32"/>
      <c r="BX185" s="55"/>
      <c r="BY185" s="32"/>
      <c r="BZ185" s="54"/>
      <c r="CA185" s="21" t="str">
        <f>IFERROR(VLOOKUP(July[[#This Row],[Drug Name8]],'Data Options'!$R$1:$S$100,2,FALSE), " ")</f>
        <v xml:space="preserve"> </v>
      </c>
      <c r="CB185" s="55"/>
      <c r="CC185" s="32"/>
      <c r="CD185" s="32"/>
      <c r="CE185" s="55"/>
      <c r="CF185" s="32"/>
      <c r="CG185" s="54"/>
      <c r="CH185" s="21" t="str">
        <f>IFERROR(VLOOKUP(July[[#This Row],[Drug Name9]],'Data Options'!$R$1:$S$100,2,FALSE), " ")</f>
        <v xml:space="preserve"> </v>
      </c>
      <c r="CI185" s="55"/>
      <c r="CJ185" s="32"/>
      <c r="CK185" s="32"/>
      <c r="CL185" s="55"/>
      <c r="CM185" s="32"/>
    </row>
    <row r="186" spans="1:91">
      <c r="A186" s="5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1"/>
      <c r="P186" s="31"/>
      <c r="Q186" s="54"/>
      <c r="R186" s="21" t="str">
        <f>IFERROR(VLOOKUP(July[[#This Row],[Drug Name]],'Data Options'!$R$1:$S$100,2,FALSE), " ")</f>
        <v xml:space="preserve"> </v>
      </c>
      <c r="S186" s="55"/>
      <c r="T186" s="32"/>
      <c r="U186" s="32"/>
      <c r="V186" s="55"/>
      <c r="W186" s="32"/>
      <c r="X186" s="54"/>
      <c r="Y186" s="21" t="str">
        <f>IFERROR(VLOOKUP(July[[#This Row],[Drug Name2]],'Data Options'!$R$1:$S$100,2,FALSE), " ")</f>
        <v xml:space="preserve"> </v>
      </c>
      <c r="Z186" s="55"/>
      <c r="AA186" s="32"/>
      <c r="AB186" s="32"/>
      <c r="AC186" s="55"/>
      <c r="AD186" s="32"/>
      <c r="AE186" s="54"/>
      <c r="AF186" s="21" t="str">
        <f>IFERROR(VLOOKUP(July[[#This Row],[Drug Name3]],'Data Options'!$R$1:$S$100,2,FALSE), " ")</f>
        <v xml:space="preserve"> </v>
      </c>
      <c r="AG186" s="55"/>
      <c r="AH186" s="32"/>
      <c r="AI186" s="32"/>
      <c r="AJ186" s="55"/>
      <c r="AK186" s="32"/>
      <c r="AL186" s="32"/>
      <c r="AM186" s="32"/>
      <c r="AN186" s="32"/>
      <c r="AO186" s="32"/>
      <c r="AP186" s="31"/>
      <c r="AQ186" s="31"/>
      <c r="AR186" s="54"/>
      <c r="AS186" s="21" t="str">
        <f>IFERROR(VLOOKUP(July[[#This Row],[Drug Name4]],'Data Options'!$R$1:$S$100,2,FALSE), " ")</f>
        <v xml:space="preserve"> </v>
      </c>
      <c r="AT186" s="55"/>
      <c r="AU186" s="32"/>
      <c r="AV186" s="32"/>
      <c r="AW186" s="55"/>
      <c r="AX186" s="32"/>
      <c r="AY186" s="54"/>
      <c r="AZ186" s="21" t="str">
        <f>IFERROR(VLOOKUP(July[[#This Row],[Drug Name5]],'Data Options'!$R$1:$S$100,2,FALSE), " ")</f>
        <v xml:space="preserve"> </v>
      </c>
      <c r="BA186" s="55"/>
      <c r="BB186" s="32"/>
      <c r="BC186" s="32"/>
      <c r="BD186" s="55"/>
      <c r="BE186" s="32"/>
      <c r="BF186" s="54"/>
      <c r="BG186" s="21" t="str">
        <f>IFERROR(VLOOKUP(July[[#This Row],[Drug Name6]],'Data Options'!$R$1:$S$100,2,FALSE), " ")</f>
        <v xml:space="preserve"> </v>
      </c>
      <c r="BH186" s="55"/>
      <c r="BI186" s="32"/>
      <c r="BJ186" s="32"/>
      <c r="BK186" s="55"/>
      <c r="BL186" s="32"/>
      <c r="BM186" s="32"/>
      <c r="BN186" s="32"/>
      <c r="BO186" s="32"/>
      <c r="BP186" s="32"/>
      <c r="BQ186" s="31"/>
      <c r="BR186" s="31"/>
      <c r="BS186" s="54"/>
      <c r="BT186" s="21" t="str">
        <f>IFERROR(VLOOKUP(July[[#This Row],[Drug Name7]],'Data Options'!$R$1:$S$100,2,FALSE), " ")</f>
        <v xml:space="preserve"> </v>
      </c>
      <c r="BU186" s="55"/>
      <c r="BV186" s="32"/>
      <c r="BW186" s="32"/>
      <c r="BX186" s="55"/>
      <c r="BY186" s="32"/>
      <c r="BZ186" s="54"/>
      <c r="CA186" s="21" t="str">
        <f>IFERROR(VLOOKUP(July[[#This Row],[Drug Name8]],'Data Options'!$R$1:$S$100,2,FALSE), " ")</f>
        <v xml:space="preserve"> </v>
      </c>
      <c r="CB186" s="55"/>
      <c r="CC186" s="32"/>
      <c r="CD186" s="32"/>
      <c r="CE186" s="55"/>
      <c r="CF186" s="32"/>
      <c r="CG186" s="54"/>
      <c r="CH186" s="21" t="str">
        <f>IFERROR(VLOOKUP(July[[#This Row],[Drug Name9]],'Data Options'!$R$1:$S$100,2,FALSE), " ")</f>
        <v xml:space="preserve"> </v>
      </c>
      <c r="CI186" s="55"/>
      <c r="CJ186" s="32"/>
      <c r="CK186" s="32"/>
      <c r="CL186" s="55"/>
      <c r="CM186" s="32"/>
    </row>
    <row r="187" spans="1:91">
      <c r="A187" s="5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1"/>
      <c r="P187" s="31"/>
      <c r="Q187" s="54"/>
      <c r="R187" s="21" t="str">
        <f>IFERROR(VLOOKUP(July[[#This Row],[Drug Name]],'Data Options'!$R$1:$S$100,2,FALSE), " ")</f>
        <v xml:space="preserve"> </v>
      </c>
      <c r="S187" s="55"/>
      <c r="T187" s="32"/>
      <c r="U187" s="32"/>
      <c r="V187" s="55"/>
      <c r="W187" s="32"/>
      <c r="X187" s="54"/>
      <c r="Y187" s="21" t="str">
        <f>IFERROR(VLOOKUP(July[[#This Row],[Drug Name2]],'Data Options'!$R$1:$S$100,2,FALSE), " ")</f>
        <v xml:space="preserve"> </v>
      </c>
      <c r="Z187" s="55"/>
      <c r="AA187" s="32"/>
      <c r="AB187" s="32"/>
      <c r="AC187" s="55"/>
      <c r="AD187" s="32"/>
      <c r="AE187" s="54"/>
      <c r="AF187" s="21" t="str">
        <f>IFERROR(VLOOKUP(July[[#This Row],[Drug Name3]],'Data Options'!$R$1:$S$100,2,FALSE), " ")</f>
        <v xml:space="preserve"> </v>
      </c>
      <c r="AG187" s="55"/>
      <c r="AH187" s="32"/>
      <c r="AI187" s="32"/>
      <c r="AJ187" s="55"/>
      <c r="AK187" s="32"/>
      <c r="AL187" s="32"/>
      <c r="AM187" s="32"/>
      <c r="AN187" s="32"/>
      <c r="AO187" s="32"/>
      <c r="AP187" s="31"/>
      <c r="AQ187" s="31"/>
      <c r="AR187" s="54"/>
      <c r="AS187" s="21" t="str">
        <f>IFERROR(VLOOKUP(July[[#This Row],[Drug Name4]],'Data Options'!$R$1:$S$100,2,FALSE), " ")</f>
        <v xml:space="preserve"> </v>
      </c>
      <c r="AT187" s="55"/>
      <c r="AU187" s="32"/>
      <c r="AV187" s="32"/>
      <c r="AW187" s="55"/>
      <c r="AX187" s="32"/>
      <c r="AY187" s="54"/>
      <c r="AZ187" s="21" t="str">
        <f>IFERROR(VLOOKUP(July[[#This Row],[Drug Name5]],'Data Options'!$R$1:$S$100,2,FALSE), " ")</f>
        <v xml:space="preserve"> </v>
      </c>
      <c r="BA187" s="55"/>
      <c r="BB187" s="32"/>
      <c r="BC187" s="32"/>
      <c r="BD187" s="55"/>
      <c r="BE187" s="32"/>
      <c r="BF187" s="54"/>
      <c r="BG187" s="21" t="str">
        <f>IFERROR(VLOOKUP(July[[#This Row],[Drug Name6]],'Data Options'!$R$1:$S$100,2,FALSE), " ")</f>
        <v xml:space="preserve"> </v>
      </c>
      <c r="BH187" s="55"/>
      <c r="BI187" s="32"/>
      <c r="BJ187" s="32"/>
      <c r="BK187" s="55"/>
      <c r="BL187" s="32"/>
      <c r="BM187" s="32"/>
      <c r="BN187" s="32"/>
      <c r="BO187" s="32"/>
      <c r="BP187" s="32"/>
      <c r="BQ187" s="31"/>
      <c r="BR187" s="31"/>
      <c r="BS187" s="54"/>
      <c r="BT187" s="21" t="str">
        <f>IFERROR(VLOOKUP(July[[#This Row],[Drug Name7]],'Data Options'!$R$1:$S$100,2,FALSE), " ")</f>
        <v xml:space="preserve"> </v>
      </c>
      <c r="BU187" s="55"/>
      <c r="BV187" s="32"/>
      <c r="BW187" s="32"/>
      <c r="BX187" s="55"/>
      <c r="BY187" s="32"/>
      <c r="BZ187" s="54"/>
      <c r="CA187" s="21" t="str">
        <f>IFERROR(VLOOKUP(July[[#This Row],[Drug Name8]],'Data Options'!$R$1:$S$100,2,FALSE), " ")</f>
        <v xml:space="preserve"> </v>
      </c>
      <c r="CB187" s="55"/>
      <c r="CC187" s="32"/>
      <c r="CD187" s="32"/>
      <c r="CE187" s="55"/>
      <c r="CF187" s="32"/>
      <c r="CG187" s="54"/>
      <c r="CH187" s="21" t="str">
        <f>IFERROR(VLOOKUP(July[[#This Row],[Drug Name9]],'Data Options'!$R$1:$S$100,2,FALSE), " ")</f>
        <v xml:space="preserve"> </v>
      </c>
      <c r="CI187" s="55"/>
      <c r="CJ187" s="32"/>
      <c r="CK187" s="32"/>
      <c r="CL187" s="55"/>
      <c r="CM187" s="32"/>
    </row>
    <row r="188" spans="1:91">
      <c r="A188" s="5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1"/>
      <c r="P188" s="31"/>
      <c r="Q188" s="54"/>
      <c r="R188" s="21" t="str">
        <f>IFERROR(VLOOKUP(July[[#This Row],[Drug Name]],'Data Options'!$R$1:$S$100,2,FALSE), " ")</f>
        <v xml:space="preserve"> </v>
      </c>
      <c r="S188" s="55"/>
      <c r="T188" s="32"/>
      <c r="U188" s="32"/>
      <c r="V188" s="55"/>
      <c r="W188" s="32"/>
      <c r="X188" s="54"/>
      <c r="Y188" s="21" t="str">
        <f>IFERROR(VLOOKUP(July[[#This Row],[Drug Name2]],'Data Options'!$R$1:$S$100,2,FALSE), " ")</f>
        <v xml:space="preserve"> </v>
      </c>
      <c r="Z188" s="55"/>
      <c r="AA188" s="32"/>
      <c r="AB188" s="32"/>
      <c r="AC188" s="55"/>
      <c r="AD188" s="32"/>
      <c r="AE188" s="54"/>
      <c r="AF188" s="21" t="str">
        <f>IFERROR(VLOOKUP(July[[#This Row],[Drug Name3]],'Data Options'!$R$1:$S$100,2,FALSE), " ")</f>
        <v xml:space="preserve"> </v>
      </c>
      <c r="AG188" s="55"/>
      <c r="AH188" s="32"/>
      <c r="AI188" s="32"/>
      <c r="AJ188" s="55"/>
      <c r="AK188" s="32"/>
      <c r="AL188" s="32"/>
      <c r="AM188" s="32"/>
      <c r="AN188" s="32"/>
      <c r="AO188" s="32"/>
      <c r="AP188" s="31"/>
      <c r="AQ188" s="31"/>
      <c r="AR188" s="54"/>
      <c r="AS188" s="21" t="str">
        <f>IFERROR(VLOOKUP(July[[#This Row],[Drug Name4]],'Data Options'!$R$1:$S$100,2,FALSE), " ")</f>
        <v xml:space="preserve"> </v>
      </c>
      <c r="AT188" s="55"/>
      <c r="AU188" s="32"/>
      <c r="AV188" s="32"/>
      <c r="AW188" s="55"/>
      <c r="AX188" s="32"/>
      <c r="AY188" s="54"/>
      <c r="AZ188" s="21" t="str">
        <f>IFERROR(VLOOKUP(July[[#This Row],[Drug Name5]],'Data Options'!$R$1:$S$100,2,FALSE), " ")</f>
        <v xml:space="preserve"> </v>
      </c>
      <c r="BA188" s="55"/>
      <c r="BB188" s="32"/>
      <c r="BC188" s="32"/>
      <c r="BD188" s="55"/>
      <c r="BE188" s="32"/>
      <c r="BF188" s="54"/>
      <c r="BG188" s="21" t="str">
        <f>IFERROR(VLOOKUP(July[[#This Row],[Drug Name6]],'Data Options'!$R$1:$S$100,2,FALSE), " ")</f>
        <v xml:space="preserve"> </v>
      </c>
      <c r="BH188" s="55"/>
      <c r="BI188" s="32"/>
      <c r="BJ188" s="32"/>
      <c r="BK188" s="55"/>
      <c r="BL188" s="32"/>
      <c r="BM188" s="32"/>
      <c r="BN188" s="32"/>
      <c r="BO188" s="32"/>
      <c r="BP188" s="32"/>
      <c r="BQ188" s="31"/>
      <c r="BR188" s="31"/>
      <c r="BS188" s="54"/>
      <c r="BT188" s="21" t="str">
        <f>IFERROR(VLOOKUP(July[[#This Row],[Drug Name7]],'Data Options'!$R$1:$S$100,2,FALSE), " ")</f>
        <v xml:space="preserve"> </v>
      </c>
      <c r="BU188" s="55"/>
      <c r="BV188" s="32"/>
      <c r="BW188" s="32"/>
      <c r="BX188" s="55"/>
      <c r="BY188" s="32"/>
      <c r="BZ188" s="54"/>
      <c r="CA188" s="21" t="str">
        <f>IFERROR(VLOOKUP(July[[#This Row],[Drug Name8]],'Data Options'!$R$1:$S$100,2,FALSE), " ")</f>
        <v xml:space="preserve"> </v>
      </c>
      <c r="CB188" s="55"/>
      <c r="CC188" s="32"/>
      <c r="CD188" s="32"/>
      <c r="CE188" s="55"/>
      <c r="CF188" s="32"/>
      <c r="CG188" s="54"/>
      <c r="CH188" s="21" t="str">
        <f>IFERROR(VLOOKUP(July[[#This Row],[Drug Name9]],'Data Options'!$R$1:$S$100,2,FALSE), " ")</f>
        <v xml:space="preserve"> </v>
      </c>
      <c r="CI188" s="55"/>
      <c r="CJ188" s="32"/>
      <c r="CK188" s="32"/>
      <c r="CL188" s="55"/>
      <c r="CM188" s="32"/>
    </row>
    <row r="189" spans="1:91">
      <c r="A189" s="5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/>
      <c r="P189" s="31"/>
      <c r="Q189" s="54"/>
      <c r="R189" s="21" t="str">
        <f>IFERROR(VLOOKUP(July[[#This Row],[Drug Name]],'Data Options'!$R$1:$S$100,2,FALSE), " ")</f>
        <v xml:space="preserve"> </v>
      </c>
      <c r="S189" s="55"/>
      <c r="T189" s="32"/>
      <c r="U189" s="32"/>
      <c r="V189" s="55"/>
      <c r="W189" s="32"/>
      <c r="X189" s="54"/>
      <c r="Y189" s="21" t="str">
        <f>IFERROR(VLOOKUP(July[[#This Row],[Drug Name2]],'Data Options'!$R$1:$S$100,2,FALSE), " ")</f>
        <v xml:space="preserve"> </v>
      </c>
      <c r="Z189" s="55"/>
      <c r="AA189" s="32"/>
      <c r="AB189" s="32"/>
      <c r="AC189" s="55"/>
      <c r="AD189" s="32"/>
      <c r="AE189" s="54"/>
      <c r="AF189" s="21" t="str">
        <f>IFERROR(VLOOKUP(July[[#This Row],[Drug Name3]],'Data Options'!$R$1:$S$100,2,FALSE), " ")</f>
        <v xml:space="preserve"> </v>
      </c>
      <c r="AG189" s="55"/>
      <c r="AH189" s="32"/>
      <c r="AI189" s="32"/>
      <c r="AJ189" s="55"/>
      <c r="AK189" s="32"/>
      <c r="AL189" s="32"/>
      <c r="AM189" s="32"/>
      <c r="AN189" s="32"/>
      <c r="AO189" s="32"/>
      <c r="AP189" s="31"/>
      <c r="AQ189" s="31"/>
      <c r="AR189" s="54"/>
      <c r="AS189" s="21" t="str">
        <f>IFERROR(VLOOKUP(July[[#This Row],[Drug Name4]],'Data Options'!$R$1:$S$100,2,FALSE), " ")</f>
        <v xml:space="preserve"> </v>
      </c>
      <c r="AT189" s="55"/>
      <c r="AU189" s="32"/>
      <c r="AV189" s="32"/>
      <c r="AW189" s="55"/>
      <c r="AX189" s="32"/>
      <c r="AY189" s="54"/>
      <c r="AZ189" s="21" t="str">
        <f>IFERROR(VLOOKUP(July[[#This Row],[Drug Name5]],'Data Options'!$R$1:$S$100,2,FALSE), " ")</f>
        <v xml:space="preserve"> </v>
      </c>
      <c r="BA189" s="55"/>
      <c r="BB189" s="32"/>
      <c r="BC189" s="32"/>
      <c r="BD189" s="55"/>
      <c r="BE189" s="32"/>
      <c r="BF189" s="54"/>
      <c r="BG189" s="21" t="str">
        <f>IFERROR(VLOOKUP(July[[#This Row],[Drug Name6]],'Data Options'!$R$1:$S$100,2,FALSE), " ")</f>
        <v xml:space="preserve"> </v>
      </c>
      <c r="BH189" s="55"/>
      <c r="BI189" s="32"/>
      <c r="BJ189" s="32"/>
      <c r="BK189" s="55"/>
      <c r="BL189" s="32"/>
      <c r="BM189" s="32"/>
      <c r="BN189" s="32"/>
      <c r="BO189" s="32"/>
      <c r="BP189" s="32"/>
      <c r="BQ189" s="31"/>
      <c r="BR189" s="31"/>
      <c r="BS189" s="54"/>
      <c r="BT189" s="21" t="str">
        <f>IFERROR(VLOOKUP(July[[#This Row],[Drug Name7]],'Data Options'!$R$1:$S$100,2,FALSE), " ")</f>
        <v xml:space="preserve"> </v>
      </c>
      <c r="BU189" s="55"/>
      <c r="BV189" s="32"/>
      <c r="BW189" s="32"/>
      <c r="BX189" s="55"/>
      <c r="BY189" s="32"/>
      <c r="BZ189" s="54"/>
      <c r="CA189" s="21" t="str">
        <f>IFERROR(VLOOKUP(July[[#This Row],[Drug Name8]],'Data Options'!$R$1:$S$100,2,FALSE), " ")</f>
        <v xml:space="preserve"> </v>
      </c>
      <c r="CB189" s="55"/>
      <c r="CC189" s="32"/>
      <c r="CD189" s="32"/>
      <c r="CE189" s="55"/>
      <c r="CF189" s="32"/>
      <c r="CG189" s="54"/>
      <c r="CH189" s="21" t="str">
        <f>IFERROR(VLOOKUP(July[[#This Row],[Drug Name9]],'Data Options'!$R$1:$S$100,2,FALSE), " ")</f>
        <v xml:space="preserve"> </v>
      </c>
      <c r="CI189" s="55"/>
      <c r="CJ189" s="32"/>
      <c r="CK189" s="32"/>
      <c r="CL189" s="55"/>
      <c r="CM189" s="32"/>
    </row>
    <row r="190" spans="1:91">
      <c r="A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54"/>
      <c r="R190" s="21" t="str">
        <f>IFERROR(VLOOKUP(July[[#This Row],[Drug Name]],'Data Options'!$R$1:$S$100,2,FALSE), " ")</f>
        <v xml:space="preserve"> </v>
      </c>
      <c r="S190" s="55"/>
      <c r="T190" s="32"/>
      <c r="U190" s="32"/>
      <c r="V190" s="55"/>
      <c r="W190" s="32"/>
      <c r="X190" s="54"/>
      <c r="Y190" s="21" t="str">
        <f>IFERROR(VLOOKUP(July[[#This Row],[Drug Name2]],'Data Options'!$R$1:$S$100,2,FALSE), " ")</f>
        <v xml:space="preserve"> </v>
      </c>
      <c r="Z190" s="55"/>
      <c r="AA190" s="32"/>
      <c r="AB190" s="32"/>
      <c r="AC190" s="55"/>
      <c r="AD190" s="32"/>
      <c r="AE190" s="54"/>
      <c r="AF190" s="21" t="str">
        <f>IFERROR(VLOOKUP(July[[#This Row],[Drug Name3]],'Data Options'!$R$1:$S$100,2,FALSE), " ")</f>
        <v xml:space="preserve"> </v>
      </c>
      <c r="AG190" s="55"/>
      <c r="AH190" s="32"/>
      <c r="AI190" s="32"/>
      <c r="AJ190" s="55"/>
      <c r="AK190" s="32"/>
      <c r="AL190" s="32"/>
      <c r="AM190" s="32"/>
      <c r="AN190" s="32"/>
      <c r="AO190" s="32"/>
      <c r="AP190" s="31"/>
      <c r="AQ190" s="31"/>
      <c r="AR190" s="54"/>
      <c r="AS190" s="21" t="str">
        <f>IFERROR(VLOOKUP(July[[#This Row],[Drug Name4]],'Data Options'!$R$1:$S$100,2,FALSE), " ")</f>
        <v xml:space="preserve"> </v>
      </c>
      <c r="AT190" s="55"/>
      <c r="AU190" s="32"/>
      <c r="AV190" s="32"/>
      <c r="AW190" s="55"/>
      <c r="AX190" s="32"/>
      <c r="AY190" s="54"/>
      <c r="AZ190" s="21" t="str">
        <f>IFERROR(VLOOKUP(July[[#This Row],[Drug Name5]],'Data Options'!$R$1:$S$100,2,FALSE), " ")</f>
        <v xml:space="preserve"> </v>
      </c>
      <c r="BA190" s="55"/>
      <c r="BB190" s="32"/>
      <c r="BC190" s="32"/>
      <c r="BD190" s="55"/>
      <c r="BE190" s="32"/>
      <c r="BF190" s="54"/>
      <c r="BG190" s="21" t="str">
        <f>IFERROR(VLOOKUP(July[[#This Row],[Drug Name6]],'Data Options'!$R$1:$S$100,2,FALSE), " ")</f>
        <v xml:space="preserve"> </v>
      </c>
      <c r="BH190" s="55"/>
      <c r="BI190" s="32"/>
      <c r="BJ190" s="32"/>
      <c r="BK190" s="55"/>
      <c r="BL190" s="32"/>
      <c r="BM190" s="32"/>
      <c r="BN190" s="32"/>
      <c r="BO190" s="32"/>
      <c r="BP190" s="32"/>
      <c r="BQ190" s="31"/>
      <c r="BR190" s="31"/>
      <c r="BS190" s="54"/>
      <c r="BT190" s="21" t="str">
        <f>IFERROR(VLOOKUP(July[[#This Row],[Drug Name7]],'Data Options'!$R$1:$S$100,2,FALSE), " ")</f>
        <v xml:space="preserve"> </v>
      </c>
      <c r="BU190" s="55"/>
      <c r="BV190" s="32"/>
      <c r="BW190" s="32"/>
      <c r="BX190" s="55"/>
      <c r="BY190" s="32"/>
      <c r="BZ190" s="54"/>
      <c r="CA190" s="21" t="str">
        <f>IFERROR(VLOOKUP(July[[#This Row],[Drug Name8]],'Data Options'!$R$1:$S$100,2,FALSE), " ")</f>
        <v xml:space="preserve"> </v>
      </c>
      <c r="CB190" s="55"/>
      <c r="CC190" s="32"/>
      <c r="CD190" s="32"/>
      <c r="CE190" s="55"/>
      <c r="CF190" s="32"/>
      <c r="CG190" s="54"/>
      <c r="CH190" s="21" t="str">
        <f>IFERROR(VLOOKUP(July[[#This Row],[Drug Name9]],'Data Options'!$R$1:$S$100,2,FALSE), " ")</f>
        <v xml:space="preserve"> </v>
      </c>
      <c r="CI190" s="55"/>
      <c r="CJ190" s="32"/>
      <c r="CK190" s="32"/>
      <c r="CL190" s="55"/>
      <c r="CM190" s="32"/>
    </row>
    <row r="191" spans="1:91">
      <c r="A191" s="5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1"/>
      <c r="P191" s="31"/>
      <c r="Q191" s="54"/>
      <c r="R191" s="21" t="str">
        <f>IFERROR(VLOOKUP(July[[#This Row],[Drug Name]],'Data Options'!$R$1:$S$100,2,FALSE), " ")</f>
        <v xml:space="preserve"> </v>
      </c>
      <c r="S191" s="55"/>
      <c r="T191" s="32"/>
      <c r="U191" s="32"/>
      <c r="V191" s="55"/>
      <c r="W191" s="32"/>
      <c r="X191" s="54"/>
      <c r="Y191" s="21" t="str">
        <f>IFERROR(VLOOKUP(July[[#This Row],[Drug Name2]],'Data Options'!$R$1:$S$100,2,FALSE), " ")</f>
        <v xml:space="preserve"> </v>
      </c>
      <c r="Z191" s="55"/>
      <c r="AA191" s="32"/>
      <c r="AB191" s="32"/>
      <c r="AC191" s="55"/>
      <c r="AD191" s="32"/>
      <c r="AE191" s="54"/>
      <c r="AF191" s="21" t="str">
        <f>IFERROR(VLOOKUP(July[[#This Row],[Drug Name3]],'Data Options'!$R$1:$S$100,2,FALSE), " ")</f>
        <v xml:space="preserve"> </v>
      </c>
      <c r="AG191" s="55"/>
      <c r="AH191" s="32"/>
      <c r="AI191" s="32"/>
      <c r="AJ191" s="55"/>
      <c r="AK191" s="32"/>
      <c r="AL191" s="32"/>
      <c r="AM191" s="32"/>
      <c r="AN191" s="32"/>
      <c r="AO191" s="32"/>
      <c r="AP191" s="31"/>
      <c r="AQ191" s="31"/>
      <c r="AR191" s="54"/>
      <c r="AS191" s="21" t="str">
        <f>IFERROR(VLOOKUP(July[[#This Row],[Drug Name4]],'Data Options'!$R$1:$S$100,2,FALSE), " ")</f>
        <v xml:space="preserve"> </v>
      </c>
      <c r="AT191" s="55"/>
      <c r="AU191" s="32"/>
      <c r="AV191" s="32"/>
      <c r="AW191" s="55"/>
      <c r="AX191" s="32"/>
      <c r="AY191" s="54"/>
      <c r="AZ191" s="21" t="str">
        <f>IFERROR(VLOOKUP(July[[#This Row],[Drug Name5]],'Data Options'!$R$1:$S$100,2,FALSE), " ")</f>
        <v xml:space="preserve"> </v>
      </c>
      <c r="BA191" s="55"/>
      <c r="BB191" s="32"/>
      <c r="BC191" s="32"/>
      <c r="BD191" s="55"/>
      <c r="BE191" s="32"/>
      <c r="BF191" s="54"/>
      <c r="BG191" s="21" t="str">
        <f>IFERROR(VLOOKUP(July[[#This Row],[Drug Name6]],'Data Options'!$R$1:$S$100,2,FALSE), " ")</f>
        <v xml:space="preserve"> </v>
      </c>
      <c r="BH191" s="55"/>
      <c r="BI191" s="32"/>
      <c r="BJ191" s="32"/>
      <c r="BK191" s="55"/>
      <c r="BL191" s="32"/>
      <c r="BM191" s="32"/>
      <c r="BN191" s="32"/>
      <c r="BO191" s="32"/>
      <c r="BP191" s="32"/>
      <c r="BQ191" s="31"/>
      <c r="BR191" s="31"/>
      <c r="BS191" s="54"/>
      <c r="BT191" s="21" t="str">
        <f>IFERROR(VLOOKUP(July[[#This Row],[Drug Name7]],'Data Options'!$R$1:$S$100,2,FALSE), " ")</f>
        <v xml:space="preserve"> </v>
      </c>
      <c r="BU191" s="55"/>
      <c r="BV191" s="32"/>
      <c r="BW191" s="32"/>
      <c r="BX191" s="55"/>
      <c r="BY191" s="32"/>
      <c r="BZ191" s="54"/>
      <c r="CA191" s="21" t="str">
        <f>IFERROR(VLOOKUP(July[[#This Row],[Drug Name8]],'Data Options'!$R$1:$S$100,2,FALSE), " ")</f>
        <v xml:space="preserve"> </v>
      </c>
      <c r="CB191" s="55"/>
      <c r="CC191" s="32"/>
      <c r="CD191" s="32"/>
      <c r="CE191" s="55"/>
      <c r="CF191" s="32"/>
      <c r="CG191" s="54"/>
      <c r="CH191" s="21" t="str">
        <f>IFERROR(VLOOKUP(July[[#This Row],[Drug Name9]],'Data Options'!$R$1:$S$100,2,FALSE), " ")</f>
        <v xml:space="preserve"> </v>
      </c>
      <c r="CI191" s="55"/>
      <c r="CJ191" s="32"/>
      <c r="CK191" s="32"/>
      <c r="CL191" s="55"/>
      <c r="CM191" s="32"/>
    </row>
    <row r="192" spans="1:91">
      <c r="A192" s="5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1"/>
      <c r="P192" s="31"/>
      <c r="Q192" s="54"/>
      <c r="R192" s="21" t="str">
        <f>IFERROR(VLOOKUP(July[[#This Row],[Drug Name]],'Data Options'!$R$1:$S$100,2,FALSE), " ")</f>
        <v xml:space="preserve"> </v>
      </c>
      <c r="S192" s="55"/>
      <c r="T192" s="32"/>
      <c r="U192" s="32"/>
      <c r="V192" s="55"/>
      <c r="W192" s="32"/>
      <c r="X192" s="54"/>
      <c r="Y192" s="21" t="str">
        <f>IFERROR(VLOOKUP(July[[#This Row],[Drug Name2]],'Data Options'!$R$1:$S$100,2,FALSE), " ")</f>
        <v xml:space="preserve"> </v>
      </c>
      <c r="Z192" s="55"/>
      <c r="AA192" s="32"/>
      <c r="AB192" s="32"/>
      <c r="AC192" s="55"/>
      <c r="AD192" s="32"/>
      <c r="AE192" s="54"/>
      <c r="AF192" s="21" t="str">
        <f>IFERROR(VLOOKUP(July[[#This Row],[Drug Name3]],'Data Options'!$R$1:$S$100,2,FALSE), " ")</f>
        <v xml:space="preserve"> </v>
      </c>
      <c r="AG192" s="55"/>
      <c r="AH192" s="32"/>
      <c r="AI192" s="32"/>
      <c r="AJ192" s="55"/>
      <c r="AK192" s="32"/>
      <c r="AL192" s="32"/>
      <c r="AM192" s="32"/>
      <c r="AN192" s="32"/>
      <c r="AO192" s="32"/>
      <c r="AP192" s="31"/>
      <c r="AQ192" s="31"/>
      <c r="AR192" s="54"/>
      <c r="AS192" s="21" t="str">
        <f>IFERROR(VLOOKUP(July[[#This Row],[Drug Name4]],'Data Options'!$R$1:$S$100,2,FALSE), " ")</f>
        <v xml:space="preserve"> </v>
      </c>
      <c r="AT192" s="55"/>
      <c r="AU192" s="32"/>
      <c r="AV192" s="32"/>
      <c r="AW192" s="55"/>
      <c r="AX192" s="32"/>
      <c r="AY192" s="54"/>
      <c r="AZ192" s="21" t="str">
        <f>IFERROR(VLOOKUP(July[[#This Row],[Drug Name5]],'Data Options'!$R$1:$S$100,2,FALSE), " ")</f>
        <v xml:space="preserve"> </v>
      </c>
      <c r="BA192" s="55"/>
      <c r="BB192" s="32"/>
      <c r="BC192" s="32"/>
      <c r="BD192" s="55"/>
      <c r="BE192" s="32"/>
      <c r="BF192" s="54"/>
      <c r="BG192" s="21" t="str">
        <f>IFERROR(VLOOKUP(July[[#This Row],[Drug Name6]],'Data Options'!$R$1:$S$100,2,FALSE), " ")</f>
        <v xml:space="preserve"> </v>
      </c>
      <c r="BH192" s="55"/>
      <c r="BI192" s="32"/>
      <c r="BJ192" s="32"/>
      <c r="BK192" s="55"/>
      <c r="BL192" s="32"/>
      <c r="BM192" s="32"/>
      <c r="BN192" s="32"/>
      <c r="BO192" s="32"/>
      <c r="BP192" s="32"/>
      <c r="BQ192" s="31"/>
      <c r="BR192" s="31"/>
      <c r="BS192" s="54"/>
      <c r="BT192" s="21" t="str">
        <f>IFERROR(VLOOKUP(July[[#This Row],[Drug Name7]],'Data Options'!$R$1:$S$100,2,FALSE), " ")</f>
        <v xml:space="preserve"> </v>
      </c>
      <c r="BU192" s="55"/>
      <c r="BV192" s="32"/>
      <c r="BW192" s="32"/>
      <c r="BX192" s="55"/>
      <c r="BY192" s="32"/>
      <c r="BZ192" s="54"/>
      <c r="CA192" s="21" t="str">
        <f>IFERROR(VLOOKUP(July[[#This Row],[Drug Name8]],'Data Options'!$R$1:$S$100,2,FALSE), " ")</f>
        <v xml:space="preserve"> </v>
      </c>
      <c r="CB192" s="55"/>
      <c r="CC192" s="32"/>
      <c r="CD192" s="32"/>
      <c r="CE192" s="55"/>
      <c r="CF192" s="32"/>
      <c r="CG192" s="54"/>
      <c r="CH192" s="21" t="str">
        <f>IFERROR(VLOOKUP(July[[#This Row],[Drug Name9]],'Data Options'!$R$1:$S$100,2,FALSE), " ")</f>
        <v xml:space="preserve"> </v>
      </c>
      <c r="CI192" s="55"/>
      <c r="CJ192" s="32"/>
      <c r="CK192" s="32"/>
      <c r="CL192" s="55"/>
      <c r="CM192" s="32"/>
    </row>
    <row r="193" spans="1:91">
      <c r="A193" s="5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1"/>
      <c r="P193" s="31"/>
      <c r="Q193" s="54"/>
      <c r="R193" s="21" t="str">
        <f>IFERROR(VLOOKUP(July[[#This Row],[Drug Name]],'Data Options'!$R$1:$S$100,2,FALSE), " ")</f>
        <v xml:space="preserve"> </v>
      </c>
      <c r="S193" s="55"/>
      <c r="T193" s="32"/>
      <c r="U193" s="32"/>
      <c r="V193" s="55"/>
      <c r="W193" s="32"/>
      <c r="X193" s="54"/>
      <c r="Y193" s="21" t="str">
        <f>IFERROR(VLOOKUP(July[[#This Row],[Drug Name2]],'Data Options'!$R$1:$S$100,2,FALSE), " ")</f>
        <v xml:space="preserve"> </v>
      </c>
      <c r="Z193" s="55"/>
      <c r="AA193" s="32"/>
      <c r="AB193" s="32"/>
      <c r="AC193" s="55"/>
      <c r="AD193" s="32"/>
      <c r="AE193" s="54"/>
      <c r="AF193" s="21" t="str">
        <f>IFERROR(VLOOKUP(July[[#This Row],[Drug Name3]],'Data Options'!$R$1:$S$100,2,FALSE), " ")</f>
        <v xml:space="preserve"> </v>
      </c>
      <c r="AG193" s="55"/>
      <c r="AH193" s="32"/>
      <c r="AI193" s="32"/>
      <c r="AJ193" s="55"/>
      <c r="AK193" s="32"/>
      <c r="AL193" s="32"/>
      <c r="AM193" s="32"/>
      <c r="AN193" s="32"/>
      <c r="AO193" s="32"/>
      <c r="AP193" s="31"/>
      <c r="AQ193" s="31"/>
      <c r="AR193" s="54"/>
      <c r="AS193" s="21" t="str">
        <f>IFERROR(VLOOKUP(July[[#This Row],[Drug Name4]],'Data Options'!$R$1:$S$100,2,FALSE), " ")</f>
        <v xml:space="preserve"> </v>
      </c>
      <c r="AT193" s="55"/>
      <c r="AU193" s="32"/>
      <c r="AV193" s="32"/>
      <c r="AW193" s="55"/>
      <c r="AX193" s="32"/>
      <c r="AY193" s="54"/>
      <c r="AZ193" s="21" t="str">
        <f>IFERROR(VLOOKUP(July[[#This Row],[Drug Name5]],'Data Options'!$R$1:$S$100,2,FALSE), " ")</f>
        <v xml:space="preserve"> </v>
      </c>
      <c r="BA193" s="55"/>
      <c r="BB193" s="32"/>
      <c r="BC193" s="32"/>
      <c r="BD193" s="55"/>
      <c r="BE193" s="32"/>
      <c r="BF193" s="54"/>
      <c r="BG193" s="21" t="str">
        <f>IFERROR(VLOOKUP(July[[#This Row],[Drug Name6]],'Data Options'!$R$1:$S$100,2,FALSE), " ")</f>
        <v xml:space="preserve"> </v>
      </c>
      <c r="BH193" s="55"/>
      <c r="BI193" s="32"/>
      <c r="BJ193" s="32"/>
      <c r="BK193" s="55"/>
      <c r="BL193" s="32"/>
      <c r="BM193" s="32"/>
      <c r="BN193" s="32"/>
      <c r="BO193" s="32"/>
      <c r="BP193" s="32"/>
      <c r="BQ193" s="31"/>
      <c r="BR193" s="31"/>
      <c r="BS193" s="54"/>
      <c r="BT193" s="21" t="str">
        <f>IFERROR(VLOOKUP(July[[#This Row],[Drug Name7]],'Data Options'!$R$1:$S$100,2,FALSE), " ")</f>
        <v xml:space="preserve"> </v>
      </c>
      <c r="BU193" s="55"/>
      <c r="BV193" s="32"/>
      <c r="BW193" s="32"/>
      <c r="BX193" s="55"/>
      <c r="BY193" s="32"/>
      <c r="BZ193" s="54"/>
      <c r="CA193" s="21" t="str">
        <f>IFERROR(VLOOKUP(July[[#This Row],[Drug Name8]],'Data Options'!$R$1:$S$100,2,FALSE), " ")</f>
        <v xml:space="preserve"> </v>
      </c>
      <c r="CB193" s="55"/>
      <c r="CC193" s="32"/>
      <c r="CD193" s="32"/>
      <c r="CE193" s="55"/>
      <c r="CF193" s="32"/>
      <c r="CG193" s="54"/>
      <c r="CH193" s="21" t="str">
        <f>IFERROR(VLOOKUP(July[[#This Row],[Drug Name9]],'Data Options'!$R$1:$S$100,2,FALSE), " ")</f>
        <v xml:space="preserve"> </v>
      </c>
      <c r="CI193" s="55"/>
      <c r="CJ193" s="32"/>
      <c r="CK193" s="32"/>
      <c r="CL193" s="55"/>
      <c r="CM193" s="32"/>
    </row>
    <row r="194" spans="1:91">
      <c r="A194" s="5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1"/>
      <c r="P194" s="31"/>
      <c r="Q194" s="54"/>
      <c r="R194" s="21" t="str">
        <f>IFERROR(VLOOKUP(July[[#This Row],[Drug Name]],'Data Options'!$R$1:$S$100,2,FALSE), " ")</f>
        <v xml:space="preserve"> </v>
      </c>
      <c r="S194" s="55"/>
      <c r="T194" s="32"/>
      <c r="U194" s="32"/>
      <c r="V194" s="55"/>
      <c r="W194" s="32"/>
      <c r="X194" s="54"/>
      <c r="Y194" s="21" t="str">
        <f>IFERROR(VLOOKUP(July[[#This Row],[Drug Name2]],'Data Options'!$R$1:$S$100,2,FALSE), " ")</f>
        <v xml:space="preserve"> </v>
      </c>
      <c r="Z194" s="55"/>
      <c r="AA194" s="32"/>
      <c r="AB194" s="32"/>
      <c r="AC194" s="55"/>
      <c r="AD194" s="32"/>
      <c r="AE194" s="54"/>
      <c r="AF194" s="21" t="str">
        <f>IFERROR(VLOOKUP(July[[#This Row],[Drug Name3]],'Data Options'!$R$1:$S$100,2,FALSE), " ")</f>
        <v xml:space="preserve"> </v>
      </c>
      <c r="AG194" s="55"/>
      <c r="AH194" s="32"/>
      <c r="AI194" s="32"/>
      <c r="AJ194" s="55"/>
      <c r="AK194" s="32"/>
      <c r="AL194" s="32"/>
      <c r="AM194" s="32"/>
      <c r="AN194" s="32"/>
      <c r="AO194" s="32"/>
      <c r="AP194" s="31"/>
      <c r="AQ194" s="31"/>
      <c r="AR194" s="54"/>
      <c r="AS194" s="21" t="str">
        <f>IFERROR(VLOOKUP(July[[#This Row],[Drug Name4]],'Data Options'!$R$1:$S$100,2,FALSE), " ")</f>
        <v xml:space="preserve"> </v>
      </c>
      <c r="AT194" s="55"/>
      <c r="AU194" s="32"/>
      <c r="AV194" s="32"/>
      <c r="AW194" s="55"/>
      <c r="AX194" s="32"/>
      <c r="AY194" s="54"/>
      <c r="AZ194" s="21" t="str">
        <f>IFERROR(VLOOKUP(July[[#This Row],[Drug Name5]],'Data Options'!$R$1:$S$100,2,FALSE), " ")</f>
        <v xml:space="preserve"> </v>
      </c>
      <c r="BA194" s="55"/>
      <c r="BB194" s="32"/>
      <c r="BC194" s="32"/>
      <c r="BD194" s="55"/>
      <c r="BE194" s="32"/>
      <c r="BF194" s="54"/>
      <c r="BG194" s="21" t="str">
        <f>IFERROR(VLOOKUP(July[[#This Row],[Drug Name6]],'Data Options'!$R$1:$S$100,2,FALSE), " ")</f>
        <v xml:space="preserve"> </v>
      </c>
      <c r="BH194" s="55"/>
      <c r="BI194" s="32"/>
      <c r="BJ194" s="32"/>
      <c r="BK194" s="55"/>
      <c r="BL194" s="32"/>
      <c r="BM194" s="32"/>
      <c r="BN194" s="32"/>
      <c r="BO194" s="32"/>
      <c r="BP194" s="32"/>
      <c r="BQ194" s="31"/>
      <c r="BR194" s="31"/>
      <c r="BS194" s="54"/>
      <c r="BT194" s="21" t="str">
        <f>IFERROR(VLOOKUP(July[[#This Row],[Drug Name7]],'Data Options'!$R$1:$S$100,2,FALSE), " ")</f>
        <v xml:space="preserve"> </v>
      </c>
      <c r="BU194" s="55"/>
      <c r="BV194" s="32"/>
      <c r="BW194" s="32"/>
      <c r="BX194" s="55"/>
      <c r="BY194" s="32"/>
      <c r="BZ194" s="54"/>
      <c r="CA194" s="21" t="str">
        <f>IFERROR(VLOOKUP(July[[#This Row],[Drug Name8]],'Data Options'!$R$1:$S$100,2,FALSE), " ")</f>
        <v xml:space="preserve"> </v>
      </c>
      <c r="CB194" s="55"/>
      <c r="CC194" s="32"/>
      <c r="CD194" s="32"/>
      <c r="CE194" s="55"/>
      <c r="CF194" s="32"/>
      <c r="CG194" s="54"/>
      <c r="CH194" s="21" t="str">
        <f>IFERROR(VLOOKUP(July[[#This Row],[Drug Name9]],'Data Options'!$R$1:$S$100,2,FALSE), " ")</f>
        <v xml:space="preserve"> </v>
      </c>
      <c r="CI194" s="55"/>
      <c r="CJ194" s="32"/>
      <c r="CK194" s="32"/>
      <c r="CL194" s="55"/>
      <c r="CM194" s="32"/>
    </row>
    <row r="195" spans="1:91">
      <c r="A195" s="5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1"/>
      <c r="P195" s="31"/>
      <c r="Q195" s="54"/>
      <c r="R195" s="21" t="str">
        <f>IFERROR(VLOOKUP(July[[#This Row],[Drug Name]],'Data Options'!$R$1:$S$100,2,FALSE), " ")</f>
        <v xml:space="preserve"> </v>
      </c>
      <c r="S195" s="55"/>
      <c r="T195" s="32"/>
      <c r="U195" s="32"/>
      <c r="V195" s="55"/>
      <c r="W195" s="32"/>
      <c r="X195" s="54"/>
      <c r="Y195" s="21" t="str">
        <f>IFERROR(VLOOKUP(July[[#This Row],[Drug Name2]],'Data Options'!$R$1:$S$100,2,FALSE), " ")</f>
        <v xml:space="preserve"> </v>
      </c>
      <c r="Z195" s="55"/>
      <c r="AA195" s="32"/>
      <c r="AB195" s="32"/>
      <c r="AC195" s="55"/>
      <c r="AD195" s="32"/>
      <c r="AE195" s="54"/>
      <c r="AF195" s="21" t="str">
        <f>IFERROR(VLOOKUP(July[[#This Row],[Drug Name3]],'Data Options'!$R$1:$S$100,2,FALSE), " ")</f>
        <v xml:space="preserve"> </v>
      </c>
      <c r="AG195" s="55"/>
      <c r="AH195" s="32"/>
      <c r="AI195" s="32"/>
      <c r="AJ195" s="55"/>
      <c r="AK195" s="32"/>
      <c r="AL195" s="32"/>
      <c r="AM195" s="32"/>
      <c r="AN195" s="32"/>
      <c r="AO195" s="32"/>
      <c r="AP195" s="31"/>
      <c r="AQ195" s="31"/>
      <c r="AR195" s="54"/>
      <c r="AS195" s="21" t="str">
        <f>IFERROR(VLOOKUP(July[[#This Row],[Drug Name4]],'Data Options'!$R$1:$S$100,2,FALSE), " ")</f>
        <v xml:space="preserve"> </v>
      </c>
      <c r="AT195" s="55"/>
      <c r="AU195" s="32"/>
      <c r="AV195" s="32"/>
      <c r="AW195" s="55"/>
      <c r="AX195" s="32"/>
      <c r="AY195" s="54"/>
      <c r="AZ195" s="21" t="str">
        <f>IFERROR(VLOOKUP(July[[#This Row],[Drug Name5]],'Data Options'!$R$1:$S$100,2,FALSE), " ")</f>
        <v xml:space="preserve"> </v>
      </c>
      <c r="BA195" s="55"/>
      <c r="BB195" s="32"/>
      <c r="BC195" s="32"/>
      <c r="BD195" s="55"/>
      <c r="BE195" s="32"/>
      <c r="BF195" s="54"/>
      <c r="BG195" s="21" t="str">
        <f>IFERROR(VLOOKUP(July[[#This Row],[Drug Name6]],'Data Options'!$R$1:$S$100,2,FALSE), " ")</f>
        <v xml:space="preserve"> </v>
      </c>
      <c r="BH195" s="55"/>
      <c r="BI195" s="32"/>
      <c r="BJ195" s="32"/>
      <c r="BK195" s="55"/>
      <c r="BL195" s="32"/>
      <c r="BM195" s="32"/>
      <c r="BN195" s="32"/>
      <c r="BO195" s="32"/>
      <c r="BP195" s="32"/>
      <c r="BQ195" s="31"/>
      <c r="BR195" s="31"/>
      <c r="BS195" s="54"/>
      <c r="BT195" s="21" t="str">
        <f>IFERROR(VLOOKUP(July[[#This Row],[Drug Name7]],'Data Options'!$R$1:$S$100,2,FALSE), " ")</f>
        <v xml:space="preserve"> </v>
      </c>
      <c r="BU195" s="55"/>
      <c r="BV195" s="32"/>
      <c r="BW195" s="32"/>
      <c r="BX195" s="55"/>
      <c r="BY195" s="32"/>
      <c r="BZ195" s="54"/>
      <c r="CA195" s="21" t="str">
        <f>IFERROR(VLOOKUP(July[[#This Row],[Drug Name8]],'Data Options'!$R$1:$S$100,2,FALSE), " ")</f>
        <v xml:space="preserve"> </v>
      </c>
      <c r="CB195" s="55"/>
      <c r="CC195" s="32"/>
      <c r="CD195" s="32"/>
      <c r="CE195" s="55"/>
      <c r="CF195" s="32"/>
      <c r="CG195" s="54"/>
      <c r="CH195" s="21" t="str">
        <f>IFERROR(VLOOKUP(July[[#This Row],[Drug Name9]],'Data Options'!$R$1:$S$100,2,FALSE), " ")</f>
        <v xml:space="preserve"> </v>
      </c>
      <c r="CI195" s="55"/>
      <c r="CJ195" s="32"/>
      <c r="CK195" s="32"/>
      <c r="CL195" s="55"/>
      <c r="CM195" s="32"/>
    </row>
    <row r="196" spans="1:91">
      <c r="A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1"/>
      <c r="P196" s="31"/>
      <c r="Q196" s="54"/>
      <c r="R196" s="21" t="str">
        <f>IFERROR(VLOOKUP(July[[#This Row],[Drug Name]],'Data Options'!$R$1:$S$100,2,FALSE), " ")</f>
        <v xml:space="preserve"> </v>
      </c>
      <c r="S196" s="55"/>
      <c r="T196" s="32"/>
      <c r="U196" s="32"/>
      <c r="V196" s="55"/>
      <c r="W196" s="32"/>
      <c r="X196" s="54"/>
      <c r="Y196" s="21" t="str">
        <f>IFERROR(VLOOKUP(July[[#This Row],[Drug Name2]],'Data Options'!$R$1:$S$100,2,FALSE), " ")</f>
        <v xml:space="preserve"> </v>
      </c>
      <c r="Z196" s="55"/>
      <c r="AA196" s="32"/>
      <c r="AB196" s="32"/>
      <c r="AC196" s="55"/>
      <c r="AD196" s="32"/>
      <c r="AE196" s="54"/>
      <c r="AF196" s="21" t="str">
        <f>IFERROR(VLOOKUP(July[[#This Row],[Drug Name3]],'Data Options'!$R$1:$S$100,2,FALSE), " ")</f>
        <v xml:space="preserve"> </v>
      </c>
      <c r="AG196" s="55"/>
      <c r="AH196" s="32"/>
      <c r="AI196" s="32"/>
      <c r="AJ196" s="55"/>
      <c r="AK196" s="32"/>
      <c r="AL196" s="32"/>
      <c r="AM196" s="32"/>
      <c r="AN196" s="32"/>
      <c r="AO196" s="32"/>
      <c r="AP196" s="31"/>
      <c r="AQ196" s="31"/>
      <c r="AR196" s="54"/>
      <c r="AS196" s="21" t="str">
        <f>IFERROR(VLOOKUP(July[[#This Row],[Drug Name4]],'Data Options'!$R$1:$S$100,2,FALSE), " ")</f>
        <v xml:space="preserve"> </v>
      </c>
      <c r="AT196" s="55"/>
      <c r="AU196" s="32"/>
      <c r="AV196" s="32"/>
      <c r="AW196" s="55"/>
      <c r="AX196" s="32"/>
      <c r="AY196" s="54"/>
      <c r="AZ196" s="21" t="str">
        <f>IFERROR(VLOOKUP(July[[#This Row],[Drug Name5]],'Data Options'!$R$1:$S$100,2,FALSE), " ")</f>
        <v xml:space="preserve"> </v>
      </c>
      <c r="BA196" s="55"/>
      <c r="BB196" s="32"/>
      <c r="BC196" s="32"/>
      <c r="BD196" s="55"/>
      <c r="BE196" s="32"/>
      <c r="BF196" s="54"/>
      <c r="BG196" s="21" t="str">
        <f>IFERROR(VLOOKUP(July[[#This Row],[Drug Name6]],'Data Options'!$R$1:$S$100,2,FALSE), " ")</f>
        <v xml:space="preserve"> </v>
      </c>
      <c r="BH196" s="55"/>
      <c r="BI196" s="32"/>
      <c r="BJ196" s="32"/>
      <c r="BK196" s="55"/>
      <c r="BL196" s="32"/>
      <c r="BM196" s="32"/>
      <c r="BN196" s="32"/>
      <c r="BO196" s="32"/>
      <c r="BP196" s="32"/>
      <c r="BQ196" s="31"/>
      <c r="BR196" s="31"/>
      <c r="BS196" s="54"/>
      <c r="BT196" s="21" t="str">
        <f>IFERROR(VLOOKUP(July[[#This Row],[Drug Name7]],'Data Options'!$R$1:$S$100,2,FALSE), " ")</f>
        <v xml:space="preserve"> </v>
      </c>
      <c r="BU196" s="55"/>
      <c r="BV196" s="32"/>
      <c r="BW196" s="32"/>
      <c r="BX196" s="55"/>
      <c r="BY196" s="32"/>
      <c r="BZ196" s="54"/>
      <c r="CA196" s="21" t="str">
        <f>IFERROR(VLOOKUP(July[[#This Row],[Drug Name8]],'Data Options'!$R$1:$S$100,2,FALSE), " ")</f>
        <v xml:space="preserve"> </v>
      </c>
      <c r="CB196" s="55"/>
      <c r="CC196" s="32"/>
      <c r="CD196" s="32"/>
      <c r="CE196" s="55"/>
      <c r="CF196" s="32"/>
      <c r="CG196" s="54"/>
      <c r="CH196" s="21" t="str">
        <f>IFERROR(VLOOKUP(July[[#This Row],[Drug Name9]],'Data Options'!$R$1:$S$100,2,FALSE), " ")</f>
        <v xml:space="preserve"> </v>
      </c>
      <c r="CI196" s="55"/>
      <c r="CJ196" s="32"/>
      <c r="CK196" s="32"/>
      <c r="CL196" s="55"/>
      <c r="CM196" s="32"/>
    </row>
    <row r="197" spans="1:91">
      <c r="A197" s="5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1"/>
      <c r="P197" s="31"/>
      <c r="Q197" s="54"/>
      <c r="R197" s="21" t="str">
        <f>IFERROR(VLOOKUP(July[[#This Row],[Drug Name]],'Data Options'!$R$1:$S$100,2,FALSE), " ")</f>
        <v xml:space="preserve"> </v>
      </c>
      <c r="S197" s="55"/>
      <c r="T197" s="32"/>
      <c r="U197" s="32"/>
      <c r="V197" s="55"/>
      <c r="W197" s="32"/>
      <c r="X197" s="54"/>
      <c r="Y197" s="21" t="str">
        <f>IFERROR(VLOOKUP(July[[#This Row],[Drug Name2]],'Data Options'!$R$1:$S$100,2,FALSE), " ")</f>
        <v xml:space="preserve"> </v>
      </c>
      <c r="Z197" s="55"/>
      <c r="AA197" s="32"/>
      <c r="AB197" s="32"/>
      <c r="AC197" s="55"/>
      <c r="AD197" s="32"/>
      <c r="AE197" s="54"/>
      <c r="AF197" s="21" t="str">
        <f>IFERROR(VLOOKUP(July[[#This Row],[Drug Name3]],'Data Options'!$R$1:$S$100,2,FALSE), " ")</f>
        <v xml:space="preserve"> </v>
      </c>
      <c r="AG197" s="55"/>
      <c r="AH197" s="32"/>
      <c r="AI197" s="32"/>
      <c r="AJ197" s="55"/>
      <c r="AK197" s="32"/>
      <c r="AL197" s="32"/>
      <c r="AM197" s="32"/>
      <c r="AN197" s="32"/>
      <c r="AO197" s="32"/>
      <c r="AP197" s="31"/>
      <c r="AQ197" s="31"/>
      <c r="AR197" s="54"/>
      <c r="AS197" s="21" t="str">
        <f>IFERROR(VLOOKUP(July[[#This Row],[Drug Name4]],'Data Options'!$R$1:$S$100,2,FALSE), " ")</f>
        <v xml:space="preserve"> </v>
      </c>
      <c r="AT197" s="55"/>
      <c r="AU197" s="32"/>
      <c r="AV197" s="32"/>
      <c r="AW197" s="55"/>
      <c r="AX197" s="32"/>
      <c r="AY197" s="54"/>
      <c r="AZ197" s="21" t="str">
        <f>IFERROR(VLOOKUP(July[[#This Row],[Drug Name5]],'Data Options'!$R$1:$S$100,2,FALSE), " ")</f>
        <v xml:space="preserve"> </v>
      </c>
      <c r="BA197" s="55"/>
      <c r="BB197" s="32"/>
      <c r="BC197" s="32"/>
      <c r="BD197" s="55"/>
      <c r="BE197" s="32"/>
      <c r="BF197" s="54"/>
      <c r="BG197" s="21" t="str">
        <f>IFERROR(VLOOKUP(July[[#This Row],[Drug Name6]],'Data Options'!$R$1:$S$100,2,FALSE), " ")</f>
        <v xml:space="preserve"> </v>
      </c>
      <c r="BH197" s="55"/>
      <c r="BI197" s="32"/>
      <c r="BJ197" s="32"/>
      <c r="BK197" s="55"/>
      <c r="BL197" s="32"/>
      <c r="BM197" s="32"/>
      <c r="BN197" s="32"/>
      <c r="BO197" s="32"/>
      <c r="BP197" s="32"/>
      <c r="BQ197" s="31"/>
      <c r="BR197" s="31"/>
      <c r="BS197" s="54"/>
      <c r="BT197" s="21" t="str">
        <f>IFERROR(VLOOKUP(July[[#This Row],[Drug Name7]],'Data Options'!$R$1:$S$100,2,FALSE), " ")</f>
        <v xml:space="preserve"> </v>
      </c>
      <c r="BU197" s="55"/>
      <c r="BV197" s="32"/>
      <c r="BW197" s="32"/>
      <c r="BX197" s="55"/>
      <c r="BY197" s="32"/>
      <c r="BZ197" s="54"/>
      <c r="CA197" s="21" t="str">
        <f>IFERROR(VLOOKUP(July[[#This Row],[Drug Name8]],'Data Options'!$R$1:$S$100,2,FALSE), " ")</f>
        <v xml:space="preserve"> </v>
      </c>
      <c r="CB197" s="55"/>
      <c r="CC197" s="32"/>
      <c r="CD197" s="32"/>
      <c r="CE197" s="55"/>
      <c r="CF197" s="32"/>
      <c r="CG197" s="54"/>
      <c r="CH197" s="21" t="str">
        <f>IFERROR(VLOOKUP(July[[#This Row],[Drug Name9]],'Data Options'!$R$1:$S$100,2,FALSE), " ")</f>
        <v xml:space="preserve"> </v>
      </c>
      <c r="CI197" s="55"/>
      <c r="CJ197" s="32"/>
      <c r="CK197" s="32"/>
      <c r="CL197" s="55"/>
      <c r="CM197" s="32"/>
    </row>
    <row r="198" spans="1:91">
      <c r="A198" s="5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1"/>
      <c r="P198" s="31"/>
      <c r="Q198" s="54"/>
      <c r="R198" s="21" t="str">
        <f>IFERROR(VLOOKUP(July[[#This Row],[Drug Name]],'Data Options'!$R$1:$S$100,2,FALSE), " ")</f>
        <v xml:space="preserve"> </v>
      </c>
      <c r="S198" s="55"/>
      <c r="T198" s="32"/>
      <c r="U198" s="32"/>
      <c r="V198" s="55"/>
      <c r="W198" s="32"/>
      <c r="X198" s="54"/>
      <c r="Y198" s="21" t="str">
        <f>IFERROR(VLOOKUP(July[[#This Row],[Drug Name2]],'Data Options'!$R$1:$S$100,2,FALSE), " ")</f>
        <v xml:space="preserve"> </v>
      </c>
      <c r="Z198" s="55"/>
      <c r="AA198" s="32"/>
      <c r="AB198" s="32"/>
      <c r="AC198" s="55"/>
      <c r="AD198" s="32"/>
      <c r="AE198" s="54"/>
      <c r="AF198" s="21" t="str">
        <f>IFERROR(VLOOKUP(July[[#This Row],[Drug Name3]],'Data Options'!$R$1:$S$100,2,FALSE), " ")</f>
        <v xml:space="preserve"> </v>
      </c>
      <c r="AG198" s="55"/>
      <c r="AH198" s="32"/>
      <c r="AI198" s="32"/>
      <c r="AJ198" s="55"/>
      <c r="AK198" s="32"/>
      <c r="AL198" s="32"/>
      <c r="AM198" s="32"/>
      <c r="AN198" s="32"/>
      <c r="AO198" s="32"/>
      <c r="AP198" s="31"/>
      <c r="AQ198" s="31"/>
      <c r="AR198" s="54"/>
      <c r="AS198" s="21" t="str">
        <f>IFERROR(VLOOKUP(July[[#This Row],[Drug Name4]],'Data Options'!$R$1:$S$100,2,FALSE), " ")</f>
        <v xml:space="preserve"> </v>
      </c>
      <c r="AT198" s="55"/>
      <c r="AU198" s="32"/>
      <c r="AV198" s="32"/>
      <c r="AW198" s="55"/>
      <c r="AX198" s="32"/>
      <c r="AY198" s="54"/>
      <c r="AZ198" s="21" t="str">
        <f>IFERROR(VLOOKUP(July[[#This Row],[Drug Name5]],'Data Options'!$R$1:$S$100,2,FALSE), " ")</f>
        <v xml:space="preserve"> </v>
      </c>
      <c r="BA198" s="55"/>
      <c r="BB198" s="32"/>
      <c r="BC198" s="32"/>
      <c r="BD198" s="55"/>
      <c r="BE198" s="32"/>
      <c r="BF198" s="54"/>
      <c r="BG198" s="21" t="str">
        <f>IFERROR(VLOOKUP(July[[#This Row],[Drug Name6]],'Data Options'!$R$1:$S$100,2,FALSE), " ")</f>
        <v xml:space="preserve"> </v>
      </c>
      <c r="BH198" s="55"/>
      <c r="BI198" s="32"/>
      <c r="BJ198" s="32"/>
      <c r="BK198" s="55"/>
      <c r="BL198" s="32"/>
      <c r="BM198" s="32"/>
      <c r="BN198" s="32"/>
      <c r="BO198" s="32"/>
      <c r="BP198" s="32"/>
      <c r="BQ198" s="31"/>
      <c r="BR198" s="31"/>
      <c r="BS198" s="54"/>
      <c r="BT198" s="21" t="str">
        <f>IFERROR(VLOOKUP(July[[#This Row],[Drug Name7]],'Data Options'!$R$1:$S$100,2,FALSE), " ")</f>
        <v xml:space="preserve"> </v>
      </c>
      <c r="BU198" s="55"/>
      <c r="BV198" s="32"/>
      <c r="BW198" s="32"/>
      <c r="BX198" s="55"/>
      <c r="BY198" s="32"/>
      <c r="BZ198" s="54"/>
      <c r="CA198" s="21" t="str">
        <f>IFERROR(VLOOKUP(July[[#This Row],[Drug Name8]],'Data Options'!$R$1:$S$100,2,FALSE), " ")</f>
        <v xml:space="preserve"> </v>
      </c>
      <c r="CB198" s="55"/>
      <c r="CC198" s="32"/>
      <c r="CD198" s="32"/>
      <c r="CE198" s="55"/>
      <c r="CF198" s="32"/>
      <c r="CG198" s="54"/>
      <c r="CH198" s="21" t="str">
        <f>IFERROR(VLOOKUP(July[[#This Row],[Drug Name9]],'Data Options'!$R$1:$S$100,2,FALSE), " ")</f>
        <v xml:space="preserve"> </v>
      </c>
      <c r="CI198" s="55"/>
      <c r="CJ198" s="32"/>
      <c r="CK198" s="32"/>
      <c r="CL198" s="55"/>
      <c r="CM198" s="32"/>
    </row>
    <row r="199" spans="1:91">
      <c r="A199" s="5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1"/>
      <c r="P199" s="31"/>
      <c r="Q199" s="54"/>
      <c r="R199" s="21" t="str">
        <f>IFERROR(VLOOKUP(July[[#This Row],[Drug Name]],'Data Options'!$R$1:$S$100,2,FALSE), " ")</f>
        <v xml:space="preserve"> </v>
      </c>
      <c r="S199" s="55"/>
      <c r="T199" s="32"/>
      <c r="U199" s="32"/>
      <c r="V199" s="55"/>
      <c r="W199" s="32"/>
      <c r="X199" s="54"/>
      <c r="Y199" s="21" t="str">
        <f>IFERROR(VLOOKUP(July[[#This Row],[Drug Name2]],'Data Options'!$R$1:$S$100,2,FALSE), " ")</f>
        <v xml:space="preserve"> </v>
      </c>
      <c r="Z199" s="55"/>
      <c r="AA199" s="32"/>
      <c r="AB199" s="32"/>
      <c r="AC199" s="55"/>
      <c r="AD199" s="32"/>
      <c r="AE199" s="54"/>
      <c r="AF199" s="21" t="str">
        <f>IFERROR(VLOOKUP(July[[#This Row],[Drug Name3]],'Data Options'!$R$1:$S$100,2,FALSE), " ")</f>
        <v xml:space="preserve"> </v>
      </c>
      <c r="AG199" s="55"/>
      <c r="AH199" s="32"/>
      <c r="AI199" s="32"/>
      <c r="AJ199" s="55"/>
      <c r="AK199" s="32"/>
      <c r="AL199" s="32"/>
      <c r="AM199" s="32"/>
      <c r="AN199" s="32"/>
      <c r="AO199" s="32"/>
      <c r="AP199" s="31"/>
      <c r="AQ199" s="31"/>
      <c r="AR199" s="54"/>
      <c r="AS199" s="21" t="str">
        <f>IFERROR(VLOOKUP(July[[#This Row],[Drug Name4]],'Data Options'!$R$1:$S$100,2,FALSE), " ")</f>
        <v xml:space="preserve"> </v>
      </c>
      <c r="AT199" s="55"/>
      <c r="AU199" s="32"/>
      <c r="AV199" s="32"/>
      <c r="AW199" s="55"/>
      <c r="AX199" s="32"/>
      <c r="AY199" s="54"/>
      <c r="AZ199" s="21" t="str">
        <f>IFERROR(VLOOKUP(July[[#This Row],[Drug Name5]],'Data Options'!$R$1:$S$100,2,FALSE), " ")</f>
        <v xml:space="preserve"> </v>
      </c>
      <c r="BA199" s="55"/>
      <c r="BB199" s="32"/>
      <c r="BC199" s="32"/>
      <c r="BD199" s="55"/>
      <c r="BE199" s="32"/>
      <c r="BF199" s="54"/>
      <c r="BG199" s="21" t="str">
        <f>IFERROR(VLOOKUP(July[[#This Row],[Drug Name6]],'Data Options'!$R$1:$S$100,2,FALSE), " ")</f>
        <v xml:space="preserve"> </v>
      </c>
      <c r="BH199" s="55"/>
      <c r="BI199" s="32"/>
      <c r="BJ199" s="32"/>
      <c r="BK199" s="55"/>
      <c r="BL199" s="32"/>
      <c r="BM199" s="32"/>
      <c r="BN199" s="32"/>
      <c r="BO199" s="32"/>
      <c r="BP199" s="32"/>
      <c r="BQ199" s="31"/>
      <c r="BR199" s="31"/>
      <c r="BS199" s="54"/>
      <c r="BT199" s="21" t="str">
        <f>IFERROR(VLOOKUP(July[[#This Row],[Drug Name7]],'Data Options'!$R$1:$S$100,2,FALSE), " ")</f>
        <v xml:space="preserve"> </v>
      </c>
      <c r="BU199" s="55"/>
      <c r="BV199" s="32"/>
      <c r="BW199" s="32"/>
      <c r="BX199" s="55"/>
      <c r="BY199" s="32"/>
      <c r="BZ199" s="54"/>
      <c r="CA199" s="21" t="str">
        <f>IFERROR(VLOOKUP(July[[#This Row],[Drug Name8]],'Data Options'!$R$1:$S$100,2,FALSE), " ")</f>
        <v xml:space="preserve"> </v>
      </c>
      <c r="CB199" s="55"/>
      <c r="CC199" s="32"/>
      <c r="CD199" s="32"/>
      <c r="CE199" s="55"/>
      <c r="CF199" s="32"/>
      <c r="CG199" s="54"/>
      <c r="CH199" s="21" t="str">
        <f>IFERROR(VLOOKUP(July[[#This Row],[Drug Name9]],'Data Options'!$R$1:$S$100,2,FALSE), " ")</f>
        <v xml:space="preserve"> </v>
      </c>
      <c r="CI199" s="55"/>
      <c r="CJ199" s="32"/>
      <c r="CK199" s="32"/>
      <c r="CL199" s="55"/>
      <c r="CM199" s="32"/>
    </row>
    <row r="200" spans="1:91">
      <c r="A200" s="5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1"/>
      <c r="P200" s="31"/>
      <c r="Q200" s="54"/>
      <c r="R200" s="21" t="str">
        <f>IFERROR(VLOOKUP(July[[#This Row],[Drug Name]],'Data Options'!$R$1:$S$100,2,FALSE), " ")</f>
        <v xml:space="preserve"> </v>
      </c>
      <c r="S200" s="55"/>
      <c r="T200" s="32"/>
      <c r="U200" s="32"/>
      <c r="V200" s="55"/>
      <c r="W200" s="32"/>
      <c r="X200" s="54"/>
      <c r="Y200" s="21" t="str">
        <f>IFERROR(VLOOKUP(July[[#This Row],[Drug Name2]],'Data Options'!$R$1:$S$100,2,FALSE), " ")</f>
        <v xml:space="preserve"> </v>
      </c>
      <c r="Z200" s="55"/>
      <c r="AA200" s="32"/>
      <c r="AB200" s="32"/>
      <c r="AC200" s="55"/>
      <c r="AD200" s="32"/>
      <c r="AE200" s="54"/>
      <c r="AF200" s="21" t="str">
        <f>IFERROR(VLOOKUP(July[[#This Row],[Drug Name3]],'Data Options'!$R$1:$S$100,2,FALSE), " ")</f>
        <v xml:space="preserve"> </v>
      </c>
      <c r="AG200" s="55"/>
      <c r="AH200" s="32"/>
      <c r="AI200" s="32"/>
      <c r="AJ200" s="55"/>
      <c r="AK200" s="32"/>
      <c r="AL200" s="32"/>
      <c r="AM200" s="32"/>
      <c r="AN200" s="32"/>
      <c r="AO200" s="32"/>
      <c r="AP200" s="31"/>
      <c r="AQ200" s="31"/>
      <c r="AR200" s="54"/>
      <c r="AS200" s="21" t="str">
        <f>IFERROR(VLOOKUP(July[[#This Row],[Drug Name4]],'Data Options'!$R$1:$S$100,2,FALSE), " ")</f>
        <v xml:space="preserve"> </v>
      </c>
      <c r="AT200" s="55"/>
      <c r="AU200" s="32"/>
      <c r="AV200" s="32"/>
      <c r="AW200" s="55"/>
      <c r="AX200" s="32"/>
      <c r="AY200" s="54"/>
      <c r="AZ200" s="21" t="str">
        <f>IFERROR(VLOOKUP(July[[#This Row],[Drug Name5]],'Data Options'!$R$1:$S$100,2,FALSE), " ")</f>
        <v xml:space="preserve"> </v>
      </c>
      <c r="BA200" s="55"/>
      <c r="BB200" s="32"/>
      <c r="BC200" s="32"/>
      <c r="BD200" s="55"/>
      <c r="BE200" s="32"/>
      <c r="BF200" s="54"/>
      <c r="BG200" s="21" t="str">
        <f>IFERROR(VLOOKUP(July[[#This Row],[Drug Name6]],'Data Options'!$R$1:$S$100,2,FALSE), " ")</f>
        <v xml:space="preserve"> </v>
      </c>
      <c r="BH200" s="55"/>
      <c r="BI200" s="32"/>
      <c r="BJ200" s="32"/>
      <c r="BK200" s="55"/>
      <c r="BL200" s="32"/>
      <c r="BM200" s="32"/>
      <c r="BN200" s="32"/>
      <c r="BO200" s="32"/>
      <c r="BP200" s="32"/>
      <c r="BQ200" s="31"/>
      <c r="BR200" s="31"/>
      <c r="BS200" s="54"/>
      <c r="BT200" s="21" t="str">
        <f>IFERROR(VLOOKUP(July[[#This Row],[Drug Name7]],'Data Options'!$R$1:$S$100,2,FALSE), " ")</f>
        <v xml:space="preserve"> </v>
      </c>
      <c r="BU200" s="55"/>
      <c r="BV200" s="32"/>
      <c r="BW200" s="32"/>
      <c r="BX200" s="55"/>
      <c r="BY200" s="32"/>
      <c r="BZ200" s="54"/>
      <c r="CA200" s="21" t="str">
        <f>IFERROR(VLOOKUP(July[[#This Row],[Drug Name8]],'Data Options'!$R$1:$S$100,2,FALSE), " ")</f>
        <v xml:space="preserve"> </v>
      </c>
      <c r="CB200" s="55"/>
      <c r="CC200" s="32"/>
      <c r="CD200" s="32"/>
      <c r="CE200" s="55"/>
      <c r="CF200" s="32"/>
      <c r="CG200" s="54"/>
      <c r="CH200" s="21" t="str">
        <f>IFERROR(VLOOKUP(July[[#This Row],[Drug Name9]],'Data Options'!$R$1:$S$100,2,FALSE), " ")</f>
        <v xml:space="preserve"> </v>
      </c>
      <c r="CI200" s="55"/>
      <c r="CJ200" s="32"/>
      <c r="CK200" s="32"/>
      <c r="CL200" s="55"/>
      <c r="CM200" s="32"/>
    </row>
    <row r="201" spans="1:91">
      <c r="A201" s="5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1"/>
      <c r="P201" s="31"/>
      <c r="Q201" s="54"/>
      <c r="R201" s="21" t="str">
        <f>IFERROR(VLOOKUP(July[[#This Row],[Drug Name]],'Data Options'!$R$1:$S$100,2,FALSE), " ")</f>
        <v xml:space="preserve"> </v>
      </c>
      <c r="S201" s="55"/>
      <c r="T201" s="32"/>
      <c r="U201" s="32"/>
      <c r="V201" s="55"/>
      <c r="W201" s="32"/>
      <c r="X201" s="54"/>
      <c r="Y201" s="21" t="str">
        <f>IFERROR(VLOOKUP(July[[#This Row],[Drug Name2]],'Data Options'!$R$1:$S$100,2,FALSE), " ")</f>
        <v xml:space="preserve"> </v>
      </c>
      <c r="Z201" s="55"/>
      <c r="AA201" s="32"/>
      <c r="AB201" s="32"/>
      <c r="AC201" s="55"/>
      <c r="AD201" s="32"/>
      <c r="AE201" s="54"/>
      <c r="AF201" s="21" t="str">
        <f>IFERROR(VLOOKUP(July[[#This Row],[Drug Name3]],'Data Options'!$R$1:$S$100,2,FALSE), " ")</f>
        <v xml:space="preserve"> </v>
      </c>
      <c r="AG201" s="55"/>
      <c r="AH201" s="32"/>
      <c r="AI201" s="32"/>
      <c r="AJ201" s="55"/>
      <c r="AK201" s="32"/>
      <c r="AL201" s="32"/>
      <c r="AM201" s="32"/>
      <c r="AN201" s="32"/>
      <c r="AO201" s="32"/>
      <c r="AP201" s="31"/>
      <c r="AQ201" s="31"/>
      <c r="AR201" s="54"/>
      <c r="AS201" s="21" t="str">
        <f>IFERROR(VLOOKUP(July[[#This Row],[Drug Name4]],'Data Options'!$R$1:$S$100,2,FALSE), " ")</f>
        <v xml:space="preserve"> </v>
      </c>
      <c r="AT201" s="55"/>
      <c r="AU201" s="32"/>
      <c r="AV201" s="32"/>
      <c r="AW201" s="55"/>
      <c r="AX201" s="32"/>
      <c r="AY201" s="54"/>
      <c r="AZ201" s="21" t="str">
        <f>IFERROR(VLOOKUP(July[[#This Row],[Drug Name5]],'Data Options'!$R$1:$S$100,2,FALSE), " ")</f>
        <v xml:space="preserve"> </v>
      </c>
      <c r="BA201" s="55"/>
      <c r="BB201" s="32"/>
      <c r="BC201" s="32"/>
      <c r="BD201" s="55"/>
      <c r="BE201" s="32"/>
      <c r="BF201" s="54"/>
      <c r="BG201" s="21" t="str">
        <f>IFERROR(VLOOKUP(July[[#This Row],[Drug Name6]],'Data Options'!$R$1:$S$100,2,FALSE), " ")</f>
        <v xml:space="preserve"> </v>
      </c>
      <c r="BH201" s="55"/>
      <c r="BI201" s="32"/>
      <c r="BJ201" s="32"/>
      <c r="BK201" s="55"/>
      <c r="BL201" s="32"/>
      <c r="BM201" s="32"/>
      <c r="BN201" s="32"/>
      <c r="BO201" s="32"/>
      <c r="BP201" s="32"/>
      <c r="BQ201" s="31"/>
      <c r="BR201" s="31"/>
      <c r="BS201" s="54"/>
      <c r="BT201" s="21" t="str">
        <f>IFERROR(VLOOKUP(July[[#This Row],[Drug Name7]],'Data Options'!$R$1:$S$100,2,FALSE), " ")</f>
        <v xml:space="preserve"> </v>
      </c>
      <c r="BU201" s="55"/>
      <c r="BV201" s="32"/>
      <c r="BW201" s="32"/>
      <c r="BX201" s="55"/>
      <c r="BY201" s="32"/>
      <c r="BZ201" s="54"/>
      <c r="CA201" s="21" t="str">
        <f>IFERROR(VLOOKUP(July[[#This Row],[Drug Name8]],'Data Options'!$R$1:$S$100,2,FALSE), " ")</f>
        <v xml:space="preserve"> </v>
      </c>
      <c r="CB201" s="55"/>
      <c r="CC201" s="32"/>
      <c r="CD201" s="32"/>
      <c r="CE201" s="55"/>
      <c r="CF201" s="32"/>
      <c r="CG201" s="54"/>
      <c r="CH201" s="21" t="str">
        <f>IFERROR(VLOOKUP(July[[#This Row],[Drug Name9]],'Data Options'!$R$1:$S$100,2,FALSE), " ")</f>
        <v xml:space="preserve"> </v>
      </c>
      <c r="CI201" s="55"/>
      <c r="CJ201" s="32"/>
      <c r="CK201" s="32"/>
      <c r="CL201" s="55"/>
      <c r="CM201" s="32"/>
    </row>
    <row r="202" spans="1:91">
      <c r="A202" s="24" t="s">
        <v>239</v>
      </c>
      <c r="X202" s="54"/>
      <c r="Z202" s="32"/>
      <c r="AA202" s="32"/>
      <c r="AB202" s="32"/>
      <c r="AC202" s="32"/>
      <c r="AD202" s="32"/>
      <c r="AE202" s="54"/>
      <c r="AG202" s="32"/>
      <c r="AH202" s="32"/>
      <c r="AI202" s="32"/>
      <c r="AJ202" s="32"/>
      <c r="AK202" s="32"/>
      <c r="AL202" s="32"/>
      <c r="AN202" s="32"/>
      <c r="AO202" s="32"/>
      <c r="AP202" s="31"/>
      <c r="AQ202" s="31"/>
      <c r="AR202" s="54"/>
      <c r="AT202" s="32"/>
      <c r="AU202" s="32"/>
      <c r="AV202" s="32"/>
      <c r="AW202" s="32"/>
      <c r="AX202" s="32"/>
      <c r="AY202" s="54"/>
      <c r="BA202" s="32"/>
      <c r="BB202" s="32"/>
      <c r="BC202" s="32"/>
      <c r="BD202" s="32"/>
      <c r="BE202" s="32"/>
      <c r="BF202" s="54"/>
      <c r="BH202" s="32"/>
      <c r="BI202" s="32"/>
      <c r="BJ202" s="32"/>
      <c r="BK202" s="32"/>
      <c r="BL202" s="32"/>
      <c r="BM202" s="32"/>
      <c r="BO202" s="32"/>
      <c r="BP202" s="32"/>
      <c r="BQ202" s="31"/>
      <c r="BR202" s="31"/>
      <c r="BS202" s="54"/>
      <c r="BU202" s="32"/>
      <c r="BV202" s="32"/>
      <c r="BW202" s="32"/>
      <c r="BX202" s="32"/>
      <c r="BY202" s="32"/>
      <c r="BZ202" s="54"/>
      <c r="CB202" s="32"/>
      <c r="CC202" s="32"/>
      <c r="CD202" s="32"/>
      <c r="CE202" s="32"/>
      <c r="CF202" s="32"/>
      <c r="CG202" s="54"/>
      <c r="CI202" s="32"/>
      <c r="CJ202" s="32"/>
      <c r="CK202" s="32"/>
      <c r="CL202" s="32"/>
      <c r="CM202" s="40">
        <f>SUBTOTAL(103,July[Location Filled9])</f>
        <v>0</v>
      </c>
    </row>
  </sheetData>
  <sheetProtection algorithmName="SHA-512" hashValue="Zi74M3GUi/9h72YFHWE14OZm3IcR3xyQAnmoMktNNXEdkmmgdAlMy8dojo68Lwl1UkmW5MSPra/StY/ZROam6Q==" saltValue="aux7NgXpXj7HwzS7Rv9zVA==" spinCount="100000" sheet="1" objects="1" scenarios="1"/>
  <mergeCells count="13">
    <mergeCell ref="BS2:BY2"/>
    <mergeCell ref="BZ2:CF2"/>
    <mergeCell ref="CG2:CM2"/>
    <mergeCell ref="A1:J2"/>
    <mergeCell ref="K1:AF1"/>
    <mergeCell ref="AL1:AQ2"/>
    <mergeCell ref="BM1:BR2"/>
    <mergeCell ref="K2:P2"/>
    <mergeCell ref="Q2:V2"/>
    <mergeCell ref="X2:AD2"/>
    <mergeCell ref="AE2:AK2"/>
    <mergeCell ref="AR2:AX2"/>
    <mergeCell ref="BF2:BL2"/>
  </mergeCells>
  <dataValidations count="19">
    <dataValidation type="list" allowBlank="1" showInputMessage="1" showErrorMessage="1" sqref="D4:D201">
      <formula1>INDIRECT("Species")</formula1>
    </dataValidation>
    <dataValidation type="list" allowBlank="1" showInputMessage="1" showErrorMessage="1" sqref="E4:E201">
      <formula1>INDIRECT("Sex")</formula1>
    </dataValidation>
    <dataValidation type="list" allowBlank="1" showInputMessage="1" showErrorMessage="1" sqref="F4:F201">
      <formula1>INDIRECT("Age")</formula1>
    </dataValidation>
    <dataValidation type="list" allowBlank="1" showInputMessage="1" showErrorMessage="1" sqref="G4:G201">
      <formula1>INDIRECT("Visit_Reason")</formula1>
    </dataValidation>
    <dataValidation type="list" allowBlank="1" showInputMessage="1" showErrorMessage="1" sqref="I4:I201">
      <formula1>INDIRECT("ABX_YN")</formula1>
    </dataValidation>
    <dataValidation type="list" allowBlank="1" showInputMessage="1" showErrorMessage="1" sqref="K4:K201 AL4:AL201 BM4:BM201">
      <formula1>INDIRECT("Disease_Type")</formula1>
    </dataValidation>
    <dataValidation type="list" allowBlank="1" showInputMessage="1" showErrorMessage="1" sqref="M4:M201 AN4:AN201 BO4:BO201">
      <formula1>INDIRECT("Disease_Descrip")</formula1>
    </dataValidation>
    <dataValidation type="list" allowBlank="1" showInputMessage="1" showErrorMessage="1" sqref="N4:N201 AO4:AO201 BP4:BP201">
      <formula1>INDIRECT("Dz_Abx_Num")</formula1>
    </dataValidation>
    <dataValidation type="list" allowBlank="1" showInputMessage="1" showErrorMessage="1" sqref="O4:O201 AP4:AP201 BQ4:BQ201">
      <formula1>INDIRECT("Diagnostics_Offer_YN")</formula1>
    </dataValidation>
    <dataValidation type="list" allowBlank="1" showInputMessage="1" showErrorMessage="1" sqref="P4:P201 AQ4:AQ201 BR4:BR201">
      <formula1>INDIRECT("Diagnostics_Performed_YN")</formula1>
    </dataValidation>
    <dataValidation type="list" allowBlank="1" showInputMessage="1" showErrorMessage="1" sqref="Q4:Q201 X4:X201 AE4:AE201 AR4:AR201 AY4:AY201 BF4:BF201 BS4:BS201 BZ4:BZ201 CG4:CG201">
      <formula1>INDIRECT("Drug_Name")</formula1>
    </dataValidation>
    <dataValidation type="list" allowBlank="1" showInputMessage="1" showErrorMessage="1" sqref="T4:T201 AA4:AA201 AH4:AH201 AU4:AU201 BB4:BB201 BI4:BI201 BV4:BV201 CC4:CC201 CJ4:CJ201">
      <formula1>INDIRECT("Abx_Freq")</formula1>
    </dataValidation>
    <dataValidation type="list" allowBlank="1" showInputMessage="1" showErrorMessage="1" sqref="U4:U201 AB4:AB201 AI4:AI201 AV4:AV201 BC4:BC201 BJ4:BJ201 BW4:BW201 CD4:CD201 CK4:CK201">
      <formula1>INDIRECT("Abx_Route")</formula1>
    </dataValidation>
    <dataValidation type="list" allowBlank="1" showInputMessage="1" showErrorMessage="1" sqref="W4:W201 AD4:AD201 AK4:AK201 AX4:AX201 BE4:BE201 BL4:BL201 BY4:BY201 CF4:CF201 CM4:CM201">
      <formula1>INDIRECT("Prescription_Type")</formula1>
    </dataValidation>
    <dataValidation allowBlank="1" showInputMessage="1" showErrorMessage="1" prompt="Only type here IF Reason for Visit is Other " sqref="H5:H201"/>
    <dataValidation type="whole" allowBlank="1" showInputMessage="1" showErrorMessage="1" promptTitle="Total Number of Antibiotics" prompt="This should include ALL antibiotics prescribed to this patient during this visit for ALL conditions. " sqref="J4:J201">
      <formula1>0</formula1>
      <formula2>9</formula2>
    </dataValidation>
    <dataValidation allowBlank="1" showInputMessage="1" showErrorMessage="1" prompt="Only type in this column IF Disease/Infection Type is Other" sqref="L4:L201 AM4:AM201 BN4:BN201"/>
    <dataValidation allowBlank="1" showInputMessage="1" showErrorMessage="1" prompt="Only type in this column IF Reason for Visit is Other " sqref="H4"/>
    <dataValidation type="decimal" allowBlank="1" showInputMessage="1" showErrorMessage="1" sqref="S4:S201 Z4:Z201 V4:V201 AC4:AC201 AG4:AG201 AJ4:AJ201 AT4:AT201 AW4:AW201 BD4:BD201 BA4:BA201 BH4:BH201 BK4:BK201 BU4:BU201 BX4:BX201 CB4:CB201 CE4:CE201 CI4:CI201 CL4:CL201">
      <formula1>0</formula1>
      <formula2>5000</formula2>
    </dataValidation>
  </dataValidation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02"/>
  <sheetViews>
    <sheetView workbookViewId="0">
      <pane ySplit="3" topLeftCell="A4" activePane="bottomLeft" state="frozen"/>
      <selection activeCell="G1" sqref="G1"/>
      <selection pane="bottomLeft" activeCell="A4" sqref="A4"/>
    </sheetView>
  </sheetViews>
  <sheetFormatPr defaultColWidth="10.83203125" defaultRowHeight="15.5"/>
  <cols>
    <col min="1" max="16384" width="10.83203125" style="24"/>
  </cols>
  <sheetData>
    <row r="1" spans="1:91" ht="21">
      <c r="A1" s="60" t="s">
        <v>103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43"/>
      <c r="AH1" s="43"/>
      <c r="AI1" s="43"/>
      <c r="AJ1" s="43"/>
      <c r="AK1" s="43"/>
      <c r="AL1" s="70" t="s">
        <v>154</v>
      </c>
      <c r="AM1" s="70"/>
      <c r="AN1" s="70"/>
      <c r="AO1" s="70"/>
      <c r="AP1" s="70"/>
      <c r="AQ1" s="70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5"/>
      <c r="BI1" s="45"/>
      <c r="BJ1" s="45"/>
      <c r="BK1" s="45"/>
      <c r="BL1" s="45"/>
      <c r="BM1" s="71" t="s">
        <v>156</v>
      </c>
      <c r="BN1" s="71"/>
      <c r="BO1" s="71"/>
      <c r="BP1" s="71"/>
      <c r="BQ1" s="71"/>
      <c r="BR1" s="71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7"/>
      <c r="CJ1" s="47"/>
      <c r="CK1" s="47"/>
      <c r="CL1" s="47"/>
      <c r="CM1" s="47"/>
    </row>
    <row r="2" spans="1:91" ht="21">
      <c r="A2" s="60"/>
      <c r="B2" s="60"/>
      <c r="C2" s="60"/>
      <c r="D2" s="60"/>
      <c r="E2" s="60"/>
      <c r="F2" s="60"/>
      <c r="G2" s="60"/>
      <c r="H2" s="60"/>
      <c r="I2" s="60"/>
      <c r="J2" s="60"/>
      <c r="K2" s="62" t="s">
        <v>153</v>
      </c>
      <c r="L2" s="62"/>
      <c r="M2" s="62"/>
      <c r="N2" s="62"/>
      <c r="O2" s="62"/>
      <c r="P2" s="62"/>
      <c r="Q2" s="63" t="s">
        <v>104</v>
      </c>
      <c r="R2" s="63"/>
      <c r="S2" s="63"/>
      <c r="T2" s="63"/>
      <c r="U2" s="63"/>
      <c r="V2" s="63"/>
      <c r="W2" s="48"/>
      <c r="X2" s="64" t="s">
        <v>105</v>
      </c>
      <c r="Y2" s="64"/>
      <c r="Z2" s="64"/>
      <c r="AA2" s="64"/>
      <c r="AB2" s="64"/>
      <c r="AC2" s="64"/>
      <c r="AD2" s="64"/>
      <c r="AE2" s="65" t="s">
        <v>106</v>
      </c>
      <c r="AF2" s="65"/>
      <c r="AG2" s="65"/>
      <c r="AH2" s="65"/>
      <c r="AI2" s="65"/>
      <c r="AJ2" s="65"/>
      <c r="AK2" s="65"/>
      <c r="AL2" s="70"/>
      <c r="AM2" s="70"/>
      <c r="AN2" s="70"/>
      <c r="AO2" s="70"/>
      <c r="AP2" s="70"/>
      <c r="AQ2" s="70"/>
      <c r="AR2" s="66" t="s">
        <v>107</v>
      </c>
      <c r="AS2" s="66"/>
      <c r="AT2" s="66"/>
      <c r="AU2" s="66"/>
      <c r="AV2" s="66"/>
      <c r="AW2" s="66"/>
      <c r="AX2" s="66"/>
      <c r="AY2" s="49" t="s">
        <v>216</v>
      </c>
      <c r="AZ2" s="49"/>
      <c r="BA2" s="49"/>
      <c r="BB2" s="49"/>
      <c r="BC2" s="49"/>
      <c r="BD2" s="49"/>
      <c r="BE2" s="49"/>
      <c r="BF2" s="69" t="s">
        <v>155</v>
      </c>
      <c r="BG2" s="69"/>
      <c r="BH2" s="69"/>
      <c r="BI2" s="69"/>
      <c r="BJ2" s="69"/>
      <c r="BK2" s="69"/>
      <c r="BL2" s="69"/>
      <c r="BM2" s="71"/>
      <c r="BN2" s="71"/>
      <c r="BO2" s="71"/>
      <c r="BP2" s="71"/>
      <c r="BQ2" s="71"/>
      <c r="BR2" s="71"/>
      <c r="BS2" s="67" t="s">
        <v>109</v>
      </c>
      <c r="BT2" s="67"/>
      <c r="BU2" s="67"/>
      <c r="BV2" s="67"/>
      <c r="BW2" s="67"/>
      <c r="BX2" s="67"/>
      <c r="BY2" s="67"/>
      <c r="BZ2" s="68" t="s">
        <v>110</v>
      </c>
      <c r="CA2" s="68"/>
      <c r="CB2" s="68"/>
      <c r="CC2" s="68"/>
      <c r="CD2" s="68"/>
      <c r="CE2" s="68"/>
      <c r="CF2" s="68"/>
      <c r="CG2" s="69" t="s">
        <v>108</v>
      </c>
      <c r="CH2" s="69"/>
      <c r="CI2" s="69"/>
      <c r="CJ2" s="69"/>
      <c r="CK2" s="69"/>
      <c r="CL2" s="69"/>
      <c r="CM2" s="69"/>
    </row>
    <row r="3" spans="1:91" ht="93.5" thickBot="1">
      <c r="A3" s="50" t="s">
        <v>4</v>
      </c>
      <c r="B3" s="50" t="s">
        <v>217</v>
      </c>
      <c r="C3" s="50" t="s">
        <v>5</v>
      </c>
      <c r="D3" s="50" t="s">
        <v>6</v>
      </c>
      <c r="E3" s="50" t="s">
        <v>0</v>
      </c>
      <c r="F3" s="50" t="s">
        <v>111</v>
      </c>
      <c r="G3" s="50" t="s">
        <v>1</v>
      </c>
      <c r="H3" s="50" t="s">
        <v>150</v>
      </c>
      <c r="I3" s="50" t="s">
        <v>218</v>
      </c>
      <c r="J3" s="50" t="s">
        <v>214</v>
      </c>
      <c r="K3" s="50" t="s">
        <v>82</v>
      </c>
      <c r="L3" s="50" t="s">
        <v>215</v>
      </c>
      <c r="M3" s="50" t="s">
        <v>83</v>
      </c>
      <c r="N3" s="50" t="s">
        <v>211</v>
      </c>
      <c r="O3" s="50" t="s">
        <v>212</v>
      </c>
      <c r="P3" s="50" t="s">
        <v>213</v>
      </c>
      <c r="Q3" s="51" t="s">
        <v>8</v>
      </c>
      <c r="R3" s="51" t="s">
        <v>3</v>
      </c>
      <c r="S3" s="50" t="s">
        <v>84</v>
      </c>
      <c r="T3" s="50" t="s">
        <v>65</v>
      </c>
      <c r="U3" s="50" t="s">
        <v>85</v>
      </c>
      <c r="V3" s="50" t="s">
        <v>9</v>
      </c>
      <c r="W3" s="50" t="s">
        <v>219</v>
      </c>
      <c r="X3" s="51" t="s">
        <v>157</v>
      </c>
      <c r="Y3" s="51" t="s">
        <v>164</v>
      </c>
      <c r="Z3" s="50" t="s">
        <v>163</v>
      </c>
      <c r="AA3" s="50" t="s">
        <v>166</v>
      </c>
      <c r="AB3" s="50" t="s">
        <v>167</v>
      </c>
      <c r="AC3" s="50" t="s">
        <v>171</v>
      </c>
      <c r="AD3" s="50" t="s">
        <v>220</v>
      </c>
      <c r="AE3" s="51" t="s">
        <v>168</v>
      </c>
      <c r="AF3" s="51" t="s">
        <v>158</v>
      </c>
      <c r="AG3" s="50" t="s">
        <v>169</v>
      </c>
      <c r="AH3" s="50" t="s">
        <v>165</v>
      </c>
      <c r="AI3" s="50" t="s">
        <v>170</v>
      </c>
      <c r="AJ3" s="50" t="s">
        <v>172</v>
      </c>
      <c r="AK3" s="50" t="s">
        <v>221</v>
      </c>
      <c r="AL3" s="50" t="s">
        <v>173</v>
      </c>
      <c r="AM3" s="50" t="s">
        <v>222</v>
      </c>
      <c r="AN3" s="50" t="s">
        <v>174</v>
      </c>
      <c r="AO3" s="50" t="s">
        <v>175</v>
      </c>
      <c r="AP3" s="50" t="s">
        <v>223</v>
      </c>
      <c r="AQ3" s="50" t="s">
        <v>224</v>
      </c>
      <c r="AR3" s="51" t="s">
        <v>176</v>
      </c>
      <c r="AS3" s="51" t="s">
        <v>177</v>
      </c>
      <c r="AT3" s="50" t="s">
        <v>159</v>
      </c>
      <c r="AU3" s="50" t="s">
        <v>178</v>
      </c>
      <c r="AV3" s="50" t="s">
        <v>179</v>
      </c>
      <c r="AW3" s="50" t="s">
        <v>180</v>
      </c>
      <c r="AX3" s="50" t="s">
        <v>225</v>
      </c>
      <c r="AY3" s="51" t="s">
        <v>181</v>
      </c>
      <c r="AZ3" s="51" t="s">
        <v>182</v>
      </c>
      <c r="BA3" s="50" t="s">
        <v>183</v>
      </c>
      <c r="BB3" s="50" t="s">
        <v>160</v>
      </c>
      <c r="BC3" s="50" t="s">
        <v>184</v>
      </c>
      <c r="BD3" s="50" t="s">
        <v>185</v>
      </c>
      <c r="BE3" s="50" t="s">
        <v>226</v>
      </c>
      <c r="BF3" s="51" t="s">
        <v>186</v>
      </c>
      <c r="BG3" s="51" t="s">
        <v>187</v>
      </c>
      <c r="BH3" s="50" t="s">
        <v>188</v>
      </c>
      <c r="BI3" s="50" t="s">
        <v>189</v>
      </c>
      <c r="BJ3" s="50" t="s">
        <v>161</v>
      </c>
      <c r="BK3" s="50" t="s">
        <v>190</v>
      </c>
      <c r="BL3" s="50" t="s">
        <v>227</v>
      </c>
      <c r="BM3" s="50" t="s">
        <v>191</v>
      </c>
      <c r="BN3" s="50" t="s">
        <v>233</v>
      </c>
      <c r="BO3" s="50" t="s">
        <v>192</v>
      </c>
      <c r="BP3" s="50" t="s">
        <v>193</v>
      </c>
      <c r="BQ3" s="50" t="s">
        <v>228</v>
      </c>
      <c r="BR3" s="50" t="s">
        <v>229</v>
      </c>
      <c r="BS3" s="50" t="s">
        <v>194</v>
      </c>
      <c r="BT3" s="50" t="s">
        <v>195</v>
      </c>
      <c r="BU3" s="50" t="s">
        <v>196</v>
      </c>
      <c r="BV3" s="50" t="s">
        <v>197</v>
      </c>
      <c r="BW3" s="50" t="s">
        <v>198</v>
      </c>
      <c r="BX3" s="50" t="s">
        <v>162</v>
      </c>
      <c r="BY3" s="50" t="s">
        <v>230</v>
      </c>
      <c r="BZ3" s="50" t="s">
        <v>199</v>
      </c>
      <c r="CA3" s="50" t="s">
        <v>200</v>
      </c>
      <c r="CB3" s="50" t="s">
        <v>201</v>
      </c>
      <c r="CC3" s="50" t="s">
        <v>202</v>
      </c>
      <c r="CD3" s="50" t="s">
        <v>203</v>
      </c>
      <c r="CE3" s="50" t="s">
        <v>204</v>
      </c>
      <c r="CF3" s="50" t="s">
        <v>231</v>
      </c>
      <c r="CG3" s="50" t="s">
        <v>205</v>
      </c>
      <c r="CH3" s="50" t="s">
        <v>206</v>
      </c>
      <c r="CI3" s="50" t="s">
        <v>207</v>
      </c>
      <c r="CJ3" s="50" t="s">
        <v>208</v>
      </c>
      <c r="CK3" s="50" t="s">
        <v>209</v>
      </c>
      <c r="CL3" s="50" t="s">
        <v>210</v>
      </c>
      <c r="CM3" s="50" t="s">
        <v>232</v>
      </c>
    </row>
    <row r="4" spans="1:91">
      <c r="A4" s="52"/>
      <c r="B4" s="5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1"/>
      <c r="P4" s="31"/>
      <c r="Q4" s="54"/>
      <c r="R4" s="21" t="str">
        <f>IFERROR(VLOOKUP(August[[#This Row],[Drug Name]],'Data Options'!$R$1:$S$100,2,FALSE), " ")</f>
        <v xml:space="preserve"> </v>
      </c>
      <c r="S4" s="55"/>
      <c r="T4" s="32"/>
      <c r="U4" s="32"/>
      <c r="V4" s="55"/>
      <c r="W4" s="32"/>
      <c r="X4" s="54"/>
      <c r="Y4" s="21" t="str">
        <f>IFERROR(VLOOKUP(August[[#This Row],[Drug Name2]],'Data Options'!$R$1:$S$100,2,FALSE), " ")</f>
        <v xml:space="preserve"> </v>
      </c>
      <c r="Z4" s="55"/>
      <c r="AA4" s="32"/>
      <c r="AB4" s="32"/>
      <c r="AC4" s="55"/>
      <c r="AD4" s="32"/>
      <c r="AE4" s="54"/>
      <c r="AF4" s="21" t="str">
        <f>IFERROR(VLOOKUP(August[[#This Row],[Drug Name3]],'Data Options'!$R$1:$S$100,2,FALSE), " ")</f>
        <v xml:space="preserve"> </v>
      </c>
      <c r="AG4" s="55"/>
      <c r="AH4" s="32"/>
      <c r="AI4" s="32"/>
      <c r="AJ4" s="55"/>
      <c r="AK4" s="32"/>
      <c r="AL4" s="32"/>
      <c r="AM4" s="32"/>
      <c r="AN4" s="32"/>
      <c r="AO4" s="32"/>
      <c r="AP4" s="31"/>
      <c r="AQ4" s="31"/>
      <c r="AR4" s="54"/>
      <c r="AS4" s="21" t="str">
        <f>IFERROR(VLOOKUP(August[[#This Row],[Drug Name4]],'Data Options'!$R$1:$S$100,2,FALSE), " ")</f>
        <v xml:space="preserve"> </v>
      </c>
      <c r="AT4" s="55"/>
      <c r="AU4" s="32"/>
      <c r="AV4" s="32"/>
      <c r="AW4" s="55"/>
      <c r="AX4" s="32"/>
      <c r="AY4" s="54"/>
      <c r="AZ4" s="21" t="str">
        <f>IFERROR(VLOOKUP(August[[#This Row],[Drug Name5]],'Data Options'!$R$1:$S$100,2,FALSE), " ")</f>
        <v xml:space="preserve"> </v>
      </c>
      <c r="BA4" s="55"/>
      <c r="BB4" s="32"/>
      <c r="BC4" s="32"/>
      <c r="BD4" s="55"/>
      <c r="BE4" s="32"/>
      <c r="BF4" s="54"/>
      <c r="BG4" s="21" t="str">
        <f>IFERROR(VLOOKUP(August[[#This Row],[Drug Name6]],'Data Options'!$R$1:$S$100,2,FALSE), " ")</f>
        <v xml:space="preserve"> </v>
      </c>
      <c r="BH4" s="55"/>
      <c r="BI4" s="32"/>
      <c r="BJ4" s="32"/>
      <c r="BK4" s="55"/>
      <c r="BL4" s="32"/>
      <c r="BM4" s="32"/>
      <c r="BN4" s="32"/>
      <c r="BO4" s="32"/>
      <c r="BP4" s="32"/>
      <c r="BQ4" s="31"/>
      <c r="BR4" s="31"/>
      <c r="BS4" s="54"/>
      <c r="BT4" s="21" t="str">
        <f>IFERROR(VLOOKUP(August[[#This Row],[Drug Name7]],'Data Options'!$R$1:$S$100,2,FALSE), " ")</f>
        <v xml:space="preserve"> </v>
      </c>
      <c r="BU4" s="55"/>
      <c r="BV4" s="32"/>
      <c r="BW4" s="32"/>
      <c r="BX4" s="55"/>
      <c r="BY4" s="32"/>
      <c r="BZ4" s="54"/>
      <c r="CA4" s="21" t="str">
        <f>IFERROR(VLOOKUP(August[[#This Row],[Drug Name8]],'Data Options'!$R$1:$S$100,2,FALSE), " ")</f>
        <v xml:space="preserve"> </v>
      </c>
      <c r="CB4" s="55"/>
      <c r="CC4" s="32"/>
      <c r="CD4" s="32"/>
      <c r="CE4" s="55"/>
      <c r="CF4" s="32"/>
      <c r="CG4" s="54"/>
      <c r="CH4" s="21" t="str">
        <f>IFERROR(VLOOKUP(August[[#This Row],[Drug Name9]],'Data Options'!$R$1:$S$100,2,FALSE), " ")</f>
        <v xml:space="preserve"> </v>
      </c>
      <c r="CI4" s="55"/>
      <c r="CJ4" s="32"/>
      <c r="CK4" s="32"/>
      <c r="CL4" s="55"/>
      <c r="CM4" s="32"/>
    </row>
    <row r="5" spans="1:91">
      <c r="A5" s="5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1"/>
      <c r="P5" s="31"/>
      <c r="Q5" s="54"/>
      <c r="R5" s="21" t="str">
        <f>IFERROR(VLOOKUP(August[[#This Row],[Drug Name]],'Data Options'!$R$1:$S$100,2,FALSE), " ")</f>
        <v xml:space="preserve"> </v>
      </c>
      <c r="S5" s="55"/>
      <c r="T5" s="32"/>
      <c r="U5" s="32"/>
      <c r="V5" s="55"/>
      <c r="W5" s="32"/>
      <c r="X5" s="54"/>
      <c r="Y5" s="21" t="str">
        <f>IFERROR(VLOOKUP(August[[#This Row],[Drug Name2]],'Data Options'!$R$1:$S$100,2,FALSE), " ")</f>
        <v xml:space="preserve"> </v>
      </c>
      <c r="Z5" s="55"/>
      <c r="AA5" s="32"/>
      <c r="AB5" s="32"/>
      <c r="AC5" s="55"/>
      <c r="AD5" s="32"/>
      <c r="AE5" s="54"/>
      <c r="AF5" s="21" t="str">
        <f>IFERROR(VLOOKUP(August[[#This Row],[Drug Name3]],'Data Options'!$R$1:$S$100,2,FALSE), " ")</f>
        <v xml:space="preserve"> </v>
      </c>
      <c r="AG5" s="55"/>
      <c r="AH5" s="32"/>
      <c r="AI5" s="32"/>
      <c r="AJ5" s="55"/>
      <c r="AK5" s="32"/>
      <c r="AL5" s="32"/>
      <c r="AM5" s="32"/>
      <c r="AN5" s="32"/>
      <c r="AO5" s="32"/>
      <c r="AP5" s="31"/>
      <c r="AQ5" s="31"/>
      <c r="AR5" s="54"/>
      <c r="AS5" s="21" t="str">
        <f>IFERROR(VLOOKUP(August[[#This Row],[Drug Name4]],'Data Options'!$R$1:$S$100,2,FALSE), " ")</f>
        <v xml:space="preserve"> </v>
      </c>
      <c r="AT5" s="55"/>
      <c r="AU5" s="32"/>
      <c r="AV5" s="32"/>
      <c r="AW5" s="55"/>
      <c r="AX5" s="32"/>
      <c r="AY5" s="54"/>
      <c r="AZ5" s="21" t="str">
        <f>IFERROR(VLOOKUP(August[[#This Row],[Drug Name5]],'Data Options'!$R$1:$S$100,2,FALSE), " ")</f>
        <v xml:space="preserve"> </v>
      </c>
      <c r="BA5" s="55"/>
      <c r="BB5" s="32"/>
      <c r="BC5" s="32"/>
      <c r="BD5" s="55"/>
      <c r="BE5" s="32"/>
      <c r="BF5" s="54"/>
      <c r="BG5" s="21" t="str">
        <f>IFERROR(VLOOKUP(August[[#This Row],[Drug Name6]],'Data Options'!$R$1:$S$100,2,FALSE), " ")</f>
        <v xml:space="preserve"> </v>
      </c>
      <c r="BH5" s="55"/>
      <c r="BI5" s="32"/>
      <c r="BJ5" s="32"/>
      <c r="BK5" s="55"/>
      <c r="BL5" s="32"/>
      <c r="BM5" s="32"/>
      <c r="BN5" s="32"/>
      <c r="BO5" s="32"/>
      <c r="BP5" s="32"/>
      <c r="BQ5" s="31"/>
      <c r="BR5" s="31"/>
      <c r="BS5" s="54"/>
      <c r="BT5" s="21" t="str">
        <f>IFERROR(VLOOKUP(August[[#This Row],[Drug Name7]],'Data Options'!$R$1:$S$100,2,FALSE), " ")</f>
        <v xml:space="preserve"> </v>
      </c>
      <c r="BU5" s="55"/>
      <c r="BV5" s="32"/>
      <c r="BW5" s="32"/>
      <c r="BX5" s="55"/>
      <c r="BY5" s="32"/>
      <c r="BZ5" s="54"/>
      <c r="CA5" s="21" t="str">
        <f>IFERROR(VLOOKUP(August[[#This Row],[Drug Name8]],'Data Options'!$R$1:$S$100,2,FALSE), " ")</f>
        <v xml:space="preserve"> </v>
      </c>
      <c r="CB5" s="55"/>
      <c r="CC5" s="32"/>
      <c r="CD5" s="32"/>
      <c r="CE5" s="55"/>
      <c r="CF5" s="32"/>
      <c r="CG5" s="54"/>
      <c r="CH5" s="21" t="str">
        <f>IFERROR(VLOOKUP(August[[#This Row],[Drug Name9]],'Data Options'!$R$1:$S$100,2,FALSE), " ")</f>
        <v xml:space="preserve"> </v>
      </c>
      <c r="CI5" s="55"/>
      <c r="CJ5" s="32"/>
      <c r="CK5" s="32"/>
      <c r="CL5" s="55"/>
      <c r="CM5" s="32"/>
    </row>
    <row r="6" spans="1:91">
      <c r="A6" s="5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1"/>
      <c r="P6" s="31"/>
      <c r="Q6" s="54"/>
      <c r="R6" s="21" t="str">
        <f>IFERROR(VLOOKUP(August[[#This Row],[Drug Name]],'Data Options'!$R$1:$S$100,2,FALSE), " ")</f>
        <v xml:space="preserve"> </v>
      </c>
      <c r="S6" s="55"/>
      <c r="T6" s="32"/>
      <c r="U6" s="32"/>
      <c r="V6" s="55"/>
      <c r="W6" s="32"/>
      <c r="X6" s="54"/>
      <c r="Y6" s="21" t="str">
        <f>IFERROR(VLOOKUP(August[[#This Row],[Drug Name2]],'Data Options'!$R$1:$S$100,2,FALSE), " ")</f>
        <v xml:space="preserve"> </v>
      </c>
      <c r="Z6" s="55"/>
      <c r="AA6" s="32"/>
      <c r="AB6" s="32"/>
      <c r="AC6" s="55"/>
      <c r="AD6" s="32"/>
      <c r="AE6" s="54"/>
      <c r="AF6" s="21" t="str">
        <f>IFERROR(VLOOKUP(August[[#This Row],[Drug Name3]],'Data Options'!$R$1:$S$100,2,FALSE), " ")</f>
        <v xml:space="preserve"> </v>
      </c>
      <c r="AG6" s="55"/>
      <c r="AH6" s="32"/>
      <c r="AI6" s="32"/>
      <c r="AJ6" s="55"/>
      <c r="AK6" s="32"/>
      <c r="AL6" s="32"/>
      <c r="AM6" s="32"/>
      <c r="AN6" s="32"/>
      <c r="AO6" s="32"/>
      <c r="AP6" s="31"/>
      <c r="AQ6" s="31"/>
      <c r="AR6" s="54"/>
      <c r="AS6" s="21" t="str">
        <f>IFERROR(VLOOKUP(August[[#This Row],[Drug Name4]],'Data Options'!$R$1:$S$100,2,FALSE), " ")</f>
        <v xml:space="preserve"> </v>
      </c>
      <c r="AT6" s="55"/>
      <c r="AU6" s="32"/>
      <c r="AV6" s="32"/>
      <c r="AW6" s="55"/>
      <c r="AX6" s="32"/>
      <c r="AY6" s="54"/>
      <c r="AZ6" s="21" t="str">
        <f>IFERROR(VLOOKUP(August[[#This Row],[Drug Name5]],'Data Options'!$R$1:$S$100,2,FALSE), " ")</f>
        <v xml:space="preserve"> </v>
      </c>
      <c r="BA6" s="55"/>
      <c r="BB6" s="32"/>
      <c r="BC6" s="32"/>
      <c r="BD6" s="55"/>
      <c r="BE6" s="32"/>
      <c r="BF6" s="54"/>
      <c r="BG6" s="21" t="str">
        <f>IFERROR(VLOOKUP(August[[#This Row],[Drug Name6]],'Data Options'!$R$1:$S$100,2,FALSE), " ")</f>
        <v xml:space="preserve"> </v>
      </c>
      <c r="BH6" s="55"/>
      <c r="BI6" s="32"/>
      <c r="BJ6" s="32"/>
      <c r="BK6" s="55"/>
      <c r="BL6" s="32"/>
      <c r="BM6" s="32"/>
      <c r="BN6" s="32"/>
      <c r="BO6" s="32"/>
      <c r="BP6" s="32"/>
      <c r="BQ6" s="31"/>
      <c r="BR6" s="31"/>
      <c r="BS6" s="54"/>
      <c r="BT6" s="21" t="str">
        <f>IFERROR(VLOOKUP(August[[#This Row],[Drug Name7]],'Data Options'!$R$1:$S$100,2,FALSE), " ")</f>
        <v xml:space="preserve"> </v>
      </c>
      <c r="BU6" s="55"/>
      <c r="BV6" s="32"/>
      <c r="BW6" s="32"/>
      <c r="BX6" s="55"/>
      <c r="BY6" s="32"/>
      <c r="BZ6" s="54"/>
      <c r="CA6" s="21" t="str">
        <f>IFERROR(VLOOKUP(August[[#This Row],[Drug Name8]],'Data Options'!$R$1:$S$100,2,FALSE), " ")</f>
        <v xml:space="preserve"> </v>
      </c>
      <c r="CB6" s="55"/>
      <c r="CC6" s="32"/>
      <c r="CD6" s="32"/>
      <c r="CE6" s="55"/>
      <c r="CF6" s="32"/>
      <c r="CG6" s="54"/>
      <c r="CH6" s="21" t="str">
        <f>IFERROR(VLOOKUP(August[[#This Row],[Drug Name9]],'Data Options'!$R$1:$S$100,2,FALSE), " ")</f>
        <v xml:space="preserve"> </v>
      </c>
      <c r="CI6" s="55"/>
      <c r="CJ6" s="32"/>
      <c r="CK6" s="32"/>
      <c r="CL6" s="55"/>
      <c r="CM6" s="32"/>
    </row>
    <row r="7" spans="1:91">
      <c r="A7" s="5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1"/>
      <c r="P7" s="31"/>
      <c r="Q7" s="54"/>
      <c r="R7" s="21" t="str">
        <f>IFERROR(VLOOKUP(August[[#This Row],[Drug Name]],'Data Options'!$R$1:$S$100,2,FALSE), " ")</f>
        <v xml:space="preserve"> </v>
      </c>
      <c r="S7" s="55"/>
      <c r="T7" s="32"/>
      <c r="U7" s="32"/>
      <c r="V7" s="55"/>
      <c r="W7" s="32"/>
      <c r="X7" s="54"/>
      <c r="Y7" s="21" t="str">
        <f>IFERROR(VLOOKUP(August[[#This Row],[Drug Name2]],'Data Options'!$R$1:$S$100,2,FALSE), " ")</f>
        <v xml:space="preserve"> </v>
      </c>
      <c r="Z7" s="55"/>
      <c r="AA7" s="32"/>
      <c r="AB7" s="32"/>
      <c r="AC7" s="55"/>
      <c r="AD7" s="32"/>
      <c r="AE7" s="54"/>
      <c r="AF7" s="21" t="str">
        <f>IFERROR(VLOOKUP(August[[#This Row],[Drug Name3]],'Data Options'!$R$1:$S$100,2,FALSE), " ")</f>
        <v xml:space="preserve"> </v>
      </c>
      <c r="AG7" s="55"/>
      <c r="AH7" s="32"/>
      <c r="AI7" s="32"/>
      <c r="AJ7" s="55"/>
      <c r="AK7" s="32"/>
      <c r="AL7" s="32"/>
      <c r="AM7" s="32"/>
      <c r="AN7" s="32"/>
      <c r="AO7" s="32"/>
      <c r="AP7" s="31"/>
      <c r="AQ7" s="31"/>
      <c r="AR7" s="54"/>
      <c r="AS7" s="21" t="str">
        <f>IFERROR(VLOOKUP(August[[#This Row],[Drug Name4]],'Data Options'!$R$1:$S$100,2,FALSE), " ")</f>
        <v xml:space="preserve"> </v>
      </c>
      <c r="AT7" s="55"/>
      <c r="AU7" s="32"/>
      <c r="AV7" s="32"/>
      <c r="AW7" s="55"/>
      <c r="AX7" s="32"/>
      <c r="AY7" s="54"/>
      <c r="AZ7" s="21" t="str">
        <f>IFERROR(VLOOKUP(August[[#This Row],[Drug Name5]],'Data Options'!$R$1:$S$100,2,FALSE), " ")</f>
        <v xml:space="preserve"> </v>
      </c>
      <c r="BA7" s="55"/>
      <c r="BB7" s="32"/>
      <c r="BC7" s="32"/>
      <c r="BD7" s="55"/>
      <c r="BE7" s="32"/>
      <c r="BF7" s="54"/>
      <c r="BG7" s="21" t="str">
        <f>IFERROR(VLOOKUP(August[[#This Row],[Drug Name6]],'Data Options'!$R$1:$S$100,2,FALSE), " ")</f>
        <v xml:space="preserve"> </v>
      </c>
      <c r="BH7" s="55"/>
      <c r="BI7" s="32"/>
      <c r="BJ7" s="32"/>
      <c r="BK7" s="55"/>
      <c r="BL7" s="32"/>
      <c r="BM7" s="32"/>
      <c r="BN7" s="32"/>
      <c r="BO7" s="32"/>
      <c r="BP7" s="32"/>
      <c r="BQ7" s="31"/>
      <c r="BR7" s="31"/>
      <c r="BS7" s="54"/>
      <c r="BT7" s="21" t="str">
        <f>IFERROR(VLOOKUP(August[[#This Row],[Drug Name7]],'Data Options'!$R$1:$S$100,2,FALSE), " ")</f>
        <v xml:space="preserve"> </v>
      </c>
      <c r="BU7" s="55"/>
      <c r="BV7" s="32"/>
      <c r="BW7" s="32"/>
      <c r="BX7" s="55"/>
      <c r="BY7" s="32"/>
      <c r="BZ7" s="54"/>
      <c r="CA7" s="21" t="str">
        <f>IFERROR(VLOOKUP(August[[#This Row],[Drug Name8]],'Data Options'!$R$1:$S$100,2,FALSE), " ")</f>
        <v xml:space="preserve"> </v>
      </c>
      <c r="CB7" s="55"/>
      <c r="CC7" s="32"/>
      <c r="CD7" s="32"/>
      <c r="CE7" s="55"/>
      <c r="CF7" s="32"/>
      <c r="CG7" s="54"/>
      <c r="CH7" s="21" t="str">
        <f>IFERROR(VLOOKUP(August[[#This Row],[Drug Name9]],'Data Options'!$R$1:$S$100,2,FALSE), " ")</f>
        <v xml:space="preserve"> </v>
      </c>
      <c r="CI7" s="55"/>
      <c r="CJ7" s="32"/>
      <c r="CK7" s="32"/>
      <c r="CL7" s="55"/>
      <c r="CM7" s="32"/>
    </row>
    <row r="8" spans="1:91">
      <c r="A8" s="5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1"/>
      <c r="P8" s="31"/>
      <c r="Q8" s="54"/>
      <c r="R8" s="21" t="str">
        <f>IFERROR(VLOOKUP(August[[#This Row],[Drug Name]],'Data Options'!$R$1:$S$100,2,FALSE), " ")</f>
        <v xml:space="preserve"> </v>
      </c>
      <c r="S8" s="55"/>
      <c r="T8" s="32"/>
      <c r="U8" s="32"/>
      <c r="V8" s="55"/>
      <c r="W8" s="32"/>
      <c r="X8" s="54"/>
      <c r="Y8" s="21" t="str">
        <f>IFERROR(VLOOKUP(August[[#This Row],[Drug Name2]],'Data Options'!$R$1:$S$100,2,FALSE), " ")</f>
        <v xml:space="preserve"> </v>
      </c>
      <c r="Z8" s="55"/>
      <c r="AA8" s="32"/>
      <c r="AB8" s="32"/>
      <c r="AC8" s="55"/>
      <c r="AD8" s="32"/>
      <c r="AE8" s="54"/>
      <c r="AF8" s="21" t="str">
        <f>IFERROR(VLOOKUP(August[[#This Row],[Drug Name3]],'Data Options'!$R$1:$S$100,2,FALSE), " ")</f>
        <v xml:space="preserve"> </v>
      </c>
      <c r="AG8" s="55"/>
      <c r="AH8" s="32"/>
      <c r="AI8" s="32"/>
      <c r="AJ8" s="55"/>
      <c r="AK8" s="32"/>
      <c r="AL8" s="32"/>
      <c r="AM8" s="32"/>
      <c r="AN8" s="32"/>
      <c r="AO8" s="32"/>
      <c r="AP8" s="31"/>
      <c r="AQ8" s="31"/>
      <c r="AR8" s="54"/>
      <c r="AS8" s="21" t="str">
        <f>IFERROR(VLOOKUP(August[[#This Row],[Drug Name4]],'Data Options'!$R$1:$S$100,2,FALSE), " ")</f>
        <v xml:space="preserve"> </v>
      </c>
      <c r="AT8" s="55"/>
      <c r="AU8" s="32"/>
      <c r="AV8" s="32"/>
      <c r="AW8" s="55"/>
      <c r="AX8" s="32"/>
      <c r="AY8" s="54"/>
      <c r="AZ8" s="21" t="str">
        <f>IFERROR(VLOOKUP(August[[#This Row],[Drug Name5]],'Data Options'!$R$1:$S$100,2,FALSE), " ")</f>
        <v xml:space="preserve"> </v>
      </c>
      <c r="BA8" s="55"/>
      <c r="BB8" s="32"/>
      <c r="BC8" s="32"/>
      <c r="BD8" s="55"/>
      <c r="BE8" s="32"/>
      <c r="BF8" s="54"/>
      <c r="BG8" s="21" t="str">
        <f>IFERROR(VLOOKUP(August[[#This Row],[Drug Name6]],'Data Options'!$R$1:$S$100,2,FALSE), " ")</f>
        <v xml:space="preserve"> </v>
      </c>
      <c r="BH8" s="55"/>
      <c r="BI8" s="32"/>
      <c r="BJ8" s="32"/>
      <c r="BK8" s="55"/>
      <c r="BL8" s="32"/>
      <c r="BM8" s="32"/>
      <c r="BN8" s="32"/>
      <c r="BO8" s="32"/>
      <c r="BP8" s="32"/>
      <c r="BQ8" s="31"/>
      <c r="BR8" s="31"/>
      <c r="BS8" s="54"/>
      <c r="BT8" s="21" t="str">
        <f>IFERROR(VLOOKUP(August[[#This Row],[Drug Name7]],'Data Options'!$R$1:$S$100,2,FALSE), " ")</f>
        <v xml:space="preserve"> </v>
      </c>
      <c r="BU8" s="55"/>
      <c r="BV8" s="32"/>
      <c r="BW8" s="32"/>
      <c r="BX8" s="55"/>
      <c r="BY8" s="32"/>
      <c r="BZ8" s="54"/>
      <c r="CA8" s="21" t="str">
        <f>IFERROR(VLOOKUP(August[[#This Row],[Drug Name8]],'Data Options'!$R$1:$S$100,2,FALSE), " ")</f>
        <v xml:space="preserve"> </v>
      </c>
      <c r="CB8" s="55"/>
      <c r="CC8" s="32"/>
      <c r="CD8" s="32"/>
      <c r="CE8" s="55"/>
      <c r="CF8" s="32"/>
      <c r="CG8" s="54"/>
      <c r="CH8" s="21" t="str">
        <f>IFERROR(VLOOKUP(August[[#This Row],[Drug Name9]],'Data Options'!$R$1:$S$100,2,FALSE), " ")</f>
        <v xml:space="preserve"> </v>
      </c>
      <c r="CI8" s="55"/>
      <c r="CJ8" s="32"/>
      <c r="CK8" s="32"/>
      <c r="CL8" s="55"/>
      <c r="CM8" s="32"/>
    </row>
    <row r="9" spans="1:91">
      <c r="A9" s="5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1"/>
      <c r="P9" s="31"/>
      <c r="Q9" s="54"/>
      <c r="R9" s="21" t="str">
        <f>IFERROR(VLOOKUP(August[[#This Row],[Drug Name]],'Data Options'!$R$1:$S$100,2,FALSE), " ")</f>
        <v xml:space="preserve"> </v>
      </c>
      <c r="S9" s="55"/>
      <c r="T9" s="32"/>
      <c r="U9" s="32"/>
      <c r="V9" s="55"/>
      <c r="W9" s="32"/>
      <c r="X9" s="54"/>
      <c r="Y9" s="21" t="str">
        <f>IFERROR(VLOOKUP(August[[#This Row],[Drug Name2]],'Data Options'!$R$1:$S$100,2,FALSE), " ")</f>
        <v xml:space="preserve"> </v>
      </c>
      <c r="Z9" s="55"/>
      <c r="AA9" s="32"/>
      <c r="AB9" s="32"/>
      <c r="AC9" s="55"/>
      <c r="AD9" s="32"/>
      <c r="AE9" s="54"/>
      <c r="AF9" s="21" t="str">
        <f>IFERROR(VLOOKUP(August[[#This Row],[Drug Name3]],'Data Options'!$R$1:$S$100,2,FALSE), " ")</f>
        <v xml:space="preserve"> </v>
      </c>
      <c r="AG9" s="55"/>
      <c r="AH9" s="32"/>
      <c r="AI9" s="32"/>
      <c r="AJ9" s="55"/>
      <c r="AK9" s="32"/>
      <c r="AL9" s="32"/>
      <c r="AM9" s="32"/>
      <c r="AN9" s="32"/>
      <c r="AO9" s="32"/>
      <c r="AP9" s="31"/>
      <c r="AQ9" s="31"/>
      <c r="AR9" s="54"/>
      <c r="AS9" s="21" t="str">
        <f>IFERROR(VLOOKUP(August[[#This Row],[Drug Name4]],'Data Options'!$R$1:$S$100,2,FALSE), " ")</f>
        <v xml:space="preserve"> </v>
      </c>
      <c r="AT9" s="55"/>
      <c r="AU9" s="32"/>
      <c r="AV9" s="32"/>
      <c r="AW9" s="55"/>
      <c r="AX9" s="32"/>
      <c r="AY9" s="54"/>
      <c r="AZ9" s="21" t="str">
        <f>IFERROR(VLOOKUP(August[[#This Row],[Drug Name5]],'Data Options'!$R$1:$S$100,2,FALSE), " ")</f>
        <v xml:space="preserve"> </v>
      </c>
      <c r="BA9" s="55"/>
      <c r="BB9" s="32"/>
      <c r="BC9" s="32"/>
      <c r="BD9" s="55"/>
      <c r="BE9" s="32"/>
      <c r="BF9" s="54"/>
      <c r="BG9" s="21" t="str">
        <f>IFERROR(VLOOKUP(August[[#This Row],[Drug Name6]],'Data Options'!$R$1:$S$100,2,FALSE), " ")</f>
        <v xml:space="preserve"> </v>
      </c>
      <c r="BH9" s="55"/>
      <c r="BI9" s="32"/>
      <c r="BJ9" s="32"/>
      <c r="BK9" s="55"/>
      <c r="BL9" s="32"/>
      <c r="BM9" s="32"/>
      <c r="BN9" s="32"/>
      <c r="BO9" s="32"/>
      <c r="BP9" s="32"/>
      <c r="BQ9" s="31"/>
      <c r="BR9" s="31"/>
      <c r="BS9" s="54"/>
      <c r="BT9" s="21" t="str">
        <f>IFERROR(VLOOKUP(August[[#This Row],[Drug Name7]],'Data Options'!$R$1:$S$100,2,FALSE), " ")</f>
        <v xml:space="preserve"> </v>
      </c>
      <c r="BU9" s="55"/>
      <c r="BV9" s="32"/>
      <c r="BW9" s="32"/>
      <c r="BX9" s="55"/>
      <c r="BY9" s="32"/>
      <c r="BZ9" s="54"/>
      <c r="CA9" s="21" t="str">
        <f>IFERROR(VLOOKUP(August[[#This Row],[Drug Name8]],'Data Options'!$R$1:$S$100,2,FALSE), " ")</f>
        <v xml:space="preserve"> </v>
      </c>
      <c r="CB9" s="55"/>
      <c r="CC9" s="32"/>
      <c r="CD9" s="32"/>
      <c r="CE9" s="55"/>
      <c r="CF9" s="32"/>
      <c r="CG9" s="54"/>
      <c r="CH9" s="21" t="str">
        <f>IFERROR(VLOOKUP(August[[#This Row],[Drug Name9]],'Data Options'!$R$1:$S$100,2,FALSE), " ")</f>
        <v xml:space="preserve"> </v>
      </c>
      <c r="CI9" s="55"/>
      <c r="CJ9" s="32"/>
      <c r="CK9" s="32"/>
      <c r="CL9" s="55"/>
      <c r="CM9" s="32"/>
    </row>
    <row r="10" spans="1:91">
      <c r="A10" s="5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1"/>
      <c r="P10" s="31"/>
      <c r="Q10" s="54"/>
      <c r="R10" s="21" t="str">
        <f>IFERROR(VLOOKUP(August[[#This Row],[Drug Name]],'Data Options'!$R$1:$S$100,2,FALSE), " ")</f>
        <v xml:space="preserve"> </v>
      </c>
      <c r="S10" s="55"/>
      <c r="T10" s="32"/>
      <c r="U10" s="32"/>
      <c r="V10" s="55"/>
      <c r="W10" s="32"/>
      <c r="X10" s="54"/>
      <c r="Y10" s="21" t="str">
        <f>IFERROR(VLOOKUP(August[[#This Row],[Drug Name2]],'Data Options'!$R$1:$S$100,2,FALSE), " ")</f>
        <v xml:space="preserve"> </v>
      </c>
      <c r="Z10" s="55"/>
      <c r="AA10" s="32"/>
      <c r="AB10" s="32"/>
      <c r="AC10" s="55"/>
      <c r="AD10" s="32"/>
      <c r="AE10" s="54"/>
      <c r="AF10" s="21" t="str">
        <f>IFERROR(VLOOKUP(August[[#This Row],[Drug Name3]],'Data Options'!$R$1:$S$100,2,FALSE), " ")</f>
        <v xml:space="preserve"> </v>
      </c>
      <c r="AG10" s="55"/>
      <c r="AH10" s="32"/>
      <c r="AI10" s="32"/>
      <c r="AJ10" s="55"/>
      <c r="AK10" s="32"/>
      <c r="AL10" s="32"/>
      <c r="AM10" s="32"/>
      <c r="AN10" s="32"/>
      <c r="AO10" s="32"/>
      <c r="AP10" s="31"/>
      <c r="AQ10" s="31"/>
      <c r="AR10" s="54"/>
      <c r="AS10" s="21" t="str">
        <f>IFERROR(VLOOKUP(August[[#This Row],[Drug Name4]],'Data Options'!$R$1:$S$100,2,FALSE), " ")</f>
        <v xml:space="preserve"> </v>
      </c>
      <c r="AT10" s="55"/>
      <c r="AU10" s="32"/>
      <c r="AV10" s="32"/>
      <c r="AW10" s="55"/>
      <c r="AX10" s="32"/>
      <c r="AY10" s="54"/>
      <c r="AZ10" s="21" t="str">
        <f>IFERROR(VLOOKUP(August[[#This Row],[Drug Name5]],'Data Options'!$R$1:$S$100,2,FALSE), " ")</f>
        <v xml:space="preserve"> </v>
      </c>
      <c r="BA10" s="55"/>
      <c r="BB10" s="32"/>
      <c r="BC10" s="32"/>
      <c r="BD10" s="55"/>
      <c r="BE10" s="32"/>
      <c r="BF10" s="54"/>
      <c r="BG10" s="21" t="str">
        <f>IFERROR(VLOOKUP(August[[#This Row],[Drug Name6]],'Data Options'!$R$1:$S$100,2,FALSE), " ")</f>
        <v xml:space="preserve"> </v>
      </c>
      <c r="BH10" s="55"/>
      <c r="BI10" s="32"/>
      <c r="BJ10" s="32"/>
      <c r="BK10" s="55"/>
      <c r="BL10" s="32"/>
      <c r="BM10" s="32"/>
      <c r="BN10" s="32"/>
      <c r="BO10" s="32"/>
      <c r="BP10" s="32"/>
      <c r="BQ10" s="31"/>
      <c r="BR10" s="31"/>
      <c r="BS10" s="54"/>
      <c r="BT10" s="21" t="str">
        <f>IFERROR(VLOOKUP(August[[#This Row],[Drug Name7]],'Data Options'!$R$1:$S$100,2,FALSE), " ")</f>
        <v xml:space="preserve"> </v>
      </c>
      <c r="BU10" s="55"/>
      <c r="BV10" s="32"/>
      <c r="BW10" s="32"/>
      <c r="BX10" s="55"/>
      <c r="BY10" s="32"/>
      <c r="BZ10" s="54"/>
      <c r="CA10" s="21" t="str">
        <f>IFERROR(VLOOKUP(August[[#This Row],[Drug Name8]],'Data Options'!$R$1:$S$100,2,FALSE), " ")</f>
        <v xml:space="preserve"> </v>
      </c>
      <c r="CB10" s="55"/>
      <c r="CC10" s="32"/>
      <c r="CD10" s="32"/>
      <c r="CE10" s="55"/>
      <c r="CF10" s="32"/>
      <c r="CG10" s="54"/>
      <c r="CH10" s="21" t="str">
        <f>IFERROR(VLOOKUP(August[[#This Row],[Drug Name9]],'Data Options'!$R$1:$S$100,2,FALSE), " ")</f>
        <v xml:space="preserve"> </v>
      </c>
      <c r="CI10" s="55"/>
      <c r="CJ10" s="32"/>
      <c r="CK10" s="32"/>
      <c r="CL10" s="55"/>
      <c r="CM10" s="32"/>
    </row>
    <row r="11" spans="1:91">
      <c r="A11" s="5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1"/>
      <c r="P11" s="31"/>
      <c r="Q11" s="54"/>
      <c r="R11" s="21" t="str">
        <f>IFERROR(VLOOKUP(August[[#This Row],[Drug Name]],'Data Options'!$R$1:$S$100,2,FALSE), " ")</f>
        <v xml:space="preserve"> </v>
      </c>
      <c r="S11" s="55"/>
      <c r="T11" s="32"/>
      <c r="U11" s="32"/>
      <c r="V11" s="55"/>
      <c r="W11" s="32"/>
      <c r="X11" s="54"/>
      <c r="Y11" s="21" t="str">
        <f>IFERROR(VLOOKUP(August[[#This Row],[Drug Name2]],'Data Options'!$R$1:$S$100,2,FALSE), " ")</f>
        <v xml:space="preserve"> </v>
      </c>
      <c r="Z11" s="55"/>
      <c r="AA11" s="32"/>
      <c r="AB11" s="32"/>
      <c r="AC11" s="55"/>
      <c r="AD11" s="32"/>
      <c r="AE11" s="54"/>
      <c r="AF11" s="21" t="str">
        <f>IFERROR(VLOOKUP(August[[#This Row],[Drug Name3]],'Data Options'!$R$1:$S$100,2,FALSE), " ")</f>
        <v xml:space="preserve"> </v>
      </c>
      <c r="AG11" s="55"/>
      <c r="AH11" s="32"/>
      <c r="AI11" s="32"/>
      <c r="AJ11" s="55"/>
      <c r="AK11" s="32"/>
      <c r="AL11" s="32"/>
      <c r="AM11" s="32"/>
      <c r="AN11" s="32"/>
      <c r="AO11" s="32"/>
      <c r="AP11" s="31"/>
      <c r="AQ11" s="31"/>
      <c r="AR11" s="54"/>
      <c r="AS11" s="21" t="str">
        <f>IFERROR(VLOOKUP(August[[#This Row],[Drug Name4]],'Data Options'!$R$1:$S$100,2,FALSE), " ")</f>
        <v xml:space="preserve"> </v>
      </c>
      <c r="AT11" s="55"/>
      <c r="AU11" s="32"/>
      <c r="AV11" s="32"/>
      <c r="AW11" s="55"/>
      <c r="AX11" s="32"/>
      <c r="AY11" s="54"/>
      <c r="AZ11" s="21" t="str">
        <f>IFERROR(VLOOKUP(August[[#This Row],[Drug Name5]],'Data Options'!$R$1:$S$100,2,FALSE), " ")</f>
        <v xml:space="preserve"> </v>
      </c>
      <c r="BA11" s="55"/>
      <c r="BB11" s="32"/>
      <c r="BC11" s="32"/>
      <c r="BD11" s="55"/>
      <c r="BE11" s="32"/>
      <c r="BF11" s="54"/>
      <c r="BG11" s="21" t="str">
        <f>IFERROR(VLOOKUP(August[[#This Row],[Drug Name6]],'Data Options'!$R$1:$S$100,2,FALSE), " ")</f>
        <v xml:space="preserve"> </v>
      </c>
      <c r="BH11" s="55"/>
      <c r="BI11" s="32"/>
      <c r="BJ11" s="32"/>
      <c r="BK11" s="55"/>
      <c r="BL11" s="32"/>
      <c r="BM11" s="32"/>
      <c r="BN11" s="32"/>
      <c r="BO11" s="32"/>
      <c r="BP11" s="32"/>
      <c r="BQ11" s="31"/>
      <c r="BR11" s="31"/>
      <c r="BS11" s="54"/>
      <c r="BT11" s="21" t="str">
        <f>IFERROR(VLOOKUP(August[[#This Row],[Drug Name7]],'Data Options'!$R$1:$S$100,2,FALSE), " ")</f>
        <v xml:space="preserve"> </v>
      </c>
      <c r="BU11" s="55"/>
      <c r="BV11" s="32"/>
      <c r="BW11" s="32"/>
      <c r="BX11" s="55"/>
      <c r="BY11" s="32"/>
      <c r="BZ11" s="54"/>
      <c r="CA11" s="21" t="str">
        <f>IFERROR(VLOOKUP(August[[#This Row],[Drug Name8]],'Data Options'!$R$1:$S$100,2,FALSE), " ")</f>
        <v xml:space="preserve"> </v>
      </c>
      <c r="CB11" s="55"/>
      <c r="CC11" s="32"/>
      <c r="CD11" s="32"/>
      <c r="CE11" s="55"/>
      <c r="CF11" s="32"/>
      <c r="CG11" s="54"/>
      <c r="CH11" s="21" t="str">
        <f>IFERROR(VLOOKUP(August[[#This Row],[Drug Name9]],'Data Options'!$R$1:$S$100,2,FALSE), " ")</f>
        <v xml:space="preserve"> </v>
      </c>
      <c r="CI11" s="55"/>
      <c r="CJ11" s="32"/>
      <c r="CK11" s="32"/>
      <c r="CL11" s="55"/>
      <c r="CM11" s="32"/>
    </row>
    <row r="12" spans="1:91">
      <c r="A12" s="5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1"/>
      <c r="P12" s="31"/>
      <c r="Q12" s="54"/>
      <c r="R12" s="21" t="str">
        <f>IFERROR(VLOOKUP(August[[#This Row],[Drug Name]],'Data Options'!$R$1:$S$100,2,FALSE), " ")</f>
        <v xml:space="preserve"> </v>
      </c>
      <c r="S12" s="55"/>
      <c r="T12" s="32"/>
      <c r="U12" s="32"/>
      <c r="V12" s="55"/>
      <c r="W12" s="32"/>
      <c r="X12" s="54"/>
      <c r="Y12" s="21" t="str">
        <f>IFERROR(VLOOKUP(August[[#This Row],[Drug Name2]],'Data Options'!$R$1:$S$100,2,FALSE), " ")</f>
        <v xml:space="preserve"> </v>
      </c>
      <c r="Z12" s="55"/>
      <c r="AA12" s="32"/>
      <c r="AB12" s="32"/>
      <c r="AC12" s="55"/>
      <c r="AD12" s="32"/>
      <c r="AE12" s="54"/>
      <c r="AF12" s="21" t="str">
        <f>IFERROR(VLOOKUP(August[[#This Row],[Drug Name3]],'Data Options'!$R$1:$S$100,2,FALSE), " ")</f>
        <v xml:space="preserve"> </v>
      </c>
      <c r="AG12" s="55"/>
      <c r="AH12" s="32"/>
      <c r="AI12" s="32"/>
      <c r="AJ12" s="55"/>
      <c r="AK12" s="32"/>
      <c r="AL12" s="32"/>
      <c r="AM12" s="32"/>
      <c r="AN12" s="32"/>
      <c r="AO12" s="32"/>
      <c r="AP12" s="31"/>
      <c r="AQ12" s="31"/>
      <c r="AR12" s="54"/>
      <c r="AS12" s="21" t="str">
        <f>IFERROR(VLOOKUP(August[[#This Row],[Drug Name4]],'Data Options'!$R$1:$S$100,2,FALSE), " ")</f>
        <v xml:space="preserve"> </v>
      </c>
      <c r="AT12" s="55"/>
      <c r="AU12" s="32"/>
      <c r="AV12" s="32"/>
      <c r="AW12" s="55"/>
      <c r="AX12" s="32"/>
      <c r="AY12" s="54"/>
      <c r="AZ12" s="21" t="str">
        <f>IFERROR(VLOOKUP(August[[#This Row],[Drug Name5]],'Data Options'!$R$1:$S$100,2,FALSE), " ")</f>
        <v xml:space="preserve"> </v>
      </c>
      <c r="BA12" s="55"/>
      <c r="BB12" s="32"/>
      <c r="BC12" s="32"/>
      <c r="BD12" s="55"/>
      <c r="BE12" s="32"/>
      <c r="BF12" s="54"/>
      <c r="BG12" s="21" t="str">
        <f>IFERROR(VLOOKUP(August[[#This Row],[Drug Name6]],'Data Options'!$R$1:$S$100,2,FALSE), " ")</f>
        <v xml:space="preserve"> </v>
      </c>
      <c r="BH12" s="55"/>
      <c r="BI12" s="32"/>
      <c r="BJ12" s="32"/>
      <c r="BK12" s="55"/>
      <c r="BL12" s="32"/>
      <c r="BM12" s="32"/>
      <c r="BN12" s="32"/>
      <c r="BO12" s="32"/>
      <c r="BP12" s="32"/>
      <c r="BQ12" s="31"/>
      <c r="BR12" s="31"/>
      <c r="BS12" s="54"/>
      <c r="BT12" s="21" t="str">
        <f>IFERROR(VLOOKUP(August[[#This Row],[Drug Name7]],'Data Options'!$R$1:$S$100,2,FALSE), " ")</f>
        <v xml:space="preserve"> </v>
      </c>
      <c r="BU12" s="55"/>
      <c r="BV12" s="32"/>
      <c r="BW12" s="32"/>
      <c r="BX12" s="55"/>
      <c r="BY12" s="32"/>
      <c r="BZ12" s="54"/>
      <c r="CA12" s="21" t="str">
        <f>IFERROR(VLOOKUP(August[[#This Row],[Drug Name8]],'Data Options'!$R$1:$S$100,2,FALSE), " ")</f>
        <v xml:space="preserve"> </v>
      </c>
      <c r="CB12" s="55"/>
      <c r="CC12" s="32"/>
      <c r="CD12" s="32"/>
      <c r="CE12" s="55"/>
      <c r="CF12" s="32"/>
      <c r="CG12" s="54"/>
      <c r="CH12" s="21" t="str">
        <f>IFERROR(VLOOKUP(August[[#This Row],[Drug Name9]],'Data Options'!$R$1:$S$100,2,FALSE), " ")</f>
        <v xml:space="preserve"> </v>
      </c>
      <c r="CI12" s="55"/>
      <c r="CJ12" s="32"/>
      <c r="CK12" s="32"/>
      <c r="CL12" s="55"/>
      <c r="CM12" s="32"/>
    </row>
    <row r="13" spans="1:91">
      <c r="A13" s="5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1"/>
      <c r="P13" s="31"/>
      <c r="Q13" s="54"/>
      <c r="R13" s="21" t="str">
        <f>IFERROR(VLOOKUP(August[[#This Row],[Drug Name]],'Data Options'!$R$1:$S$100,2,FALSE), " ")</f>
        <v xml:space="preserve"> </v>
      </c>
      <c r="S13" s="55"/>
      <c r="T13" s="32"/>
      <c r="U13" s="32"/>
      <c r="V13" s="55"/>
      <c r="W13" s="32"/>
      <c r="X13" s="54"/>
      <c r="Y13" s="21" t="str">
        <f>IFERROR(VLOOKUP(August[[#This Row],[Drug Name2]],'Data Options'!$R$1:$S$100,2,FALSE), " ")</f>
        <v xml:space="preserve"> </v>
      </c>
      <c r="Z13" s="55"/>
      <c r="AA13" s="32"/>
      <c r="AB13" s="32"/>
      <c r="AC13" s="55"/>
      <c r="AD13" s="32"/>
      <c r="AE13" s="54"/>
      <c r="AF13" s="21" t="str">
        <f>IFERROR(VLOOKUP(August[[#This Row],[Drug Name3]],'Data Options'!$R$1:$S$100,2,FALSE), " ")</f>
        <v xml:space="preserve"> </v>
      </c>
      <c r="AG13" s="55"/>
      <c r="AH13" s="32"/>
      <c r="AI13" s="32"/>
      <c r="AJ13" s="55"/>
      <c r="AK13" s="32"/>
      <c r="AL13" s="32"/>
      <c r="AM13" s="32"/>
      <c r="AN13" s="32"/>
      <c r="AO13" s="32"/>
      <c r="AP13" s="31"/>
      <c r="AQ13" s="31"/>
      <c r="AR13" s="54"/>
      <c r="AS13" s="21" t="str">
        <f>IFERROR(VLOOKUP(August[[#This Row],[Drug Name4]],'Data Options'!$R$1:$S$100,2,FALSE), " ")</f>
        <v xml:space="preserve"> </v>
      </c>
      <c r="AT13" s="55"/>
      <c r="AU13" s="32"/>
      <c r="AV13" s="32"/>
      <c r="AW13" s="55"/>
      <c r="AX13" s="32"/>
      <c r="AY13" s="54"/>
      <c r="AZ13" s="21" t="str">
        <f>IFERROR(VLOOKUP(August[[#This Row],[Drug Name5]],'Data Options'!$R$1:$S$100,2,FALSE), " ")</f>
        <v xml:space="preserve"> </v>
      </c>
      <c r="BA13" s="55"/>
      <c r="BB13" s="32"/>
      <c r="BC13" s="32"/>
      <c r="BD13" s="55"/>
      <c r="BE13" s="32"/>
      <c r="BF13" s="54"/>
      <c r="BG13" s="21" t="str">
        <f>IFERROR(VLOOKUP(August[[#This Row],[Drug Name6]],'Data Options'!$R$1:$S$100,2,FALSE), " ")</f>
        <v xml:space="preserve"> </v>
      </c>
      <c r="BH13" s="55"/>
      <c r="BI13" s="32"/>
      <c r="BJ13" s="32"/>
      <c r="BK13" s="55"/>
      <c r="BL13" s="32"/>
      <c r="BM13" s="32"/>
      <c r="BN13" s="32"/>
      <c r="BO13" s="32"/>
      <c r="BP13" s="32"/>
      <c r="BQ13" s="31"/>
      <c r="BR13" s="31"/>
      <c r="BS13" s="54"/>
      <c r="BT13" s="21" t="str">
        <f>IFERROR(VLOOKUP(August[[#This Row],[Drug Name7]],'Data Options'!$R$1:$S$100,2,FALSE), " ")</f>
        <v xml:space="preserve"> </v>
      </c>
      <c r="BU13" s="55"/>
      <c r="BV13" s="32"/>
      <c r="BW13" s="32"/>
      <c r="BX13" s="55"/>
      <c r="BY13" s="32"/>
      <c r="BZ13" s="54"/>
      <c r="CA13" s="21" t="str">
        <f>IFERROR(VLOOKUP(August[[#This Row],[Drug Name8]],'Data Options'!$R$1:$S$100,2,FALSE), " ")</f>
        <v xml:space="preserve"> </v>
      </c>
      <c r="CB13" s="55"/>
      <c r="CC13" s="32"/>
      <c r="CD13" s="32"/>
      <c r="CE13" s="55"/>
      <c r="CF13" s="32"/>
      <c r="CG13" s="54"/>
      <c r="CH13" s="21" t="str">
        <f>IFERROR(VLOOKUP(August[[#This Row],[Drug Name9]],'Data Options'!$R$1:$S$100,2,FALSE), " ")</f>
        <v xml:space="preserve"> </v>
      </c>
      <c r="CI13" s="55"/>
      <c r="CJ13" s="32"/>
      <c r="CK13" s="32"/>
      <c r="CL13" s="55"/>
      <c r="CM13" s="32"/>
    </row>
    <row r="14" spans="1:91">
      <c r="A14" s="5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54"/>
      <c r="R14" s="21" t="str">
        <f>IFERROR(VLOOKUP(August[[#This Row],[Drug Name]],'Data Options'!$R$1:$S$100,2,FALSE), " ")</f>
        <v xml:space="preserve"> </v>
      </c>
      <c r="S14" s="55"/>
      <c r="T14" s="32"/>
      <c r="U14" s="32"/>
      <c r="V14" s="55"/>
      <c r="W14" s="32"/>
      <c r="X14" s="54"/>
      <c r="Y14" s="21" t="str">
        <f>IFERROR(VLOOKUP(August[[#This Row],[Drug Name2]],'Data Options'!$R$1:$S$100,2,FALSE), " ")</f>
        <v xml:space="preserve"> </v>
      </c>
      <c r="Z14" s="55"/>
      <c r="AA14" s="32"/>
      <c r="AB14" s="32"/>
      <c r="AC14" s="55"/>
      <c r="AD14" s="32"/>
      <c r="AE14" s="54"/>
      <c r="AF14" s="21" t="str">
        <f>IFERROR(VLOOKUP(August[[#This Row],[Drug Name3]],'Data Options'!$R$1:$S$100,2,FALSE), " ")</f>
        <v xml:space="preserve"> </v>
      </c>
      <c r="AG14" s="55"/>
      <c r="AH14" s="32"/>
      <c r="AI14" s="32"/>
      <c r="AJ14" s="55"/>
      <c r="AK14" s="32"/>
      <c r="AL14" s="32"/>
      <c r="AM14" s="32"/>
      <c r="AN14" s="32"/>
      <c r="AO14" s="32"/>
      <c r="AP14" s="31"/>
      <c r="AQ14" s="31"/>
      <c r="AR14" s="54"/>
      <c r="AS14" s="21" t="str">
        <f>IFERROR(VLOOKUP(August[[#This Row],[Drug Name4]],'Data Options'!$R$1:$S$100,2,FALSE), " ")</f>
        <v xml:space="preserve"> </v>
      </c>
      <c r="AT14" s="55"/>
      <c r="AU14" s="32"/>
      <c r="AV14" s="32"/>
      <c r="AW14" s="55"/>
      <c r="AX14" s="32"/>
      <c r="AY14" s="54"/>
      <c r="AZ14" s="21" t="str">
        <f>IFERROR(VLOOKUP(August[[#This Row],[Drug Name5]],'Data Options'!$R$1:$S$100,2,FALSE), " ")</f>
        <v xml:space="preserve"> </v>
      </c>
      <c r="BA14" s="55"/>
      <c r="BB14" s="32"/>
      <c r="BC14" s="32"/>
      <c r="BD14" s="55"/>
      <c r="BE14" s="32"/>
      <c r="BF14" s="54"/>
      <c r="BG14" s="21" t="str">
        <f>IFERROR(VLOOKUP(August[[#This Row],[Drug Name6]],'Data Options'!$R$1:$S$100,2,FALSE), " ")</f>
        <v xml:space="preserve"> </v>
      </c>
      <c r="BH14" s="55"/>
      <c r="BI14" s="32"/>
      <c r="BJ14" s="32"/>
      <c r="BK14" s="55"/>
      <c r="BL14" s="32"/>
      <c r="BM14" s="32"/>
      <c r="BN14" s="32"/>
      <c r="BO14" s="32"/>
      <c r="BP14" s="32"/>
      <c r="BQ14" s="31"/>
      <c r="BR14" s="31"/>
      <c r="BS14" s="54"/>
      <c r="BT14" s="21" t="str">
        <f>IFERROR(VLOOKUP(August[[#This Row],[Drug Name7]],'Data Options'!$R$1:$S$100,2,FALSE), " ")</f>
        <v xml:space="preserve"> </v>
      </c>
      <c r="BU14" s="55"/>
      <c r="BV14" s="32"/>
      <c r="BW14" s="32"/>
      <c r="BX14" s="55"/>
      <c r="BY14" s="32"/>
      <c r="BZ14" s="54"/>
      <c r="CA14" s="21" t="str">
        <f>IFERROR(VLOOKUP(August[[#This Row],[Drug Name8]],'Data Options'!$R$1:$S$100,2,FALSE), " ")</f>
        <v xml:space="preserve"> </v>
      </c>
      <c r="CB14" s="55"/>
      <c r="CC14" s="32"/>
      <c r="CD14" s="32"/>
      <c r="CE14" s="55"/>
      <c r="CF14" s="32"/>
      <c r="CG14" s="54"/>
      <c r="CH14" s="21" t="str">
        <f>IFERROR(VLOOKUP(August[[#This Row],[Drug Name9]],'Data Options'!$R$1:$S$100,2,FALSE), " ")</f>
        <v xml:space="preserve"> </v>
      </c>
      <c r="CI14" s="55"/>
      <c r="CJ14" s="32"/>
      <c r="CK14" s="32"/>
      <c r="CL14" s="55"/>
      <c r="CM14" s="32"/>
    </row>
    <row r="15" spans="1:91">
      <c r="A15" s="5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54"/>
      <c r="R15" s="21" t="str">
        <f>IFERROR(VLOOKUP(August[[#This Row],[Drug Name]],'Data Options'!$R$1:$S$100,2,FALSE), " ")</f>
        <v xml:space="preserve"> </v>
      </c>
      <c r="S15" s="55"/>
      <c r="T15" s="32"/>
      <c r="U15" s="32"/>
      <c r="V15" s="55"/>
      <c r="W15" s="32"/>
      <c r="X15" s="54"/>
      <c r="Y15" s="21" t="str">
        <f>IFERROR(VLOOKUP(August[[#This Row],[Drug Name2]],'Data Options'!$R$1:$S$100,2,FALSE), " ")</f>
        <v xml:space="preserve"> </v>
      </c>
      <c r="Z15" s="55"/>
      <c r="AA15" s="32"/>
      <c r="AB15" s="32"/>
      <c r="AC15" s="55"/>
      <c r="AD15" s="32"/>
      <c r="AE15" s="54"/>
      <c r="AF15" s="21" t="str">
        <f>IFERROR(VLOOKUP(August[[#This Row],[Drug Name3]],'Data Options'!$R$1:$S$100,2,FALSE), " ")</f>
        <v xml:space="preserve"> </v>
      </c>
      <c r="AG15" s="55"/>
      <c r="AH15" s="32"/>
      <c r="AI15" s="32"/>
      <c r="AJ15" s="55"/>
      <c r="AK15" s="32"/>
      <c r="AL15" s="32"/>
      <c r="AM15" s="32"/>
      <c r="AN15" s="32"/>
      <c r="AO15" s="32"/>
      <c r="AP15" s="31"/>
      <c r="AQ15" s="31"/>
      <c r="AR15" s="54"/>
      <c r="AS15" s="21" t="str">
        <f>IFERROR(VLOOKUP(August[[#This Row],[Drug Name4]],'Data Options'!$R$1:$S$100,2,FALSE), " ")</f>
        <v xml:space="preserve"> </v>
      </c>
      <c r="AT15" s="55"/>
      <c r="AU15" s="32"/>
      <c r="AV15" s="32"/>
      <c r="AW15" s="55"/>
      <c r="AX15" s="32"/>
      <c r="AY15" s="54"/>
      <c r="AZ15" s="21" t="str">
        <f>IFERROR(VLOOKUP(August[[#This Row],[Drug Name5]],'Data Options'!$R$1:$S$100,2,FALSE), " ")</f>
        <v xml:space="preserve"> </v>
      </c>
      <c r="BA15" s="55"/>
      <c r="BB15" s="32"/>
      <c r="BC15" s="32"/>
      <c r="BD15" s="55"/>
      <c r="BE15" s="32"/>
      <c r="BF15" s="54"/>
      <c r="BG15" s="21" t="str">
        <f>IFERROR(VLOOKUP(August[[#This Row],[Drug Name6]],'Data Options'!$R$1:$S$100,2,FALSE), " ")</f>
        <v xml:space="preserve"> </v>
      </c>
      <c r="BH15" s="55"/>
      <c r="BI15" s="32"/>
      <c r="BJ15" s="32"/>
      <c r="BK15" s="55"/>
      <c r="BL15" s="32"/>
      <c r="BM15" s="32"/>
      <c r="BN15" s="32"/>
      <c r="BO15" s="32"/>
      <c r="BP15" s="32"/>
      <c r="BQ15" s="31"/>
      <c r="BR15" s="31"/>
      <c r="BS15" s="54"/>
      <c r="BT15" s="21" t="str">
        <f>IFERROR(VLOOKUP(August[[#This Row],[Drug Name7]],'Data Options'!$R$1:$S$100,2,FALSE), " ")</f>
        <v xml:space="preserve"> </v>
      </c>
      <c r="BU15" s="55"/>
      <c r="BV15" s="32"/>
      <c r="BW15" s="32"/>
      <c r="BX15" s="55"/>
      <c r="BY15" s="32"/>
      <c r="BZ15" s="54"/>
      <c r="CA15" s="21" t="str">
        <f>IFERROR(VLOOKUP(August[[#This Row],[Drug Name8]],'Data Options'!$R$1:$S$100,2,FALSE), " ")</f>
        <v xml:space="preserve"> </v>
      </c>
      <c r="CB15" s="55"/>
      <c r="CC15" s="32"/>
      <c r="CD15" s="32"/>
      <c r="CE15" s="55"/>
      <c r="CF15" s="32"/>
      <c r="CG15" s="54"/>
      <c r="CH15" s="21" t="str">
        <f>IFERROR(VLOOKUP(August[[#This Row],[Drug Name9]],'Data Options'!$R$1:$S$100,2,FALSE), " ")</f>
        <v xml:space="preserve"> </v>
      </c>
      <c r="CI15" s="55"/>
      <c r="CJ15" s="32"/>
      <c r="CK15" s="32"/>
      <c r="CL15" s="55"/>
      <c r="CM15" s="32"/>
    </row>
    <row r="16" spans="1:91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1"/>
      <c r="Q16" s="54"/>
      <c r="R16" s="21" t="str">
        <f>IFERROR(VLOOKUP(August[[#This Row],[Drug Name]],'Data Options'!$R$1:$S$100,2,FALSE), " ")</f>
        <v xml:space="preserve"> </v>
      </c>
      <c r="S16" s="55"/>
      <c r="T16" s="32"/>
      <c r="U16" s="32"/>
      <c r="V16" s="55"/>
      <c r="W16" s="32"/>
      <c r="X16" s="54"/>
      <c r="Y16" s="21" t="str">
        <f>IFERROR(VLOOKUP(August[[#This Row],[Drug Name2]],'Data Options'!$R$1:$S$100,2,FALSE), " ")</f>
        <v xml:space="preserve"> </v>
      </c>
      <c r="Z16" s="55"/>
      <c r="AA16" s="32"/>
      <c r="AB16" s="32"/>
      <c r="AC16" s="55"/>
      <c r="AD16" s="32"/>
      <c r="AE16" s="54"/>
      <c r="AF16" s="21" t="str">
        <f>IFERROR(VLOOKUP(August[[#This Row],[Drug Name3]],'Data Options'!$R$1:$S$100,2,FALSE), " ")</f>
        <v xml:space="preserve"> </v>
      </c>
      <c r="AG16" s="55"/>
      <c r="AH16" s="32"/>
      <c r="AI16" s="32"/>
      <c r="AJ16" s="55"/>
      <c r="AK16" s="32"/>
      <c r="AL16" s="32"/>
      <c r="AM16" s="32"/>
      <c r="AN16" s="32"/>
      <c r="AO16" s="32"/>
      <c r="AP16" s="31"/>
      <c r="AQ16" s="31"/>
      <c r="AR16" s="54"/>
      <c r="AS16" s="21" t="str">
        <f>IFERROR(VLOOKUP(August[[#This Row],[Drug Name4]],'Data Options'!$R$1:$S$100,2,FALSE), " ")</f>
        <v xml:space="preserve"> </v>
      </c>
      <c r="AT16" s="55"/>
      <c r="AU16" s="32"/>
      <c r="AV16" s="32"/>
      <c r="AW16" s="55"/>
      <c r="AX16" s="32"/>
      <c r="AY16" s="54"/>
      <c r="AZ16" s="21" t="str">
        <f>IFERROR(VLOOKUP(August[[#This Row],[Drug Name5]],'Data Options'!$R$1:$S$100,2,FALSE), " ")</f>
        <v xml:space="preserve"> </v>
      </c>
      <c r="BA16" s="55"/>
      <c r="BB16" s="32"/>
      <c r="BC16" s="32"/>
      <c r="BD16" s="55"/>
      <c r="BE16" s="32"/>
      <c r="BF16" s="54"/>
      <c r="BG16" s="21" t="str">
        <f>IFERROR(VLOOKUP(August[[#This Row],[Drug Name6]],'Data Options'!$R$1:$S$100,2,FALSE), " ")</f>
        <v xml:space="preserve"> </v>
      </c>
      <c r="BH16" s="55"/>
      <c r="BI16" s="32"/>
      <c r="BJ16" s="32"/>
      <c r="BK16" s="55"/>
      <c r="BL16" s="32"/>
      <c r="BM16" s="32"/>
      <c r="BN16" s="32"/>
      <c r="BO16" s="32"/>
      <c r="BP16" s="32"/>
      <c r="BQ16" s="31"/>
      <c r="BR16" s="31"/>
      <c r="BS16" s="54"/>
      <c r="BT16" s="21" t="str">
        <f>IFERROR(VLOOKUP(August[[#This Row],[Drug Name7]],'Data Options'!$R$1:$S$100,2,FALSE), " ")</f>
        <v xml:space="preserve"> </v>
      </c>
      <c r="BU16" s="55"/>
      <c r="BV16" s="32"/>
      <c r="BW16" s="32"/>
      <c r="BX16" s="55"/>
      <c r="BY16" s="32"/>
      <c r="BZ16" s="54"/>
      <c r="CA16" s="21" t="str">
        <f>IFERROR(VLOOKUP(August[[#This Row],[Drug Name8]],'Data Options'!$R$1:$S$100,2,FALSE), " ")</f>
        <v xml:space="preserve"> </v>
      </c>
      <c r="CB16" s="55"/>
      <c r="CC16" s="32"/>
      <c r="CD16" s="32"/>
      <c r="CE16" s="55"/>
      <c r="CF16" s="32"/>
      <c r="CG16" s="54"/>
      <c r="CH16" s="21" t="str">
        <f>IFERROR(VLOOKUP(August[[#This Row],[Drug Name9]],'Data Options'!$R$1:$S$100,2,FALSE), " ")</f>
        <v xml:space="preserve"> </v>
      </c>
      <c r="CI16" s="55"/>
      <c r="CJ16" s="32"/>
      <c r="CK16" s="32"/>
      <c r="CL16" s="55"/>
      <c r="CM16" s="32"/>
    </row>
    <row r="17" spans="1:91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1"/>
      <c r="Q17" s="54"/>
      <c r="R17" s="21" t="str">
        <f>IFERROR(VLOOKUP(August[[#This Row],[Drug Name]],'Data Options'!$R$1:$S$100,2,FALSE), " ")</f>
        <v xml:space="preserve"> </v>
      </c>
      <c r="S17" s="55"/>
      <c r="T17" s="32"/>
      <c r="U17" s="32"/>
      <c r="V17" s="55"/>
      <c r="W17" s="32"/>
      <c r="X17" s="54"/>
      <c r="Y17" s="21" t="str">
        <f>IFERROR(VLOOKUP(August[[#This Row],[Drug Name2]],'Data Options'!$R$1:$S$100,2,FALSE), " ")</f>
        <v xml:space="preserve"> </v>
      </c>
      <c r="Z17" s="55"/>
      <c r="AA17" s="32"/>
      <c r="AB17" s="32"/>
      <c r="AC17" s="55"/>
      <c r="AD17" s="32"/>
      <c r="AE17" s="54"/>
      <c r="AF17" s="21" t="str">
        <f>IFERROR(VLOOKUP(August[[#This Row],[Drug Name3]],'Data Options'!$R$1:$S$100,2,FALSE), " ")</f>
        <v xml:space="preserve"> </v>
      </c>
      <c r="AG17" s="55"/>
      <c r="AH17" s="32"/>
      <c r="AI17" s="32"/>
      <c r="AJ17" s="55"/>
      <c r="AK17" s="32"/>
      <c r="AL17" s="32"/>
      <c r="AM17" s="32"/>
      <c r="AN17" s="32"/>
      <c r="AO17" s="32"/>
      <c r="AP17" s="31"/>
      <c r="AQ17" s="31"/>
      <c r="AR17" s="54"/>
      <c r="AS17" s="21" t="str">
        <f>IFERROR(VLOOKUP(August[[#This Row],[Drug Name4]],'Data Options'!$R$1:$S$100,2,FALSE), " ")</f>
        <v xml:space="preserve"> </v>
      </c>
      <c r="AT17" s="55"/>
      <c r="AU17" s="32"/>
      <c r="AV17" s="32"/>
      <c r="AW17" s="55"/>
      <c r="AX17" s="32"/>
      <c r="AY17" s="54"/>
      <c r="AZ17" s="21" t="str">
        <f>IFERROR(VLOOKUP(August[[#This Row],[Drug Name5]],'Data Options'!$R$1:$S$100,2,FALSE), " ")</f>
        <v xml:space="preserve"> </v>
      </c>
      <c r="BA17" s="55"/>
      <c r="BB17" s="32"/>
      <c r="BC17" s="32"/>
      <c r="BD17" s="55"/>
      <c r="BE17" s="32"/>
      <c r="BF17" s="54"/>
      <c r="BG17" s="21" t="str">
        <f>IFERROR(VLOOKUP(August[[#This Row],[Drug Name6]],'Data Options'!$R$1:$S$100,2,FALSE), " ")</f>
        <v xml:space="preserve"> </v>
      </c>
      <c r="BH17" s="55"/>
      <c r="BI17" s="32"/>
      <c r="BJ17" s="32"/>
      <c r="BK17" s="55"/>
      <c r="BL17" s="32"/>
      <c r="BM17" s="32"/>
      <c r="BN17" s="32"/>
      <c r="BO17" s="32"/>
      <c r="BP17" s="32"/>
      <c r="BQ17" s="31"/>
      <c r="BR17" s="31"/>
      <c r="BS17" s="54"/>
      <c r="BT17" s="21" t="str">
        <f>IFERROR(VLOOKUP(August[[#This Row],[Drug Name7]],'Data Options'!$R$1:$S$100,2,FALSE), " ")</f>
        <v xml:space="preserve"> </v>
      </c>
      <c r="BU17" s="55"/>
      <c r="BV17" s="32"/>
      <c r="BW17" s="32"/>
      <c r="BX17" s="55"/>
      <c r="BY17" s="32"/>
      <c r="BZ17" s="54"/>
      <c r="CA17" s="21" t="str">
        <f>IFERROR(VLOOKUP(August[[#This Row],[Drug Name8]],'Data Options'!$R$1:$S$100,2,FALSE), " ")</f>
        <v xml:space="preserve"> </v>
      </c>
      <c r="CB17" s="55"/>
      <c r="CC17" s="32"/>
      <c r="CD17" s="32"/>
      <c r="CE17" s="55"/>
      <c r="CF17" s="32"/>
      <c r="CG17" s="54"/>
      <c r="CH17" s="21" t="str">
        <f>IFERROR(VLOOKUP(August[[#This Row],[Drug Name9]],'Data Options'!$R$1:$S$100,2,FALSE), " ")</f>
        <v xml:space="preserve"> </v>
      </c>
      <c r="CI17" s="55"/>
      <c r="CJ17" s="32"/>
      <c r="CK17" s="32"/>
      <c r="CL17" s="55"/>
      <c r="CM17" s="32"/>
    </row>
    <row r="18" spans="1:9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1"/>
      <c r="Q18" s="54"/>
      <c r="R18" s="21" t="str">
        <f>IFERROR(VLOOKUP(August[[#This Row],[Drug Name]],'Data Options'!$R$1:$S$100,2,FALSE), " ")</f>
        <v xml:space="preserve"> </v>
      </c>
      <c r="S18" s="55"/>
      <c r="T18" s="32"/>
      <c r="U18" s="32"/>
      <c r="V18" s="55"/>
      <c r="W18" s="32"/>
      <c r="X18" s="54"/>
      <c r="Y18" s="21" t="str">
        <f>IFERROR(VLOOKUP(August[[#This Row],[Drug Name2]],'Data Options'!$R$1:$S$100,2,FALSE), " ")</f>
        <v xml:space="preserve"> </v>
      </c>
      <c r="Z18" s="55"/>
      <c r="AA18" s="32"/>
      <c r="AB18" s="32"/>
      <c r="AC18" s="55"/>
      <c r="AD18" s="32"/>
      <c r="AE18" s="54"/>
      <c r="AF18" s="21" t="str">
        <f>IFERROR(VLOOKUP(August[[#This Row],[Drug Name3]],'Data Options'!$R$1:$S$100,2,FALSE), " ")</f>
        <v xml:space="preserve"> </v>
      </c>
      <c r="AG18" s="55"/>
      <c r="AH18" s="32"/>
      <c r="AI18" s="32"/>
      <c r="AJ18" s="55"/>
      <c r="AK18" s="32"/>
      <c r="AL18" s="32"/>
      <c r="AM18" s="32"/>
      <c r="AN18" s="32"/>
      <c r="AO18" s="32"/>
      <c r="AP18" s="31"/>
      <c r="AQ18" s="31"/>
      <c r="AR18" s="54"/>
      <c r="AS18" s="21" t="str">
        <f>IFERROR(VLOOKUP(August[[#This Row],[Drug Name4]],'Data Options'!$R$1:$S$100,2,FALSE), " ")</f>
        <v xml:space="preserve"> </v>
      </c>
      <c r="AT18" s="55"/>
      <c r="AU18" s="32"/>
      <c r="AV18" s="32"/>
      <c r="AW18" s="55"/>
      <c r="AX18" s="32"/>
      <c r="AY18" s="54"/>
      <c r="AZ18" s="21" t="str">
        <f>IFERROR(VLOOKUP(August[[#This Row],[Drug Name5]],'Data Options'!$R$1:$S$100,2,FALSE), " ")</f>
        <v xml:space="preserve"> </v>
      </c>
      <c r="BA18" s="55"/>
      <c r="BB18" s="32"/>
      <c r="BC18" s="32"/>
      <c r="BD18" s="55"/>
      <c r="BE18" s="32"/>
      <c r="BF18" s="54"/>
      <c r="BG18" s="21" t="str">
        <f>IFERROR(VLOOKUP(August[[#This Row],[Drug Name6]],'Data Options'!$R$1:$S$100,2,FALSE), " ")</f>
        <v xml:space="preserve"> </v>
      </c>
      <c r="BH18" s="55"/>
      <c r="BI18" s="32"/>
      <c r="BJ18" s="32"/>
      <c r="BK18" s="55"/>
      <c r="BL18" s="32"/>
      <c r="BM18" s="32"/>
      <c r="BN18" s="32"/>
      <c r="BO18" s="32"/>
      <c r="BP18" s="32"/>
      <c r="BQ18" s="31"/>
      <c r="BR18" s="31"/>
      <c r="BS18" s="54"/>
      <c r="BT18" s="21" t="str">
        <f>IFERROR(VLOOKUP(August[[#This Row],[Drug Name7]],'Data Options'!$R$1:$S$100,2,FALSE), " ")</f>
        <v xml:space="preserve"> </v>
      </c>
      <c r="BU18" s="55"/>
      <c r="BV18" s="32"/>
      <c r="BW18" s="32"/>
      <c r="BX18" s="55"/>
      <c r="BY18" s="32"/>
      <c r="BZ18" s="54"/>
      <c r="CA18" s="21" t="str">
        <f>IFERROR(VLOOKUP(August[[#This Row],[Drug Name8]],'Data Options'!$R$1:$S$100,2,FALSE), " ")</f>
        <v xml:space="preserve"> </v>
      </c>
      <c r="CB18" s="55"/>
      <c r="CC18" s="32"/>
      <c r="CD18" s="32"/>
      <c r="CE18" s="55"/>
      <c r="CF18" s="32"/>
      <c r="CG18" s="54"/>
      <c r="CH18" s="21" t="str">
        <f>IFERROR(VLOOKUP(August[[#This Row],[Drug Name9]],'Data Options'!$R$1:$S$100,2,FALSE), " ")</f>
        <v xml:space="preserve"> </v>
      </c>
      <c r="CI18" s="55"/>
      <c r="CJ18" s="32"/>
      <c r="CK18" s="32"/>
      <c r="CL18" s="55"/>
      <c r="CM18" s="32"/>
    </row>
    <row r="19" spans="1:9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54"/>
      <c r="R19" s="21" t="str">
        <f>IFERROR(VLOOKUP(August[[#This Row],[Drug Name]],'Data Options'!$R$1:$S$100,2,FALSE), " ")</f>
        <v xml:space="preserve"> </v>
      </c>
      <c r="S19" s="55"/>
      <c r="T19" s="32"/>
      <c r="U19" s="32"/>
      <c r="V19" s="55"/>
      <c r="W19" s="32"/>
      <c r="X19" s="54"/>
      <c r="Y19" s="21" t="str">
        <f>IFERROR(VLOOKUP(August[[#This Row],[Drug Name2]],'Data Options'!$R$1:$S$100,2,FALSE), " ")</f>
        <v xml:space="preserve"> </v>
      </c>
      <c r="Z19" s="55"/>
      <c r="AA19" s="32"/>
      <c r="AB19" s="32"/>
      <c r="AC19" s="55"/>
      <c r="AD19" s="32"/>
      <c r="AE19" s="54"/>
      <c r="AF19" s="21" t="str">
        <f>IFERROR(VLOOKUP(August[[#This Row],[Drug Name3]],'Data Options'!$R$1:$S$100,2,FALSE), " ")</f>
        <v xml:space="preserve"> </v>
      </c>
      <c r="AG19" s="55"/>
      <c r="AH19" s="32"/>
      <c r="AI19" s="32"/>
      <c r="AJ19" s="55"/>
      <c r="AK19" s="32"/>
      <c r="AL19" s="32"/>
      <c r="AM19" s="32"/>
      <c r="AN19" s="32"/>
      <c r="AO19" s="32"/>
      <c r="AP19" s="31"/>
      <c r="AQ19" s="31"/>
      <c r="AR19" s="54"/>
      <c r="AS19" s="21" t="str">
        <f>IFERROR(VLOOKUP(August[[#This Row],[Drug Name4]],'Data Options'!$R$1:$S$100,2,FALSE), " ")</f>
        <v xml:space="preserve"> </v>
      </c>
      <c r="AT19" s="55"/>
      <c r="AU19" s="32"/>
      <c r="AV19" s="32"/>
      <c r="AW19" s="55"/>
      <c r="AX19" s="32"/>
      <c r="AY19" s="54"/>
      <c r="AZ19" s="21" t="str">
        <f>IFERROR(VLOOKUP(August[[#This Row],[Drug Name5]],'Data Options'!$R$1:$S$100,2,FALSE), " ")</f>
        <v xml:space="preserve"> </v>
      </c>
      <c r="BA19" s="55"/>
      <c r="BB19" s="32"/>
      <c r="BC19" s="32"/>
      <c r="BD19" s="55"/>
      <c r="BE19" s="32"/>
      <c r="BF19" s="54"/>
      <c r="BG19" s="21" t="str">
        <f>IFERROR(VLOOKUP(August[[#This Row],[Drug Name6]],'Data Options'!$R$1:$S$100,2,FALSE), " ")</f>
        <v xml:space="preserve"> </v>
      </c>
      <c r="BH19" s="55"/>
      <c r="BI19" s="32"/>
      <c r="BJ19" s="32"/>
      <c r="BK19" s="55"/>
      <c r="BL19" s="32"/>
      <c r="BM19" s="32"/>
      <c r="BN19" s="32"/>
      <c r="BO19" s="32"/>
      <c r="BP19" s="32"/>
      <c r="BQ19" s="31"/>
      <c r="BR19" s="31"/>
      <c r="BS19" s="54"/>
      <c r="BT19" s="21" t="str">
        <f>IFERROR(VLOOKUP(August[[#This Row],[Drug Name7]],'Data Options'!$R$1:$S$100,2,FALSE), " ")</f>
        <v xml:space="preserve"> </v>
      </c>
      <c r="BU19" s="55"/>
      <c r="BV19" s="32"/>
      <c r="BW19" s="32"/>
      <c r="BX19" s="55"/>
      <c r="BY19" s="32"/>
      <c r="BZ19" s="54"/>
      <c r="CA19" s="21" t="str">
        <f>IFERROR(VLOOKUP(August[[#This Row],[Drug Name8]],'Data Options'!$R$1:$S$100,2,FALSE), " ")</f>
        <v xml:space="preserve"> </v>
      </c>
      <c r="CB19" s="55"/>
      <c r="CC19" s="32"/>
      <c r="CD19" s="32"/>
      <c r="CE19" s="55"/>
      <c r="CF19" s="32"/>
      <c r="CG19" s="54"/>
      <c r="CH19" s="21" t="str">
        <f>IFERROR(VLOOKUP(August[[#This Row],[Drug Name9]],'Data Options'!$R$1:$S$100,2,FALSE), " ")</f>
        <v xml:space="preserve"> </v>
      </c>
      <c r="CI19" s="55"/>
      <c r="CJ19" s="32"/>
      <c r="CK19" s="32"/>
      <c r="CL19" s="55"/>
      <c r="CM19" s="32"/>
    </row>
    <row r="20" spans="1:9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1"/>
      <c r="Q20" s="54"/>
      <c r="R20" s="21" t="str">
        <f>IFERROR(VLOOKUP(August[[#This Row],[Drug Name]],'Data Options'!$R$1:$S$100,2,FALSE), " ")</f>
        <v xml:space="preserve"> </v>
      </c>
      <c r="S20" s="55"/>
      <c r="T20" s="32"/>
      <c r="U20" s="32"/>
      <c r="V20" s="55"/>
      <c r="W20" s="32"/>
      <c r="X20" s="54"/>
      <c r="Y20" s="21" t="str">
        <f>IFERROR(VLOOKUP(August[[#This Row],[Drug Name2]],'Data Options'!$R$1:$S$100,2,FALSE), " ")</f>
        <v xml:space="preserve"> </v>
      </c>
      <c r="Z20" s="55"/>
      <c r="AA20" s="32"/>
      <c r="AB20" s="32"/>
      <c r="AC20" s="55"/>
      <c r="AD20" s="32"/>
      <c r="AE20" s="54"/>
      <c r="AF20" s="21" t="str">
        <f>IFERROR(VLOOKUP(August[[#This Row],[Drug Name3]],'Data Options'!$R$1:$S$100,2,FALSE), " ")</f>
        <v xml:space="preserve"> </v>
      </c>
      <c r="AG20" s="55"/>
      <c r="AH20" s="32"/>
      <c r="AI20" s="32"/>
      <c r="AJ20" s="55"/>
      <c r="AK20" s="32"/>
      <c r="AL20" s="32"/>
      <c r="AM20" s="32"/>
      <c r="AN20" s="32"/>
      <c r="AO20" s="32"/>
      <c r="AP20" s="31"/>
      <c r="AQ20" s="31"/>
      <c r="AR20" s="54"/>
      <c r="AS20" s="21" t="str">
        <f>IFERROR(VLOOKUP(August[[#This Row],[Drug Name4]],'Data Options'!$R$1:$S$100,2,FALSE), " ")</f>
        <v xml:space="preserve"> </v>
      </c>
      <c r="AT20" s="55"/>
      <c r="AU20" s="32"/>
      <c r="AV20" s="32"/>
      <c r="AW20" s="55"/>
      <c r="AX20" s="32"/>
      <c r="AY20" s="54"/>
      <c r="AZ20" s="21" t="str">
        <f>IFERROR(VLOOKUP(August[[#This Row],[Drug Name5]],'Data Options'!$R$1:$S$100,2,FALSE), " ")</f>
        <v xml:space="preserve"> </v>
      </c>
      <c r="BA20" s="55"/>
      <c r="BB20" s="32"/>
      <c r="BC20" s="32"/>
      <c r="BD20" s="55"/>
      <c r="BE20" s="32"/>
      <c r="BF20" s="54"/>
      <c r="BG20" s="21" t="str">
        <f>IFERROR(VLOOKUP(August[[#This Row],[Drug Name6]],'Data Options'!$R$1:$S$100,2,FALSE), " ")</f>
        <v xml:space="preserve"> </v>
      </c>
      <c r="BH20" s="55"/>
      <c r="BI20" s="32"/>
      <c r="BJ20" s="32"/>
      <c r="BK20" s="55"/>
      <c r="BL20" s="32"/>
      <c r="BM20" s="32"/>
      <c r="BN20" s="32"/>
      <c r="BO20" s="32"/>
      <c r="BP20" s="32"/>
      <c r="BQ20" s="31"/>
      <c r="BR20" s="31"/>
      <c r="BS20" s="54"/>
      <c r="BT20" s="21" t="str">
        <f>IFERROR(VLOOKUP(August[[#This Row],[Drug Name7]],'Data Options'!$R$1:$S$100,2,FALSE), " ")</f>
        <v xml:space="preserve"> </v>
      </c>
      <c r="BU20" s="55"/>
      <c r="BV20" s="32"/>
      <c r="BW20" s="32"/>
      <c r="BX20" s="55"/>
      <c r="BY20" s="32"/>
      <c r="BZ20" s="54"/>
      <c r="CA20" s="21" t="str">
        <f>IFERROR(VLOOKUP(August[[#This Row],[Drug Name8]],'Data Options'!$R$1:$S$100,2,FALSE), " ")</f>
        <v xml:space="preserve"> </v>
      </c>
      <c r="CB20" s="55"/>
      <c r="CC20" s="32"/>
      <c r="CD20" s="32"/>
      <c r="CE20" s="55"/>
      <c r="CF20" s="32"/>
      <c r="CG20" s="54"/>
      <c r="CH20" s="21" t="str">
        <f>IFERROR(VLOOKUP(August[[#This Row],[Drug Name9]],'Data Options'!$R$1:$S$100,2,FALSE), " ")</f>
        <v xml:space="preserve"> </v>
      </c>
      <c r="CI20" s="55"/>
      <c r="CJ20" s="32"/>
      <c r="CK20" s="32"/>
      <c r="CL20" s="55"/>
      <c r="CM20" s="32"/>
    </row>
    <row r="21" spans="1:91">
      <c r="A21" s="5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1"/>
      <c r="Q21" s="54"/>
      <c r="R21" s="21" t="str">
        <f>IFERROR(VLOOKUP(August[[#This Row],[Drug Name]],'Data Options'!$R$1:$S$100,2,FALSE), " ")</f>
        <v xml:space="preserve"> </v>
      </c>
      <c r="S21" s="55"/>
      <c r="T21" s="32"/>
      <c r="U21" s="32"/>
      <c r="V21" s="55"/>
      <c r="W21" s="32"/>
      <c r="X21" s="54"/>
      <c r="Y21" s="21" t="str">
        <f>IFERROR(VLOOKUP(August[[#This Row],[Drug Name2]],'Data Options'!$R$1:$S$100,2,FALSE), " ")</f>
        <v xml:space="preserve"> </v>
      </c>
      <c r="Z21" s="55"/>
      <c r="AA21" s="32"/>
      <c r="AB21" s="32"/>
      <c r="AC21" s="55"/>
      <c r="AD21" s="32"/>
      <c r="AE21" s="54"/>
      <c r="AF21" s="21" t="str">
        <f>IFERROR(VLOOKUP(August[[#This Row],[Drug Name3]],'Data Options'!$R$1:$S$100,2,FALSE), " ")</f>
        <v xml:space="preserve"> </v>
      </c>
      <c r="AG21" s="55"/>
      <c r="AH21" s="32"/>
      <c r="AI21" s="32"/>
      <c r="AJ21" s="55"/>
      <c r="AK21" s="32"/>
      <c r="AL21" s="32"/>
      <c r="AM21" s="32"/>
      <c r="AN21" s="32"/>
      <c r="AO21" s="32"/>
      <c r="AP21" s="31"/>
      <c r="AQ21" s="31"/>
      <c r="AR21" s="54"/>
      <c r="AS21" s="21" t="str">
        <f>IFERROR(VLOOKUP(August[[#This Row],[Drug Name4]],'Data Options'!$R$1:$S$100,2,FALSE), " ")</f>
        <v xml:space="preserve"> </v>
      </c>
      <c r="AT21" s="55"/>
      <c r="AU21" s="32"/>
      <c r="AV21" s="32"/>
      <c r="AW21" s="55"/>
      <c r="AX21" s="32"/>
      <c r="AY21" s="54"/>
      <c r="AZ21" s="21" t="str">
        <f>IFERROR(VLOOKUP(August[[#This Row],[Drug Name5]],'Data Options'!$R$1:$S$100,2,FALSE), " ")</f>
        <v xml:space="preserve"> </v>
      </c>
      <c r="BA21" s="55"/>
      <c r="BB21" s="32"/>
      <c r="BC21" s="32"/>
      <c r="BD21" s="55"/>
      <c r="BE21" s="32"/>
      <c r="BF21" s="54"/>
      <c r="BG21" s="21" t="str">
        <f>IFERROR(VLOOKUP(August[[#This Row],[Drug Name6]],'Data Options'!$R$1:$S$100,2,FALSE), " ")</f>
        <v xml:space="preserve"> </v>
      </c>
      <c r="BH21" s="55"/>
      <c r="BI21" s="32"/>
      <c r="BJ21" s="32"/>
      <c r="BK21" s="55"/>
      <c r="BL21" s="32"/>
      <c r="BM21" s="32"/>
      <c r="BN21" s="32"/>
      <c r="BO21" s="32"/>
      <c r="BP21" s="32"/>
      <c r="BQ21" s="31"/>
      <c r="BR21" s="31"/>
      <c r="BS21" s="54"/>
      <c r="BT21" s="21" t="str">
        <f>IFERROR(VLOOKUP(August[[#This Row],[Drug Name7]],'Data Options'!$R$1:$S$100,2,FALSE), " ")</f>
        <v xml:space="preserve"> </v>
      </c>
      <c r="BU21" s="55"/>
      <c r="BV21" s="32"/>
      <c r="BW21" s="32"/>
      <c r="BX21" s="55"/>
      <c r="BY21" s="32"/>
      <c r="BZ21" s="54"/>
      <c r="CA21" s="21" t="str">
        <f>IFERROR(VLOOKUP(August[[#This Row],[Drug Name8]],'Data Options'!$R$1:$S$100,2,FALSE), " ")</f>
        <v xml:space="preserve"> </v>
      </c>
      <c r="CB21" s="55"/>
      <c r="CC21" s="32"/>
      <c r="CD21" s="32"/>
      <c r="CE21" s="55"/>
      <c r="CF21" s="32"/>
      <c r="CG21" s="54"/>
      <c r="CH21" s="21" t="str">
        <f>IFERROR(VLOOKUP(August[[#This Row],[Drug Name9]],'Data Options'!$R$1:$S$100,2,FALSE), " ")</f>
        <v xml:space="preserve"> </v>
      </c>
      <c r="CI21" s="55"/>
      <c r="CJ21" s="32"/>
      <c r="CK21" s="32"/>
      <c r="CL21" s="55"/>
      <c r="CM21" s="32"/>
    </row>
    <row r="22" spans="1:91">
      <c r="A22" s="5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1"/>
      <c r="Q22" s="54"/>
      <c r="R22" s="21" t="str">
        <f>IFERROR(VLOOKUP(August[[#This Row],[Drug Name]],'Data Options'!$R$1:$S$100,2,FALSE), " ")</f>
        <v xml:space="preserve"> </v>
      </c>
      <c r="S22" s="55"/>
      <c r="T22" s="32"/>
      <c r="U22" s="32"/>
      <c r="V22" s="55"/>
      <c r="W22" s="32"/>
      <c r="X22" s="54"/>
      <c r="Y22" s="21" t="str">
        <f>IFERROR(VLOOKUP(August[[#This Row],[Drug Name2]],'Data Options'!$R$1:$S$100,2,FALSE), " ")</f>
        <v xml:space="preserve"> </v>
      </c>
      <c r="Z22" s="55"/>
      <c r="AA22" s="32"/>
      <c r="AB22" s="32"/>
      <c r="AC22" s="55"/>
      <c r="AD22" s="32"/>
      <c r="AE22" s="54"/>
      <c r="AF22" s="21" t="str">
        <f>IFERROR(VLOOKUP(August[[#This Row],[Drug Name3]],'Data Options'!$R$1:$S$100,2,FALSE), " ")</f>
        <v xml:space="preserve"> </v>
      </c>
      <c r="AG22" s="55"/>
      <c r="AH22" s="32"/>
      <c r="AI22" s="32"/>
      <c r="AJ22" s="55"/>
      <c r="AK22" s="32"/>
      <c r="AL22" s="32"/>
      <c r="AM22" s="32"/>
      <c r="AN22" s="32"/>
      <c r="AO22" s="32"/>
      <c r="AP22" s="31"/>
      <c r="AQ22" s="31"/>
      <c r="AR22" s="54"/>
      <c r="AS22" s="21" t="str">
        <f>IFERROR(VLOOKUP(August[[#This Row],[Drug Name4]],'Data Options'!$R$1:$S$100,2,FALSE), " ")</f>
        <v xml:space="preserve"> </v>
      </c>
      <c r="AT22" s="55"/>
      <c r="AU22" s="32"/>
      <c r="AV22" s="32"/>
      <c r="AW22" s="55"/>
      <c r="AX22" s="32"/>
      <c r="AY22" s="54"/>
      <c r="AZ22" s="21" t="str">
        <f>IFERROR(VLOOKUP(August[[#This Row],[Drug Name5]],'Data Options'!$R$1:$S$100,2,FALSE), " ")</f>
        <v xml:space="preserve"> </v>
      </c>
      <c r="BA22" s="55"/>
      <c r="BB22" s="32"/>
      <c r="BC22" s="32"/>
      <c r="BD22" s="55"/>
      <c r="BE22" s="32"/>
      <c r="BF22" s="54"/>
      <c r="BG22" s="21" t="str">
        <f>IFERROR(VLOOKUP(August[[#This Row],[Drug Name6]],'Data Options'!$R$1:$S$100,2,FALSE), " ")</f>
        <v xml:space="preserve"> </v>
      </c>
      <c r="BH22" s="55"/>
      <c r="BI22" s="32"/>
      <c r="BJ22" s="32"/>
      <c r="BK22" s="55"/>
      <c r="BL22" s="32"/>
      <c r="BM22" s="32"/>
      <c r="BN22" s="32"/>
      <c r="BO22" s="32"/>
      <c r="BP22" s="32"/>
      <c r="BQ22" s="31"/>
      <c r="BR22" s="31"/>
      <c r="BS22" s="54"/>
      <c r="BT22" s="21" t="str">
        <f>IFERROR(VLOOKUP(August[[#This Row],[Drug Name7]],'Data Options'!$R$1:$S$100,2,FALSE), " ")</f>
        <v xml:space="preserve"> </v>
      </c>
      <c r="BU22" s="55"/>
      <c r="BV22" s="32"/>
      <c r="BW22" s="32"/>
      <c r="BX22" s="55"/>
      <c r="BY22" s="32"/>
      <c r="BZ22" s="54"/>
      <c r="CA22" s="21" t="str">
        <f>IFERROR(VLOOKUP(August[[#This Row],[Drug Name8]],'Data Options'!$R$1:$S$100,2,FALSE), " ")</f>
        <v xml:space="preserve"> </v>
      </c>
      <c r="CB22" s="55"/>
      <c r="CC22" s="32"/>
      <c r="CD22" s="32"/>
      <c r="CE22" s="55"/>
      <c r="CF22" s="32"/>
      <c r="CG22" s="54"/>
      <c r="CH22" s="21" t="str">
        <f>IFERROR(VLOOKUP(August[[#This Row],[Drug Name9]],'Data Options'!$R$1:$S$100,2,FALSE), " ")</f>
        <v xml:space="preserve"> </v>
      </c>
      <c r="CI22" s="55"/>
      <c r="CJ22" s="32"/>
      <c r="CK22" s="32"/>
      <c r="CL22" s="55"/>
      <c r="CM22" s="32"/>
    </row>
    <row r="23" spans="1:9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54"/>
      <c r="R23" s="21" t="str">
        <f>IFERROR(VLOOKUP(August[[#This Row],[Drug Name]],'Data Options'!$R$1:$S$100,2,FALSE), " ")</f>
        <v xml:space="preserve"> </v>
      </c>
      <c r="S23" s="55"/>
      <c r="T23" s="32"/>
      <c r="U23" s="32"/>
      <c r="V23" s="55"/>
      <c r="W23" s="32"/>
      <c r="X23" s="54"/>
      <c r="Y23" s="21" t="str">
        <f>IFERROR(VLOOKUP(August[[#This Row],[Drug Name2]],'Data Options'!$R$1:$S$100,2,FALSE), " ")</f>
        <v xml:space="preserve"> </v>
      </c>
      <c r="Z23" s="55"/>
      <c r="AA23" s="32"/>
      <c r="AB23" s="32"/>
      <c r="AC23" s="55"/>
      <c r="AD23" s="32"/>
      <c r="AE23" s="54"/>
      <c r="AF23" s="21" t="str">
        <f>IFERROR(VLOOKUP(August[[#This Row],[Drug Name3]],'Data Options'!$R$1:$S$100,2,FALSE), " ")</f>
        <v xml:space="preserve"> </v>
      </c>
      <c r="AG23" s="55"/>
      <c r="AH23" s="32"/>
      <c r="AI23" s="32"/>
      <c r="AJ23" s="55"/>
      <c r="AK23" s="32"/>
      <c r="AL23" s="32"/>
      <c r="AM23" s="32"/>
      <c r="AN23" s="32"/>
      <c r="AO23" s="32"/>
      <c r="AP23" s="31"/>
      <c r="AQ23" s="31"/>
      <c r="AR23" s="54"/>
      <c r="AS23" s="21" t="str">
        <f>IFERROR(VLOOKUP(August[[#This Row],[Drug Name4]],'Data Options'!$R$1:$S$100,2,FALSE), " ")</f>
        <v xml:space="preserve"> </v>
      </c>
      <c r="AT23" s="55"/>
      <c r="AU23" s="32"/>
      <c r="AV23" s="32"/>
      <c r="AW23" s="55"/>
      <c r="AX23" s="32"/>
      <c r="AY23" s="54"/>
      <c r="AZ23" s="21" t="str">
        <f>IFERROR(VLOOKUP(August[[#This Row],[Drug Name5]],'Data Options'!$R$1:$S$100,2,FALSE), " ")</f>
        <v xml:space="preserve"> </v>
      </c>
      <c r="BA23" s="55"/>
      <c r="BB23" s="32"/>
      <c r="BC23" s="32"/>
      <c r="BD23" s="55"/>
      <c r="BE23" s="32"/>
      <c r="BF23" s="54"/>
      <c r="BG23" s="21" t="str">
        <f>IFERROR(VLOOKUP(August[[#This Row],[Drug Name6]],'Data Options'!$R$1:$S$100,2,FALSE), " ")</f>
        <v xml:space="preserve"> </v>
      </c>
      <c r="BH23" s="55"/>
      <c r="BI23" s="32"/>
      <c r="BJ23" s="32"/>
      <c r="BK23" s="55"/>
      <c r="BL23" s="32"/>
      <c r="BM23" s="32"/>
      <c r="BN23" s="32"/>
      <c r="BO23" s="32"/>
      <c r="BP23" s="32"/>
      <c r="BQ23" s="31"/>
      <c r="BR23" s="31"/>
      <c r="BS23" s="54"/>
      <c r="BT23" s="21" t="str">
        <f>IFERROR(VLOOKUP(August[[#This Row],[Drug Name7]],'Data Options'!$R$1:$S$100,2,FALSE), " ")</f>
        <v xml:space="preserve"> </v>
      </c>
      <c r="BU23" s="55"/>
      <c r="BV23" s="32"/>
      <c r="BW23" s="32"/>
      <c r="BX23" s="55"/>
      <c r="BY23" s="32"/>
      <c r="BZ23" s="54"/>
      <c r="CA23" s="21" t="str">
        <f>IFERROR(VLOOKUP(August[[#This Row],[Drug Name8]],'Data Options'!$R$1:$S$100,2,FALSE), " ")</f>
        <v xml:space="preserve"> </v>
      </c>
      <c r="CB23" s="55"/>
      <c r="CC23" s="32"/>
      <c r="CD23" s="32"/>
      <c r="CE23" s="55"/>
      <c r="CF23" s="32"/>
      <c r="CG23" s="54"/>
      <c r="CH23" s="21" t="str">
        <f>IFERROR(VLOOKUP(August[[#This Row],[Drug Name9]],'Data Options'!$R$1:$S$100,2,FALSE), " ")</f>
        <v xml:space="preserve"> </v>
      </c>
      <c r="CI23" s="55"/>
      <c r="CJ23" s="32"/>
      <c r="CK23" s="32"/>
      <c r="CL23" s="55"/>
      <c r="CM23" s="32"/>
    </row>
    <row r="24" spans="1:91">
      <c r="A24" s="5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54"/>
      <c r="R24" s="21" t="str">
        <f>IFERROR(VLOOKUP(August[[#This Row],[Drug Name]],'Data Options'!$R$1:$S$100,2,FALSE), " ")</f>
        <v xml:space="preserve"> </v>
      </c>
      <c r="S24" s="55"/>
      <c r="T24" s="32"/>
      <c r="U24" s="32"/>
      <c r="V24" s="55"/>
      <c r="W24" s="32"/>
      <c r="X24" s="54"/>
      <c r="Y24" s="21" t="str">
        <f>IFERROR(VLOOKUP(August[[#This Row],[Drug Name2]],'Data Options'!$R$1:$S$100,2,FALSE), " ")</f>
        <v xml:space="preserve"> </v>
      </c>
      <c r="Z24" s="55"/>
      <c r="AA24" s="32"/>
      <c r="AB24" s="32"/>
      <c r="AC24" s="55"/>
      <c r="AD24" s="32"/>
      <c r="AE24" s="54"/>
      <c r="AF24" s="21" t="str">
        <f>IFERROR(VLOOKUP(August[[#This Row],[Drug Name3]],'Data Options'!$R$1:$S$100,2,FALSE), " ")</f>
        <v xml:space="preserve"> </v>
      </c>
      <c r="AG24" s="55"/>
      <c r="AH24" s="32"/>
      <c r="AI24" s="32"/>
      <c r="AJ24" s="55"/>
      <c r="AK24" s="32"/>
      <c r="AL24" s="32"/>
      <c r="AM24" s="32"/>
      <c r="AN24" s="32"/>
      <c r="AO24" s="32"/>
      <c r="AP24" s="31"/>
      <c r="AQ24" s="31"/>
      <c r="AR24" s="54"/>
      <c r="AS24" s="21" t="str">
        <f>IFERROR(VLOOKUP(August[[#This Row],[Drug Name4]],'Data Options'!$R$1:$S$100,2,FALSE), " ")</f>
        <v xml:space="preserve"> </v>
      </c>
      <c r="AT24" s="55"/>
      <c r="AU24" s="32"/>
      <c r="AV24" s="32"/>
      <c r="AW24" s="55"/>
      <c r="AX24" s="32"/>
      <c r="AY24" s="54"/>
      <c r="AZ24" s="21" t="str">
        <f>IFERROR(VLOOKUP(August[[#This Row],[Drug Name5]],'Data Options'!$R$1:$S$100,2,FALSE), " ")</f>
        <v xml:space="preserve"> </v>
      </c>
      <c r="BA24" s="55"/>
      <c r="BB24" s="32"/>
      <c r="BC24" s="32"/>
      <c r="BD24" s="55"/>
      <c r="BE24" s="32"/>
      <c r="BF24" s="54"/>
      <c r="BG24" s="21" t="str">
        <f>IFERROR(VLOOKUP(August[[#This Row],[Drug Name6]],'Data Options'!$R$1:$S$100,2,FALSE), " ")</f>
        <v xml:space="preserve"> </v>
      </c>
      <c r="BH24" s="55"/>
      <c r="BI24" s="32"/>
      <c r="BJ24" s="32"/>
      <c r="BK24" s="55"/>
      <c r="BL24" s="32"/>
      <c r="BM24" s="32"/>
      <c r="BN24" s="32"/>
      <c r="BO24" s="32"/>
      <c r="BP24" s="32"/>
      <c r="BQ24" s="31"/>
      <c r="BR24" s="31"/>
      <c r="BS24" s="54"/>
      <c r="BT24" s="21" t="str">
        <f>IFERROR(VLOOKUP(August[[#This Row],[Drug Name7]],'Data Options'!$R$1:$S$100,2,FALSE), " ")</f>
        <v xml:space="preserve"> </v>
      </c>
      <c r="BU24" s="55"/>
      <c r="BV24" s="32"/>
      <c r="BW24" s="32"/>
      <c r="BX24" s="55"/>
      <c r="BY24" s="32"/>
      <c r="BZ24" s="54"/>
      <c r="CA24" s="21" t="str">
        <f>IFERROR(VLOOKUP(August[[#This Row],[Drug Name8]],'Data Options'!$R$1:$S$100,2,FALSE), " ")</f>
        <v xml:space="preserve"> </v>
      </c>
      <c r="CB24" s="55"/>
      <c r="CC24" s="32"/>
      <c r="CD24" s="32"/>
      <c r="CE24" s="55"/>
      <c r="CF24" s="32"/>
      <c r="CG24" s="54"/>
      <c r="CH24" s="21" t="str">
        <f>IFERROR(VLOOKUP(August[[#This Row],[Drug Name9]],'Data Options'!$R$1:$S$100,2,FALSE), " ")</f>
        <v xml:space="preserve"> </v>
      </c>
      <c r="CI24" s="55"/>
      <c r="CJ24" s="32"/>
      <c r="CK24" s="32"/>
      <c r="CL24" s="55"/>
      <c r="CM24" s="32"/>
    </row>
    <row r="25" spans="1:9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54"/>
      <c r="R25" s="21" t="str">
        <f>IFERROR(VLOOKUP(August[[#This Row],[Drug Name]],'Data Options'!$R$1:$S$100,2,FALSE), " ")</f>
        <v xml:space="preserve"> </v>
      </c>
      <c r="S25" s="55"/>
      <c r="T25" s="32"/>
      <c r="U25" s="32"/>
      <c r="V25" s="55"/>
      <c r="W25" s="32"/>
      <c r="X25" s="54"/>
      <c r="Y25" s="21" t="str">
        <f>IFERROR(VLOOKUP(August[[#This Row],[Drug Name2]],'Data Options'!$R$1:$S$100,2,FALSE), " ")</f>
        <v xml:space="preserve"> </v>
      </c>
      <c r="Z25" s="55"/>
      <c r="AA25" s="32"/>
      <c r="AB25" s="32"/>
      <c r="AC25" s="55"/>
      <c r="AD25" s="32"/>
      <c r="AE25" s="54"/>
      <c r="AF25" s="21" t="str">
        <f>IFERROR(VLOOKUP(August[[#This Row],[Drug Name3]],'Data Options'!$R$1:$S$100,2,FALSE), " ")</f>
        <v xml:space="preserve"> </v>
      </c>
      <c r="AG25" s="55"/>
      <c r="AH25" s="32"/>
      <c r="AI25" s="32"/>
      <c r="AJ25" s="55"/>
      <c r="AK25" s="32"/>
      <c r="AL25" s="32"/>
      <c r="AM25" s="32"/>
      <c r="AN25" s="32"/>
      <c r="AO25" s="32"/>
      <c r="AP25" s="31"/>
      <c r="AQ25" s="31"/>
      <c r="AR25" s="54"/>
      <c r="AS25" s="21" t="str">
        <f>IFERROR(VLOOKUP(August[[#This Row],[Drug Name4]],'Data Options'!$R$1:$S$100,2,FALSE), " ")</f>
        <v xml:space="preserve"> </v>
      </c>
      <c r="AT25" s="55"/>
      <c r="AU25" s="32"/>
      <c r="AV25" s="32"/>
      <c r="AW25" s="55"/>
      <c r="AX25" s="32"/>
      <c r="AY25" s="54"/>
      <c r="AZ25" s="21" t="str">
        <f>IFERROR(VLOOKUP(August[[#This Row],[Drug Name5]],'Data Options'!$R$1:$S$100,2,FALSE), " ")</f>
        <v xml:space="preserve"> </v>
      </c>
      <c r="BA25" s="55"/>
      <c r="BB25" s="32"/>
      <c r="BC25" s="32"/>
      <c r="BD25" s="55"/>
      <c r="BE25" s="32"/>
      <c r="BF25" s="54"/>
      <c r="BG25" s="21" t="str">
        <f>IFERROR(VLOOKUP(August[[#This Row],[Drug Name6]],'Data Options'!$R$1:$S$100,2,FALSE), " ")</f>
        <v xml:space="preserve"> </v>
      </c>
      <c r="BH25" s="55"/>
      <c r="BI25" s="32"/>
      <c r="BJ25" s="32"/>
      <c r="BK25" s="55"/>
      <c r="BL25" s="32"/>
      <c r="BM25" s="32"/>
      <c r="BN25" s="32"/>
      <c r="BO25" s="32"/>
      <c r="BP25" s="32"/>
      <c r="BQ25" s="31"/>
      <c r="BR25" s="31"/>
      <c r="BS25" s="54"/>
      <c r="BT25" s="21" t="str">
        <f>IFERROR(VLOOKUP(August[[#This Row],[Drug Name7]],'Data Options'!$R$1:$S$100,2,FALSE), " ")</f>
        <v xml:space="preserve"> </v>
      </c>
      <c r="BU25" s="55"/>
      <c r="BV25" s="32"/>
      <c r="BW25" s="32"/>
      <c r="BX25" s="55"/>
      <c r="BY25" s="32"/>
      <c r="BZ25" s="54"/>
      <c r="CA25" s="21" t="str">
        <f>IFERROR(VLOOKUP(August[[#This Row],[Drug Name8]],'Data Options'!$R$1:$S$100,2,FALSE), " ")</f>
        <v xml:space="preserve"> </v>
      </c>
      <c r="CB25" s="55"/>
      <c r="CC25" s="32"/>
      <c r="CD25" s="32"/>
      <c r="CE25" s="55"/>
      <c r="CF25" s="32"/>
      <c r="CG25" s="54"/>
      <c r="CH25" s="21" t="str">
        <f>IFERROR(VLOOKUP(August[[#This Row],[Drug Name9]],'Data Options'!$R$1:$S$100,2,FALSE), " ")</f>
        <v xml:space="preserve"> </v>
      </c>
      <c r="CI25" s="55"/>
      <c r="CJ25" s="32"/>
      <c r="CK25" s="32"/>
      <c r="CL25" s="55"/>
      <c r="CM25" s="32"/>
    </row>
    <row r="26" spans="1:91">
      <c r="A26" s="5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54"/>
      <c r="R26" s="21" t="str">
        <f>IFERROR(VLOOKUP(August[[#This Row],[Drug Name]],'Data Options'!$R$1:$S$100,2,FALSE), " ")</f>
        <v xml:space="preserve"> </v>
      </c>
      <c r="S26" s="55"/>
      <c r="T26" s="32"/>
      <c r="U26" s="32"/>
      <c r="V26" s="55"/>
      <c r="W26" s="32"/>
      <c r="X26" s="54"/>
      <c r="Y26" s="21" t="str">
        <f>IFERROR(VLOOKUP(August[[#This Row],[Drug Name2]],'Data Options'!$R$1:$S$100,2,FALSE), " ")</f>
        <v xml:space="preserve"> </v>
      </c>
      <c r="Z26" s="55"/>
      <c r="AA26" s="32"/>
      <c r="AB26" s="32"/>
      <c r="AC26" s="55"/>
      <c r="AD26" s="32"/>
      <c r="AE26" s="54"/>
      <c r="AF26" s="21" t="str">
        <f>IFERROR(VLOOKUP(August[[#This Row],[Drug Name3]],'Data Options'!$R$1:$S$100,2,FALSE), " ")</f>
        <v xml:space="preserve"> </v>
      </c>
      <c r="AG26" s="55"/>
      <c r="AH26" s="32"/>
      <c r="AI26" s="32"/>
      <c r="AJ26" s="55"/>
      <c r="AK26" s="32"/>
      <c r="AL26" s="32"/>
      <c r="AM26" s="32"/>
      <c r="AN26" s="32"/>
      <c r="AO26" s="32"/>
      <c r="AP26" s="31"/>
      <c r="AQ26" s="31"/>
      <c r="AR26" s="54"/>
      <c r="AS26" s="21" t="str">
        <f>IFERROR(VLOOKUP(August[[#This Row],[Drug Name4]],'Data Options'!$R$1:$S$100,2,FALSE), " ")</f>
        <v xml:space="preserve"> </v>
      </c>
      <c r="AT26" s="55"/>
      <c r="AU26" s="32"/>
      <c r="AV26" s="32"/>
      <c r="AW26" s="55"/>
      <c r="AX26" s="32"/>
      <c r="AY26" s="54"/>
      <c r="AZ26" s="21" t="str">
        <f>IFERROR(VLOOKUP(August[[#This Row],[Drug Name5]],'Data Options'!$R$1:$S$100,2,FALSE), " ")</f>
        <v xml:space="preserve"> </v>
      </c>
      <c r="BA26" s="55"/>
      <c r="BB26" s="32"/>
      <c r="BC26" s="32"/>
      <c r="BD26" s="55"/>
      <c r="BE26" s="32"/>
      <c r="BF26" s="54"/>
      <c r="BG26" s="21" t="str">
        <f>IFERROR(VLOOKUP(August[[#This Row],[Drug Name6]],'Data Options'!$R$1:$S$100,2,FALSE), " ")</f>
        <v xml:space="preserve"> </v>
      </c>
      <c r="BH26" s="55"/>
      <c r="BI26" s="32"/>
      <c r="BJ26" s="32"/>
      <c r="BK26" s="55"/>
      <c r="BL26" s="32"/>
      <c r="BM26" s="32"/>
      <c r="BN26" s="32"/>
      <c r="BO26" s="32"/>
      <c r="BP26" s="32"/>
      <c r="BQ26" s="31"/>
      <c r="BR26" s="31"/>
      <c r="BS26" s="54"/>
      <c r="BT26" s="21" t="str">
        <f>IFERROR(VLOOKUP(August[[#This Row],[Drug Name7]],'Data Options'!$R$1:$S$100,2,FALSE), " ")</f>
        <v xml:space="preserve"> </v>
      </c>
      <c r="BU26" s="55"/>
      <c r="BV26" s="32"/>
      <c r="BW26" s="32"/>
      <c r="BX26" s="55"/>
      <c r="BY26" s="32"/>
      <c r="BZ26" s="54"/>
      <c r="CA26" s="21" t="str">
        <f>IFERROR(VLOOKUP(August[[#This Row],[Drug Name8]],'Data Options'!$R$1:$S$100,2,FALSE), " ")</f>
        <v xml:space="preserve"> </v>
      </c>
      <c r="CB26" s="55"/>
      <c r="CC26" s="32"/>
      <c r="CD26" s="32"/>
      <c r="CE26" s="55"/>
      <c r="CF26" s="32"/>
      <c r="CG26" s="54"/>
      <c r="CH26" s="21" t="str">
        <f>IFERROR(VLOOKUP(August[[#This Row],[Drug Name9]],'Data Options'!$R$1:$S$100,2,FALSE), " ")</f>
        <v xml:space="preserve"> </v>
      </c>
      <c r="CI26" s="55"/>
      <c r="CJ26" s="32"/>
      <c r="CK26" s="32"/>
      <c r="CL26" s="55"/>
      <c r="CM26" s="32"/>
    </row>
    <row r="27" spans="1:91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54"/>
      <c r="R27" s="21" t="str">
        <f>IFERROR(VLOOKUP(August[[#This Row],[Drug Name]],'Data Options'!$R$1:$S$100,2,FALSE), " ")</f>
        <v xml:space="preserve"> </v>
      </c>
      <c r="S27" s="55"/>
      <c r="T27" s="32"/>
      <c r="U27" s="32"/>
      <c r="V27" s="55"/>
      <c r="W27" s="32"/>
      <c r="X27" s="54"/>
      <c r="Y27" s="21" t="str">
        <f>IFERROR(VLOOKUP(August[[#This Row],[Drug Name2]],'Data Options'!$R$1:$S$100,2,FALSE), " ")</f>
        <v xml:space="preserve"> </v>
      </c>
      <c r="Z27" s="55"/>
      <c r="AA27" s="32"/>
      <c r="AB27" s="32"/>
      <c r="AC27" s="55"/>
      <c r="AD27" s="32"/>
      <c r="AE27" s="54"/>
      <c r="AF27" s="21" t="str">
        <f>IFERROR(VLOOKUP(August[[#This Row],[Drug Name3]],'Data Options'!$R$1:$S$100,2,FALSE), " ")</f>
        <v xml:space="preserve"> </v>
      </c>
      <c r="AG27" s="55"/>
      <c r="AH27" s="32"/>
      <c r="AI27" s="32"/>
      <c r="AJ27" s="55"/>
      <c r="AK27" s="32"/>
      <c r="AL27" s="32"/>
      <c r="AM27" s="32"/>
      <c r="AN27" s="32"/>
      <c r="AO27" s="32"/>
      <c r="AP27" s="31"/>
      <c r="AQ27" s="31"/>
      <c r="AR27" s="54"/>
      <c r="AS27" s="21" t="str">
        <f>IFERROR(VLOOKUP(August[[#This Row],[Drug Name4]],'Data Options'!$R$1:$S$100,2,FALSE), " ")</f>
        <v xml:space="preserve"> </v>
      </c>
      <c r="AT27" s="55"/>
      <c r="AU27" s="32"/>
      <c r="AV27" s="32"/>
      <c r="AW27" s="55"/>
      <c r="AX27" s="32"/>
      <c r="AY27" s="54"/>
      <c r="AZ27" s="21" t="str">
        <f>IFERROR(VLOOKUP(August[[#This Row],[Drug Name5]],'Data Options'!$R$1:$S$100,2,FALSE), " ")</f>
        <v xml:space="preserve"> </v>
      </c>
      <c r="BA27" s="55"/>
      <c r="BB27" s="32"/>
      <c r="BC27" s="32"/>
      <c r="BD27" s="55"/>
      <c r="BE27" s="32"/>
      <c r="BF27" s="54"/>
      <c r="BG27" s="21" t="str">
        <f>IFERROR(VLOOKUP(August[[#This Row],[Drug Name6]],'Data Options'!$R$1:$S$100,2,FALSE), " ")</f>
        <v xml:space="preserve"> </v>
      </c>
      <c r="BH27" s="55"/>
      <c r="BI27" s="32"/>
      <c r="BJ27" s="32"/>
      <c r="BK27" s="55"/>
      <c r="BL27" s="32"/>
      <c r="BM27" s="32"/>
      <c r="BN27" s="32"/>
      <c r="BO27" s="32"/>
      <c r="BP27" s="32"/>
      <c r="BQ27" s="31"/>
      <c r="BR27" s="31"/>
      <c r="BS27" s="54"/>
      <c r="BT27" s="21" t="str">
        <f>IFERROR(VLOOKUP(August[[#This Row],[Drug Name7]],'Data Options'!$R$1:$S$100,2,FALSE), " ")</f>
        <v xml:space="preserve"> </v>
      </c>
      <c r="BU27" s="55"/>
      <c r="BV27" s="32"/>
      <c r="BW27" s="32"/>
      <c r="BX27" s="55"/>
      <c r="BY27" s="32"/>
      <c r="BZ27" s="54"/>
      <c r="CA27" s="21" t="str">
        <f>IFERROR(VLOOKUP(August[[#This Row],[Drug Name8]],'Data Options'!$R$1:$S$100,2,FALSE), " ")</f>
        <v xml:space="preserve"> </v>
      </c>
      <c r="CB27" s="55"/>
      <c r="CC27" s="32"/>
      <c r="CD27" s="32"/>
      <c r="CE27" s="55"/>
      <c r="CF27" s="32"/>
      <c r="CG27" s="54"/>
      <c r="CH27" s="21" t="str">
        <f>IFERROR(VLOOKUP(August[[#This Row],[Drug Name9]],'Data Options'!$R$1:$S$100,2,FALSE), " ")</f>
        <v xml:space="preserve"> </v>
      </c>
      <c r="CI27" s="55"/>
      <c r="CJ27" s="32"/>
      <c r="CK27" s="32"/>
      <c r="CL27" s="55"/>
      <c r="CM27" s="32"/>
    </row>
    <row r="28" spans="1:91">
      <c r="A28" s="5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54"/>
      <c r="R28" s="21" t="str">
        <f>IFERROR(VLOOKUP(August[[#This Row],[Drug Name]],'Data Options'!$R$1:$S$100,2,FALSE), " ")</f>
        <v xml:space="preserve"> </v>
      </c>
      <c r="S28" s="55"/>
      <c r="T28" s="32"/>
      <c r="U28" s="32"/>
      <c r="V28" s="55"/>
      <c r="W28" s="32"/>
      <c r="X28" s="54"/>
      <c r="Y28" s="21" t="str">
        <f>IFERROR(VLOOKUP(August[[#This Row],[Drug Name2]],'Data Options'!$R$1:$S$100,2,FALSE), " ")</f>
        <v xml:space="preserve"> </v>
      </c>
      <c r="Z28" s="55"/>
      <c r="AA28" s="32"/>
      <c r="AB28" s="32"/>
      <c r="AC28" s="55"/>
      <c r="AD28" s="32"/>
      <c r="AE28" s="54"/>
      <c r="AF28" s="21" t="str">
        <f>IFERROR(VLOOKUP(August[[#This Row],[Drug Name3]],'Data Options'!$R$1:$S$100,2,FALSE), " ")</f>
        <v xml:space="preserve"> </v>
      </c>
      <c r="AG28" s="55"/>
      <c r="AH28" s="32"/>
      <c r="AI28" s="32"/>
      <c r="AJ28" s="55"/>
      <c r="AK28" s="32"/>
      <c r="AL28" s="32"/>
      <c r="AM28" s="32"/>
      <c r="AN28" s="32"/>
      <c r="AO28" s="32"/>
      <c r="AP28" s="31"/>
      <c r="AQ28" s="31"/>
      <c r="AR28" s="54"/>
      <c r="AS28" s="21" t="str">
        <f>IFERROR(VLOOKUP(August[[#This Row],[Drug Name4]],'Data Options'!$R$1:$S$100,2,FALSE), " ")</f>
        <v xml:space="preserve"> </v>
      </c>
      <c r="AT28" s="55"/>
      <c r="AU28" s="32"/>
      <c r="AV28" s="32"/>
      <c r="AW28" s="55"/>
      <c r="AX28" s="32"/>
      <c r="AY28" s="54"/>
      <c r="AZ28" s="21" t="str">
        <f>IFERROR(VLOOKUP(August[[#This Row],[Drug Name5]],'Data Options'!$R$1:$S$100,2,FALSE), " ")</f>
        <v xml:space="preserve"> </v>
      </c>
      <c r="BA28" s="55"/>
      <c r="BB28" s="32"/>
      <c r="BC28" s="32"/>
      <c r="BD28" s="55"/>
      <c r="BE28" s="32"/>
      <c r="BF28" s="54"/>
      <c r="BG28" s="21" t="str">
        <f>IFERROR(VLOOKUP(August[[#This Row],[Drug Name6]],'Data Options'!$R$1:$S$100,2,FALSE), " ")</f>
        <v xml:space="preserve"> </v>
      </c>
      <c r="BH28" s="55"/>
      <c r="BI28" s="32"/>
      <c r="BJ28" s="32"/>
      <c r="BK28" s="55"/>
      <c r="BL28" s="32"/>
      <c r="BM28" s="32"/>
      <c r="BN28" s="32"/>
      <c r="BO28" s="32"/>
      <c r="BP28" s="32"/>
      <c r="BQ28" s="31"/>
      <c r="BR28" s="31"/>
      <c r="BS28" s="54"/>
      <c r="BT28" s="21" t="str">
        <f>IFERROR(VLOOKUP(August[[#This Row],[Drug Name7]],'Data Options'!$R$1:$S$100,2,FALSE), " ")</f>
        <v xml:space="preserve"> </v>
      </c>
      <c r="BU28" s="55"/>
      <c r="BV28" s="32"/>
      <c r="BW28" s="32"/>
      <c r="BX28" s="55"/>
      <c r="BY28" s="32"/>
      <c r="BZ28" s="54"/>
      <c r="CA28" s="21" t="str">
        <f>IFERROR(VLOOKUP(August[[#This Row],[Drug Name8]],'Data Options'!$R$1:$S$100,2,FALSE), " ")</f>
        <v xml:space="preserve"> </v>
      </c>
      <c r="CB28" s="55"/>
      <c r="CC28" s="32"/>
      <c r="CD28" s="32"/>
      <c r="CE28" s="55"/>
      <c r="CF28" s="32"/>
      <c r="CG28" s="54"/>
      <c r="CH28" s="21" t="str">
        <f>IFERROR(VLOOKUP(August[[#This Row],[Drug Name9]],'Data Options'!$R$1:$S$100,2,FALSE), " ")</f>
        <v xml:space="preserve"> </v>
      </c>
      <c r="CI28" s="55"/>
      <c r="CJ28" s="32"/>
      <c r="CK28" s="32"/>
      <c r="CL28" s="55"/>
      <c r="CM28" s="32"/>
    </row>
    <row r="29" spans="1:91">
      <c r="A29" s="5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54"/>
      <c r="R29" s="21" t="str">
        <f>IFERROR(VLOOKUP(August[[#This Row],[Drug Name]],'Data Options'!$R$1:$S$100,2,FALSE), " ")</f>
        <v xml:space="preserve"> </v>
      </c>
      <c r="S29" s="55"/>
      <c r="T29" s="32"/>
      <c r="U29" s="32"/>
      <c r="V29" s="55"/>
      <c r="W29" s="32"/>
      <c r="X29" s="54"/>
      <c r="Y29" s="21" t="str">
        <f>IFERROR(VLOOKUP(August[[#This Row],[Drug Name2]],'Data Options'!$R$1:$S$100,2,FALSE), " ")</f>
        <v xml:space="preserve"> </v>
      </c>
      <c r="Z29" s="55"/>
      <c r="AA29" s="32"/>
      <c r="AB29" s="32"/>
      <c r="AC29" s="55"/>
      <c r="AD29" s="32"/>
      <c r="AE29" s="54"/>
      <c r="AF29" s="21" t="str">
        <f>IFERROR(VLOOKUP(August[[#This Row],[Drug Name3]],'Data Options'!$R$1:$S$100,2,FALSE), " ")</f>
        <v xml:space="preserve"> </v>
      </c>
      <c r="AG29" s="55"/>
      <c r="AH29" s="32"/>
      <c r="AI29" s="32"/>
      <c r="AJ29" s="55"/>
      <c r="AK29" s="32"/>
      <c r="AL29" s="32"/>
      <c r="AM29" s="32"/>
      <c r="AN29" s="32"/>
      <c r="AO29" s="32"/>
      <c r="AP29" s="31"/>
      <c r="AQ29" s="31"/>
      <c r="AR29" s="54"/>
      <c r="AS29" s="21" t="str">
        <f>IFERROR(VLOOKUP(August[[#This Row],[Drug Name4]],'Data Options'!$R$1:$S$100,2,FALSE), " ")</f>
        <v xml:space="preserve"> </v>
      </c>
      <c r="AT29" s="55"/>
      <c r="AU29" s="32"/>
      <c r="AV29" s="32"/>
      <c r="AW29" s="55"/>
      <c r="AX29" s="32"/>
      <c r="AY29" s="54"/>
      <c r="AZ29" s="21" t="str">
        <f>IFERROR(VLOOKUP(August[[#This Row],[Drug Name5]],'Data Options'!$R$1:$S$100,2,FALSE), " ")</f>
        <v xml:space="preserve"> </v>
      </c>
      <c r="BA29" s="55"/>
      <c r="BB29" s="32"/>
      <c r="BC29" s="32"/>
      <c r="BD29" s="55"/>
      <c r="BE29" s="32"/>
      <c r="BF29" s="54"/>
      <c r="BG29" s="21" t="str">
        <f>IFERROR(VLOOKUP(August[[#This Row],[Drug Name6]],'Data Options'!$R$1:$S$100,2,FALSE), " ")</f>
        <v xml:space="preserve"> </v>
      </c>
      <c r="BH29" s="55"/>
      <c r="BI29" s="32"/>
      <c r="BJ29" s="32"/>
      <c r="BK29" s="55"/>
      <c r="BL29" s="32"/>
      <c r="BM29" s="32"/>
      <c r="BN29" s="32"/>
      <c r="BO29" s="32"/>
      <c r="BP29" s="32"/>
      <c r="BQ29" s="31"/>
      <c r="BR29" s="31"/>
      <c r="BS29" s="54"/>
      <c r="BT29" s="21" t="str">
        <f>IFERROR(VLOOKUP(August[[#This Row],[Drug Name7]],'Data Options'!$R$1:$S$100,2,FALSE), " ")</f>
        <v xml:space="preserve"> </v>
      </c>
      <c r="BU29" s="55"/>
      <c r="BV29" s="32"/>
      <c r="BW29" s="32"/>
      <c r="BX29" s="55"/>
      <c r="BY29" s="32"/>
      <c r="BZ29" s="54"/>
      <c r="CA29" s="21" t="str">
        <f>IFERROR(VLOOKUP(August[[#This Row],[Drug Name8]],'Data Options'!$R$1:$S$100,2,FALSE), " ")</f>
        <v xml:space="preserve"> </v>
      </c>
      <c r="CB29" s="55"/>
      <c r="CC29" s="32"/>
      <c r="CD29" s="32"/>
      <c r="CE29" s="55"/>
      <c r="CF29" s="32"/>
      <c r="CG29" s="54"/>
      <c r="CH29" s="21" t="str">
        <f>IFERROR(VLOOKUP(August[[#This Row],[Drug Name9]],'Data Options'!$R$1:$S$100,2,FALSE), " ")</f>
        <v xml:space="preserve"> </v>
      </c>
      <c r="CI29" s="55"/>
      <c r="CJ29" s="32"/>
      <c r="CK29" s="32"/>
      <c r="CL29" s="55"/>
      <c r="CM29" s="32"/>
    </row>
    <row r="30" spans="1:91">
      <c r="A30" s="5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54"/>
      <c r="R30" s="21" t="str">
        <f>IFERROR(VLOOKUP(August[[#This Row],[Drug Name]],'Data Options'!$R$1:$S$100,2,FALSE), " ")</f>
        <v xml:space="preserve"> </v>
      </c>
      <c r="S30" s="55"/>
      <c r="T30" s="32"/>
      <c r="U30" s="32"/>
      <c r="V30" s="55"/>
      <c r="W30" s="32"/>
      <c r="X30" s="54"/>
      <c r="Y30" s="21" t="str">
        <f>IFERROR(VLOOKUP(August[[#This Row],[Drug Name2]],'Data Options'!$R$1:$S$100,2,FALSE), " ")</f>
        <v xml:space="preserve"> </v>
      </c>
      <c r="Z30" s="55"/>
      <c r="AA30" s="32"/>
      <c r="AB30" s="32"/>
      <c r="AC30" s="55"/>
      <c r="AD30" s="32"/>
      <c r="AE30" s="54"/>
      <c r="AF30" s="21" t="str">
        <f>IFERROR(VLOOKUP(August[[#This Row],[Drug Name3]],'Data Options'!$R$1:$S$100,2,FALSE), " ")</f>
        <v xml:space="preserve"> </v>
      </c>
      <c r="AG30" s="55"/>
      <c r="AH30" s="32"/>
      <c r="AI30" s="32"/>
      <c r="AJ30" s="55"/>
      <c r="AK30" s="32"/>
      <c r="AL30" s="32"/>
      <c r="AM30" s="32"/>
      <c r="AN30" s="32"/>
      <c r="AO30" s="32"/>
      <c r="AP30" s="31"/>
      <c r="AQ30" s="31"/>
      <c r="AR30" s="54"/>
      <c r="AS30" s="21" t="str">
        <f>IFERROR(VLOOKUP(August[[#This Row],[Drug Name4]],'Data Options'!$R$1:$S$100,2,FALSE), " ")</f>
        <v xml:space="preserve"> </v>
      </c>
      <c r="AT30" s="55"/>
      <c r="AU30" s="32"/>
      <c r="AV30" s="32"/>
      <c r="AW30" s="55"/>
      <c r="AX30" s="32"/>
      <c r="AY30" s="54"/>
      <c r="AZ30" s="21" t="str">
        <f>IFERROR(VLOOKUP(August[[#This Row],[Drug Name5]],'Data Options'!$R$1:$S$100,2,FALSE), " ")</f>
        <v xml:space="preserve"> </v>
      </c>
      <c r="BA30" s="55"/>
      <c r="BB30" s="32"/>
      <c r="BC30" s="32"/>
      <c r="BD30" s="55"/>
      <c r="BE30" s="32"/>
      <c r="BF30" s="54"/>
      <c r="BG30" s="21" t="str">
        <f>IFERROR(VLOOKUP(August[[#This Row],[Drug Name6]],'Data Options'!$R$1:$S$100,2,FALSE), " ")</f>
        <v xml:space="preserve"> </v>
      </c>
      <c r="BH30" s="55"/>
      <c r="BI30" s="32"/>
      <c r="BJ30" s="32"/>
      <c r="BK30" s="55"/>
      <c r="BL30" s="32"/>
      <c r="BM30" s="32"/>
      <c r="BN30" s="32"/>
      <c r="BO30" s="32"/>
      <c r="BP30" s="32"/>
      <c r="BQ30" s="31"/>
      <c r="BR30" s="31"/>
      <c r="BS30" s="54"/>
      <c r="BT30" s="21" t="str">
        <f>IFERROR(VLOOKUP(August[[#This Row],[Drug Name7]],'Data Options'!$R$1:$S$100,2,FALSE), " ")</f>
        <v xml:space="preserve"> </v>
      </c>
      <c r="BU30" s="55"/>
      <c r="BV30" s="32"/>
      <c r="BW30" s="32"/>
      <c r="BX30" s="55"/>
      <c r="BY30" s="32"/>
      <c r="BZ30" s="54"/>
      <c r="CA30" s="21" t="str">
        <f>IFERROR(VLOOKUP(August[[#This Row],[Drug Name8]],'Data Options'!$R$1:$S$100,2,FALSE), " ")</f>
        <v xml:space="preserve"> </v>
      </c>
      <c r="CB30" s="55"/>
      <c r="CC30" s="32"/>
      <c r="CD30" s="32"/>
      <c r="CE30" s="55"/>
      <c r="CF30" s="32"/>
      <c r="CG30" s="54"/>
      <c r="CH30" s="21" t="str">
        <f>IFERROR(VLOOKUP(August[[#This Row],[Drug Name9]],'Data Options'!$R$1:$S$100,2,FALSE), " ")</f>
        <v xml:space="preserve"> </v>
      </c>
      <c r="CI30" s="55"/>
      <c r="CJ30" s="32"/>
      <c r="CK30" s="32"/>
      <c r="CL30" s="55"/>
      <c r="CM30" s="32"/>
    </row>
    <row r="31" spans="1:9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54"/>
      <c r="R31" s="21" t="str">
        <f>IFERROR(VLOOKUP(August[[#This Row],[Drug Name]],'Data Options'!$R$1:$S$100,2,FALSE), " ")</f>
        <v xml:space="preserve"> </v>
      </c>
      <c r="S31" s="55"/>
      <c r="T31" s="32"/>
      <c r="U31" s="32"/>
      <c r="V31" s="55"/>
      <c r="W31" s="32"/>
      <c r="X31" s="54"/>
      <c r="Y31" s="21" t="str">
        <f>IFERROR(VLOOKUP(August[[#This Row],[Drug Name2]],'Data Options'!$R$1:$S$100,2,FALSE), " ")</f>
        <v xml:space="preserve"> </v>
      </c>
      <c r="Z31" s="55"/>
      <c r="AA31" s="32"/>
      <c r="AB31" s="32"/>
      <c r="AC31" s="55"/>
      <c r="AD31" s="32"/>
      <c r="AE31" s="54"/>
      <c r="AF31" s="21" t="str">
        <f>IFERROR(VLOOKUP(August[[#This Row],[Drug Name3]],'Data Options'!$R$1:$S$100,2,FALSE), " ")</f>
        <v xml:space="preserve"> </v>
      </c>
      <c r="AG31" s="55"/>
      <c r="AH31" s="32"/>
      <c r="AI31" s="32"/>
      <c r="AJ31" s="55"/>
      <c r="AK31" s="32"/>
      <c r="AL31" s="32"/>
      <c r="AM31" s="32"/>
      <c r="AN31" s="32"/>
      <c r="AO31" s="32"/>
      <c r="AP31" s="31"/>
      <c r="AQ31" s="31"/>
      <c r="AR31" s="54"/>
      <c r="AS31" s="21" t="str">
        <f>IFERROR(VLOOKUP(August[[#This Row],[Drug Name4]],'Data Options'!$R$1:$S$100,2,FALSE), " ")</f>
        <v xml:space="preserve"> </v>
      </c>
      <c r="AT31" s="55"/>
      <c r="AU31" s="32"/>
      <c r="AV31" s="32"/>
      <c r="AW31" s="55"/>
      <c r="AX31" s="32"/>
      <c r="AY31" s="54"/>
      <c r="AZ31" s="21" t="str">
        <f>IFERROR(VLOOKUP(August[[#This Row],[Drug Name5]],'Data Options'!$R$1:$S$100,2,FALSE), " ")</f>
        <v xml:space="preserve"> </v>
      </c>
      <c r="BA31" s="55"/>
      <c r="BB31" s="32"/>
      <c r="BC31" s="32"/>
      <c r="BD31" s="55"/>
      <c r="BE31" s="32"/>
      <c r="BF31" s="54"/>
      <c r="BG31" s="21" t="str">
        <f>IFERROR(VLOOKUP(August[[#This Row],[Drug Name6]],'Data Options'!$R$1:$S$100,2,FALSE), " ")</f>
        <v xml:space="preserve"> </v>
      </c>
      <c r="BH31" s="55"/>
      <c r="BI31" s="32"/>
      <c r="BJ31" s="32"/>
      <c r="BK31" s="55"/>
      <c r="BL31" s="32"/>
      <c r="BM31" s="32"/>
      <c r="BN31" s="32"/>
      <c r="BO31" s="32"/>
      <c r="BP31" s="32"/>
      <c r="BQ31" s="31"/>
      <c r="BR31" s="31"/>
      <c r="BS31" s="54"/>
      <c r="BT31" s="21" t="str">
        <f>IFERROR(VLOOKUP(August[[#This Row],[Drug Name7]],'Data Options'!$R$1:$S$100,2,FALSE), " ")</f>
        <v xml:space="preserve"> </v>
      </c>
      <c r="BU31" s="55"/>
      <c r="BV31" s="32"/>
      <c r="BW31" s="32"/>
      <c r="BX31" s="55"/>
      <c r="BY31" s="32"/>
      <c r="BZ31" s="54"/>
      <c r="CA31" s="21" t="str">
        <f>IFERROR(VLOOKUP(August[[#This Row],[Drug Name8]],'Data Options'!$R$1:$S$100,2,FALSE), " ")</f>
        <v xml:space="preserve"> </v>
      </c>
      <c r="CB31" s="55"/>
      <c r="CC31" s="32"/>
      <c r="CD31" s="32"/>
      <c r="CE31" s="55"/>
      <c r="CF31" s="32"/>
      <c r="CG31" s="54"/>
      <c r="CH31" s="21" t="str">
        <f>IFERROR(VLOOKUP(August[[#This Row],[Drug Name9]],'Data Options'!$R$1:$S$100,2,FALSE), " ")</f>
        <v xml:space="preserve"> </v>
      </c>
      <c r="CI31" s="55"/>
      <c r="CJ31" s="32"/>
      <c r="CK31" s="32"/>
      <c r="CL31" s="55"/>
      <c r="CM31" s="32"/>
    </row>
    <row r="32" spans="1:91">
      <c r="A32" s="5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54"/>
      <c r="R32" s="21" t="str">
        <f>IFERROR(VLOOKUP(August[[#This Row],[Drug Name]],'Data Options'!$R$1:$S$100,2,FALSE), " ")</f>
        <v xml:space="preserve"> </v>
      </c>
      <c r="S32" s="55"/>
      <c r="T32" s="32"/>
      <c r="U32" s="32"/>
      <c r="V32" s="55"/>
      <c r="W32" s="32"/>
      <c r="X32" s="54"/>
      <c r="Y32" s="21" t="str">
        <f>IFERROR(VLOOKUP(August[[#This Row],[Drug Name2]],'Data Options'!$R$1:$S$100,2,FALSE), " ")</f>
        <v xml:space="preserve"> </v>
      </c>
      <c r="Z32" s="55"/>
      <c r="AA32" s="32"/>
      <c r="AB32" s="32"/>
      <c r="AC32" s="55"/>
      <c r="AD32" s="32"/>
      <c r="AE32" s="54"/>
      <c r="AF32" s="21" t="str">
        <f>IFERROR(VLOOKUP(August[[#This Row],[Drug Name3]],'Data Options'!$R$1:$S$100,2,FALSE), " ")</f>
        <v xml:space="preserve"> </v>
      </c>
      <c r="AG32" s="55"/>
      <c r="AH32" s="32"/>
      <c r="AI32" s="32"/>
      <c r="AJ32" s="55"/>
      <c r="AK32" s="32"/>
      <c r="AL32" s="32"/>
      <c r="AM32" s="32"/>
      <c r="AN32" s="32"/>
      <c r="AO32" s="32"/>
      <c r="AP32" s="31"/>
      <c r="AQ32" s="31"/>
      <c r="AR32" s="54"/>
      <c r="AS32" s="21" t="str">
        <f>IFERROR(VLOOKUP(August[[#This Row],[Drug Name4]],'Data Options'!$R$1:$S$100,2,FALSE), " ")</f>
        <v xml:space="preserve"> </v>
      </c>
      <c r="AT32" s="55"/>
      <c r="AU32" s="32"/>
      <c r="AV32" s="32"/>
      <c r="AW32" s="55"/>
      <c r="AX32" s="32"/>
      <c r="AY32" s="54"/>
      <c r="AZ32" s="21" t="str">
        <f>IFERROR(VLOOKUP(August[[#This Row],[Drug Name5]],'Data Options'!$R$1:$S$100,2,FALSE), " ")</f>
        <v xml:space="preserve"> </v>
      </c>
      <c r="BA32" s="55"/>
      <c r="BB32" s="32"/>
      <c r="BC32" s="32"/>
      <c r="BD32" s="55"/>
      <c r="BE32" s="32"/>
      <c r="BF32" s="54"/>
      <c r="BG32" s="21" t="str">
        <f>IFERROR(VLOOKUP(August[[#This Row],[Drug Name6]],'Data Options'!$R$1:$S$100,2,FALSE), " ")</f>
        <v xml:space="preserve"> </v>
      </c>
      <c r="BH32" s="55"/>
      <c r="BI32" s="32"/>
      <c r="BJ32" s="32"/>
      <c r="BK32" s="55"/>
      <c r="BL32" s="32"/>
      <c r="BM32" s="32"/>
      <c r="BN32" s="32"/>
      <c r="BO32" s="32"/>
      <c r="BP32" s="32"/>
      <c r="BQ32" s="31"/>
      <c r="BR32" s="31"/>
      <c r="BS32" s="54"/>
      <c r="BT32" s="21" t="str">
        <f>IFERROR(VLOOKUP(August[[#This Row],[Drug Name7]],'Data Options'!$R$1:$S$100,2,FALSE), " ")</f>
        <v xml:space="preserve"> </v>
      </c>
      <c r="BU32" s="55"/>
      <c r="BV32" s="32"/>
      <c r="BW32" s="32"/>
      <c r="BX32" s="55"/>
      <c r="BY32" s="32"/>
      <c r="BZ32" s="54"/>
      <c r="CA32" s="21" t="str">
        <f>IFERROR(VLOOKUP(August[[#This Row],[Drug Name8]],'Data Options'!$R$1:$S$100,2,FALSE), " ")</f>
        <v xml:space="preserve"> </v>
      </c>
      <c r="CB32" s="55"/>
      <c r="CC32" s="32"/>
      <c r="CD32" s="32"/>
      <c r="CE32" s="55"/>
      <c r="CF32" s="32"/>
      <c r="CG32" s="54"/>
      <c r="CH32" s="21" t="str">
        <f>IFERROR(VLOOKUP(August[[#This Row],[Drug Name9]],'Data Options'!$R$1:$S$100,2,FALSE), " ")</f>
        <v xml:space="preserve"> </v>
      </c>
      <c r="CI32" s="55"/>
      <c r="CJ32" s="32"/>
      <c r="CK32" s="32"/>
      <c r="CL32" s="55"/>
      <c r="CM32" s="32"/>
    </row>
    <row r="33" spans="1:9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54"/>
      <c r="R33" s="21" t="str">
        <f>IFERROR(VLOOKUP(August[[#This Row],[Drug Name]],'Data Options'!$R$1:$S$100,2,FALSE), " ")</f>
        <v xml:space="preserve"> </v>
      </c>
      <c r="S33" s="55"/>
      <c r="T33" s="32"/>
      <c r="U33" s="32"/>
      <c r="V33" s="55"/>
      <c r="W33" s="32"/>
      <c r="X33" s="54"/>
      <c r="Y33" s="21" t="str">
        <f>IFERROR(VLOOKUP(August[[#This Row],[Drug Name2]],'Data Options'!$R$1:$S$100,2,FALSE), " ")</f>
        <v xml:space="preserve"> </v>
      </c>
      <c r="Z33" s="55"/>
      <c r="AA33" s="32"/>
      <c r="AB33" s="32"/>
      <c r="AC33" s="55"/>
      <c r="AD33" s="32"/>
      <c r="AE33" s="54"/>
      <c r="AF33" s="21" t="str">
        <f>IFERROR(VLOOKUP(August[[#This Row],[Drug Name3]],'Data Options'!$R$1:$S$100,2,FALSE), " ")</f>
        <v xml:space="preserve"> </v>
      </c>
      <c r="AG33" s="55"/>
      <c r="AH33" s="32"/>
      <c r="AI33" s="32"/>
      <c r="AJ33" s="55"/>
      <c r="AK33" s="32"/>
      <c r="AL33" s="32"/>
      <c r="AM33" s="32"/>
      <c r="AN33" s="32"/>
      <c r="AO33" s="32"/>
      <c r="AP33" s="31"/>
      <c r="AQ33" s="31"/>
      <c r="AR33" s="54"/>
      <c r="AS33" s="21" t="str">
        <f>IFERROR(VLOOKUP(August[[#This Row],[Drug Name4]],'Data Options'!$R$1:$S$100,2,FALSE), " ")</f>
        <v xml:space="preserve"> </v>
      </c>
      <c r="AT33" s="55"/>
      <c r="AU33" s="32"/>
      <c r="AV33" s="32"/>
      <c r="AW33" s="55"/>
      <c r="AX33" s="32"/>
      <c r="AY33" s="54"/>
      <c r="AZ33" s="21" t="str">
        <f>IFERROR(VLOOKUP(August[[#This Row],[Drug Name5]],'Data Options'!$R$1:$S$100,2,FALSE), " ")</f>
        <v xml:space="preserve"> </v>
      </c>
      <c r="BA33" s="55"/>
      <c r="BB33" s="32"/>
      <c r="BC33" s="32"/>
      <c r="BD33" s="55"/>
      <c r="BE33" s="32"/>
      <c r="BF33" s="54"/>
      <c r="BG33" s="21" t="str">
        <f>IFERROR(VLOOKUP(August[[#This Row],[Drug Name6]],'Data Options'!$R$1:$S$100,2,FALSE), " ")</f>
        <v xml:space="preserve"> </v>
      </c>
      <c r="BH33" s="55"/>
      <c r="BI33" s="32"/>
      <c r="BJ33" s="32"/>
      <c r="BK33" s="55"/>
      <c r="BL33" s="32"/>
      <c r="BM33" s="32"/>
      <c r="BN33" s="32"/>
      <c r="BO33" s="32"/>
      <c r="BP33" s="32"/>
      <c r="BQ33" s="31"/>
      <c r="BR33" s="31"/>
      <c r="BS33" s="54"/>
      <c r="BT33" s="21" t="str">
        <f>IFERROR(VLOOKUP(August[[#This Row],[Drug Name7]],'Data Options'!$R$1:$S$100,2,FALSE), " ")</f>
        <v xml:space="preserve"> </v>
      </c>
      <c r="BU33" s="55"/>
      <c r="BV33" s="32"/>
      <c r="BW33" s="32"/>
      <c r="BX33" s="55"/>
      <c r="BY33" s="32"/>
      <c r="BZ33" s="54"/>
      <c r="CA33" s="21" t="str">
        <f>IFERROR(VLOOKUP(August[[#This Row],[Drug Name8]],'Data Options'!$R$1:$S$100,2,FALSE), " ")</f>
        <v xml:space="preserve"> </v>
      </c>
      <c r="CB33" s="55"/>
      <c r="CC33" s="32"/>
      <c r="CD33" s="32"/>
      <c r="CE33" s="55"/>
      <c r="CF33" s="32"/>
      <c r="CG33" s="54"/>
      <c r="CH33" s="21" t="str">
        <f>IFERROR(VLOOKUP(August[[#This Row],[Drug Name9]],'Data Options'!$R$1:$S$100,2,FALSE), " ")</f>
        <v xml:space="preserve"> </v>
      </c>
      <c r="CI33" s="55"/>
      <c r="CJ33" s="32"/>
      <c r="CK33" s="32"/>
      <c r="CL33" s="55"/>
      <c r="CM33" s="32"/>
    </row>
    <row r="34" spans="1:9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54"/>
      <c r="R34" s="21" t="str">
        <f>IFERROR(VLOOKUP(August[[#This Row],[Drug Name]],'Data Options'!$R$1:$S$100,2,FALSE), " ")</f>
        <v xml:space="preserve"> </v>
      </c>
      <c r="S34" s="55"/>
      <c r="T34" s="32"/>
      <c r="U34" s="32"/>
      <c r="V34" s="55"/>
      <c r="W34" s="32"/>
      <c r="X34" s="54"/>
      <c r="Y34" s="21" t="str">
        <f>IFERROR(VLOOKUP(August[[#This Row],[Drug Name2]],'Data Options'!$R$1:$S$100,2,FALSE), " ")</f>
        <v xml:space="preserve"> </v>
      </c>
      <c r="Z34" s="55"/>
      <c r="AA34" s="32"/>
      <c r="AB34" s="32"/>
      <c r="AC34" s="55"/>
      <c r="AD34" s="32"/>
      <c r="AE34" s="54"/>
      <c r="AF34" s="21" t="str">
        <f>IFERROR(VLOOKUP(August[[#This Row],[Drug Name3]],'Data Options'!$R$1:$S$100,2,FALSE), " ")</f>
        <v xml:space="preserve"> </v>
      </c>
      <c r="AG34" s="55"/>
      <c r="AH34" s="32"/>
      <c r="AI34" s="32"/>
      <c r="AJ34" s="55"/>
      <c r="AK34" s="32"/>
      <c r="AL34" s="32"/>
      <c r="AM34" s="32"/>
      <c r="AN34" s="32"/>
      <c r="AO34" s="32"/>
      <c r="AP34" s="31"/>
      <c r="AQ34" s="31"/>
      <c r="AR34" s="54"/>
      <c r="AS34" s="21" t="str">
        <f>IFERROR(VLOOKUP(August[[#This Row],[Drug Name4]],'Data Options'!$R$1:$S$100,2,FALSE), " ")</f>
        <v xml:space="preserve"> </v>
      </c>
      <c r="AT34" s="55"/>
      <c r="AU34" s="32"/>
      <c r="AV34" s="32"/>
      <c r="AW34" s="55"/>
      <c r="AX34" s="32"/>
      <c r="AY34" s="54"/>
      <c r="AZ34" s="21" t="str">
        <f>IFERROR(VLOOKUP(August[[#This Row],[Drug Name5]],'Data Options'!$R$1:$S$100,2,FALSE), " ")</f>
        <v xml:space="preserve"> </v>
      </c>
      <c r="BA34" s="55"/>
      <c r="BB34" s="32"/>
      <c r="BC34" s="32"/>
      <c r="BD34" s="55"/>
      <c r="BE34" s="32"/>
      <c r="BF34" s="54"/>
      <c r="BG34" s="21" t="str">
        <f>IFERROR(VLOOKUP(August[[#This Row],[Drug Name6]],'Data Options'!$R$1:$S$100,2,FALSE), " ")</f>
        <v xml:space="preserve"> </v>
      </c>
      <c r="BH34" s="55"/>
      <c r="BI34" s="32"/>
      <c r="BJ34" s="32"/>
      <c r="BK34" s="55"/>
      <c r="BL34" s="32"/>
      <c r="BM34" s="32"/>
      <c r="BN34" s="32"/>
      <c r="BO34" s="32"/>
      <c r="BP34" s="32"/>
      <c r="BQ34" s="31"/>
      <c r="BR34" s="31"/>
      <c r="BS34" s="54"/>
      <c r="BT34" s="21" t="str">
        <f>IFERROR(VLOOKUP(August[[#This Row],[Drug Name7]],'Data Options'!$R$1:$S$100,2,FALSE), " ")</f>
        <v xml:space="preserve"> </v>
      </c>
      <c r="BU34" s="55"/>
      <c r="BV34" s="32"/>
      <c r="BW34" s="32"/>
      <c r="BX34" s="55"/>
      <c r="BY34" s="32"/>
      <c r="BZ34" s="54"/>
      <c r="CA34" s="21" t="str">
        <f>IFERROR(VLOOKUP(August[[#This Row],[Drug Name8]],'Data Options'!$R$1:$S$100,2,FALSE), " ")</f>
        <v xml:space="preserve"> </v>
      </c>
      <c r="CB34" s="55"/>
      <c r="CC34" s="32"/>
      <c r="CD34" s="32"/>
      <c r="CE34" s="55"/>
      <c r="CF34" s="32"/>
      <c r="CG34" s="54"/>
      <c r="CH34" s="21" t="str">
        <f>IFERROR(VLOOKUP(August[[#This Row],[Drug Name9]],'Data Options'!$R$1:$S$100,2,FALSE), " ")</f>
        <v xml:space="preserve"> </v>
      </c>
      <c r="CI34" s="55"/>
      <c r="CJ34" s="32"/>
      <c r="CK34" s="32"/>
      <c r="CL34" s="55"/>
      <c r="CM34" s="32"/>
    </row>
    <row r="35" spans="1:9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54"/>
      <c r="R35" s="21" t="str">
        <f>IFERROR(VLOOKUP(August[[#This Row],[Drug Name]],'Data Options'!$R$1:$S$100,2,FALSE), " ")</f>
        <v xml:space="preserve"> </v>
      </c>
      <c r="S35" s="55"/>
      <c r="T35" s="32"/>
      <c r="U35" s="32"/>
      <c r="V35" s="55"/>
      <c r="W35" s="32"/>
      <c r="X35" s="54"/>
      <c r="Y35" s="21" t="str">
        <f>IFERROR(VLOOKUP(August[[#This Row],[Drug Name2]],'Data Options'!$R$1:$S$100,2,FALSE), " ")</f>
        <v xml:space="preserve"> </v>
      </c>
      <c r="Z35" s="55"/>
      <c r="AA35" s="32"/>
      <c r="AB35" s="32"/>
      <c r="AC35" s="55"/>
      <c r="AD35" s="32"/>
      <c r="AE35" s="54"/>
      <c r="AF35" s="21" t="str">
        <f>IFERROR(VLOOKUP(August[[#This Row],[Drug Name3]],'Data Options'!$R$1:$S$100,2,FALSE), " ")</f>
        <v xml:space="preserve"> </v>
      </c>
      <c r="AG35" s="55"/>
      <c r="AH35" s="32"/>
      <c r="AI35" s="32"/>
      <c r="AJ35" s="55"/>
      <c r="AK35" s="32"/>
      <c r="AL35" s="32"/>
      <c r="AM35" s="32"/>
      <c r="AN35" s="32"/>
      <c r="AO35" s="32"/>
      <c r="AP35" s="31"/>
      <c r="AQ35" s="31"/>
      <c r="AR35" s="54"/>
      <c r="AS35" s="21" t="str">
        <f>IFERROR(VLOOKUP(August[[#This Row],[Drug Name4]],'Data Options'!$R$1:$S$100,2,FALSE), " ")</f>
        <v xml:space="preserve"> </v>
      </c>
      <c r="AT35" s="55"/>
      <c r="AU35" s="32"/>
      <c r="AV35" s="32"/>
      <c r="AW35" s="55"/>
      <c r="AX35" s="32"/>
      <c r="AY35" s="54"/>
      <c r="AZ35" s="21" t="str">
        <f>IFERROR(VLOOKUP(August[[#This Row],[Drug Name5]],'Data Options'!$R$1:$S$100,2,FALSE), " ")</f>
        <v xml:space="preserve"> </v>
      </c>
      <c r="BA35" s="55"/>
      <c r="BB35" s="32"/>
      <c r="BC35" s="32"/>
      <c r="BD35" s="55"/>
      <c r="BE35" s="32"/>
      <c r="BF35" s="54"/>
      <c r="BG35" s="21" t="str">
        <f>IFERROR(VLOOKUP(August[[#This Row],[Drug Name6]],'Data Options'!$R$1:$S$100,2,FALSE), " ")</f>
        <v xml:space="preserve"> </v>
      </c>
      <c r="BH35" s="55"/>
      <c r="BI35" s="32"/>
      <c r="BJ35" s="32"/>
      <c r="BK35" s="55"/>
      <c r="BL35" s="32"/>
      <c r="BM35" s="32"/>
      <c r="BN35" s="32"/>
      <c r="BO35" s="32"/>
      <c r="BP35" s="32"/>
      <c r="BQ35" s="31"/>
      <c r="BR35" s="31"/>
      <c r="BS35" s="54"/>
      <c r="BT35" s="21" t="str">
        <f>IFERROR(VLOOKUP(August[[#This Row],[Drug Name7]],'Data Options'!$R$1:$S$100,2,FALSE), " ")</f>
        <v xml:space="preserve"> </v>
      </c>
      <c r="BU35" s="55"/>
      <c r="BV35" s="32"/>
      <c r="BW35" s="32"/>
      <c r="BX35" s="55"/>
      <c r="BY35" s="32"/>
      <c r="BZ35" s="54"/>
      <c r="CA35" s="21" t="str">
        <f>IFERROR(VLOOKUP(August[[#This Row],[Drug Name8]],'Data Options'!$R$1:$S$100,2,FALSE), " ")</f>
        <v xml:space="preserve"> </v>
      </c>
      <c r="CB35" s="55"/>
      <c r="CC35" s="32"/>
      <c r="CD35" s="32"/>
      <c r="CE35" s="55"/>
      <c r="CF35" s="32"/>
      <c r="CG35" s="54"/>
      <c r="CH35" s="21" t="str">
        <f>IFERROR(VLOOKUP(August[[#This Row],[Drug Name9]],'Data Options'!$R$1:$S$100,2,FALSE), " ")</f>
        <v xml:space="preserve"> </v>
      </c>
      <c r="CI35" s="55"/>
      <c r="CJ35" s="32"/>
      <c r="CK35" s="32"/>
      <c r="CL35" s="55"/>
      <c r="CM35" s="32"/>
    </row>
    <row r="36" spans="1:91">
      <c r="A36" s="5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54"/>
      <c r="R36" s="21" t="str">
        <f>IFERROR(VLOOKUP(August[[#This Row],[Drug Name]],'Data Options'!$R$1:$S$100,2,FALSE), " ")</f>
        <v xml:space="preserve"> </v>
      </c>
      <c r="S36" s="55"/>
      <c r="T36" s="32"/>
      <c r="U36" s="32"/>
      <c r="V36" s="55"/>
      <c r="W36" s="32"/>
      <c r="X36" s="54"/>
      <c r="Y36" s="21" t="str">
        <f>IFERROR(VLOOKUP(August[[#This Row],[Drug Name2]],'Data Options'!$R$1:$S$100,2,FALSE), " ")</f>
        <v xml:space="preserve"> </v>
      </c>
      <c r="Z36" s="55"/>
      <c r="AA36" s="32"/>
      <c r="AB36" s="32"/>
      <c r="AC36" s="55"/>
      <c r="AD36" s="32"/>
      <c r="AE36" s="54"/>
      <c r="AF36" s="21" t="str">
        <f>IFERROR(VLOOKUP(August[[#This Row],[Drug Name3]],'Data Options'!$R$1:$S$100,2,FALSE), " ")</f>
        <v xml:space="preserve"> </v>
      </c>
      <c r="AG36" s="55"/>
      <c r="AH36" s="32"/>
      <c r="AI36" s="32"/>
      <c r="AJ36" s="55"/>
      <c r="AK36" s="32"/>
      <c r="AL36" s="32"/>
      <c r="AM36" s="32"/>
      <c r="AN36" s="32"/>
      <c r="AO36" s="32"/>
      <c r="AP36" s="31"/>
      <c r="AQ36" s="31"/>
      <c r="AR36" s="54"/>
      <c r="AS36" s="21" t="str">
        <f>IFERROR(VLOOKUP(August[[#This Row],[Drug Name4]],'Data Options'!$R$1:$S$100,2,FALSE), " ")</f>
        <v xml:space="preserve"> </v>
      </c>
      <c r="AT36" s="55"/>
      <c r="AU36" s="32"/>
      <c r="AV36" s="32"/>
      <c r="AW36" s="55"/>
      <c r="AX36" s="32"/>
      <c r="AY36" s="54"/>
      <c r="AZ36" s="21" t="str">
        <f>IFERROR(VLOOKUP(August[[#This Row],[Drug Name5]],'Data Options'!$R$1:$S$100,2,FALSE), " ")</f>
        <v xml:space="preserve"> </v>
      </c>
      <c r="BA36" s="55"/>
      <c r="BB36" s="32"/>
      <c r="BC36" s="32"/>
      <c r="BD36" s="55"/>
      <c r="BE36" s="32"/>
      <c r="BF36" s="54"/>
      <c r="BG36" s="21" t="str">
        <f>IFERROR(VLOOKUP(August[[#This Row],[Drug Name6]],'Data Options'!$R$1:$S$100,2,FALSE), " ")</f>
        <v xml:space="preserve"> </v>
      </c>
      <c r="BH36" s="55"/>
      <c r="BI36" s="32"/>
      <c r="BJ36" s="32"/>
      <c r="BK36" s="55"/>
      <c r="BL36" s="32"/>
      <c r="BM36" s="32"/>
      <c r="BN36" s="32"/>
      <c r="BO36" s="32"/>
      <c r="BP36" s="32"/>
      <c r="BQ36" s="31"/>
      <c r="BR36" s="31"/>
      <c r="BS36" s="54"/>
      <c r="BT36" s="21" t="str">
        <f>IFERROR(VLOOKUP(August[[#This Row],[Drug Name7]],'Data Options'!$R$1:$S$100,2,FALSE), " ")</f>
        <v xml:space="preserve"> </v>
      </c>
      <c r="BU36" s="55"/>
      <c r="BV36" s="32"/>
      <c r="BW36" s="32"/>
      <c r="BX36" s="55"/>
      <c r="BY36" s="32"/>
      <c r="BZ36" s="54"/>
      <c r="CA36" s="21" t="str">
        <f>IFERROR(VLOOKUP(August[[#This Row],[Drug Name8]],'Data Options'!$R$1:$S$100,2,FALSE), " ")</f>
        <v xml:space="preserve"> </v>
      </c>
      <c r="CB36" s="55"/>
      <c r="CC36" s="32"/>
      <c r="CD36" s="32"/>
      <c r="CE36" s="55"/>
      <c r="CF36" s="32"/>
      <c r="CG36" s="54"/>
      <c r="CH36" s="21" t="str">
        <f>IFERROR(VLOOKUP(August[[#This Row],[Drug Name9]],'Data Options'!$R$1:$S$100,2,FALSE), " ")</f>
        <v xml:space="preserve"> </v>
      </c>
      <c r="CI36" s="55"/>
      <c r="CJ36" s="32"/>
      <c r="CK36" s="32"/>
      <c r="CL36" s="55"/>
      <c r="CM36" s="32"/>
    </row>
    <row r="37" spans="1:9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54"/>
      <c r="R37" s="21" t="str">
        <f>IFERROR(VLOOKUP(August[[#This Row],[Drug Name]],'Data Options'!$R$1:$S$100,2,FALSE), " ")</f>
        <v xml:space="preserve"> </v>
      </c>
      <c r="S37" s="55"/>
      <c r="T37" s="32"/>
      <c r="U37" s="32"/>
      <c r="V37" s="55"/>
      <c r="W37" s="32"/>
      <c r="X37" s="54"/>
      <c r="Y37" s="21" t="str">
        <f>IFERROR(VLOOKUP(August[[#This Row],[Drug Name2]],'Data Options'!$R$1:$S$100,2,FALSE), " ")</f>
        <v xml:space="preserve"> </v>
      </c>
      <c r="Z37" s="55"/>
      <c r="AA37" s="32"/>
      <c r="AB37" s="32"/>
      <c r="AC37" s="55"/>
      <c r="AD37" s="32"/>
      <c r="AE37" s="54"/>
      <c r="AF37" s="21" t="str">
        <f>IFERROR(VLOOKUP(August[[#This Row],[Drug Name3]],'Data Options'!$R$1:$S$100,2,FALSE), " ")</f>
        <v xml:space="preserve"> </v>
      </c>
      <c r="AG37" s="55"/>
      <c r="AH37" s="32"/>
      <c r="AI37" s="32"/>
      <c r="AJ37" s="55"/>
      <c r="AK37" s="32"/>
      <c r="AL37" s="32"/>
      <c r="AM37" s="32"/>
      <c r="AN37" s="32"/>
      <c r="AO37" s="32"/>
      <c r="AP37" s="31"/>
      <c r="AQ37" s="31"/>
      <c r="AR37" s="54"/>
      <c r="AS37" s="21" t="str">
        <f>IFERROR(VLOOKUP(August[[#This Row],[Drug Name4]],'Data Options'!$R$1:$S$100,2,FALSE), " ")</f>
        <v xml:space="preserve"> </v>
      </c>
      <c r="AT37" s="55"/>
      <c r="AU37" s="32"/>
      <c r="AV37" s="32"/>
      <c r="AW37" s="55"/>
      <c r="AX37" s="32"/>
      <c r="AY37" s="54"/>
      <c r="AZ37" s="21" t="str">
        <f>IFERROR(VLOOKUP(August[[#This Row],[Drug Name5]],'Data Options'!$R$1:$S$100,2,FALSE), " ")</f>
        <v xml:space="preserve"> </v>
      </c>
      <c r="BA37" s="55"/>
      <c r="BB37" s="32"/>
      <c r="BC37" s="32"/>
      <c r="BD37" s="55"/>
      <c r="BE37" s="32"/>
      <c r="BF37" s="54"/>
      <c r="BG37" s="21" t="str">
        <f>IFERROR(VLOOKUP(August[[#This Row],[Drug Name6]],'Data Options'!$R$1:$S$100,2,FALSE), " ")</f>
        <v xml:space="preserve"> </v>
      </c>
      <c r="BH37" s="55"/>
      <c r="BI37" s="32"/>
      <c r="BJ37" s="32"/>
      <c r="BK37" s="55"/>
      <c r="BL37" s="32"/>
      <c r="BM37" s="32"/>
      <c r="BN37" s="32"/>
      <c r="BO37" s="32"/>
      <c r="BP37" s="32"/>
      <c r="BQ37" s="31"/>
      <c r="BR37" s="31"/>
      <c r="BS37" s="54"/>
      <c r="BT37" s="21" t="str">
        <f>IFERROR(VLOOKUP(August[[#This Row],[Drug Name7]],'Data Options'!$R$1:$S$100,2,FALSE), " ")</f>
        <v xml:space="preserve"> </v>
      </c>
      <c r="BU37" s="55"/>
      <c r="BV37" s="32"/>
      <c r="BW37" s="32"/>
      <c r="BX37" s="55"/>
      <c r="BY37" s="32"/>
      <c r="BZ37" s="54"/>
      <c r="CA37" s="21" t="str">
        <f>IFERROR(VLOOKUP(August[[#This Row],[Drug Name8]],'Data Options'!$R$1:$S$100,2,FALSE), " ")</f>
        <v xml:space="preserve"> </v>
      </c>
      <c r="CB37" s="55"/>
      <c r="CC37" s="32"/>
      <c r="CD37" s="32"/>
      <c r="CE37" s="55"/>
      <c r="CF37" s="32"/>
      <c r="CG37" s="54"/>
      <c r="CH37" s="21" t="str">
        <f>IFERROR(VLOOKUP(August[[#This Row],[Drug Name9]],'Data Options'!$R$1:$S$100,2,FALSE), " ")</f>
        <v xml:space="preserve"> </v>
      </c>
      <c r="CI37" s="55"/>
      <c r="CJ37" s="32"/>
      <c r="CK37" s="32"/>
      <c r="CL37" s="55"/>
      <c r="CM37" s="32"/>
    </row>
    <row r="38" spans="1:9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54"/>
      <c r="R38" s="21" t="str">
        <f>IFERROR(VLOOKUP(August[[#This Row],[Drug Name]],'Data Options'!$R$1:$S$100,2,FALSE), " ")</f>
        <v xml:space="preserve"> </v>
      </c>
      <c r="S38" s="55"/>
      <c r="T38" s="32"/>
      <c r="U38" s="32"/>
      <c r="V38" s="55"/>
      <c r="W38" s="32"/>
      <c r="X38" s="54"/>
      <c r="Y38" s="21" t="str">
        <f>IFERROR(VLOOKUP(August[[#This Row],[Drug Name2]],'Data Options'!$R$1:$S$100,2,FALSE), " ")</f>
        <v xml:space="preserve"> </v>
      </c>
      <c r="Z38" s="55"/>
      <c r="AA38" s="32"/>
      <c r="AB38" s="32"/>
      <c r="AC38" s="55"/>
      <c r="AD38" s="32"/>
      <c r="AE38" s="54"/>
      <c r="AF38" s="21" t="str">
        <f>IFERROR(VLOOKUP(August[[#This Row],[Drug Name3]],'Data Options'!$R$1:$S$100,2,FALSE), " ")</f>
        <v xml:space="preserve"> </v>
      </c>
      <c r="AG38" s="55"/>
      <c r="AH38" s="32"/>
      <c r="AI38" s="32"/>
      <c r="AJ38" s="55"/>
      <c r="AK38" s="32"/>
      <c r="AL38" s="32"/>
      <c r="AM38" s="32"/>
      <c r="AN38" s="32"/>
      <c r="AO38" s="32"/>
      <c r="AP38" s="31"/>
      <c r="AQ38" s="31"/>
      <c r="AR38" s="54"/>
      <c r="AS38" s="21" t="str">
        <f>IFERROR(VLOOKUP(August[[#This Row],[Drug Name4]],'Data Options'!$R$1:$S$100,2,FALSE), " ")</f>
        <v xml:space="preserve"> </v>
      </c>
      <c r="AT38" s="55"/>
      <c r="AU38" s="32"/>
      <c r="AV38" s="32"/>
      <c r="AW38" s="55"/>
      <c r="AX38" s="32"/>
      <c r="AY38" s="54"/>
      <c r="AZ38" s="21" t="str">
        <f>IFERROR(VLOOKUP(August[[#This Row],[Drug Name5]],'Data Options'!$R$1:$S$100,2,FALSE), " ")</f>
        <v xml:space="preserve"> </v>
      </c>
      <c r="BA38" s="55"/>
      <c r="BB38" s="32"/>
      <c r="BC38" s="32"/>
      <c r="BD38" s="55"/>
      <c r="BE38" s="32"/>
      <c r="BF38" s="54"/>
      <c r="BG38" s="21" t="str">
        <f>IFERROR(VLOOKUP(August[[#This Row],[Drug Name6]],'Data Options'!$R$1:$S$100,2,FALSE), " ")</f>
        <v xml:space="preserve"> </v>
      </c>
      <c r="BH38" s="55"/>
      <c r="BI38" s="32"/>
      <c r="BJ38" s="32"/>
      <c r="BK38" s="55"/>
      <c r="BL38" s="32"/>
      <c r="BM38" s="32"/>
      <c r="BN38" s="32"/>
      <c r="BO38" s="32"/>
      <c r="BP38" s="32"/>
      <c r="BQ38" s="31"/>
      <c r="BR38" s="31"/>
      <c r="BS38" s="54"/>
      <c r="BT38" s="21" t="str">
        <f>IFERROR(VLOOKUP(August[[#This Row],[Drug Name7]],'Data Options'!$R$1:$S$100,2,FALSE), " ")</f>
        <v xml:space="preserve"> </v>
      </c>
      <c r="BU38" s="55"/>
      <c r="BV38" s="32"/>
      <c r="BW38" s="32"/>
      <c r="BX38" s="55"/>
      <c r="BY38" s="32"/>
      <c r="BZ38" s="54"/>
      <c r="CA38" s="21" t="str">
        <f>IFERROR(VLOOKUP(August[[#This Row],[Drug Name8]],'Data Options'!$R$1:$S$100,2,FALSE), " ")</f>
        <v xml:space="preserve"> </v>
      </c>
      <c r="CB38" s="55"/>
      <c r="CC38" s="32"/>
      <c r="CD38" s="32"/>
      <c r="CE38" s="55"/>
      <c r="CF38" s="32"/>
      <c r="CG38" s="54"/>
      <c r="CH38" s="21" t="str">
        <f>IFERROR(VLOOKUP(August[[#This Row],[Drug Name9]],'Data Options'!$R$1:$S$100,2,FALSE), " ")</f>
        <v xml:space="preserve"> </v>
      </c>
      <c r="CI38" s="55"/>
      <c r="CJ38" s="32"/>
      <c r="CK38" s="32"/>
      <c r="CL38" s="55"/>
      <c r="CM38" s="32"/>
    </row>
    <row r="39" spans="1:9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54"/>
      <c r="R39" s="21" t="str">
        <f>IFERROR(VLOOKUP(August[[#This Row],[Drug Name]],'Data Options'!$R$1:$S$100,2,FALSE), " ")</f>
        <v xml:space="preserve"> </v>
      </c>
      <c r="S39" s="55"/>
      <c r="T39" s="32"/>
      <c r="U39" s="32"/>
      <c r="V39" s="55"/>
      <c r="W39" s="32"/>
      <c r="X39" s="54"/>
      <c r="Y39" s="21" t="str">
        <f>IFERROR(VLOOKUP(August[[#This Row],[Drug Name2]],'Data Options'!$R$1:$S$100,2,FALSE), " ")</f>
        <v xml:space="preserve"> </v>
      </c>
      <c r="Z39" s="55"/>
      <c r="AA39" s="32"/>
      <c r="AB39" s="32"/>
      <c r="AC39" s="55"/>
      <c r="AD39" s="32"/>
      <c r="AE39" s="54"/>
      <c r="AF39" s="21" t="str">
        <f>IFERROR(VLOOKUP(August[[#This Row],[Drug Name3]],'Data Options'!$R$1:$S$100,2,FALSE), " ")</f>
        <v xml:space="preserve"> </v>
      </c>
      <c r="AG39" s="55"/>
      <c r="AH39" s="32"/>
      <c r="AI39" s="32"/>
      <c r="AJ39" s="55"/>
      <c r="AK39" s="32"/>
      <c r="AL39" s="32"/>
      <c r="AM39" s="32"/>
      <c r="AN39" s="32"/>
      <c r="AO39" s="32"/>
      <c r="AP39" s="31"/>
      <c r="AQ39" s="31"/>
      <c r="AR39" s="54"/>
      <c r="AS39" s="21" t="str">
        <f>IFERROR(VLOOKUP(August[[#This Row],[Drug Name4]],'Data Options'!$R$1:$S$100,2,FALSE), " ")</f>
        <v xml:space="preserve"> </v>
      </c>
      <c r="AT39" s="55"/>
      <c r="AU39" s="32"/>
      <c r="AV39" s="32"/>
      <c r="AW39" s="55"/>
      <c r="AX39" s="32"/>
      <c r="AY39" s="54"/>
      <c r="AZ39" s="21" t="str">
        <f>IFERROR(VLOOKUP(August[[#This Row],[Drug Name5]],'Data Options'!$R$1:$S$100,2,FALSE), " ")</f>
        <v xml:space="preserve"> </v>
      </c>
      <c r="BA39" s="55"/>
      <c r="BB39" s="32"/>
      <c r="BC39" s="32"/>
      <c r="BD39" s="55"/>
      <c r="BE39" s="32"/>
      <c r="BF39" s="54"/>
      <c r="BG39" s="21" t="str">
        <f>IFERROR(VLOOKUP(August[[#This Row],[Drug Name6]],'Data Options'!$R$1:$S$100,2,FALSE), " ")</f>
        <v xml:space="preserve"> </v>
      </c>
      <c r="BH39" s="55"/>
      <c r="BI39" s="32"/>
      <c r="BJ39" s="32"/>
      <c r="BK39" s="55"/>
      <c r="BL39" s="32"/>
      <c r="BM39" s="32"/>
      <c r="BN39" s="32"/>
      <c r="BO39" s="32"/>
      <c r="BP39" s="32"/>
      <c r="BQ39" s="31"/>
      <c r="BR39" s="31"/>
      <c r="BS39" s="54"/>
      <c r="BT39" s="21" t="str">
        <f>IFERROR(VLOOKUP(August[[#This Row],[Drug Name7]],'Data Options'!$R$1:$S$100,2,FALSE), " ")</f>
        <v xml:space="preserve"> </v>
      </c>
      <c r="BU39" s="55"/>
      <c r="BV39" s="32"/>
      <c r="BW39" s="32"/>
      <c r="BX39" s="55"/>
      <c r="BY39" s="32"/>
      <c r="BZ39" s="54"/>
      <c r="CA39" s="21" t="str">
        <f>IFERROR(VLOOKUP(August[[#This Row],[Drug Name8]],'Data Options'!$R$1:$S$100,2,FALSE), " ")</f>
        <v xml:space="preserve"> </v>
      </c>
      <c r="CB39" s="55"/>
      <c r="CC39" s="32"/>
      <c r="CD39" s="32"/>
      <c r="CE39" s="55"/>
      <c r="CF39" s="32"/>
      <c r="CG39" s="54"/>
      <c r="CH39" s="21" t="str">
        <f>IFERROR(VLOOKUP(August[[#This Row],[Drug Name9]],'Data Options'!$R$1:$S$100,2,FALSE), " ")</f>
        <v xml:space="preserve"> </v>
      </c>
      <c r="CI39" s="55"/>
      <c r="CJ39" s="32"/>
      <c r="CK39" s="32"/>
      <c r="CL39" s="55"/>
      <c r="CM39" s="32"/>
    </row>
    <row r="40" spans="1:91">
      <c r="A40" s="5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54"/>
      <c r="R40" s="21" t="str">
        <f>IFERROR(VLOOKUP(August[[#This Row],[Drug Name]],'Data Options'!$R$1:$S$100,2,FALSE), " ")</f>
        <v xml:space="preserve"> </v>
      </c>
      <c r="S40" s="55"/>
      <c r="T40" s="32"/>
      <c r="U40" s="32"/>
      <c r="V40" s="55"/>
      <c r="W40" s="32"/>
      <c r="X40" s="54"/>
      <c r="Y40" s="21" t="str">
        <f>IFERROR(VLOOKUP(August[[#This Row],[Drug Name2]],'Data Options'!$R$1:$S$100,2,FALSE), " ")</f>
        <v xml:space="preserve"> </v>
      </c>
      <c r="Z40" s="55"/>
      <c r="AA40" s="32"/>
      <c r="AB40" s="32"/>
      <c r="AC40" s="55"/>
      <c r="AD40" s="32"/>
      <c r="AE40" s="54"/>
      <c r="AF40" s="21" t="str">
        <f>IFERROR(VLOOKUP(August[[#This Row],[Drug Name3]],'Data Options'!$R$1:$S$100,2,FALSE), " ")</f>
        <v xml:space="preserve"> </v>
      </c>
      <c r="AG40" s="55"/>
      <c r="AH40" s="32"/>
      <c r="AI40" s="32"/>
      <c r="AJ40" s="55"/>
      <c r="AK40" s="32"/>
      <c r="AL40" s="32"/>
      <c r="AM40" s="32"/>
      <c r="AN40" s="32"/>
      <c r="AO40" s="32"/>
      <c r="AP40" s="31"/>
      <c r="AQ40" s="31"/>
      <c r="AR40" s="54"/>
      <c r="AS40" s="21" t="str">
        <f>IFERROR(VLOOKUP(August[[#This Row],[Drug Name4]],'Data Options'!$R$1:$S$100,2,FALSE), " ")</f>
        <v xml:space="preserve"> </v>
      </c>
      <c r="AT40" s="55"/>
      <c r="AU40" s="32"/>
      <c r="AV40" s="32"/>
      <c r="AW40" s="55"/>
      <c r="AX40" s="32"/>
      <c r="AY40" s="54"/>
      <c r="AZ40" s="21" t="str">
        <f>IFERROR(VLOOKUP(August[[#This Row],[Drug Name5]],'Data Options'!$R$1:$S$100,2,FALSE), " ")</f>
        <v xml:space="preserve"> </v>
      </c>
      <c r="BA40" s="55"/>
      <c r="BB40" s="32"/>
      <c r="BC40" s="32"/>
      <c r="BD40" s="55"/>
      <c r="BE40" s="32"/>
      <c r="BF40" s="54"/>
      <c r="BG40" s="21" t="str">
        <f>IFERROR(VLOOKUP(August[[#This Row],[Drug Name6]],'Data Options'!$R$1:$S$100,2,FALSE), " ")</f>
        <v xml:space="preserve"> </v>
      </c>
      <c r="BH40" s="55"/>
      <c r="BI40" s="32"/>
      <c r="BJ40" s="32"/>
      <c r="BK40" s="55"/>
      <c r="BL40" s="32"/>
      <c r="BM40" s="32"/>
      <c r="BN40" s="32"/>
      <c r="BO40" s="32"/>
      <c r="BP40" s="32"/>
      <c r="BQ40" s="31"/>
      <c r="BR40" s="31"/>
      <c r="BS40" s="54"/>
      <c r="BT40" s="21" t="str">
        <f>IFERROR(VLOOKUP(August[[#This Row],[Drug Name7]],'Data Options'!$R$1:$S$100,2,FALSE), " ")</f>
        <v xml:space="preserve"> </v>
      </c>
      <c r="BU40" s="55"/>
      <c r="BV40" s="32"/>
      <c r="BW40" s="32"/>
      <c r="BX40" s="55"/>
      <c r="BY40" s="32"/>
      <c r="BZ40" s="54"/>
      <c r="CA40" s="21" t="str">
        <f>IFERROR(VLOOKUP(August[[#This Row],[Drug Name8]],'Data Options'!$R$1:$S$100,2,FALSE), " ")</f>
        <v xml:space="preserve"> </v>
      </c>
      <c r="CB40" s="55"/>
      <c r="CC40" s="32"/>
      <c r="CD40" s="32"/>
      <c r="CE40" s="55"/>
      <c r="CF40" s="32"/>
      <c r="CG40" s="54"/>
      <c r="CH40" s="21" t="str">
        <f>IFERROR(VLOOKUP(August[[#This Row],[Drug Name9]],'Data Options'!$R$1:$S$100,2,FALSE), " ")</f>
        <v xml:space="preserve"> </v>
      </c>
      <c r="CI40" s="55"/>
      <c r="CJ40" s="32"/>
      <c r="CK40" s="32"/>
      <c r="CL40" s="55"/>
      <c r="CM40" s="32"/>
    </row>
    <row r="41" spans="1:91">
      <c r="A41" s="5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54"/>
      <c r="R41" s="21" t="str">
        <f>IFERROR(VLOOKUP(August[[#This Row],[Drug Name]],'Data Options'!$R$1:$S$100,2,FALSE), " ")</f>
        <v xml:space="preserve"> </v>
      </c>
      <c r="S41" s="55"/>
      <c r="T41" s="32"/>
      <c r="U41" s="32"/>
      <c r="V41" s="55"/>
      <c r="W41" s="32"/>
      <c r="X41" s="54"/>
      <c r="Y41" s="21" t="str">
        <f>IFERROR(VLOOKUP(August[[#This Row],[Drug Name2]],'Data Options'!$R$1:$S$100,2,FALSE), " ")</f>
        <v xml:space="preserve"> </v>
      </c>
      <c r="Z41" s="55"/>
      <c r="AA41" s="32"/>
      <c r="AB41" s="32"/>
      <c r="AC41" s="55"/>
      <c r="AD41" s="32"/>
      <c r="AE41" s="54"/>
      <c r="AF41" s="21" t="str">
        <f>IFERROR(VLOOKUP(August[[#This Row],[Drug Name3]],'Data Options'!$R$1:$S$100,2,FALSE), " ")</f>
        <v xml:space="preserve"> </v>
      </c>
      <c r="AG41" s="55"/>
      <c r="AH41" s="32"/>
      <c r="AI41" s="32"/>
      <c r="AJ41" s="55"/>
      <c r="AK41" s="32"/>
      <c r="AL41" s="32"/>
      <c r="AM41" s="32"/>
      <c r="AN41" s="32"/>
      <c r="AO41" s="32"/>
      <c r="AP41" s="31"/>
      <c r="AQ41" s="31"/>
      <c r="AR41" s="54"/>
      <c r="AS41" s="21" t="str">
        <f>IFERROR(VLOOKUP(August[[#This Row],[Drug Name4]],'Data Options'!$R$1:$S$100,2,FALSE), " ")</f>
        <v xml:space="preserve"> </v>
      </c>
      <c r="AT41" s="55"/>
      <c r="AU41" s="32"/>
      <c r="AV41" s="32"/>
      <c r="AW41" s="55"/>
      <c r="AX41" s="32"/>
      <c r="AY41" s="54"/>
      <c r="AZ41" s="21" t="str">
        <f>IFERROR(VLOOKUP(August[[#This Row],[Drug Name5]],'Data Options'!$R$1:$S$100,2,FALSE), " ")</f>
        <v xml:space="preserve"> </v>
      </c>
      <c r="BA41" s="55"/>
      <c r="BB41" s="32"/>
      <c r="BC41" s="32"/>
      <c r="BD41" s="55"/>
      <c r="BE41" s="32"/>
      <c r="BF41" s="54"/>
      <c r="BG41" s="21" t="str">
        <f>IFERROR(VLOOKUP(August[[#This Row],[Drug Name6]],'Data Options'!$R$1:$S$100,2,FALSE), " ")</f>
        <v xml:space="preserve"> </v>
      </c>
      <c r="BH41" s="55"/>
      <c r="BI41" s="32"/>
      <c r="BJ41" s="32"/>
      <c r="BK41" s="55"/>
      <c r="BL41" s="32"/>
      <c r="BM41" s="32"/>
      <c r="BN41" s="32"/>
      <c r="BO41" s="32"/>
      <c r="BP41" s="32"/>
      <c r="BQ41" s="31"/>
      <c r="BR41" s="31"/>
      <c r="BS41" s="54"/>
      <c r="BT41" s="21" t="str">
        <f>IFERROR(VLOOKUP(August[[#This Row],[Drug Name7]],'Data Options'!$R$1:$S$100,2,FALSE), " ")</f>
        <v xml:space="preserve"> </v>
      </c>
      <c r="BU41" s="55"/>
      <c r="BV41" s="32"/>
      <c r="BW41" s="32"/>
      <c r="BX41" s="55"/>
      <c r="BY41" s="32"/>
      <c r="BZ41" s="54"/>
      <c r="CA41" s="21" t="str">
        <f>IFERROR(VLOOKUP(August[[#This Row],[Drug Name8]],'Data Options'!$R$1:$S$100,2,FALSE), " ")</f>
        <v xml:space="preserve"> </v>
      </c>
      <c r="CB41" s="55"/>
      <c r="CC41" s="32"/>
      <c r="CD41" s="32"/>
      <c r="CE41" s="55"/>
      <c r="CF41" s="32"/>
      <c r="CG41" s="54"/>
      <c r="CH41" s="21" t="str">
        <f>IFERROR(VLOOKUP(August[[#This Row],[Drug Name9]],'Data Options'!$R$1:$S$100,2,FALSE), " ")</f>
        <v xml:space="preserve"> </v>
      </c>
      <c r="CI41" s="55"/>
      <c r="CJ41" s="32"/>
      <c r="CK41" s="32"/>
      <c r="CL41" s="55"/>
      <c r="CM41" s="32"/>
    </row>
    <row r="42" spans="1:91">
      <c r="A42" s="5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54"/>
      <c r="R42" s="21" t="str">
        <f>IFERROR(VLOOKUP(August[[#This Row],[Drug Name]],'Data Options'!$R$1:$S$100,2,FALSE), " ")</f>
        <v xml:space="preserve"> </v>
      </c>
      <c r="S42" s="55"/>
      <c r="T42" s="32"/>
      <c r="U42" s="32"/>
      <c r="V42" s="55"/>
      <c r="W42" s="32"/>
      <c r="X42" s="54"/>
      <c r="Y42" s="21" t="str">
        <f>IFERROR(VLOOKUP(August[[#This Row],[Drug Name2]],'Data Options'!$R$1:$S$100,2,FALSE), " ")</f>
        <v xml:space="preserve"> </v>
      </c>
      <c r="Z42" s="55"/>
      <c r="AA42" s="32"/>
      <c r="AB42" s="32"/>
      <c r="AC42" s="55"/>
      <c r="AD42" s="32"/>
      <c r="AE42" s="54"/>
      <c r="AF42" s="21" t="str">
        <f>IFERROR(VLOOKUP(August[[#This Row],[Drug Name3]],'Data Options'!$R$1:$S$100,2,FALSE), " ")</f>
        <v xml:space="preserve"> </v>
      </c>
      <c r="AG42" s="55"/>
      <c r="AH42" s="32"/>
      <c r="AI42" s="32"/>
      <c r="AJ42" s="55"/>
      <c r="AK42" s="32"/>
      <c r="AL42" s="32"/>
      <c r="AM42" s="32"/>
      <c r="AN42" s="32"/>
      <c r="AO42" s="32"/>
      <c r="AP42" s="31"/>
      <c r="AQ42" s="31"/>
      <c r="AR42" s="54"/>
      <c r="AS42" s="21" t="str">
        <f>IFERROR(VLOOKUP(August[[#This Row],[Drug Name4]],'Data Options'!$R$1:$S$100,2,FALSE), " ")</f>
        <v xml:space="preserve"> </v>
      </c>
      <c r="AT42" s="55"/>
      <c r="AU42" s="32"/>
      <c r="AV42" s="32"/>
      <c r="AW42" s="55"/>
      <c r="AX42" s="32"/>
      <c r="AY42" s="54"/>
      <c r="AZ42" s="21" t="str">
        <f>IFERROR(VLOOKUP(August[[#This Row],[Drug Name5]],'Data Options'!$R$1:$S$100,2,FALSE), " ")</f>
        <v xml:space="preserve"> </v>
      </c>
      <c r="BA42" s="55"/>
      <c r="BB42" s="32"/>
      <c r="BC42" s="32"/>
      <c r="BD42" s="55"/>
      <c r="BE42" s="32"/>
      <c r="BF42" s="54"/>
      <c r="BG42" s="21" t="str">
        <f>IFERROR(VLOOKUP(August[[#This Row],[Drug Name6]],'Data Options'!$R$1:$S$100,2,FALSE), " ")</f>
        <v xml:space="preserve"> </v>
      </c>
      <c r="BH42" s="55"/>
      <c r="BI42" s="32"/>
      <c r="BJ42" s="32"/>
      <c r="BK42" s="55"/>
      <c r="BL42" s="32"/>
      <c r="BM42" s="32"/>
      <c r="BN42" s="32"/>
      <c r="BO42" s="32"/>
      <c r="BP42" s="32"/>
      <c r="BQ42" s="31"/>
      <c r="BR42" s="31"/>
      <c r="BS42" s="54"/>
      <c r="BT42" s="21" t="str">
        <f>IFERROR(VLOOKUP(August[[#This Row],[Drug Name7]],'Data Options'!$R$1:$S$100,2,FALSE), " ")</f>
        <v xml:space="preserve"> </v>
      </c>
      <c r="BU42" s="55"/>
      <c r="BV42" s="32"/>
      <c r="BW42" s="32"/>
      <c r="BX42" s="55"/>
      <c r="BY42" s="32"/>
      <c r="BZ42" s="54"/>
      <c r="CA42" s="21" t="str">
        <f>IFERROR(VLOOKUP(August[[#This Row],[Drug Name8]],'Data Options'!$R$1:$S$100,2,FALSE), " ")</f>
        <v xml:space="preserve"> </v>
      </c>
      <c r="CB42" s="55"/>
      <c r="CC42" s="32"/>
      <c r="CD42" s="32"/>
      <c r="CE42" s="55"/>
      <c r="CF42" s="32"/>
      <c r="CG42" s="54"/>
      <c r="CH42" s="21" t="str">
        <f>IFERROR(VLOOKUP(August[[#This Row],[Drug Name9]],'Data Options'!$R$1:$S$100,2,FALSE), " ")</f>
        <v xml:space="preserve"> </v>
      </c>
      <c r="CI42" s="55"/>
      <c r="CJ42" s="32"/>
      <c r="CK42" s="32"/>
      <c r="CL42" s="55"/>
      <c r="CM42" s="32"/>
    </row>
    <row r="43" spans="1:91">
      <c r="A43" s="5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54"/>
      <c r="R43" s="21" t="str">
        <f>IFERROR(VLOOKUP(August[[#This Row],[Drug Name]],'Data Options'!$R$1:$S$100,2,FALSE), " ")</f>
        <v xml:space="preserve"> </v>
      </c>
      <c r="S43" s="55"/>
      <c r="T43" s="32"/>
      <c r="U43" s="32"/>
      <c r="V43" s="55"/>
      <c r="W43" s="32"/>
      <c r="X43" s="54"/>
      <c r="Y43" s="21" t="str">
        <f>IFERROR(VLOOKUP(August[[#This Row],[Drug Name2]],'Data Options'!$R$1:$S$100,2,FALSE), " ")</f>
        <v xml:space="preserve"> </v>
      </c>
      <c r="Z43" s="55"/>
      <c r="AA43" s="32"/>
      <c r="AB43" s="32"/>
      <c r="AC43" s="55"/>
      <c r="AD43" s="32"/>
      <c r="AE43" s="54"/>
      <c r="AF43" s="21" t="str">
        <f>IFERROR(VLOOKUP(August[[#This Row],[Drug Name3]],'Data Options'!$R$1:$S$100,2,FALSE), " ")</f>
        <v xml:space="preserve"> </v>
      </c>
      <c r="AG43" s="55"/>
      <c r="AH43" s="32"/>
      <c r="AI43" s="32"/>
      <c r="AJ43" s="55"/>
      <c r="AK43" s="32"/>
      <c r="AL43" s="32"/>
      <c r="AM43" s="32"/>
      <c r="AN43" s="32"/>
      <c r="AO43" s="32"/>
      <c r="AP43" s="31"/>
      <c r="AQ43" s="31"/>
      <c r="AR43" s="54"/>
      <c r="AS43" s="21" t="str">
        <f>IFERROR(VLOOKUP(August[[#This Row],[Drug Name4]],'Data Options'!$R$1:$S$100,2,FALSE), " ")</f>
        <v xml:space="preserve"> </v>
      </c>
      <c r="AT43" s="55"/>
      <c r="AU43" s="32"/>
      <c r="AV43" s="32"/>
      <c r="AW43" s="55"/>
      <c r="AX43" s="32"/>
      <c r="AY43" s="54"/>
      <c r="AZ43" s="21" t="str">
        <f>IFERROR(VLOOKUP(August[[#This Row],[Drug Name5]],'Data Options'!$R$1:$S$100,2,FALSE), " ")</f>
        <v xml:space="preserve"> </v>
      </c>
      <c r="BA43" s="55"/>
      <c r="BB43" s="32"/>
      <c r="BC43" s="32"/>
      <c r="BD43" s="55"/>
      <c r="BE43" s="32"/>
      <c r="BF43" s="54"/>
      <c r="BG43" s="21" t="str">
        <f>IFERROR(VLOOKUP(August[[#This Row],[Drug Name6]],'Data Options'!$R$1:$S$100,2,FALSE), " ")</f>
        <v xml:space="preserve"> </v>
      </c>
      <c r="BH43" s="55"/>
      <c r="BI43" s="32"/>
      <c r="BJ43" s="32"/>
      <c r="BK43" s="55"/>
      <c r="BL43" s="32"/>
      <c r="BM43" s="32"/>
      <c r="BN43" s="32"/>
      <c r="BO43" s="32"/>
      <c r="BP43" s="32"/>
      <c r="BQ43" s="31"/>
      <c r="BR43" s="31"/>
      <c r="BS43" s="54"/>
      <c r="BT43" s="21" t="str">
        <f>IFERROR(VLOOKUP(August[[#This Row],[Drug Name7]],'Data Options'!$R$1:$S$100,2,FALSE), " ")</f>
        <v xml:space="preserve"> </v>
      </c>
      <c r="BU43" s="55"/>
      <c r="BV43" s="32"/>
      <c r="BW43" s="32"/>
      <c r="BX43" s="55"/>
      <c r="BY43" s="32"/>
      <c r="BZ43" s="54"/>
      <c r="CA43" s="21" t="str">
        <f>IFERROR(VLOOKUP(August[[#This Row],[Drug Name8]],'Data Options'!$R$1:$S$100,2,FALSE), " ")</f>
        <v xml:space="preserve"> </v>
      </c>
      <c r="CB43" s="55"/>
      <c r="CC43" s="32"/>
      <c r="CD43" s="32"/>
      <c r="CE43" s="55"/>
      <c r="CF43" s="32"/>
      <c r="CG43" s="54"/>
      <c r="CH43" s="21" t="str">
        <f>IFERROR(VLOOKUP(August[[#This Row],[Drug Name9]],'Data Options'!$R$1:$S$100,2,FALSE), " ")</f>
        <v xml:space="preserve"> </v>
      </c>
      <c r="CI43" s="55"/>
      <c r="CJ43" s="32"/>
      <c r="CK43" s="32"/>
      <c r="CL43" s="55"/>
      <c r="CM43" s="32"/>
    </row>
    <row r="44" spans="1:9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54"/>
      <c r="R44" s="21" t="str">
        <f>IFERROR(VLOOKUP(August[[#This Row],[Drug Name]],'Data Options'!$R$1:$S$100,2,FALSE), " ")</f>
        <v xml:space="preserve"> </v>
      </c>
      <c r="S44" s="55"/>
      <c r="T44" s="32"/>
      <c r="U44" s="32"/>
      <c r="V44" s="55"/>
      <c r="W44" s="32"/>
      <c r="X44" s="54"/>
      <c r="Y44" s="21" t="str">
        <f>IFERROR(VLOOKUP(August[[#This Row],[Drug Name2]],'Data Options'!$R$1:$S$100,2,FALSE), " ")</f>
        <v xml:space="preserve"> </v>
      </c>
      <c r="Z44" s="55"/>
      <c r="AA44" s="32"/>
      <c r="AB44" s="32"/>
      <c r="AC44" s="55"/>
      <c r="AD44" s="32"/>
      <c r="AE44" s="54"/>
      <c r="AF44" s="21" t="str">
        <f>IFERROR(VLOOKUP(August[[#This Row],[Drug Name3]],'Data Options'!$R$1:$S$100,2,FALSE), " ")</f>
        <v xml:space="preserve"> </v>
      </c>
      <c r="AG44" s="55"/>
      <c r="AH44" s="32"/>
      <c r="AI44" s="32"/>
      <c r="AJ44" s="55"/>
      <c r="AK44" s="32"/>
      <c r="AL44" s="32"/>
      <c r="AM44" s="32"/>
      <c r="AN44" s="32"/>
      <c r="AO44" s="32"/>
      <c r="AP44" s="31"/>
      <c r="AQ44" s="31"/>
      <c r="AR44" s="54"/>
      <c r="AS44" s="21" t="str">
        <f>IFERROR(VLOOKUP(August[[#This Row],[Drug Name4]],'Data Options'!$R$1:$S$100,2,FALSE), " ")</f>
        <v xml:space="preserve"> </v>
      </c>
      <c r="AT44" s="55"/>
      <c r="AU44" s="32"/>
      <c r="AV44" s="32"/>
      <c r="AW44" s="55"/>
      <c r="AX44" s="32"/>
      <c r="AY44" s="54"/>
      <c r="AZ44" s="21" t="str">
        <f>IFERROR(VLOOKUP(August[[#This Row],[Drug Name5]],'Data Options'!$R$1:$S$100,2,FALSE), " ")</f>
        <v xml:space="preserve"> </v>
      </c>
      <c r="BA44" s="55"/>
      <c r="BB44" s="32"/>
      <c r="BC44" s="32"/>
      <c r="BD44" s="55"/>
      <c r="BE44" s="32"/>
      <c r="BF44" s="54"/>
      <c r="BG44" s="21" t="str">
        <f>IFERROR(VLOOKUP(August[[#This Row],[Drug Name6]],'Data Options'!$R$1:$S$100,2,FALSE), " ")</f>
        <v xml:space="preserve"> </v>
      </c>
      <c r="BH44" s="55"/>
      <c r="BI44" s="32"/>
      <c r="BJ44" s="32"/>
      <c r="BK44" s="55"/>
      <c r="BL44" s="32"/>
      <c r="BM44" s="32"/>
      <c r="BN44" s="32"/>
      <c r="BO44" s="32"/>
      <c r="BP44" s="32"/>
      <c r="BQ44" s="31"/>
      <c r="BR44" s="31"/>
      <c r="BS44" s="54"/>
      <c r="BT44" s="21" t="str">
        <f>IFERROR(VLOOKUP(August[[#This Row],[Drug Name7]],'Data Options'!$R$1:$S$100,2,FALSE), " ")</f>
        <v xml:space="preserve"> </v>
      </c>
      <c r="BU44" s="55"/>
      <c r="BV44" s="32"/>
      <c r="BW44" s="32"/>
      <c r="BX44" s="55"/>
      <c r="BY44" s="32"/>
      <c r="BZ44" s="54"/>
      <c r="CA44" s="21" t="str">
        <f>IFERROR(VLOOKUP(August[[#This Row],[Drug Name8]],'Data Options'!$R$1:$S$100,2,FALSE), " ")</f>
        <v xml:space="preserve"> </v>
      </c>
      <c r="CB44" s="55"/>
      <c r="CC44" s="32"/>
      <c r="CD44" s="32"/>
      <c r="CE44" s="55"/>
      <c r="CF44" s="32"/>
      <c r="CG44" s="54"/>
      <c r="CH44" s="21" t="str">
        <f>IFERROR(VLOOKUP(August[[#This Row],[Drug Name9]],'Data Options'!$R$1:$S$100,2,FALSE), " ")</f>
        <v xml:space="preserve"> </v>
      </c>
      <c r="CI44" s="55"/>
      <c r="CJ44" s="32"/>
      <c r="CK44" s="32"/>
      <c r="CL44" s="55"/>
      <c r="CM44" s="32"/>
    </row>
    <row r="45" spans="1:91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54"/>
      <c r="R45" s="21" t="str">
        <f>IFERROR(VLOOKUP(August[[#This Row],[Drug Name]],'Data Options'!$R$1:$S$100,2,FALSE), " ")</f>
        <v xml:space="preserve"> </v>
      </c>
      <c r="S45" s="55"/>
      <c r="T45" s="32"/>
      <c r="U45" s="32"/>
      <c r="V45" s="55"/>
      <c r="W45" s="32"/>
      <c r="X45" s="54"/>
      <c r="Y45" s="21" t="str">
        <f>IFERROR(VLOOKUP(August[[#This Row],[Drug Name2]],'Data Options'!$R$1:$S$100,2,FALSE), " ")</f>
        <v xml:space="preserve"> </v>
      </c>
      <c r="Z45" s="55"/>
      <c r="AA45" s="32"/>
      <c r="AB45" s="32"/>
      <c r="AC45" s="55"/>
      <c r="AD45" s="32"/>
      <c r="AE45" s="54"/>
      <c r="AF45" s="21" t="str">
        <f>IFERROR(VLOOKUP(August[[#This Row],[Drug Name3]],'Data Options'!$R$1:$S$100,2,FALSE), " ")</f>
        <v xml:space="preserve"> </v>
      </c>
      <c r="AG45" s="55"/>
      <c r="AH45" s="32"/>
      <c r="AI45" s="32"/>
      <c r="AJ45" s="55"/>
      <c r="AK45" s="32"/>
      <c r="AL45" s="32"/>
      <c r="AM45" s="32"/>
      <c r="AN45" s="32"/>
      <c r="AO45" s="32"/>
      <c r="AP45" s="31"/>
      <c r="AQ45" s="31"/>
      <c r="AR45" s="54"/>
      <c r="AS45" s="21" t="str">
        <f>IFERROR(VLOOKUP(August[[#This Row],[Drug Name4]],'Data Options'!$R$1:$S$100,2,FALSE), " ")</f>
        <v xml:space="preserve"> </v>
      </c>
      <c r="AT45" s="55"/>
      <c r="AU45" s="32"/>
      <c r="AV45" s="32"/>
      <c r="AW45" s="55"/>
      <c r="AX45" s="32"/>
      <c r="AY45" s="54"/>
      <c r="AZ45" s="21" t="str">
        <f>IFERROR(VLOOKUP(August[[#This Row],[Drug Name5]],'Data Options'!$R$1:$S$100,2,FALSE), " ")</f>
        <v xml:space="preserve"> </v>
      </c>
      <c r="BA45" s="55"/>
      <c r="BB45" s="32"/>
      <c r="BC45" s="32"/>
      <c r="BD45" s="55"/>
      <c r="BE45" s="32"/>
      <c r="BF45" s="54"/>
      <c r="BG45" s="21" t="str">
        <f>IFERROR(VLOOKUP(August[[#This Row],[Drug Name6]],'Data Options'!$R$1:$S$100,2,FALSE), " ")</f>
        <v xml:space="preserve"> </v>
      </c>
      <c r="BH45" s="55"/>
      <c r="BI45" s="32"/>
      <c r="BJ45" s="32"/>
      <c r="BK45" s="55"/>
      <c r="BL45" s="32"/>
      <c r="BM45" s="32"/>
      <c r="BN45" s="32"/>
      <c r="BO45" s="32"/>
      <c r="BP45" s="32"/>
      <c r="BQ45" s="31"/>
      <c r="BR45" s="31"/>
      <c r="BS45" s="54"/>
      <c r="BT45" s="21" t="str">
        <f>IFERROR(VLOOKUP(August[[#This Row],[Drug Name7]],'Data Options'!$R$1:$S$100,2,FALSE), " ")</f>
        <v xml:space="preserve"> </v>
      </c>
      <c r="BU45" s="55"/>
      <c r="BV45" s="32"/>
      <c r="BW45" s="32"/>
      <c r="BX45" s="55"/>
      <c r="BY45" s="32"/>
      <c r="BZ45" s="54"/>
      <c r="CA45" s="21" t="str">
        <f>IFERROR(VLOOKUP(August[[#This Row],[Drug Name8]],'Data Options'!$R$1:$S$100,2,FALSE), " ")</f>
        <v xml:space="preserve"> </v>
      </c>
      <c r="CB45" s="55"/>
      <c r="CC45" s="32"/>
      <c r="CD45" s="32"/>
      <c r="CE45" s="55"/>
      <c r="CF45" s="32"/>
      <c r="CG45" s="54"/>
      <c r="CH45" s="21" t="str">
        <f>IFERROR(VLOOKUP(August[[#This Row],[Drug Name9]],'Data Options'!$R$1:$S$100,2,FALSE), " ")</f>
        <v xml:space="preserve"> </v>
      </c>
      <c r="CI45" s="55"/>
      <c r="CJ45" s="32"/>
      <c r="CK45" s="32"/>
      <c r="CL45" s="55"/>
      <c r="CM45" s="32"/>
    </row>
    <row r="46" spans="1:91">
      <c r="A46" s="5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54"/>
      <c r="R46" s="21" t="str">
        <f>IFERROR(VLOOKUP(August[[#This Row],[Drug Name]],'Data Options'!$R$1:$S$100,2,FALSE), " ")</f>
        <v xml:space="preserve"> </v>
      </c>
      <c r="S46" s="55"/>
      <c r="T46" s="32"/>
      <c r="U46" s="32"/>
      <c r="V46" s="55"/>
      <c r="W46" s="32"/>
      <c r="X46" s="54"/>
      <c r="Y46" s="21" t="str">
        <f>IFERROR(VLOOKUP(August[[#This Row],[Drug Name2]],'Data Options'!$R$1:$S$100,2,FALSE), " ")</f>
        <v xml:space="preserve"> </v>
      </c>
      <c r="Z46" s="55"/>
      <c r="AA46" s="32"/>
      <c r="AB46" s="32"/>
      <c r="AC46" s="55"/>
      <c r="AD46" s="32"/>
      <c r="AE46" s="54"/>
      <c r="AF46" s="21" t="str">
        <f>IFERROR(VLOOKUP(August[[#This Row],[Drug Name3]],'Data Options'!$R$1:$S$100,2,FALSE), " ")</f>
        <v xml:space="preserve"> </v>
      </c>
      <c r="AG46" s="55"/>
      <c r="AH46" s="32"/>
      <c r="AI46" s="32"/>
      <c r="AJ46" s="55"/>
      <c r="AK46" s="32"/>
      <c r="AL46" s="32"/>
      <c r="AM46" s="32"/>
      <c r="AN46" s="32"/>
      <c r="AO46" s="32"/>
      <c r="AP46" s="31"/>
      <c r="AQ46" s="31"/>
      <c r="AR46" s="54"/>
      <c r="AS46" s="21" t="str">
        <f>IFERROR(VLOOKUP(August[[#This Row],[Drug Name4]],'Data Options'!$R$1:$S$100,2,FALSE), " ")</f>
        <v xml:space="preserve"> </v>
      </c>
      <c r="AT46" s="55"/>
      <c r="AU46" s="32"/>
      <c r="AV46" s="32"/>
      <c r="AW46" s="55"/>
      <c r="AX46" s="32"/>
      <c r="AY46" s="54"/>
      <c r="AZ46" s="21" t="str">
        <f>IFERROR(VLOOKUP(August[[#This Row],[Drug Name5]],'Data Options'!$R$1:$S$100,2,FALSE), " ")</f>
        <v xml:space="preserve"> </v>
      </c>
      <c r="BA46" s="55"/>
      <c r="BB46" s="32"/>
      <c r="BC46" s="32"/>
      <c r="BD46" s="55"/>
      <c r="BE46" s="32"/>
      <c r="BF46" s="54"/>
      <c r="BG46" s="21" t="str">
        <f>IFERROR(VLOOKUP(August[[#This Row],[Drug Name6]],'Data Options'!$R$1:$S$100,2,FALSE), " ")</f>
        <v xml:space="preserve"> </v>
      </c>
      <c r="BH46" s="55"/>
      <c r="BI46" s="32"/>
      <c r="BJ46" s="32"/>
      <c r="BK46" s="55"/>
      <c r="BL46" s="32"/>
      <c r="BM46" s="32"/>
      <c r="BN46" s="32"/>
      <c r="BO46" s="32"/>
      <c r="BP46" s="32"/>
      <c r="BQ46" s="31"/>
      <c r="BR46" s="31"/>
      <c r="BS46" s="54"/>
      <c r="BT46" s="21" t="str">
        <f>IFERROR(VLOOKUP(August[[#This Row],[Drug Name7]],'Data Options'!$R$1:$S$100,2,FALSE), " ")</f>
        <v xml:space="preserve"> </v>
      </c>
      <c r="BU46" s="55"/>
      <c r="BV46" s="32"/>
      <c r="BW46" s="32"/>
      <c r="BX46" s="55"/>
      <c r="BY46" s="32"/>
      <c r="BZ46" s="54"/>
      <c r="CA46" s="21" t="str">
        <f>IFERROR(VLOOKUP(August[[#This Row],[Drug Name8]],'Data Options'!$R$1:$S$100,2,FALSE), " ")</f>
        <v xml:space="preserve"> </v>
      </c>
      <c r="CB46" s="55"/>
      <c r="CC46" s="32"/>
      <c r="CD46" s="32"/>
      <c r="CE46" s="55"/>
      <c r="CF46" s="32"/>
      <c r="CG46" s="54"/>
      <c r="CH46" s="21" t="str">
        <f>IFERROR(VLOOKUP(August[[#This Row],[Drug Name9]],'Data Options'!$R$1:$S$100,2,FALSE), " ")</f>
        <v xml:space="preserve"> </v>
      </c>
      <c r="CI46" s="55"/>
      <c r="CJ46" s="32"/>
      <c r="CK46" s="32"/>
      <c r="CL46" s="55"/>
      <c r="CM46" s="32"/>
    </row>
    <row r="47" spans="1:9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54"/>
      <c r="R47" s="21" t="str">
        <f>IFERROR(VLOOKUP(August[[#This Row],[Drug Name]],'Data Options'!$R$1:$S$100,2,FALSE), " ")</f>
        <v xml:space="preserve"> </v>
      </c>
      <c r="S47" s="55"/>
      <c r="T47" s="32"/>
      <c r="U47" s="32"/>
      <c r="V47" s="55"/>
      <c r="W47" s="32"/>
      <c r="X47" s="54"/>
      <c r="Y47" s="21" t="str">
        <f>IFERROR(VLOOKUP(August[[#This Row],[Drug Name2]],'Data Options'!$R$1:$S$100,2,FALSE), " ")</f>
        <v xml:space="preserve"> </v>
      </c>
      <c r="Z47" s="55"/>
      <c r="AA47" s="32"/>
      <c r="AB47" s="32"/>
      <c r="AC47" s="55"/>
      <c r="AD47" s="32"/>
      <c r="AE47" s="54"/>
      <c r="AF47" s="21" t="str">
        <f>IFERROR(VLOOKUP(August[[#This Row],[Drug Name3]],'Data Options'!$R$1:$S$100,2,FALSE), " ")</f>
        <v xml:space="preserve"> </v>
      </c>
      <c r="AG47" s="55"/>
      <c r="AH47" s="32"/>
      <c r="AI47" s="32"/>
      <c r="AJ47" s="55"/>
      <c r="AK47" s="32"/>
      <c r="AL47" s="32"/>
      <c r="AM47" s="32"/>
      <c r="AN47" s="32"/>
      <c r="AO47" s="32"/>
      <c r="AP47" s="31"/>
      <c r="AQ47" s="31"/>
      <c r="AR47" s="54"/>
      <c r="AS47" s="21" t="str">
        <f>IFERROR(VLOOKUP(August[[#This Row],[Drug Name4]],'Data Options'!$R$1:$S$100,2,FALSE), " ")</f>
        <v xml:space="preserve"> </v>
      </c>
      <c r="AT47" s="55"/>
      <c r="AU47" s="32"/>
      <c r="AV47" s="32"/>
      <c r="AW47" s="55"/>
      <c r="AX47" s="32"/>
      <c r="AY47" s="54"/>
      <c r="AZ47" s="21" t="str">
        <f>IFERROR(VLOOKUP(August[[#This Row],[Drug Name5]],'Data Options'!$R$1:$S$100,2,FALSE), " ")</f>
        <v xml:space="preserve"> </v>
      </c>
      <c r="BA47" s="55"/>
      <c r="BB47" s="32"/>
      <c r="BC47" s="32"/>
      <c r="BD47" s="55"/>
      <c r="BE47" s="32"/>
      <c r="BF47" s="54"/>
      <c r="BG47" s="21" t="str">
        <f>IFERROR(VLOOKUP(August[[#This Row],[Drug Name6]],'Data Options'!$R$1:$S$100,2,FALSE), " ")</f>
        <v xml:space="preserve"> </v>
      </c>
      <c r="BH47" s="55"/>
      <c r="BI47" s="32"/>
      <c r="BJ47" s="32"/>
      <c r="BK47" s="55"/>
      <c r="BL47" s="32"/>
      <c r="BM47" s="32"/>
      <c r="BN47" s="32"/>
      <c r="BO47" s="32"/>
      <c r="BP47" s="32"/>
      <c r="BQ47" s="31"/>
      <c r="BR47" s="31"/>
      <c r="BS47" s="54"/>
      <c r="BT47" s="21" t="str">
        <f>IFERROR(VLOOKUP(August[[#This Row],[Drug Name7]],'Data Options'!$R$1:$S$100,2,FALSE), " ")</f>
        <v xml:space="preserve"> </v>
      </c>
      <c r="BU47" s="55"/>
      <c r="BV47" s="32"/>
      <c r="BW47" s="32"/>
      <c r="BX47" s="55"/>
      <c r="BY47" s="32"/>
      <c r="BZ47" s="54"/>
      <c r="CA47" s="21" t="str">
        <f>IFERROR(VLOOKUP(August[[#This Row],[Drug Name8]],'Data Options'!$R$1:$S$100,2,FALSE), " ")</f>
        <v xml:space="preserve"> </v>
      </c>
      <c r="CB47" s="55"/>
      <c r="CC47" s="32"/>
      <c r="CD47" s="32"/>
      <c r="CE47" s="55"/>
      <c r="CF47" s="32"/>
      <c r="CG47" s="54"/>
      <c r="CH47" s="21" t="str">
        <f>IFERROR(VLOOKUP(August[[#This Row],[Drug Name9]],'Data Options'!$R$1:$S$100,2,FALSE), " ")</f>
        <v xml:space="preserve"> </v>
      </c>
      <c r="CI47" s="55"/>
      <c r="CJ47" s="32"/>
      <c r="CK47" s="32"/>
      <c r="CL47" s="55"/>
      <c r="CM47" s="32"/>
    </row>
    <row r="48" spans="1:9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54"/>
      <c r="R48" s="21" t="str">
        <f>IFERROR(VLOOKUP(August[[#This Row],[Drug Name]],'Data Options'!$R$1:$S$100,2,FALSE), " ")</f>
        <v xml:space="preserve"> </v>
      </c>
      <c r="S48" s="55"/>
      <c r="T48" s="32"/>
      <c r="U48" s="32"/>
      <c r="V48" s="55"/>
      <c r="W48" s="32"/>
      <c r="X48" s="54"/>
      <c r="Y48" s="21" t="str">
        <f>IFERROR(VLOOKUP(August[[#This Row],[Drug Name2]],'Data Options'!$R$1:$S$100,2,FALSE), " ")</f>
        <v xml:space="preserve"> </v>
      </c>
      <c r="Z48" s="55"/>
      <c r="AA48" s="32"/>
      <c r="AB48" s="32"/>
      <c r="AC48" s="55"/>
      <c r="AD48" s="32"/>
      <c r="AE48" s="54"/>
      <c r="AF48" s="21" t="str">
        <f>IFERROR(VLOOKUP(August[[#This Row],[Drug Name3]],'Data Options'!$R$1:$S$100,2,FALSE), " ")</f>
        <v xml:space="preserve"> </v>
      </c>
      <c r="AG48" s="55"/>
      <c r="AH48" s="32"/>
      <c r="AI48" s="32"/>
      <c r="AJ48" s="55"/>
      <c r="AK48" s="32"/>
      <c r="AL48" s="32"/>
      <c r="AM48" s="32"/>
      <c r="AN48" s="32"/>
      <c r="AO48" s="32"/>
      <c r="AP48" s="31"/>
      <c r="AQ48" s="31"/>
      <c r="AR48" s="54"/>
      <c r="AS48" s="21" t="str">
        <f>IFERROR(VLOOKUP(August[[#This Row],[Drug Name4]],'Data Options'!$R$1:$S$100,2,FALSE), " ")</f>
        <v xml:space="preserve"> </v>
      </c>
      <c r="AT48" s="55"/>
      <c r="AU48" s="32"/>
      <c r="AV48" s="32"/>
      <c r="AW48" s="55"/>
      <c r="AX48" s="32"/>
      <c r="AY48" s="54"/>
      <c r="AZ48" s="21" t="str">
        <f>IFERROR(VLOOKUP(August[[#This Row],[Drug Name5]],'Data Options'!$R$1:$S$100,2,FALSE), " ")</f>
        <v xml:space="preserve"> </v>
      </c>
      <c r="BA48" s="55"/>
      <c r="BB48" s="32"/>
      <c r="BC48" s="32"/>
      <c r="BD48" s="55"/>
      <c r="BE48" s="32"/>
      <c r="BF48" s="54"/>
      <c r="BG48" s="21" t="str">
        <f>IFERROR(VLOOKUP(August[[#This Row],[Drug Name6]],'Data Options'!$R$1:$S$100,2,FALSE), " ")</f>
        <v xml:space="preserve"> </v>
      </c>
      <c r="BH48" s="55"/>
      <c r="BI48" s="32"/>
      <c r="BJ48" s="32"/>
      <c r="BK48" s="55"/>
      <c r="BL48" s="32"/>
      <c r="BM48" s="32"/>
      <c r="BN48" s="32"/>
      <c r="BO48" s="32"/>
      <c r="BP48" s="32"/>
      <c r="BQ48" s="31"/>
      <c r="BR48" s="31"/>
      <c r="BS48" s="54"/>
      <c r="BT48" s="21" t="str">
        <f>IFERROR(VLOOKUP(August[[#This Row],[Drug Name7]],'Data Options'!$R$1:$S$100,2,FALSE), " ")</f>
        <v xml:space="preserve"> </v>
      </c>
      <c r="BU48" s="55"/>
      <c r="BV48" s="32"/>
      <c r="BW48" s="32"/>
      <c r="BX48" s="55"/>
      <c r="BY48" s="32"/>
      <c r="BZ48" s="54"/>
      <c r="CA48" s="21" t="str">
        <f>IFERROR(VLOOKUP(August[[#This Row],[Drug Name8]],'Data Options'!$R$1:$S$100,2,FALSE), " ")</f>
        <v xml:space="preserve"> </v>
      </c>
      <c r="CB48" s="55"/>
      <c r="CC48" s="32"/>
      <c r="CD48" s="32"/>
      <c r="CE48" s="55"/>
      <c r="CF48" s="32"/>
      <c r="CG48" s="54"/>
      <c r="CH48" s="21" t="str">
        <f>IFERROR(VLOOKUP(August[[#This Row],[Drug Name9]],'Data Options'!$R$1:$S$100,2,FALSE), " ")</f>
        <v xml:space="preserve"> </v>
      </c>
      <c r="CI48" s="55"/>
      <c r="CJ48" s="32"/>
      <c r="CK48" s="32"/>
      <c r="CL48" s="55"/>
      <c r="CM48" s="32"/>
    </row>
    <row r="49" spans="1:9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54"/>
      <c r="R49" s="21" t="str">
        <f>IFERROR(VLOOKUP(August[[#This Row],[Drug Name]],'Data Options'!$R$1:$S$100,2,FALSE), " ")</f>
        <v xml:space="preserve"> </v>
      </c>
      <c r="S49" s="55"/>
      <c r="T49" s="32"/>
      <c r="U49" s="32"/>
      <c r="V49" s="55"/>
      <c r="W49" s="32"/>
      <c r="X49" s="54"/>
      <c r="Y49" s="21" t="str">
        <f>IFERROR(VLOOKUP(August[[#This Row],[Drug Name2]],'Data Options'!$R$1:$S$100,2,FALSE), " ")</f>
        <v xml:space="preserve"> </v>
      </c>
      <c r="Z49" s="55"/>
      <c r="AA49" s="32"/>
      <c r="AB49" s="32"/>
      <c r="AC49" s="55"/>
      <c r="AD49" s="32"/>
      <c r="AE49" s="54"/>
      <c r="AF49" s="21" t="str">
        <f>IFERROR(VLOOKUP(August[[#This Row],[Drug Name3]],'Data Options'!$R$1:$S$100,2,FALSE), " ")</f>
        <v xml:space="preserve"> </v>
      </c>
      <c r="AG49" s="55"/>
      <c r="AH49" s="32"/>
      <c r="AI49" s="32"/>
      <c r="AJ49" s="55"/>
      <c r="AK49" s="32"/>
      <c r="AL49" s="32"/>
      <c r="AM49" s="32"/>
      <c r="AN49" s="32"/>
      <c r="AO49" s="32"/>
      <c r="AP49" s="31"/>
      <c r="AQ49" s="31"/>
      <c r="AR49" s="54"/>
      <c r="AS49" s="21" t="str">
        <f>IFERROR(VLOOKUP(August[[#This Row],[Drug Name4]],'Data Options'!$R$1:$S$100,2,FALSE), " ")</f>
        <v xml:space="preserve"> </v>
      </c>
      <c r="AT49" s="55"/>
      <c r="AU49" s="32"/>
      <c r="AV49" s="32"/>
      <c r="AW49" s="55"/>
      <c r="AX49" s="32"/>
      <c r="AY49" s="54"/>
      <c r="AZ49" s="21" t="str">
        <f>IFERROR(VLOOKUP(August[[#This Row],[Drug Name5]],'Data Options'!$R$1:$S$100,2,FALSE), " ")</f>
        <v xml:space="preserve"> </v>
      </c>
      <c r="BA49" s="55"/>
      <c r="BB49" s="32"/>
      <c r="BC49" s="32"/>
      <c r="BD49" s="55"/>
      <c r="BE49" s="32"/>
      <c r="BF49" s="54"/>
      <c r="BG49" s="21" t="str">
        <f>IFERROR(VLOOKUP(August[[#This Row],[Drug Name6]],'Data Options'!$R$1:$S$100,2,FALSE), " ")</f>
        <v xml:space="preserve"> </v>
      </c>
      <c r="BH49" s="55"/>
      <c r="BI49" s="32"/>
      <c r="BJ49" s="32"/>
      <c r="BK49" s="55"/>
      <c r="BL49" s="32"/>
      <c r="BM49" s="32"/>
      <c r="BN49" s="32"/>
      <c r="BO49" s="32"/>
      <c r="BP49" s="32"/>
      <c r="BQ49" s="31"/>
      <c r="BR49" s="31"/>
      <c r="BS49" s="54"/>
      <c r="BT49" s="21" t="str">
        <f>IFERROR(VLOOKUP(August[[#This Row],[Drug Name7]],'Data Options'!$R$1:$S$100,2,FALSE), " ")</f>
        <v xml:space="preserve"> </v>
      </c>
      <c r="BU49" s="55"/>
      <c r="BV49" s="32"/>
      <c r="BW49" s="32"/>
      <c r="BX49" s="55"/>
      <c r="BY49" s="32"/>
      <c r="BZ49" s="54"/>
      <c r="CA49" s="21" t="str">
        <f>IFERROR(VLOOKUP(August[[#This Row],[Drug Name8]],'Data Options'!$R$1:$S$100,2,FALSE), " ")</f>
        <v xml:space="preserve"> </v>
      </c>
      <c r="CB49" s="55"/>
      <c r="CC49" s="32"/>
      <c r="CD49" s="32"/>
      <c r="CE49" s="55"/>
      <c r="CF49" s="32"/>
      <c r="CG49" s="54"/>
      <c r="CH49" s="21" t="str">
        <f>IFERROR(VLOOKUP(August[[#This Row],[Drug Name9]],'Data Options'!$R$1:$S$100,2,FALSE), " ")</f>
        <v xml:space="preserve"> </v>
      </c>
      <c r="CI49" s="55"/>
      <c r="CJ49" s="32"/>
      <c r="CK49" s="32"/>
      <c r="CL49" s="55"/>
      <c r="CM49" s="32"/>
    </row>
    <row r="50" spans="1:91">
      <c r="A50" s="5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54"/>
      <c r="R50" s="21" t="str">
        <f>IFERROR(VLOOKUP(August[[#This Row],[Drug Name]],'Data Options'!$R$1:$S$100,2,FALSE), " ")</f>
        <v xml:space="preserve"> </v>
      </c>
      <c r="S50" s="55"/>
      <c r="T50" s="32"/>
      <c r="U50" s="32"/>
      <c r="V50" s="55"/>
      <c r="W50" s="32"/>
      <c r="X50" s="54"/>
      <c r="Y50" s="21" t="str">
        <f>IFERROR(VLOOKUP(August[[#This Row],[Drug Name2]],'Data Options'!$R$1:$S$100,2,FALSE), " ")</f>
        <v xml:space="preserve"> </v>
      </c>
      <c r="Z50" s="55"/>
      <c r="AA50" s="32"/>
      <c r="AB50" s="32"/>
      <c r="AC50" s="55"/>
      <c r="AD50" s="32"/>
      <c r="AE50" s="54"/>
      <c r="AF50" s="21" t="str">
        <f>IFERROR(VLOOKUP(August[[#This Row],[Drug Name3]],'Data Options'!$R$1:$S$100,2,FALSE), " ")</f>
        <v xml:space="preserve"> </v>
      </c>
      <c r="AG50" s="55"/>
      <c r="AH50" s="32"/>
      <c r="AI50" s="32"/>
      <c r="AJ50" s="55"/>
      <c r="AK50" s="32"/>
      <c r="AL50" s="32"/>
      <c r="AM50" s="32"/>
      <c r="AN50" s="32"/>
      <c r="AO50" s="32"/>
      <c r="AP50" s="31"/>
      <c r="AQ50" s="31"/>
      <c r="AR50" s="54"/>
      <c r="AS50" s="21" t="str">
        <f>IFERROR(VLOOKUP(August[[#This Row],[Drug Name4]],'Data Options'!$R$1:$S$100,2,FALSE), " ")</f>
        <v xml:space="preserve"> </v>
      </c>
      <c r="AT50" s="55"/>
      <c r="AU50" s="32"/>
      <c r="AV50" s="32"/>
      <c r="AW50" s="55"/>
      <c r="AX50" s="32"/>
      <c r="AY50" s="54"/>
      <c r="AZ50" s="21" t="str">
        <f>IFERROR(VLOOKUP(August[[#This Row],[Drug Name5]],'Data Options'!$R$1:$S$100,2,FALSE), " ")</f>
        <v xml:space="preserve"> </v>
      </c>
      <c r="BA50" s="55"/>
      <c r="BB50" s="32"/>
      <c r="BC50" s="32"/>
      <c r="BD50" s="55"/>
      <c r="BE50" s="32"/>
      <c r="BF50" s="54"/>
      <c r="BG50" s="21" t="str">
        <f>IFERROR(VLOOKUP(August[[#This Row],[Drug Name6]],'Data Options'!$R$1:$S$100,2,FALSE), " ")</f>
        <v xml:space="preserve"> </v>
      </c>
      <c r="BH50" s="55"/>
      <c r="BI50" s="32"/>
      <c r="BJ50" s="32"/>
      <c r="BK50" s="55"/>
      <c r="BL50" s="32"/>
      <c r="BM50" s="32"/>
      <c r="BN50" s="32"/>
      <c r="BO50" s="32"/>
      <c r="BP50" s="32"/>
      <c r="BQ50" s="31"/>
      <c r="BR50" s="31"/>
      <c r="BS50" s="54"/>
      <c r="BT50" s="21" t="str">
        <f>IFERROR(VLOOKUP(August[[#This Row],[Drug Name7]],'Data Options'!$R$1:$S$100,2,FALSE), " ")</f>
        <v xml:space="preserve"> </v>
      </c>
      <c r="BU50" s="55"/>
      <c r="BV50" s="32"/>
      <c r="BW50" s="32"/>
      <c r="BX50" s="55"/>
      <c r="BY50" s="32"/>
      <c r="BZ50" s="54"/>
      <c r="CA50" s="21" t="str">
        <f>IFERROR(VLOOKUP(August[[#This Row],[Drug Name8]],'Data Options'!$R$1:$S$100,2,FALSE), " ")</f>
        <v xml:space="preserve"> </v>
      </c>
      <c r="CB50" s="55"/>
      <c r="CC50" s="32"/>
      <c r="CD50" s="32"/>
      <c r="CE50" s="55"/>
      <c r="CF50" s="32"/>
      <c r="CG50" s="54"/>
      <c r="CH50" s="21" t="str">
        <f>IFERROR(VLOOKUP(August[[#This Row],[Drug Name9]],'Data Options'!$R$1:$S$100,2,FALSE), " ")</f>
        <v xml:space="preserve"> </v>
      </c>
      <c r="CI50" s="55"/>
      <c r="CJ50" s="32"/>
      <c r="CK50" s="32"/>
      <c r="CL50" s="55"/>
      <c r="CM50" s="32"/>
    </row>
    <row r="51" spans="1:9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54"/>
      <c r="R51" s="21" t="str">
        <f>IFERROR(VLOOKUP(August[[#This Row],[Drug Name]],'Data Options'!$R$1:$S$100,2,FALSE), " ")</f>
        <v xml:space="preserve"> </v>
      </c>
      <c r="S51" s="55"/>
      <c r="T51" s="32"/>
      <c r="U51" s="32"/>
      <c r="V51" s="55"/>
      <c r="W51" s="32"/>
      <c r="X51" s="54"/>
      <c r="Y51" s="21" t="str">
        <f>IFERROR(VLOOKUP(August[[#This Row],[Drug Name2]],'Data Options'!$R$1:$S$100,2,FALSE), " ")</f>
        <v xml:space="preserve"> </v>
      </c>
      <c r="Z51" s="55"/>
      <c r="AA51" s="32"/>
      <c r="AB51" s="32"/>
      <c r="AC51" s="55"/>
      <c r="AD51" s="32"/>
      <c r="AE51" s="54"/>
      <c r="AF51" s="21" t="str">
        <f>IFERROR(VLOOKUP(August[[#This Row],[Drug Name3]],'Data Options'!$R$1:$S$100,2,FALSE), " ")</f>
        <v xml:space="preserve"> </v>
      </c>
      <c r="AG51" s="55"/>
      <c r="AH51" s="32"/>
      <c r="AI51" s="32"/>
      <c r="AJ51" s="55"/>
      <c r="AK51" s="32"/>
      <c r="AL51" s="32"/>
      <c r="AM51" s="32"/>
      <c r="AN51" s="32"/>
      <c r="AO51" s="32"/>
      <c r="AP51" s="31"/>
      <c r="AQ51" s="31"/>
      <c r="AR51" s="54"/>
      <c r="AS51" s="21" t="str">
        <f>IFERROR(VLOOKUP(August[[#This Row],[Drug Name4]],'Data Options'!$R$1:$S$100,2,FALSE), " ")</f>
        <v xml:space="preserve"> </v>
      </c>
      <c r="AT51" s="55"/>
      <c r="AU51" s="32"/>
      <c r="AV51" s="32"/>
      <c r="AW51" s="55"/>
      <c r="AX51" s="32"/>
      <c r="AY51" s="54"/>
      <c r="AZ51" s="21" t="str">
        <f>IFERROR(VLOOKUP(August[[#This Row],[Drug Name5]],'Data Options'!$R$1:$S$100,2,FALSE), " ")</f>
        <v xml:space="preserve"> </v>
      </c>
      <c r="BA51" s="55"/>
      <c r="BB51" s="32"/>
      <c r="BC51" s="32"/>
      <c r="BD51" s="55"/>
      <c r="BE51" s="32"/>
      <c r="BF51" s="54"/>
      <c r="BG51" s="21" t="str">
        <f>IFERROR(VLOOKUP(August[[#This Row],[Drug Name6]],'Data Options'!$R$1:$S$100,2,FALSE), " ")</f>
        <v xml:space="preserve"> </v>
      </c>
      <c r="BH51" s="55"/>
      <c r="BI51" s="32"/>
      <c r="BJ51" s="32"/>
      <c r="BK51" s="55"/>
      <c r="BL51" s="32"/>
      <c r="BM51" s="32"/>
      <c r="BN51" s="32"/>
      <c r="BO51" s="32"/>
      <c r="BP51" s="32"/>
      <c r="BQ51" s="31"/>
      <c r="BR51" s="31"/>
      <c r="BS51" s="54"/>
      <c r="BT51" s="21" t="str">
        <f>IFERROR(VLOOKUP(August[[#This Row],[Drug Name7]],'Data Options'!$R$1:$S$100,2,FALSE), " ")</f>
        <v xml:space="preserve"> </v>
      </c>
      <c r="BU51" s="55"/>
      <c r="BV51" s="32"/>
      <c r="BW51" s="32"/>
      <c r="BX51" s="55"/>
      <c r="BY51" s="32"/>
      <c r="BZ51" s="54"/>
      <c r="CA51" s="21" t="str">
        <f>IFERROR(VLOOKUP(August[[#This Row],[Drug Name8]],'Data Options'!$R$1:$S$100,2,FALSE), " ")</f>
        <v xml:space="preserve"> </v>
      </c>
      <c r="CB51" s="55"/>
      <c r="CC51" s="32"/>
      <c r="CD51" s="32"/>
      <c r="CE51" s="55"/>
      <c r="CF51" s="32"/>
      <c r="CG51" s="54"/>
      <c r="CH51" s="21" t="str">
        <f>IFERROR(VLOOKUP(August[[#This Row],[Drug Name9]],'Data Options'!$R$1:$S$100,2,FALSE), " ")</f>
        <v xml:space="preserve"> </v>
      </c>
      <c r="CI51" s="55"/>
      <c r="CJ51" s="32"/>
      <c r="CK51" s="32"/>
      <c r="CL51" s="55"/>
      <c r="CM51" s="32"/>
    </row>
    <row r="52" spans="1:9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54"/>
      <c r="R52" s="21" t="str">
        <f>IFERROR(VLOOKUP(August[[#This Row],[Drug Name]],'Data Options'!$R$1:$S$100,2,FALSE), " ")</f>
        <v xml:space="preserve"> </v>
      </c>
      <c r="S52" s="55"/>
      <c r="T52" s="32"/>
      <c r="U52" s="32"/>
      <c r="V52" s="55"/>
      <c r="W52" s="32"/>
      <c r="X52" s="54"/>
      <c r="Y52" s="21" t="str">
        <f>IFERROR(VLOOKUP(August[[#This Row],[Drug Name2]],'Data Options'!$R$1:$S$100,2,FALSE), " ")</f>
        <v xml:space="preserve"> </v>
      </c>
      <c r="Z52" s="55"/>
      <c r="AA52" s="32"/>
      <c r="AB52" s="32"/>
      <c r="AC52" s="55"/>
      <c r="AD52" s="32"/>
      <c r="AE52" s="54"/>
      <c r="AF52" s="21" t="str">
        <f>IFERROR(VLOOKUP(August[[#This Row],[Drug Name3]],'Data Options'!$R$1:$S$100,2,FALSE), " ")</f>
        <v xml:space="preserve"> </v>
      </c>
      <c r="AG52" s="55"/>
      <c r="AH52" s="32"/>
      <c r="AI52" s="32"/>
      <c r="AJ52" s="55"/>
      <c r="AK52" s="32"/>
      <c r="AL52" s="32"/>
      <c r="AM52" s="32"/>
      <c r="AN52" s="32"/>
      <c r="AO52" s="32"/>
      <c r="AP52" s="31"/>
      <c r="AQ52" s="31"/>
      <c r="AR52" s="54"/>
      <c r="AS52" s="21" t="str">
        <f>IFERROR(VLOOKUP(August[[#This Row],[Drug Name4]],'Data Options'!$R$1:$S$100,2,FALSE), " ")</f>
        <v xml:space="preserve"> </v>
      </c>
      <c r="AT52" s="55"/>
      <c r="AU52" s="32"/>
      <c r="AV52" s="32"/>
      <c r="AW52" s="55"/>
      <c r="AX52" s="32"/>
      <c r="AY52" s="54"/>
      <c r="AZ52" s="21" t="str">
        <f>IFERROR(VLOOKUP(August[[#This Row],[Drug Name5]],'Data Options'!$R$1:$S$100,2,FALSE), " ")</f>
        <v xml:space="preserve"> </v>
      </c>
      <c r="BA52" s="55"/>
      <c r="BB52" s="32"/>
      <c r="BC52" s="32"/>
      <c r="BD52" s="55"/>
      <c r="BE52" s="32"/>
      <c r="BF52" s="54"/>
      <c r="BG52" s="21" t="str">
        <f>IFERROR(VLOOKUP(August[[#This Row],[Drug Name6]],'Data Options'!$R$1:$S$100,2,FALSE), " ")</f>
        <v xml:space="preserve"> </v>
      </c>
      <c r="BH52" s="55"/>
      <c r="BI52" s="32"/>
      <c r="BJ52" s="32"/>
      <c r="BK52" s="55"/>
      <c r="BL52" s="32"/>
      <c r="BM52" s="32"/>
      <c r="BN52" s="32"/>
      <c r="BO52" s="32"/>
      <c r="BP52" s="32"/>
      <c r="BQ52" s="31"/>
      <c r="BR52" s="31"/>
      <c r="BS52" s="54"/>
      <c r="BT52" s="21" t="str">
        <f>IFERROR(VLOOKUP(August[[#This Row],[Drug Name7]],'Data Options'!$R$1:$S$100,2,FALSE), " ")</f>
        <v xml:space="preserve"> </v>
      </c>
      <c r="BU52" s="55"/>
      <c r="BV52" s="32"/>
      <c r="BW52" s="32"/>
      <c r="BX52" s="55"/>
      <c r="BY52" s="32"/>
      <c r="BZ52" s="54"/>
      <c r="CA52" s="21" t="str">
        <f>IFERROR(VLOOKUP(August[[#This Row],[Drug Name8]],'Data Options'!$R$1:$S$100,2,FALSE), " ")</f>
        <v xml:space="preserve"> </v>
      </c>
      <c r="CB52" s="55"/>
      <c r="CC52" s="32"/>
      <c r="CD52" s="32"/>
      <c r="CE52" s="55"/>
      <c r="CF52" s="32"/>
      <c r="CG52" s="54"/>
      <c r="CH52" s="21" t="str">
        <f>IFERROR(VLOOKUP(August[[#This Row],[Drug Name9]],'Data Options'!$R$1:$S$100,2,FALSE), " ")</f>
        <v xml:space="preserve"> </v>
      </c>
      <c r="CI52" s="55"/>
      <c r="CJ52" s="32"/>
      <c r="CK52" s="32"/>
      <c r="CL52" s="55"/>
      <c r="CM52" s="32"/>
    </row>
    <row r="53" spans="1:91">
      <c r="A53" s="5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54"/>
      <c r="R53" s="21" t="str">
        <f>IFERROR(VLOOKUP(August[[#This Row],[Drug Name]],'Data Options'!$R$1:$S$100,2,FALSE), " ")</f>
        <v xml:space="preserve"> </v>
      </c>
      <c r="S53" s="55"/>
      <c r="T53" s="32"/>
      <c r="U53" s="32"/>
      <c r="V53" s="55"/>
      <c r="W53" s="32"/>
      <c r="X53" s="54"/>
      <c r="Y53" s="21" t="str">
        <f>IFERROR(VLOOKUP(August[[#This Row],[Drug Name2]],'Data Options'!$R$1:$S$100,2,FALSE), " ")</f>
        <v xml:space="preserve"> </v>
      </c>
      <c r="Z53" s="55"/>
      <c r="AA53" s="32"/>
      <c r="AB53" s="32"/>
      <c r="AC53" s="55"/>
      <c r="AD53" s="32"/>
      <c r="AE53" s="54"/>
      <c r="AF53" s="21" t="str">
        <f>IFERROR(VLOOKUP(August[[#This Row],[Drug Name3]],'Data Options'!$R$1:$S$100,2,FALSE), " ")</f>
        <v xml:space="preserve"> </v>
      </c>
      <c r="AG53" s="55"/>
      <c r="AH53" s="32"/>
      <c r="AI53" s="32"/>
      <c r="AJ53" s="55"/>
      <c r="AK53" s="32"/>
      <c r="AL53" s="32"/>
      <c r="AM53" s="32"/>
      <c r="AN53" s="32"/>
      <c r="AO53" s="32"/>
      <c r="AP53" s="31"/>
      <c r="AQ53" s="31"/>
      <c r="AR53" s="54"/>
      <c r="AS53" s="21" t="str">
        <f>IFERROR(VLOOKUP(August[[#This Row],[Drug Name4]],'Data Options'!$R$1:$S$100,2,FALSE), " ")</f>
        <v xml:space="preserve"> </v>
      </c>
      <c r="AT53" s="55"/>
      <c r="AU53" s="32"/>
      <c r="AV53" s="32"/>
      <c r="AW53" s="55"/>
      <c r="AX53" s="32"/>
      <c r="AY53" s="54"/>
      <c r="AZ53" s="21" t="str">
        <f>IFERROR(VLOOKUP(August[[#This Row],[Drug Name5]],'Data Options'!$R$1:$S$100,2,FALSE), " ")</f>
        <v xml:space="preserve"> </v>
      </c>
      <c r="BA53" s="55"/>
      <c r="BB53" s="32"/>
      <c r="BC53" s="32"/>
      <c r="BD53" s="55"/>
      <c r="BE53" s="32"/>
      <c r="BF53" s="54"/>
      <c r="BG53" s="21" t="str">
        <f>IFERROR(VLOOKUP(August[[#This Row],[Drug Name6]],'Data Options'!$R$1:$S$100,2,FALSE), " ")</f>
        <v xml:space="preserve"> </v>
      </c>
      <c r="BH53" s="55"/>
      <c r="BI53" s="32"/>
      <c r="BJ53" s="32"/>
      <c r="BK53" s="55"/>
      <c r="BL53" s="32"/>
      <c r="BM53" s="32"/>
      <c r="BN53" s="32"/>
      <c r="BO53" s="32"/>
      <c r="BP53" s="32"/>
      <c r="BQ53" s="31"/>
      <c r="BR53" s="31"/>
      <c r="BS53" s="54"/>
      <c r="BT53" s="21" t="str">
        <f>IFERROR(VLOOKUP(August[[#This Row],[Drug Name7]],'Data Options'!$R$1:$S$100,2,FALSE), " ")</f>
        <v xml:space="preserve"> </v>
      </c>
      <c r="BU53" s="55"/>
      <c r="BV53" s="32"/>
      <c r="BW53" s="32"/>
      <c r="BX53" s="55"/>
      <c r="BY53" s="32"/>
      <c r="BZ53" s="54"/>
      <c r="CA53" s="21" t="str">
        <f>IFERROR(VLOOKUP(August[[#This Row],[Drug Name8]],'Data Options'!$R$1:$S$100,2,FALSE), " ")</f>
        <v xml:space="preserve"> </v>
      </c>
      <c r="CB53" s="55"/>
      <c r="CC53" s="32"/>
      <c r="CD53" s="32"/>
      <c r="CE53" s="55"/>
      <c r="CF53" s="32"/>
      <c r="CG53" s="54"/>
      <c r="CH53" s="21" t="str">
        <f>IFERROR(VLOOKUP(August[[#This Row],[Drug Name9]],'Data Options'!$R$1:$S$100,2,FALSE), " ")</f>
        <v xml:space="preserve"> </v>
      </c>
      <c r="CI53" s="55"/>
      <c r="CJ53" s="32"/>
      <c r="CK53" s="32"/>
      <c r="CL53" s="55"/>
      <c r="CM53" s="32"/>
    </row>
    <row r="54" spans="1:91">
      <c r="A54" s="5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54"/>
      <c r="R54" s="21" t="str">
        <f>IFERROR(VLOOKUP(August[[#This Row],[Drug Name]],'Data Options'!$R$1:$S$100,2,FALSE), " ")</f>
        <v xml:space="preserve"> </v>
      </c>
      <c r="S54" s="55"/>
      <c r="T54" s="32"/>
      <c r="U54" s="32"/>
      <c r="V54" s="55"/>
      <c r="W54" s="32"/>
      <c r="X54" s="54"/>
      <c r="Y54" s="21" t="str">
        <f>IFERROR(VLOOKUP(August[[#This Row],[Drug Name2]],'Data Options'!$R$1:$S$100,2,FALSE), " ")</f>
        <v xml:space="preserve"> </v>
      </c>
      <c r="Z54" s="55"/>
      <c r="AA54" s="32"/>
      <c r="AB54" s="32"/>
      <c r="AC54" s="55"/>
      <c r="AD54" s="32"/>
      <c r="AE54" s="54"/>
      <c r="AF54" s="21" t="str">
        <f>IFERROR(VLOOKUP(August[[#This Row],[Drug Name3]],'Data Options'!$R$1:$S$100,2,FALSE), " ")</f>
        <v xml:space="preserve"> </v>
      </c>
      <c r="AG54" s="55"/>
      <c r="AH54" s="32"/>
      <c r="AI54" s="32"/>
      <c r="AJ54" s="55"/>
      <c r="AK54" s="32"/>
      <c r="AL54" s="32"/>
      <c r="AM54" s="32"/>
      <c r="AN54" s="32"/>
      <c r="AO54" s="32"/>
      <c r="AP54" s="31"/>
      <c r="AQ54" s="31"/>
      <c r="AR54" s="54"/>
      <c r="AS54" s="21" t="str">
        <f>IFERROR(VLOOKUP(August[[#This Row],[Drug Name4]],'Data Options'!$R$1:$S$100,2,FALSE), " ")</f>
        <v xml:space="preserve"> </v>
      </c>
      <c r="AT54" s="55"/>
      <c r="AU54" s="32"/>
      <c r="AV54" s="32"/>
      <c r="AW54" s="55"/>
      <c r="AX54" s="32"/>
      <c r="AY54" s="54"/>
      <c r="AZ54" s="21" t="str">
        <f>IFERROR(VLOOKUP(August[[#This Row],[Drug Name5]],'Data Options'!$R$1:$S$100,2,FALSE), " ")</f>
        <v xml:space="preserve"> </v>
      </c>
      <c r="BA54" s="55"/>
      <c r="BB54" s="32"/>
      <c r="BC54" s="32"/>
      <c r="BD54" s="55"/>
      <c r="BE54" s="32"/>
      <c r="BF54" s="54"/>
      <c r="BG54" s="21" t="str">
        <f>IFERROR(VLOOKUP(August[[#This Row],[Drug Name6]],'Data Options'!$R$1:$S$100,2,FALSE), " ")</f>
        <v xml:space="preserve"> </v>
      </c>
      <c r="BH54" s="55"/>
      <c r="BI54" s="32"/>
      <c r="BJ54" s="32"/>
      <c r="BK54" s="55"/>
      <c r="BL54" s="32"/>
      <c r="BM54" s="32"/>
      <c r="BN54" s="32"/>
      <c r="BO54" s="32"/>
      <c r="BP54" s="32"/>
      <c r="BQ54" s="31"/>
      <c r="BR54" s="31"/>
      <c r="BS54" s="54"/>
      <c r="BT54" s="21" t="str">
        <f>IFERROR(VLOOKUP(August[[#This Row],[Drug Name7]],'Data Options'!$R$1:$S$100,2,FALSE), " ")</f>
        <v xml:space="preserve"> </v>
      </c>
      <c r="BU54" s="55"/>
      <c r="BV54" s="32"/>
      <c r="BW54" s="32"/>
      <c r="BX54" s="55"/>
      <c r="BY54" s="32"/>
      <c r="BZ54" s="54"/>
      <c r="CA54" s="21" t="str">
        <f>IFERROR(VLOOKUP(August[[#This Row],[Drug Name8]],'Data Options'!$R$1:$S$100,2,FALSE), " ")</f>
        <v xml:space="preserve"> </v>
      </c>
      <c r="CB54" s="55"/>
      <c r="CC54" s="32"/>
      <c r="CD54" s="32"/>
      <c r="CE54" s="55"/>
      <c r="CF54" s="32"/>
      <c r="CG54" s="54"/>
      <c r="CH54" s="21" t="str">
        <f>IFERROR(VLOOKUP(August[[#This Row],[Drug Name9]],'Data Options'!$R$1:$S$100,2,FALSE), " ")</f>
        <v xml:space="preserve"> </v>
      </c>
      <c r="CI54" s="55"/>
      <c r="CJ54" s="32"/>
      <c r="CK54" s="32"/>
      <c r="CL54" s="55"/>
      <c r="CM54" s="32"/>
    </row>
    <row r="55" spans="1:91">
      <c r="A55" s="5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54"/>
      <c r="R55" s="21" t="str">
        <f>IFERROR(VLOOKUP(August[[#This Row],[Drug Name]],'Data Options'!$R$1:$S$100,2,FALSE), " ")</f>
        <v xml:space="preserve"> </v>
      </c>
      <c r="S55" s="55"/>
      <c r="T55" s="32"/>
      <c r="U55" s="32"/>
      <c r="V55" s="55"/>
      <c r="W55" s="32"/>
      <c r="X55" s="54"/>
      <c r="Y55" s="21" t="str">
        <f>IFERROR(VLOOKUP(August[[#This Row],[Drug Name2]],'Data Options'!$R$1:$S$100,2,FALSE), " ")</f>
        <v xml:space="preserve"> </v>
      </c>
      <c r="Z55" s="55"/>
      <c r="AA55" s="32"/>
      <c r="AB55" s="32"/>
      <c r="AC55" s="55"/>
      <c r="AD55" s="32"/>
      <c r="AE55" s="54"/>
      <c r="AF55" s="21" t="str">
        <f>IFERROR(VLOOKUP(August[[#This Row],[Drug Name3]],'Data Options'!$R$1:$S$100,2,FALSE), " ")</f>
        <v xml:space="preserve"> </v>
      </c>
      <c r="AG55" s="55"/>
      <c r="AH55" s="32"/>
      <c r="AI55" s="32"/>
      <c r="AJ55" s="55"/>
      <c r="AK55" s="32"/>
      <c r="AL55" s="32"/>
      <c r="AM55" s="32"/>
      <c r="AN55" s="32"/>
      <c r="AO55" s="32"/>
      <c r="AP55" s="31"/>
      <c r="AQ55" s="31"/>
      <c r="AR55" s="54"/>
      <c r="AS55" s="21" t="str">
        <f>IFERROR(VLOOKUP(August[[#This Row],[Drug Name4]],'Data Options'!$R$1:$S$100,2,FALSE), " ")</f>
        <v xml:space="preserve"> </v>
      </c>
      <c r="AT55" s="55"/>
      <c r="AU55" s="32"/>
      <c r="AV55" s="32"/>
      <c r="AW55" s="55"/>
      <c r="AX55" s="32"/>
      <c r="AY55" s="54"/>
      <c r="AZ55" s="21" t="str">
        <f>IFERROR(VLOOKUP(August[[#This Row],[Drug Name5]],'Data Options'!$R$1:$S$100,2,FALSE), " ")</f>
        <v xml:space="preserve"> </v>
      </c>
      <c r="BA55" s="55"/>
      <c r="BB55" s="32"/>
      <c r="BC55" s="32"/>
      <c r="BD55" s="55"/>
      <c r="BE55" s="32"/>
      <c r="BF55" s="54"/>
      <c r="BG55" s="21" t="str">
        <f>IFERROR(VLOOKUP(August[[#This Row],[Drug Name6]],'Data Options'!$R$1:$S$100,2,FALSE), " ")</f>
        <v xml:space="preserve"> </v>
      </c>
      <c r="BH55" s="55"/>
      <c r="BI55" s="32"/>
      <c r="BJ55" s="32"/>
      <c r="BK55" s="55"/>
      <c r="BL55" s="32"/>
      <c r="BM55" s="32"/>
      <c r="BN55" s="32"/>
      <c r="BO55" s="32"/>
      <c r="BP55" s="32"/>
      <c r="BQ55" s="31"/>
      <c r="BR55" s="31"/>
      <c r="BS55" s="54"/>
      <c r="BT55" s="21" t="str">
        <f>IFERROR(VLOOKUP(August[[#This Row],[Drug Name7]],'Data Options'!$R$1:$S$100,2,FALSE), " ")</f>
        <v xml:space="preserve"> </v>
      </c>
      <c r="BU55" s="55"/>
      <c r="BV55" s="32"/>
      <c r="BW55" s="32"/>
      <c r="BX55" s="55"/>
      <c r="BY55" s="32"/>
      <c r="BZ55" s="54"/>
      <c r="CA55" s="21" t="str">
        <f>IFERROR(VLOOKUP(August[[#This Row],[Drug Name8]],'Data Options'!$R$1:$S$100,2,FALSE), " ")</f>
        <v xml:space="preserve"> </v>
      </c>
      <c r="CB55" s="55"/>
      <c r="CC55" s="32"/>
      <c r="CD55" s="32"/>
      <c r="CE55" s="55"/>
      <c r="CF55" s="32"/>
      <c r="CG55" s="54"/>
      <c r="CH55" s="21" t="str">
        <f>IFERROR(VLOOKUP(August[[#This Row],[Drug Name9]],'Data Options'!$R$1:$S$100,2,FALSE), " ")</f>
        <v xml:space="preserve"> </v>
      </c>
      <c r="CI55" s="55"/>
      <c r="CJ55" s="32"/>
      <c r="CK55" s="32"/>
      <c r="CL55" s="55"/>
      <c r="CM55" s="32"/>
    </row>
    <row r="56" spans="1:91">
      <c r="A56" s="5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54"/>
      <c r="R56" s="21" t="str">
        <f>IFERROR(VLOOKUP(August[[#This Row],[Drug Name]],'Data Options'!$R$1:$S$100,2,FALSE), " ")</f>
        <v xml:space="preserve"> </v>
      </c>
      <c r="S56" s="55"/>
      <c r="T56" s="32"/>
      <c r="U56" s="32"/>
      <c r="V56" s="55"/>
      <c r="W56" s="32"/>
      <c r="X56" s="54"/>
      <c r="Y56" s="21" t="str">
        <f>IFERROR(VLOOKUP(August[[#This Row],[Drug Name2]],'Data Options'!$R$1:$S$100,2,FALSE), " ")</f>
        <v xml:space="preserve"> </v>
      </c>
      <c r="Z56" s="55"/>
      <c r="AA56" s="32"/>
      <c r="AB56" s="32"/>
      <c r="AC56" s="55"/>
      <c r="AD56" s="32"/>
      <c r="AE56" s="54"/>
      <c r="AF56" s="21" t="str">
        <f>IFERROR(VLOOKUP(August[[#This Row],[Drug Name3]],'Data Options'!$R$1:$S$100,2,FALSE), " ")</f>
        <v xml:space="preserve"> </v>
      </c>
      <c r="AG56" s="55"/>
      <c r="AH56" s="32"/>
      <c r="AI56" s="32"/>
      <c r="AJ56" s="55"/>
      <c r="AK56" s="32"/>
      <c r="AL56" s="32"/>
      <c r="AM56" s="32"/>
      <c r="AN56" s="32"/>
      <c r="AO56" s="32"/>
      <c r="AP56" s="31"/>
      <c r="AQ56" s="31"/>
      <c r="AR56" s="54"/>
      <c r="AS56" s="21" t="str">
        <f>IFERROR(VLOOKUP(August[[#This Row],[Drug Name4]],'Data Options'!$R$1:$S$100,2,FALSE), " ")</f>
        <v xml:space="preserve"> </v>
      </c>
      <c r="AT56" s="55"/>
      <c r="AU56" s="32"/>
      <c r="AV56" s="32"/>
      <c r="AW56" s="55"/>
      <c r="AX56" s="32"/>
      <c r="AY56" s="54"/>
      <c r="AZ56" s="21" t="str">
        <f>IFERROR(VLOOKUP(August[[#This Row],[Drug Name5]],'Data Options'!$R$1:$S$100,2,FALSE), " ")</f>
        <v xml:space="preserve"> </v>
      </c>
      <c r="BA56" s="55"/>
      <c r="BB56" s="32"/>
      <c r="BC56" s="32"/>
      <c r="BD56" s="55"/>
      <c r="BE56" s="32"/>
      <c r="BF56" s="54"/>
      <c r="BG56" s="21" t="str">
        <f>IFERROR(VLOOKUP(August[[#This Row],[Drug Name6]],'Data Options'!$R$1:$S$100,2,FALSE), " ")</f>
        <v xml:space="preserve"> </v>
      </c>
      <c r="BH56" s="55"/>
      <c r="BI56" s="32"/>
      <c r="BJ56" s="32"/>
      <c r="BK56" s="55"/>
      <c r="BL56" s="32"/>
      <c r="BM56" s="32"/>
      <c r="BN56" s="32"/>
      <c r="BO56" s="32"/>
      <c r="BP56" s="32"/>
      <c r="BQ56" s="31"/>
      <c r="BR56" s="31"/>
      <c r="BS56" s="54"/>
      <c r="BT56" s="21" t="str">
        <f>IFERROR(VLOOKUP(August[[#This Row],[Drug Name7]],'Data Options'!$R$1:$S$100,2,FALSE), " ")</f>
        <v xml:space="preserve"> </v>
      </c>
      <c r="BU56" s="55"/>
      <c r="BV56" s="32"/>
      <c r="BW56" s="32"/>
      <c r="BX56" s="55"/>
      <c r="BY56" s="32"/>
      <c r="BZ56" s="54"/>
      <c r="CA56" s="21" t="str">
        <f>IFERROR(VLOOKUP(August[[#This Row],[Drug Name8]],'Data Options'!$R$1:$S$100,2,FALSE), " ")</f>
        <v xml:space="preserve"> </v>
      </c>
      <c r="CB56" s="55"/>
      <c r="CC56" s="32"/>
      <c r="CD56" s="32"/>
      <c r="CE56" s="55"/>
      <c r="CF56" s="32"/>
      <c r="CG56" s="54"/>
      <c r="CH56" s="21" t="str">
        <f>IFERROR(VLOOKUP(August[[#This Row],[Drug Name9]],'Data Options'!$R$1:$S$100,2,FALSE), " ")</f>
        <v xml:space="preserve"> </v>
      </c>
      <c r="CI56" s="55"/>
      <c r="CJ56" s="32"/>
      <c r="CK56" s="32"/>
      <c r="CL56" s="55"/>
      <c r="CM56" s="32"/>
    </row>
    <row r="57" spans="1:91">
      <c r="A57" s="5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31"/>
      <c r="Q57" s="54"/>
      <c r="R57" s="21" t="str">
        <f>IFERROR(VLOOKUP(August[[#This Row],[Drug Name]],'Data Options'!$R$1:$S$100,2,FALSE), " ")</f>
        <v xml:space="preserve"> </v>
      </c>
      <c r="S57" s="55"/>
      <c r="T57" s="32"/>
      <c r="U57" s="32"/>
      <c r="V57" s="55"/>
      <c r="W57" s="32"/>
      <c r="X57" s="54"/>
      <c r="Y57" s="21" t="str">
        <f>IFERROR(VLOOKUP(August[[#This Row],[Drug Name2]],'Data Options'!$R$1:$S$100,2,FALSE), " ")</f>
        <v xml:space="preserve"> </v>
      </c>
      <c r="Z57" s="55"/>
      <c r="AA57" s="32"/>
      <c r="AB57" s="32"/>
      <c r="AC57" s="55"/>
      <c r="AD57" s="32"/>
      <c r="AE57" s="54"/>
      <c r="AF57" s="21" t="str">
        <f>IFERROR(VLOOKUP(August[[#This Row],[Drug Name3]],'Data Options'!$R$1:$S$100,2,FALSE), " ")</f>
        <v xml:space="preserve"> </v>
      </c>
      <c r="AG57" s="55"/>
      <c r="AH57" s="32"/>
      <c r="AI57" s="32"/>
      <c r="AJ57" s="55"/>
      <c r="AK57" s="32"/>
      <c r="AL57" s="32"/>
      <c r="AM57" s="32"/>
      <c r="AN57" s="32"/>
      <c r="AO57" s="32"/>
      <c r="AP57" s="31"/>
      <c r="AQ57" s="31"/>
      <c r="AR57" s="54"/>
      <c r="AS57" s="21" t="str">
        <f>IFERROR(VLOOKUP(August[[#This Row],[Drug Name4]],'Data Options'!$R$1:$S$100,2,FALSE), " ")</f>
        <v xml:space="preserve"> </v>
      </c>
      <c r="AT57" s="55"/>
      <c r="AU57" s="32"/>
      <c r="AV57" s="32"/>
      <c r="AW57" s="55"/>
      <c r="AX57" s="32"/>
      <c r="AY57" s="54"/>
      <c r="AZ57" s="21" t="str">
        <f>IFERROR(VLOOKUP(August[[#This Row],[Drug Name5]],'Data Options'!$R$1:$S$100,2,FALSE), " ")</f>
        <v xml:space="preserve"> </v>
      </c>
      <c r="BA57" s="55"/>
      <c r="BB57" s="32"/>
      <c r="BC57" s="32"/>
      <c r="BD57" s="55"/>
      <c r="BE57" s="32"/>
      <c r="BF57" s="54"/>
      <c r="BG57" s="21" t="str">
        <f>IFERROR(VLOOKUP(August[[#This Row],[Drug Name6]],'Data Options'!$R$1:$S$100,2,FALSE), " ")</f>
        <v xml:space="preserve"> </v>
      </c>
      <c r="BH57" s="55"/>
      <c r="BI57" s="32"/>
      <c r="BJ57" s="32"/>
      <c r="BK57" s="55"/>
      <c r="BL57" s="32"/>
      <c r="BM57" s="32"/>
      <c r="BN57" s="32"/>
      <c r="BO57" s="32"/>
      <c r="BP57" s="32"/>
      <c r="BQ57" s="31"/>
      <c r="BR57" s="31"/>
      <c r="BS57" s="54"/>
      <c r="BT57" s="21" t="str">
        <f>IFERROR(VLOOKUP(August[[#This Row],[Drug Name7]],'Data Options'!$R$1:$S$100,2,FALSE), " ")</f>
        <v xml:space="preserve"> </v>
      </c>
      <c r="BU57" s="55"/>
      <c r="BV57" s="32"/>
      <c r="BW57" s="32"/>
      <c r="BX57" s="55"/>
      <c r="BY57" s="32"/>
      <c r="BZ57" s="54"/>
      <c r="CA57" s="21" t="str">
        <f>IFERROR(VLOOKUP(August[[#This Row],[Drug Name8]],'Data Options'!$R$1:$S$100,2,FALSE), " ")</f>
        <v xml:space="preserve"> </v>
      </c>
      <c r="CB57" s="55"/>
      <c r="CC57" s="32"/>
      <c r="CD57" s="32"/>
      <c r="CE57" s="55"/>
      <c r="CF57" s="32"/>
      <c r="CG57" s="54"/>
      <c r="CH57" s="21" t="str">
        <f>IFERROR(VLOOKUP(August[[#This Row],[Drug Name9]],'Data Options'!$R$1:$S$100,2,FALSE), " ")</f>
        <v xml:space="preserve"> </v>
      </c>
      <c r="CI57" s="55"/>
      <c r="CJ57" s="32"/>
      <c r="CK57" s="32"/>
      <c r="CL57" s="55"/>
      <c r="CM57" s="32"/>
    </row>
    <row r="58" spans="1:9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54"/>
      <c r="R58" s="21" t="str">
        <f>IFERROR(VLOOKUP(August[[#This Row],[Drug Name]],'Data Options'!$R$1:$S$100,2,FALSE), " ")</f>
        <v xml:space="preserve"> </v>
      </c>
      <c r="S58" s="55"/>
      <c r="T58" s="32"/>
      <c r="U58" s="32"/>
      <c r="V58" s="55"/>
      <c r="W58" s="32"/>
      <c r="X58" s="54"/>
      <c r="Y58" s="21" t="str">
        <f>IFERROR(VLOOKUP(August[[#This Row],[Drug Name2]],'Data Options'!$R$1:$S$100,2,FALSE), " ")</f>
        <v xml:space="preserve"> </v>
      </c>
      <c r="Z58" s="55"/>
      <c r="AA58" s="32"/>
      <c r="AB58" s="32"/>
      <c r="AC58" s="55"/>
      <c r="AD58" s="32"/>
      <c r="AE58" s="54"/>
      <c r="AF58" s="21" t="str">
        <f>IFERROR(VLOOKUP(August[[#This Row],[Drug Name3]],'Data Options'!$R$1:$S$100,2,FALSE), " ")</f>
        <v xml:space="preserve"> </v>
      </c>
      <c r="AG58" s="55"/>
      <c r="AH58" s="32"/>
      <c r="AI58" s="32"/>
      <c r="AJ58" s="55"/>
      <c r="AK58" s="32"/>
      <c r="AL58" s="32"/>
      <c r="AM58" s="32"/>
      <c r="AN58" s="32"/>
      <c r="AO58" s="32"/>
      <c r="AP58" s="31"/>
      <c r="AQ58" s="31"/>
      <c r="AR58" s="54"/>
      <c r="AS58" s="21" t="str">
        <f>IFERROR(VLOOKUP(August[[#This Row],[Drug Name4]],'Data Options'!$R$1:$S$100,2,FALSE), " ")</f>
        <v xml:space="preserve"> </v>
      </c>
      <c r="AT58" s="55"/>
      <c r="AU58" s="32"/>
      <c r="AV58" s="32"/>
      <c r="AW58" s="55"/>
      <c r="AX58" s="32"/>
      <c r="AY58" s="54"/>
      <c r="AZ58" s="21" t="str">
        <f>IFERROR(VLOOKUP(August[[#This Row],[Drug Name5]],'Data Options'!$R$1:$S$100,2,FALSE), " ")</f>
        <v xml:space="preserve"> </v>
      </c>
      <c r="BA58" s="55"/>
      <c r="BB58" s="32"/>
      <c r="BC58" s="32"/>
      <c r="BD58" s="55"/>
      <c r="BE58" s="32"/>
      <c r="BF58" s="54"/>
      <c r="BG58" s="21" t="str">
        <f>IFERROR(VLOOKUP(August[[#This Row],[Drug Name6]],'Data Options'!$R$1:$S$100,2,FALSE), " ")</f>
        <v xml:space="preserve"> </v>
      </c>
      <c r="BH58" s="55"/>
      <c r="BI58" s="32"/>
      <c r="BJ58" s="32"/>
      <c r="BK58" s="55"/>
      <c r="BL58" s="32"/>
      <c r="BM58" s="32"/>
      <c r="BN58" s="32"/>
      <c r="BO58" s="32"/>
      <c r="BP58" s="32"/>
      <c r="BQ58" s="31"/>
      <c r="BR58" s="31"/>
      <c r="BS58" s="54"/>
      <c r="BT58" s="21" t="str">
        <f>IFERROR(VLOOKUP(August[[#This Row],[Drug Name7]],'Data Options'!$R$1:$S$100,2,FALSE), " ")</f>
        <v xml:space="preserve"> </v>
      </c>
      <c r="BU58" s="55"/>
      <c r="BV58" s="32"/>
      <c r="BW58" s="32"/>
      <c r="BX58" s="55"/>
      <c r="BY58" s="32"/>
      <c r="BZ58" s="54"/>
      <c r="CA58" s="21" t="str">
        <f>IFERROR(VLOOKUP(August[[#This Row],[Drug Name8]],'Data Options'!$R$1:$S$100,2,FALSE), " ")</f>
        <v xml:space="preserve"> </v>
      </c>
      <c r="CB58" s="55"/>
      <c r="CC58" s="32"/>
      <c r="CD58" s="32"/>
      <c r="CE58" s="55"/>
      <c r="CF58" s="32"/>
      <c r="CG58" s="54"/>
      <c r="CH58" s="21" t="str">
        <f>IFERROR(VLOOKUP(August[[#This Row],[Drug Name9]],'Data Options'!$R$1:$S$100,2,FALSE), " ")</f>
        <v xml:space="preserve"> </v>
      </c>
      <c r="CI58" s="55"/>
      <c r="CJ58" s="32"/>
      <c r="CK58" s="32"/>
      <c r="CL58" s="55"/>
      <c r="CM58" s="32"/>
    </row>
    <row r="59" spans="1:91">
      <c r="A59" s="5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31"/>
      <c r="Q59" s="54"/>
      <c r="R59" s="21" t="str">
        <f>IFERROR(VLOOKUP(August[[#This Row],[Drug Name]],'Data Options'!$R$1:$S$100,2,FALSE), " ")</f>
        <v xml:space="preserve"> </v>
      </c>
      <c r="S59" s="55"/>
      <c r="T59" s="32"/>
      <c r="U59" s="32"/>
      <c r="V59" s="55"/>
      <c r="W59" s="32"/>
      <c r="X59" s="54"/>
      <c r="Y59" s="21" t="str">
        <f>IFERROR(VLOOKUP(August[[#This Row],[Drug Name2]],'Data Options'!$R$1:$S$100,2,FALSE), " ")</f>
        <v xml:space="preserve"> </v>
      </c>
      <c r="Z59" s="55"/>
      <c r="AA59" s="32"/>
      <c r="AB59" s="32"/>
      <c r="AC59" s="55"/>
      <c r="AD59" s="32"/>
      <c r="AE59" s="54"/>
      <c r="AF59" s="21" t="str">
        <f>IFERROR(VLOOKUP(August[[#This Row],[Drug Name3]],'Data Options'!$R$1:$S$100,2,FALSE), " ")</f>
        <v xml:space="preserve"> </v>
      </c>
      <c r="AG59" s="55"/>
      <c r="AH59" s="32"/>
      <c r="AI59" s="32"/>
      <c r="AJ59" s="55"/>
      <c r="AK59" s="32"/>
      <c r="AL59" s="32"/>
      <c r="AM59" s="32"/>
      <c r="AN59" s="32"/>
      <c r="AO59" s="32"/>
      <c r="AP59" s="31"/>
      <c r="AQ59" s="31"/>
      <c r="AR59" s="54"/>
      <c r="AS59" s="21" t="str">
        <f>IFERROR(VLOOKUP(August[[#This Row],[Drug Name4]],'Data Options'!$R$1:$S$100,2,FALSE), " ")</f>
        <v xml:space="preserve"> </v>
      </c>
      <c r="AT59" s="55"/>
      <c r="AU59" s="32"/>
      <c r="AV59" s="32"/>
      <c r="AW59" s="55"/>
      <c r="AX59" s="32"/>
      <c r="AY59" s="54"/>
      <c r="AZ59" s="21" t="str">
        <f>IFERROR(VLOOKUP(August[[#This Row],[Drug Name5]],'Data Options'!$R$1:$S$100,2,FALSE), " ")</f>
        <v xml:space="preserve"> </v>
      </c>
      <c r="BA59" s="55"/>
      <c r="BB59" s="32"/>
      <c r="BC59" s="32"/>
      <c r="BD59" s="55"/>
      <c r="BE59" s="32"/>
      <c r="BF59" s="54"/>
      <c r="BG59" s="21" t="str">
        <f>IFERROR(VLOOKUP(August[[#This Row],[Drug Name6]],'Data Options'!$R$1:$S$100,2,FALSE), " ")</f>
        <v xml:space="preserve"> </v>
      </c>
      <c r="BH59" s="55"/>
      <c r="BI59" s="32"/>
      <c r="BJ59" s="32"/>
      <c r="BK59" s="55"/>
      <c r="BL59" s="32"/>
      <c r="BM59" s="32"/>
      <c r="BN59" s="32"/>
      <c r="BO59" s="32"/>
      <c r="BP59" s="32"/>
      <c r="BQ59" s="31"/>
      <c r="BR59" s="31"/>
      <c r="BS59" s="54"/>
      <c r="BT59" s="21" t="str">
        <f>IFERROR(VLOOKUP(August[[#This Row],[Drug Name7]],'Data Options'!$R$1:$S$100,2,FALSE), " ")</f>
        <v xml:space="preserve"> </v>
      </c>
      <c r="BU59" s="55"/>
      <c r="BV59" s="32"/>
      <c r="BW59" s="32"/>
      <c r="BX59" s="55"/>
      <c r="BY59" s="32"/>
      <c r="BZ59" s="54"/>
      <c r="CA59" s="21" t="str">
        <f>IFERROR(VLOOKUP(August[[#This Row],[Drug Name8]],'Data Options'!$R$1:$S$100,2,FALSE), " ")</f>
        <v xml:space="preserve"> </v>
      </c>
      <c r="CB59" s="55"/>
      <c r="CC59" s="32"/>
      <c r="CD59" s="32"/>
      <c r="CE59" s="55"/>
      <c r="CF59" s="32"/>
      <c r="CG59" s="54"/>
      <c r="CH59" s="21" t="str">
        <f>IFERROR(VLOOKUP(August[[#This Row],[Drug Name9]],'Data Options'!$R$1:$S$100,2,FALSE), " ")</f>
        <v xml:space="preserve"> </v>
      </c>
      <c r="CI59" s="55"/>
      <c r="CJ59" s="32"/>
      <c r="CK59" s="32"/>
      <c r="CL59" s="55"/>
      <c r="CM59" s="32"/>
    </row>
    <row r="60" spans="1:91">
      <c r="A60" s="5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31"/>
      <c r="Q60" s="54"/>
      <c r="R60" s="21" t="str">
        <f>IFERROR(VLOOKUP(August[[#This Row],[Drug Name]],'Data Options'!$R$1:$S$100,2,FALSE), " ")</f>
        <v xml:space="preserve"> </v>
      </c>
      <c r="S60" s="55"/>
      <c r="T60" s="32"/>
      <c r="U60" s="32"/>
      <c r="V60" s="55"/>
      <c r="W60" s="32"/>
      <c r="X60" s="54"/>
      <c r="Y60" s="21" t="str">
        <f>IFERROR(VLOOKUP(August[[#This Row],[Drug Name2]],'Data Options'!$R$1:$S$100,2,FALSE), " ")</f>
        <v xml:space="preserve"> </v>
      </c>
      <c r="Z60" s="55"/>
      <c r="AA60" s="32"/>
      <c r="AB60" s="32"/>
      <c r="AC60" s="55"/>
      <c r="AD60" s="32"/>
      <c r="AE60" s="54"/>
      <c r="AF60" s="21" t="str">
        <f>IFERROR(VLOOKUP(August[[#This Row],[Drug Name3]],'Data Options'!$R$1:$S$100,2,FALSE), " ")</f>
        <v xml:space="preserve"> </v>
      </c>
      <c r="AG60" s="55"/>
      <c r="AH60" s="32"/>
      <c r="AI60" s="32"/>
      <c r="AJ60" s="55"/>
      <c r="AK60" s="32"/>
      <c r="AL60" s="32"/>
      <c r="AM60" s="32"/>
      <c r="AN60" s="32"/>
      <c r="AO60" s="32"/>
      <c r="AP60" s="31"/>
      <c r="AQ60" s="31"/>
      <c r="AR60" s="54"/>
      <c r="AS60" s="21" t="str">
        <f>IFERROR(VLOOKUP(August[[#This Row],[Drug Name4]],'Data Options'!$R$1:$S$100,2,FALSE), " ")</f>
        <v xml:space="preserve"> </v>
      </c>
      <c r="AT60" s="55"/>
      <c r="AU60" s="32"/>
      <c r="AV60" s="32"/>
      <c r="AW60" s="55"/>
      <c r="AX60" s="32"/>
      <c r="AY60" s="54"/>
      <c r="AZ60" s="21" t="str">
        <f>IFERROR(VLOOKUP(August[[#This Row],[Drug Name5]],'Data Options'!$R$1:$S$100,2,FALSE), " ")</f>
        <v xml:space="preserve"> </v>
      </c>
      <c r="BA60" s="55"/>
      <c r="BB60" s="32"/>
      <c r="BC60" s="32"/>
      <c r="BD60" s="55"/>
      <c r="BE60" s="32"/>
      <c r="BF60" s="54"/>
      <c r="BG60" s="21" t="str">
        <f>IFERROR(VLOOKUP(August[[#This Row],[Drug Name6]],'Data Options'!$R$1:$S$100,2,FALSE), " ")</f>
        <v xml:space="preserve"> </v>
      </c>
      <c r="BH60" s="55"/>
      <c r="BI60" s="32"/>
      <c r="BJ60" s="32"/>
      <c r="BK60" s="55"/>
      <c r="BL60" s="32"/>
      <c r="BM60" s="32"/>
      <c r="BN60" s="32"/>
      <c r="BO60" s="32"/>
      <c r="BP60" s="32"/>
      <c r="BQ60" s="31"/>
      <c r="BR60" s="31"/>
      <c r="BS60" s="54"/>
      <c r="BT60" s="21" t="str">
        <f>IFERROR(VLOOKUP(August[[#This Row],[Drug Name7]],'Data Options'!$R$1:$S$100,2,FALSE), " ")</f>
        <v xml:space="preserve"> </v>
      </c>
      <c r="BU60" s="55"/>
      <c r="BV60" s="32"/>
      <c r="BW60" s="32"/>
      <c r="BX60" s="55"/>
      <c r="BY60" s="32"/>
      <c r="BZ60" s="54"/>
      <c r="CA60" s="21" t="str">
        <f>IFERROR(VLOOKUP(August[[#This Row],[Drug Name8]],'Data Options'!$R$1:$S$100,2,FALSE), " ")</f>
        <v xml:space="preserve"> </v>
      </c>
      <c r="CB60" s="55"/>
      <c r="CC60" s="32"/>
      <c r="CD60" s="32"/>
      <c r="CE60" s="55"/>
      <c r="CF60" s="32"/>
      <c r="CG60" s="54"/>
      <c r="CH60" s="21" t="str">
        <f>IFERROR(VLOOKUP(August[[#This Row],[Drug Name9]],'Data Options'!$R$1:$S$100,2,FALSE), " ")</f>
        <v xml:space="preserve"> </v>
      </c>
      <c r="CI60" s="55"/>
      <c r="CJ60" s="32"/>
      <c r="CK60" s="32"/>
      <c r="CL60" s="55"/>
      <c r="CM60" s="32"/>
    </row>
    <row r="61" spans="1:91">
      <c r="A61" s="5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31"/>
      <c r="Q61" s="54"/>
      <c r="R61" s="21" t="str">
        <f>IFERROR(VLOOKUP(August[[#This Row],[Drug Name]],'Data Options'!$R$1:$S$100,2,FALSE), " ")</f>
        <v xml:space="preserve"> </v>
      </c>
      <c r="S61" s="55"/>
      <c r="T61" s="32"/>
      <c r="U61" s="32"/>
      <c r="V61" s="55"/>
      <c r="W61" s="32"/>
      <c r="X61" s="54"/>
      <c r="Y61" s="21" t="str">
        <f>IFERROR(VLOOKUP(August[[#This Row],[Drug Name2]],'Data Options'!$R$1:$S$100,2,FALSE), " ")</f>
        <v xml:space="preserve"> </v>
      </c>
      <c r="Z61" s="55"/>
      <c r="AA61" s="32"/>
      <c r="AB61" s="32"/>
      <c r="AC61" s="55"/>
      <c r="AD61" s="32"/>
      <c r="AE61" s="54"/>
      <c r="AF61" s="21" t="str">
        <f>IFERROR(VLOOKUP(August[[#This Row],[Drug Name3]],'Data Options'!$R$1:$S$100,2,FALSE), " ")</f>
        <v xml:space="preserve"> </v>
      </c>
      <c r="AG61" s="55"/>
      <c r="AH61" s="32"/>
      <c r="AI61" s="32"/>
      <c r="AJ61" s="55"/>
      <c r="AK61" s="32"/>
      <c r="AL61" s="32"/>
      <c r="AM61" s="32"/>
      <c r="AN61" s="32"/>
      <c r="AO61" s="32"/>
      <c r="AP61" s="31"/>
      <c r="AQ61" s="31"/>
      <c r="AR61" s="54"/>
      <c r="AS61" s="21" t="str">
        <f>IFERROR(VLOOKUP(August[[#This Row],[Drug Name4]],'Data Options'!$R$1:$S$100,2,FALSE), " ")</f>
        <v xml:space="preserve"> </v>
      </c>
      <c r="AT61" s="55"/>
      <c r="AU61" s="32"/>
      <c r="AV61" s="32"/>
      <c r="AW61" s="55"/>
      <c r="AX61" s="32"/>
      <c r="AY61" s="54"/>
      <c r="AZ61" s="21" t="str">
        <f>IFERROR(VLOOKUP(August[[#This Row],[Drug Name5]],'Data Options'!$R$1:$S$100,2,FALSE), " ")</f>
        <v xml:space="preserve"> </v>
      </c>
      <c r="BA61" s="55"/>
      <c r="BB61" s="32"/>
      <c r="BC61" s="32"/>
      <c r="BD61" s="55"/>
      <c r="BE61" s="32"/>
      <c r="BF61" s="54"/>
      <c r="BG61" s="21" t="str">
        <f>IFERROR(VLOOKUP(August[[#This Row],[Drug Name6]],'Data Options'!$R$1:$S$100,2,FALSE), " ")</f>
        <v xml:space="preserve"> </v>
      </c>
      <c r="BH61" s="55"/>
      <c r="BI61" s="32"/>
      <c r="BJ61" s="32"/>
      <c r="BK61" s="55"/>
      <c r="BL61" s="32"/>
      <c r="BM61" s="32"/>
      <c r="BN61" s="32"/>
      <c r="BO61" s="32"/>
      <c r="BP61" s="32"/>
      <c r="BQ61" s="31"/>
      <c r="BR61" s="31"/>
      <c r="BS61" s="54"/>
      <c r="BT61" s="21" t="str">
        <f>IFERROR(VLOOKUP(August[[#This Row],[Drug Name7]],'Data Options'!$R$1:$S$100,2,FALSE), " ")</f>
        <v xml:space="preserve"> </v>
      </c>
      <c r="BU61" s="55"/>
      <c r="BV61" s="32"/>
      <c r="BW61" s="32"/>
      <c r="BX61" s="55"/>
      <c r="BY61" s="32"/>
      <c r="BZ61" s="54"/>
      <c r="CA61" s="21" t="str">
        <f>IFERROR(VLOOKUP(August[[#This Row],[Drug Name8]],'Data Options'!$R$1:$S$100,2,FALSE), " ")</f>
        <v xml:space="preserve"> </v>
      </c>
      <c r="CB61" s="55"/>
      <c r="CC61" s="32"/>
      <c r="CD61" s="32"/>
      <c r="CE61" s="55"/>
      <c r="CF61" s="32"/>
      <c r="CG61" s="54"/>
      <c r="CH61" s="21" t="str">
        <f>IFERROR(VLOOKUP(August[[#This Row],[Drug Name9]],'Data Options'!$R$1:$S$100,2,FALSE), " ")</f>
        <v xml:space="preserve"> </v>
      </c>
      <c r="CI61" s="55"/>
      <c r="CJ61" s="32"/>
      <c r="CK61" s="32"/>
      <c r="CL61" s="55"/>
      <c r="CM61" s="32"/>
    </row>
    <row r="62" spans="1:9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31"/>
      <c r="Q62" s="54"/>
      <c r="R62" s="21" t="str">
        <f>IFERROR(VLOOKUP(August[[#This Row],[Drug Name]],'Data Options'!$R$1:$S$100,2,FALSE), " ")</f>
        <v xml:space="preserve"> </v>
      </c>
      <c r="S62" s="55"/>
      <c r="T62" s="32"/>
      <c r="U62" s="32"/>
      <c r="V62" s="55"/>
      <c r="W62" s="32"/>
      <c r="X62" s="54"/>
      <c r="Y62" s="21" t="str">
        <f>IFERROR(VLOOKUP(August[[#This Row],[Drug Name2]],'Data Options'!$R$1:$S$100,2,FALSE), " ")</f>
        <v xml:space="preserve"> </v>
      </c>
      <c r="Z62" s="55"/>
      <c r="AA62" s="32"/>
      <c r="AB62" s="32"/>
      <c r="AC62" s="55"/>
      <c r="AD62" s="32"/>
      <c r="AE62" s="54"/>
      <c r="AF62" s="21" t="str">
        <f>IFERROR(VLOOKUP(August[[#This Row],[Drug Name3]],'Data Options'!$R$1:$S$100,2,FALSE), " ")</f>
        <v xml:space="preserve"> </v>
      </c>
      <c r="AG62" s="55"/>
      <c r="AH62" s="32"/>
      <c r="AI62" s="32"/>
      <c r="AJ62" s="55"/>
      <c r="AK62" s="32"/>
      <c r="AL62" s="32"/>
      <c r="AM62" s="32"/>
      <c r="AN62" s="32"/>
      <c r="AO62" s="32"/>
      <c r="AP62" s="31"/>
      <c r="AQ62" s="31"/>
      <c r="AR62" s="54"/>
      <c r="AS62" s="21" t="str">
        <f>IFERROR(VLOOKUP(August[[#This Row],[Drug Name4]],'Data Options'!$R$1:$S$100,2,FALSE), " ")</f>
        <v xml:space="preserve"> </v>
      </c>
      <c r="AT62" s="55"/>
      <c r="AU62" s="32"/>
      <c r="AV62" s="32"/>
      <c r="AW62" s="55"/>
      <c r="AX62" s="32"/>
      <c r="AY62" s="54"/>
      <c r="AZ62" s="21" t="str">
        <f>IFERROR(VLOOKUP(August[[#This Row],[Drug Name5]],'Data Options'!$R$1:$S$100,2,FALSE), " ")</f>
        <v xml:space="preserve"> </v>
      </c>
      <c r="BA62" s="55"/>
      <c r="BB62" s="32"/>
      <c r="BC62" s="32"/>
      <c r="BD62" s="55"/>
      <c r="BE62" s="32"/>
      <c r="BF62" s="54"/>
      <c r="BG62" s="21" t="str">
        <f>IFERROR(VLOOKUP(August[[#This Row],[Drug Name6]],'Data Options'!$R$1:$S$100,2,FALSE), " ")</f>
        <v xml:space="preserve"> </v>
      </c>
      <c r="BH62" s="55"/>
      <c r="BI62" s="32"/>
      <c r="BJ62" s="32"/>
      <c r="BK62" s="55"/>
      <c r="BL62" s="32"/>
      <c r="BM62" s="32"/>
      <c r="BN62" s="32"/>
      <c r="BO62" s="32"/>
      <c r="BP62" s="32"/>
      <c r="BQ62" s="31"/>
      <c r="BR62" s="31"/>
      <c r="BS62" s="54"/>
      <c r="BT62" s="21" t="str">
        <f>IFERROR(VLOOKUP(August[[#This Row],[Drug Name7]],'Data Options'!$R$1:$S$100,2,FALSE), " ")</f>
        <v xml:space="preserve"> </v>
      </c>
      <c r="BU62" s="55"/>
      <c r="BV62" s="32"/>
      <c r="BW62" s="32"/>
      <c r="BX62" s="55"/>
      <c r="BY62" s="32"/>
      <c r="BZ62" s="54"/>
      <c r="CA62" s="21" t="str">
        <f>IFERROR(VLOOKUP(August[[#This Row],[Drug Name8]],'Data Options'!$R$1:$S$100,2,FALSE), " ")</f>
        <v xml:space="preserve"> </v>
      </c>
      <c r="CB62" s="55"/>
      <c r="CC62" s="32"/>
      <c r="CD62" s="32"/>
      <c r="CE62" s="55"/>
      <c r="CF62" s="32"/>
      <c r="CG62" s="54"/>
      <c r="CH62" s="21" t="str">
        <f>IFERROR(VLOOKUP(August[[#This Row],[Drug Name9]],'Data Options'!$R$1:$S$100,2,FALSE), " ")</f>
        <v xml:space="preserve"> </v>
      </c>
      <c r="CI62" s="55"/>
      <c r="CJ62" s="32"/>
      <c r="CK62" s="32"/>
      <c r="CL62" s="55"/>
      <c r="CM62" s="32"/>
    </row>
    <row r="63" spans="1:91">
      <c r="A63" s="5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31"/>
      <c r="Q63" s="54"/>
      <c r="R63" s="21" t="str">
        <f>IFERROR(VLOOKUP(August[[#This Row],[Drug Name]],'Data Options'!$R$1:$S$100,2,FALSE), " ")</f>
        <v xml:space="preserve"> </v>
      </c>
      <c r="S63" s="55"/>
      <c r="T63" s="32"/>
      <c r="U63" s="32"/>
      <c r="V63" s="55"/>
      <c r="W63" s="32"/>
      <c r="X63" s="54"/>
      <c r="Y63" s="21" t="str">
        <f>IFERROR(VLOOKUP(August[[#This Row],[Drug Name2]],'Data Options'!$R$1:$S$100,2,FALSE), " ")</f>
        <v xml:space="preserve"> </v>
      </c>
      <c r="Z63" s="55"/>
      <c r="AA63" s="32"/>
      <c r="AB63" s="32"/>
      <c r="AC63" s="55"/>
      <c r="AD63" s="32"/>
      <c r="AE63" s="54"/>
      <c r="AF63" s="21" t="str">
        <f>IFERROR(VLOOKUP(August[[#This Row],[Drug Name3]],'Data Options'!$R$1:$S$100,2,FALSE), " ")</f>
        <v xml:space="preserve"> </v>
      </c>
      <c r="AG63" s="55"/>
      <c r="AH63" s="32"/>
      <c r="AI63" s="32"/>
      <c r="AJ63" s="55"/>
      <c r="AK63" s="32"/>
      <c r="AL63" s="32"/>
      <c r="AM63" s="32"/>
      <c r="AN63" s="32"/>
      <c r="AO63" s="32"/>
      <c r="AP63" s="31"/>
      <c r="AQ63" s="31"/>
      <c r="AR63" s="54"/>
      <c r="AS63" s="21" t="str">
        <f>IFERROR(VLOOKUP(August[[#This Row],[Drug Name4]],'Data Options'!$R$1:$S$100,2,FALSE), " ")</f>
        <v xml:space="preserve"> </v>
      </c>
      <c r="AT63" s="55"/>
      <c r="AU63" s="32"/>
      <c r="AV63" s="32"/>
      <c r="AW63" s="55"/>
      <c r="AX63" s="32"/>
      <c r="AY63" s="54"/>
      <c r="AZ63" s="21" t="str">
        <f>IFERROR(VLOOKUP(August[[#This Row],[Drug Name5]],'Data Options'!$R$1:$S$100,2,FALSE), " ")</f>
        <v xml:space="preserve"> </v>
      </c>
      <c r="BA63" s="55"/>
      <c r="BB63" s="32"/>
      <c r="BC63" s="32"/>
      <c r="BD63" s="55"/>
      <c r="BE63" s="32"/>
      <c r="BF63" s="54"/>
      <c r="BG63" s="21" t="str">
        <f>IFERROR(VLOOKUP(August[[#This Row],[Drug Name6]],'Data Options'!$R$1:$S$100,2,FALSE), " ")</f>
        <v xml:space="preserve"> </v>
      </c>
      <c r="BH63" s="55"/>
      <c r="BI63" s="32"/>
      <c r="BJ63" s="32"/>
      <c r="BK63" s="55"/>
      <c r="BL63" s="32"/>
      <c r="BM63" s="32"/>
      <c r="BN63" s="32"/>
      <c r="BO63" s="32"/>
      <c r="BP63" s="32"/>
      <c r="BQ63" s="31"/>
      <c r="BR63" s="31"/>
      <c r="BS63" s="54"/>
      <c r="BT63" s="21" t="str">
        <f>IFERROR(VLOOKUP(August[[#This Row],[Drug Name7]],'Data Options'!$R$1:$S$100,2,FALSE), " ")</f>
        <v xml:space="preserve"> </v>
      </c>
      <c r="BU63" s="55"/>
      <c r="BV63" s="32"/>
      <c r="BW63" s="32"/>
      <c r="BX63" s="55"/>
      <c r="BY63" s="32"/>
      <c r="BZ63" s="54"/>
      <c r="CA63" s="21" t="str">
        <f>IFERROR(VLOOKUP(August[[#This Row],[Drug Name8]],'Data Options'!$R$1:$S$100,2,FALSE), " ")</f>
        <v xml:space="preserve"> </v>
      </c>
      <c r="CB63" s="55"/>
      <c r="CC63" s="32"/>
      <c r="CD63" s="32"/>
      <c r="CE63" s="55"/>
      <c r="CF63" s="32"/>
      <c r="CG63" s="54"/>
      <c r="CH63" s="21" t="str">
        <f>IFERROR(VLOOKUP(August[[#This Row],[Drug Name9]],'Data Options'!$R$1:$S$100,2,FALSE), " ")</f>
        <v xml:space="preserve"> </v>
      </c>
      <c r="CI63" s="55"/>
      <c r="CJ63" s="32"/>
      <c r="CK63" s="32"/>
      <c r="CL63" s="55"/>
      <c r="CM63" s="32"/>
    </row>
    <row r="64" spans="1:91">
      <c r="A64" s="5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31"/>
      <c r="Q64" s="54"/>
      <c r="R64" s="21" t="str">
        <f>IFERROR(VLOOKUP(August[[#This Row],[Drug Name]],'Data Options'!$R$1:$S$100,2,FALSE), " ")</f>
        <v xml:space="preserve"> </v>
      </c>
      <c r="S64" s="55"/>
      <c r="T64" s="32"/>
      <c r="U64" s="32"/>
      <c r="V64" s="55"/>
      <c r="W64" s="32"/>
      <c r="X64" s="54"/>
      <c r="Y64" s="21" t="str">
        <f>IFERROR(VLOOKUP(August[[#This Row],[Drug Name2]],'Data Options'!$R$1:$S$100,2,FALSE), " ")</f>
        <v xml:space="preserve"> </v>
      </c>
      <c r="Z64" s="55"/>
      <c r="AA64" s="32"/>
      <c r="AB64" s="32"/>
      <c r="AC64" s="55"/>
      <c r="AD64" s="32"/>
      <c r="AE64" s="54"/>
      <c r="AF64" s="21" t="str">
        <f>IFERROR(VLOOKUP(August[[#This Row],[Drug Name3]],'Data Options'!$R$1:$S$100,2,FALSE), " ")</f>
        <v xml:space="preserve"> </v>
      </c>
      <c r="AG64" s="55"/>
      <c r="AH64" s="32"/>
      <c r="AI64" s="32"/>
      <c r="AJ64" s="55"/>
      <c r="AK64" s="32"/>
      <c r="AL64" s="32"/>
      <c r="AM64" s="32"/>
      <c r="AN64" s="32"/>
      <c r="AO64" s="32"/>
      <c r="AP64" s="31"/>
      <c r="AQ64" s="31"/>
      <c r="AR64" s="54"/>
      <c r="AS64" s="21" t="str">
        <f>IFERROR(VLOOKUP(August[[#This Row],[Drug Name4]],'Data Options'!$R$1:$S$100,2,FALSE), " ")</f>
        <v xml:space="preserve"> </v>
      </c>
      <c r="AT64" s="55"/>
      <c r="AU64" s="32"/>
      <c r="AV64" s="32"/>
      <c r="AW64" s="55"/>
      <c r="AX64" s="32"/>
      <c r="AY64" s="54"/>
      <c r="AZ64" s="21" t="str">
        <f>IFERROR(VLOOKUP(August[[#This Row],[Drug Name5]],'Data Options'!$R$1:$S$100,2,FALSE), " ")</f>
        <v xml:space="preserve"> </v>
      </c>
      <c r="BA64" s="55"/>
      <c r="BB64" s="32"/>
      <c r="BC64" s="32"/>
      <c r="BD64" s="55"/>
      <c r="BE64" s="32"/>
      <c r="BF64" s="54"/>
      <c r="BG64" s="21" t="str">
        <f>IFERROR(VLOOKUP(August[[#This Row],[Drug Name6]],'Data Options'!$R$1:$S$100,2,FALSE), " ")</f>
        <v xml:space="preserve"> </v>
      </c>
      <c r="BH64" s="55"/>
      <c r="BI64" s="32"/>
      <c r="BJ64" s="32"/>
      <c r="BK64" s="55"/>
      <c r="BL64" s="32"/>
      <c r="BM64" s="32"/>
      <c r="BN64" s="32"/>
      <c r="BO64" s="32"/>
      <c r="BP64" s="32"/>
      <c r="BQ64" s="31"/>
      <c r="BR64" s="31"/>
      <c r="BS64" s="54"/>
      <c r="BT64" s="21" t="str">
        <f>IFERROR(VLOOKUP(August[[#This Row],[Drug Name7]],'Data Options'!$R$1:$S$100,2,FALSE), " ")</f>
        <v xml:space="preserve"> </v>
      </c>
      <c r="BU64" s="55"/>
      <c r="BV64" s="32"/>
      <c r="BW64" s="32"/>
      <c r="BX64" s="55"/>
      <c r="BY64" s="32"/>
      <c r="BZ64" s="54"/>
      <c r="CA64" s="21" t="str">
        <f>IFERROR(VLOOKUP(August[[#This Row],[Drug Name8]],'Data Options'!$R$1:$S$100,2,FALSE), " ")</f>
        <v xml:space="preserve"> </v>
      </c>
      <c r="CB64" s="55"/>
      <c r="CC64" s="32"/>
      <c r="CD64" s="32"/>
      <c r="CE64" s="55"/>
      <c r="CF64" s="32"/>
      <c r="CG64" s="54"/>
      <c r="CH64" s="21" t="str">
        <f>IFERROR(VLOOKUP(August[[#This Row],[Drug Name9]],'Data Options'!$R$1:$S$100,2,FALSE), " ")</f>
        <v xml:space="preserve"> </v>
      </c>
      <c r="CI64" s="55"/>
      <c r="CJ64" s="32"/>
      <c r="CK64" s="32"/>
      <c r="CL64" s="55"/>
      <c r="CM64" s="32"/>
    </row>
    <row r="65" spans="1:91">
      <c r="A65" s="5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54"/>
      <c r="R65" s="21" t="str">
        <f>IFERROR(VLOOKUP(August[[#This Row],[Drug Name]],'Data Options'!$R$1:$S$100,2,FALSE), " ")</f>
        <v xml:space="preserve"> </v>
      </c>
      <c r="S65" s="55"/>
      <c r="T65" s="32"/>
      <c r="U65" s="32"/>
      <c r="V65" s="55"/>
      <c r="W65" s="32"/>
      <c r="X65" s="54"/>
      <c r="Y65" s="21" t="str">
        <f>IFERROR(VLOOKUP(August[[#This Row],[Drug Name2]],'Data Options'!$R$1:$S$100,2,FALSE), " ")</f>
        <v xml:space="preserve"> </v>
      </c>
      <c r="Z65" s="55"/>
      <c r="AA65" s="32"/>
      <c r="AB65" s="32"/>
      <c r="AC65" s="55"/>
      <c r="AD65" s="32"/>
      <c r="AE65" s="54"/>
      <c r="AF65" s="21" t="str">
        <f>IFERROR(VLOOKUP(August[[#This Row],[Drug Name3]],'Data Options'!$R$1:$S$100,2,FALSE), " ")</f>
        <v xml:space="preserve"> </v>
      </c>
      <c r="AG65" s="55"/>
      <c r="AH65" s="32"/>
      <c r="AI65" s="32"/>
      <c r="AJ65" s="55"/>
      <c r="AK65" s="32"/>
      <c r="AL65" s="32"/>
      <c r="AM65" s="32"/>
      <c r="AN65" s="32"/>
      <c r="AO65" s="32"/>
      <c r="AP65" s="31"/>
      <c r="AQ65" s="31"/>
      <c r="AR65" s="54"/>
      <c r="AS65" s="21" t="str">
        <f>IFERROR(VLOOKUP(August[[#This Row],[Drug Name4]],'Data Options'!$R$1:$S$100,2,FALSE), " ")</f>
        <v xml:space="preserve"> </v>
      </c>
      <c r="AT65" s="55"/>
      <c r="AU65" s="32"/>
      <c r="AV65" s="32"/>
      <c r="AW65" s="55"/>
      <c r="AX65" s="32"/>
      <c r="AY65" s="54"/>
      <c r="AZ65" s="21" t="str">
        <f>IFERROR(VLOOKUP(August[[#This Row],[Drug Name5]],'Data Options'!$R$1:$S$100,2,FALSE), " ")</f>
        <v xml:space="preserve"> </v>
      </c>
      <c r="BA65" s="55"/>
      <c r="BB65" s="32"/>
      <c r="BC65" s="32"/>
      <c r="BD65" s="55"/>
      <c r="BE65" s="32"/>
      <c r="BF65" s="54"/>
      <c r="BG65" s="21" t="str">
        <f>IFERROR(VLOOKUP(August[[#This Row],[Drug Name6]],'Data Options'!$R$1:$S$100,2,FALSE), " ")</f>
        <v xml:space="preserve"> </v>
      </c>
      <c r="BH65" s="55"/>
      <c r="BI65" s="32"/>
      <c r="BJ65" s="32"/>
      <c r="BK65" s="55"/>
      <c r="BL65" s="32"/>
      <c r="BM65" s="32"/>
      <c r="BN65" s="32"/>
      <c r="BO65" s="32"/>
      <c r="BP65" s="32"/>
      <c r="BQ65" s="31"/>
      <c r="BR65" s="31"/>
      <c r="BS65" s="54"/>
      <c r="BT65" s="21" t="str">
        <f>IFERROR(VLOOKUP(August[[#This Row],[Drug Name7]],'Data Options'!$R$1:$S$100,2,FALSE), " ")</f>
        <v xml:space="preserve"> </v>
      </c>
      <c r="BU65" s="55"/>
      <c r="BV65" s="32"/>
      <c r="BW65" s="32"/>
      <c r="BX65" s="55"/>
      <c r="BY65" s="32"/>
      <c r="BZ65" s="54"/>
      <c r="CA65" s="21" t="str">
        <f>IFERROR(VLOOKUP(August[[#This Row],[Drug Name8]],'Data Options'!$R$1:$S$100,2,FALSE), " ")</f>
        <v xml:space="preserve"> </v>
      </c>
      <c r="CB65" s="55"/>
      <c r="CC65" s="32"/>
      <c r="CD65" s="32"/>
      <c r="CE65" s="55"/>
      <c r="CF65" s="32"/>
      <c r="CG65" s="54"/>
      <c r="CH65" s="21" t="str">
        <f>IFERROR(VLOOKUP(August[[#This Row],[Drug Name9]],'Data Options'!$R$1:$S$100,2,FALSE), " ")</f>
        <v xml:space="preserve"> </v>
      </c>
      <c r="CI65" s="55"/>
      <c r="CJ65" s="32"/>
      <c r="CK65" s="32"/>
      <c r="CL65" s="55"/>
      <c r="CM65" s="32"/>
    </row>
    <row r="66" spans="1:91">
      <c r="A66" s="5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31"/>
      <c r="Q66" s="54"/>
      <c r="R66" s="21" t="str">
        <f>IFERROR(VLOOKUP(August[[#This Row],[Drug Name]],'Data Options'!$R$1:$S$100,2,FALSE), " ")</f>
        <v xml:space="preserve"> </v>
      </c>
      <c r="S66" s="55"/>
      <c r="T66" s="32"/>
      <c r="U66" s="32"/>
      <c r="V66" s="55"/>
      <c r="W66" s="32"/>
      <c r="X66" s="54"/>
      <c r="Y66" s="21" t="str">
        <f>IFERROR(VLOOKUP(August[[#This Row],[Drug Name2]],'Data Options'!$R$1:$S$100,2,FALSE), " ")</f>
        <v xml:space="preserve"> </v>
      </c>
      <c r="Z66" s="55"/>
      <c r="AA66" s="32"/>
      <c r="AB66" s="32"/>
      <c r="AC66" s="55"/>
      <c r="AD66" s="32"/>
      <c r="AE66" s="54"/>
      <c r="AF66" s="21" t="str">
        <f>IFERROR(VLOOKUP(August[[#This Row],[Drug Name3]],'Data Options'!$R$1:$S$100,2,FALSE), " ")</f>
        <v xml:space="preserve"> </v>
      </c>
      <c r="AG66" s="55"/>
      <c r="AH66" s="32"/>
      <c r="AI66" s="32"/>
      <c r="AJ66" s="55"/>
      <c r="AK66" s="32"/>
      <c r="AL66" s="32"/>
      <c r="AM66" s="32"/>
      <c r="AN66" s="32"/>
      <c r="AO66" s="32"/>
      <c r="AP66" s="31"/>
      <c r="AQ66" s="31"/>
      <c r="AR66" s="54"/>
      <c r="AS66" s="21" t="str">
        <f>IFERROR(VLOOKUP(August[[#This Row],[Drug Name4]],'Data Options'!$R$1:$S$100,2,FALSE), " ")</f>
        <v xml:space="preserve"> </v>
      </c>
      <c r="AT66" s="55"/>
      <c r="AU66" s="32"/>
      <c r="AV66" s="32"/>
      <c r="AW66" s="55"/>
      <c r="AX66" s="32"/>
      <c r="AY66" s="54"/>
      <c r="AZ66" s="21" t="str">
        <f>IFERROR(VLOOKUP(August[[#This Row],[Drug Name5]],'Data Options'!$R$1:$S$100,2,FALSE), " ")</f>
        <v xml:space="preserve"> </v>
      </c>
      <c r="BA66" s="55"/>
      <c r="BB66" s="32"/>
      <c r="BC66" s="32"/>
      <c r="BD66" s="55"/>
      <c r="BE66" s="32"/>
      <c r="BF66" s="54"/>
      <c r="BG66" s="21" t="str">
        <f>IFERROR(VLOOKUP(August[[#This Row],[Drug Name6]],'Data Options'!$R$1:$S$100,2,FALSE), " ")</f>
        <v xml:space="preserve"> </v>
      </c>
      <c r="BH66" s="55"/>
      <c r="BI66" s="32"/>
      <c r="BJ66" s="32"/>
      <c r="BK66" s="55"/>
      <c r="BL66" s="32"/>
      <c r="BM66" s="32"/>
      <c r="BN66" s="32"/>
      <c r="BO66" s="32"/>
      <c r="BP66" s="32"/>
      <c r="BQ66" s="31"/>
      <c r="BR66" s="31"/>
      <c r="BS66" s="54"/>
      <c r="BT66" s="21" t="str">
        <f>IFERROR(VLOOKUP(August[[#This Row],[Drug Name7]],'Data Options'!$R$1:$S$100,2,FALSE), " ")</f>
        <v xml:space="preserve"> </v>
      </c>
      <c r="BU66" s="55"/>
      <c r="BV66" s="32"/>
      <c r="BW66" s="32"/>
      <c r="BX66" s="55"/>
      <c r="BY66" s="32"/>
      <c r="BZ66" s="54"/>
      <c r="CA66" s="21" t="str">
        <f>IFERROR(VLOOKUP(August[[#This Row],[Drug Name8]],'Data Options'!$R$1:$S$100,2,FALSE), " ")</f>
        <v xml:space="preserve"> </v>
      </c>
      <c r="CB66" s="55"/>
      <c r="CC66" s="32"/>
      <c r="CD66" s="32"/>
      <c r="CE66" s="55"/>
      <c r="CF66" s="32"/>
      <c r="CG66" s="54"/>
      <c r="CH66" s="21" t="str">
        <f>IFERROR(VLOOKUP(August[[#This Row],[Drug Name9]],'Data Options'!$R$1:$S$100,2,FALSE), " ")</f>
        <v xml:space="preserve"> </v>
      </c>
      <c r="CI66" s="55"/>
      <c r="CJ66" s="32"/>
      <c r="CK66" s="32"/>
      <c r="CL66" s="55"/>
      <c r="CM66" s="32"/>
    </row>
    <row r="67" spans="1:91">
      <c r="A67" s="5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31"/>
      <c r="Q67" s="54"/>
      <c r="R67" s="21" t="str">
        <f>IFERROR(VLOOKUP(August[[#This Row],[Drug Name]],'Data Options'!$R$1:$S$100,2,FALSE), " ")</f>
        <v xml:space="preserve"> </v>
      </c>
      <c r="S67" s="55"/>
      <c r="T67" s="32"/>
      <c r="U67" s="32"/>
      <c r="V67" s="55"/>
      <c r="W67" s="32"/>
      <c r="X67" s="54"/>
      <c r="Y67" s="21" t="str">
        <f>IFERROR(VLOOKUP(August[[#This Row],[Drug Name2]],'Data Options'!$R$1:$S$100,2,FALSE), " ")</f>
        <v xml:space="preserve"> </v>
      </c>
      <c r="Z67" s="55"/>
      <c r="AA67" s="32"/>
      <c r="AB67" s="32"/>
      <c r="AC67" s="55"/>
      <c r="AD67" s="32"/>
      <c r="AE67" s="54"/>
      <c r="AF67" s="21" t="str">
        <f>IFERROR(VLOOKUP(August[[#This Row],[Drug Name3]],'Data Options'!$R$1:$S$100,2,FALSE), " ")</f>
        <v xml:space="preserve"> </v>
      </c>
      <c r="AG67" s="55"/>
      <c r="AH67" s="32"/>
      <c r="AI67" s="32"/>
      <c r="AJ67" s="55"/>
      <c r="AK67" s="32"/>
      <c r="AL67" s="32"/>
      <c r="AM67" s="32"/>
      <c r="AN67" s="32"/>
      <c r="AO67" s="32"/>
      <c r="AP67" s="31"/>
      <c r="AQ67" s="31"/>
      <c r="AR67" s="54"/>
      <c r="AS67" s="21" t="str">
        <f>IFERROR(VLOOKUP(August[[#This Row],[Drug Name4]],'Data Options'!$R$1:$S$100,2,FALSE), " ")</f>
        <v xml:space="preserve"> </v>
      </c>
      <c r="AT67" s="55"/>
      <c r="AU67" s="32"/>
      <c r="AV67" s="32"/>
      <c r="AW67" s="55"/>
      <c r="AX67" s="32"/>
      <c r="AY67" s="54"/>
      <c r="AZ67" s="21" t="str">
        <f>IFERROR(VLOOKUP(August[[#This Row],[Drug Name5]],'Data Options'!$R$1:$S$100,2,FALSE), " ")</f>
        <v xml:space="preserve"> </v>
      </c>
      <c r="BA67" s="55"/>
      <c r="BB67" s="32"/>
      <c r="BC67" s="32"/>
      <c r="BD67" s="55"/>
      <c r="BE67" s="32"/>
      <c r="BF67" s="54"/>
      <c r="BG67" s="21" t="str">
        <f>IFERROR(VLOOKUP(August[[#This Row],[Drug Name6]],'Data Options'!$R$1:$S$100,2,FALSE), " ")</f>
        <v xml:space="preserve"> </v>
      </c>
      <c r="BH67" s="55"/>
      <c r="BI67" s="32"/>
      <c r="BJ67" s="32"/>
      <c r="BK67" s="55"/>
      <c r="BL67" s="32"/>
      <c r="BM67" s="32"/>
      <c r="BN67" s="32"/>
      <c r="BO67" s="32"/>
      <c r="BP67" s="32"/>
      <c r="BQ67" s="31"/>
      <c r="BR67" s="31"/>
      <c r="BS67" s="54"/>
      <c r="BT67" s="21" t="str">
        <f>IFERROR(VLOOKUP(August[[#This Row],[Drug Name7]],'Data Options'!$R$1:$S$100,2,FALSE), " ")</f>
        <v xml:space="preserve"> </v>
      </c>
      <c r="BU67" s="55"/>
      <c r="BV67" s="32"/>
      <c r="BW67" s="32"/>
      <c r="BX67" s="55"/>
      <c r="BY67" s="32"/>
      <c r="BZ67" s="54"/>
      <c r="CA67" s="21" t="str">
        <f>IFERROR(VLOOKUP(August[[#This Row],[Drug Name8]],'Data Options'!$R$1:$S$100,2,FALSE), " ")</f>
        <v xml:space="preserve"> </v>
      </c>
      <c r="CB67" s="55"/>
      <c r="CC67" s="32"/>
      <c r="CD67" s="32"/>
      <c r="CE67" s="55"/>
      <c r="CF67" s="32"/>
      <c r="CG67" s="54"/>
      <c r="CH67" s="21" t="str">
        <f>IFERROR(VLOOKUP(August[[#This Row],[Drug Name9]],'Data Options'!$R$1:$S$100,2,FALSE), " ")</f>
        <v xml:space="preserve"> </v>
      </c>
      <c r="CI67" s="55"/>
      <c r="CJ67" s="32"/>
      <c r="CK67" s="32"/>
      <c r="CL67" s="55"/>
      <c r="CM67" s="32"/>
    </row>
    <row r="68" spans="1:91">
      <c r="A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31"/>
      <c r="Q68" s="54"/>
      <c r="R68" s="21" t="str">
        <f>IFERROR(VLOOKUP(August[[#This Row],[Drug Name]],'Data Options'!$R$1:$S$100,2,FALSE), " ")</f>
        <v xml:space="preserve"> </v>
      </c>
      <c r="S68" s="55"/>
      <c r="T68" s="32"/>
      <c r="U68" s="32"/>
      <c r="V68" s="55"/>
      <c r="W68" s="32"/>
      <c r="X68" s="54"/>
      <c r="Y68" s="21" t="str">
        <f>IFERROR(VLOOKUP(August[[#This Row],[Drug Name2]],'Data Options'!$R$1:$S$100,2,FALSE), " ")</f>
        <v xml:space="preserve"> </v>
      </c>
      <c r="Z68" s="55"/>
      <c r="AA68" s="32"/>
      <c r="AB68" s="32"/>
      <c r="AC68" s="55"/>
      <c r="AD68" s="32"/>
      <c r="AE68" s="54"/>
      <c r="AF68" s="21" t="str">
        <f>IFERROR(VLOOKUP(August[[#This Row],[Drug Name3]],'Data Options'!$R$1:$S$100,2,FALSE), " ")</f>
        <v xml:space="preserve"> </v>
      </c>
      <c r="AG68" s="55"/>
      <c r="AH68" s="32"/>
      <c r="AI68" s="32"/>
      <c r="AJ68" s="55"/>
      <c r="AK68" s="32"/>
      <c r="AL68" s="32"/>
      <c r="AM68" s="32"/>
      <c r="AN68" s="32"/>
      <c r="AO68" s="32"/>
      <c r="AP68" s="31"/>
      <c r="AQ68" s="31"/>
      <c r="AR68" s="54"/>
      <c r="AS68" s="21" t="str">
        <f>IFERROR(VLOOKUP(August[[#This Row],[Drug Name4]],'Data Options'!$R$1:$S$100,2,FALSE), " ")</f>
        <v xml:space="preserve"> </v>
      </c>
      <c r="AT68" s="55"/>
      <c r="AU68" s="32"/>
      <c r="AV68" s="32"/>
      <c r="AW68" s="55"/>
      <c r="AX68" s="32"/>
      <c r="AY68" s="54"/>
      <c r="AZ68" s="21" t="str">
        <f>IFERROR(VLOOKUP(August[[#This Row],[Drug Name5]],'Data Options'!$R$1:$S$100,2,FALSE), " ")</f>
        <v xml:space="preserve"> </v>
      </c>
      <c r="BA68" s="55"/>
      <c r="BB68" s="32"/>
      <c r="BC68" s="32"/>
      <c r="BD68" s="55"/>
      <c r="BE68" s="32"/>
      <c r="BF68" s="54"/>
      <c r="BG68" s="21" t="str">
        <f>IFERROR(VLOOKUP(August[[#This Row],[Drug Name6]],'Data Options'!$R$1:$S$100,2,FALSE), " ")</f>
        <v xml:space="preserve"> </v>
      </c>
      <c r="BH68" s="55"/>
      <c r="BI68" s="32"/>
      <c r="BJ68" s="32"/>
      <c r="BK68" s="55"/>
      <c r="BL68" s="32"/>
      <c r="BM68" s="32"/>
      <c r="BN68" s="32"/>
      <c r="BO68" s="32"/>
      <c r="BP68" s="32"/>
      <c r="BQ68" s="31"/>
      <c r="BR68" s="31"/>
      <c r="BS68" s="54"/>
      <c r="BT68" s="21" t="str">
        <f>IFERROR(VLOOKUP(August[[#This Row],[Drug Name7]],'Data Options'!$R$1:$S$100,2,FALSE), " ")</f>
        <v xml:space="preserve"> </v>
      </c>
      <c r="BU68" s="55"/>
      <c r="BV68" s="32"/>
      <c r="BW68" s="32"/>
      <c r="BX68" s="55"/>
      <c r="BY68" s="32"/>
      <c r="BZ68" s="54"/>
      <c r="CA68" s="21" t="str">
        <f>IFERROR(VLOOKUP(August[[#This Row],[Drug Name8]],'Data Options'!$R$1:$S$100,2,FALSE), " ")</f>
        <v xml:space="preserve"> </v>
      </c>
      <c r="CB68" s="55"/>
      <c r="CC68" s="32"/>
      <c r="CD68" s="32"/>
      <c r="CE68" s="55"/>
      <c r="CF68" s="32"/>
      <c r="CG68" s="54"/>
      <c r="CH68" s="21" t="str">
        <f>IFERROR(VLOOKUP(August[[#This Row],[Drug Name9]],'Data Options'!$R$1:$S$100,2,FALSE), " ")</f>
        <v xml:space="preserve"> </v>
      </c>
      <c r="CI68" s="55"/>
      <c r="CJ68" s="32"/>
      <c r="CK68" s="32"/>
      <c r="CL68" s="55"/>
      <c r="CM68" s="32"/>
    </row>
    <row r="69" spans="1:91">
      <c r="A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31"/>
      <c r="Q69" s="54"/>
      <c r="R69" s="21" t="str">
        <f>IFERROR(VLOOKUP(August[[#This Row],[Drug Name]],'Data Options'!$R$1:$S$100,2,FALSE), " ")</f>
        <v xml:space="preserve"> </v>
      </c>
      <c r="S69" s="55"/>
      <c r="T69" s="32"/>
      <c r="U69" s="32"/>
      <c r="V69" s="55"/>
      <c r="W69" s="32"/>
      <c r="X69" s="54"/>
      <c r="Y69" s="21" t="str">
        <f>IFERROR(VLOOKUP(August[[#This Row],[Drug Name2]],'Data Options'!$R$1:$S$100,2,FALSE), " ")</f>
        <v xml:space="preserve"> </v>
      </c>
      <c r="Z69" s="55"/>
      <c r="AA69" s="32"/>
      <c r="AB69" s="32"/>
      <c r="AC69" s="55"/>
      <c r="AD69" s="32"/>
      <c r="AE69" s="54"/>
      <c r="AF69" s="21" t="str">
        <f>IFERROR(VLOOKUP(August[[#This Row],[Drug Name3]],'Data Options'!$R$1:$S$100,2,FALSE), " ")</f>
        <v xml:space="preserve"> </v>
      </c>
      <c r="AG69" s="55"/>
      <c r="AH69" s="32"/>
      <c r="AI69" s="32"/>
      <c r="AJ69" s="55"/>
      <c r="AK69" s="32"/>
      <c r="AL69" s="32"/>
      <c r="AM69" s="32"/>
      <c r="AN69" s="32"/>
      <c r="AO69" s="32"/>
      <c r="AP69" s="31"/>
      <c r="AQ69" s="31"/>
      <c r="AR69" s="54"/>
      <c r="AS69" s="21" t="str">
        <f>IFERROR(VLOOKUP(August[[#This Row],[Drug Name4]],'Data Options'!$R$1:$S$100,2,FALSE), " ")</f>
        <v xml:space="preserve"> </v>
      </c>
      <c r="AT69" s="55"/>
      <c r="AU69" s="32"/>
      <c r="AV69" s="32"/>
      <c r="AW69" s="55"/>
      <c r="AX69" s="32"/>
      <c r="AY69" s="54"/>
      <c r="AZ69" s="21" t="str">
        <f>IFERROR(VLOOKUP(August[[#This Row],[Drug Name5]],'Data Options'!$R$1:$S$100,2,FALSE), " ")</f>
        <v xml:space="preserve"> </v>
      </c>
      <c r="BA69" s="55"/>
      <c r="BB69" s="32"/>
      <c r="BC69" s="32"/>
      <c r="BD69" s="55"/>
      <c r="BE69" s="32"/>
      <c r="BF69" s="54"/>
      <c r="BG69" s="21" t="str">
        <f>IFERROR(VLOOKUP(August[[#This Row],[Drug Name6]],'Data Options'!$R$1:$S$100,2,FALSE), " ")</f>
        <v xml:space="preserve"> </v>
      </c>
      <c r="BH69" s="55"/>
      <c r="BI69" s="32"/>
      <c r="BJ69" s="32"/>
      <c r="BK69" s="55"/>
      <c r="BL69" s="32"/>
      <c r="BM69" s="32"/>
      <c r="BN69" s="32"/>
      <c r="BO69" s="32"/>
      <c r="BP69" s="32"/>
      <c r="BQ69" s="31"/>
      <c r="BR69" s="31"/>
      <c r="BS69" s="54"/>
      <c r="BT69" s="21" t="str">
        <f>IFERROR(VLOOKUP(August[[#This Row],[Drug Name7]],'Data Options'!$R$1:$S$100,2,FALSE), " ")</f>
        <v xml:space="preserve"> </v>
      </c>
      <c r="BU69" s="55"/>
      <c r="BV69" s="32"/>
      <c r="BW69" s="32"/>
      <c r="BX69" s="55"/>
      <c r="BY69" s="32"/>
      <c r="BZ69" s="54"/>
      <c r="CA69" s="21" t="str">
        <f>IFERROR(VLOOKUP(August[[#This Row],[Drug Name8]],'Data Options'!$R$1:$S$100,2,FALSE), " ")</f>
        <v xml:space="preserve"> </v>
      </c>
      <c r="CB69" s="55"/>
      <c r="CC69" s="32"/>
      <c r="CD69" s="32"/>
      <c r="CE69" s="55"/>
      <c r="CF69" s="32"/>
      <c r="CG69" s="54"/>
      <c r="CH69" s="21" t="str">
        <f>IFERROR(VLOOKUP(August[[#This Row],[Drug Name9]],'Data Options'!$R$1:$S$100,2,FALSE), " ")</f>
        <v xml:space="preserve"> </v>
      </c>
      <c r="CI69" s="55"/>
      <c r="CJ69" s="32"/>
      <c r="CK69" s="32"/>
      <c r="CL69" s="55"/>
      <c r="CM69" s="32"/>
    </row>
    <row r="70" spans="1:91">
      <c r="A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31"/>
      <c r="Q70" s="54"/>
      <c r="R70" s="21" t="str">
        <f>IFERROR(VLOOKUP(August[[#This Row],[Drug Name]],'Data Options'!$R$1:$S$100,2,FALSE), " ")</f>
        <v xml:space="preserve"> </v>
      </c>
      <c r="S70" s="55"/>
      <c r="T70" s="32"/>
      <c r="U70" s="32"/>
      <c r="V70" s="55"/>
      <c r="W70" s="32"/>
      <c r="X70" s="54"/>
      <c r="Y70" s="21" t="str">
        <f>IFERROR(VLOOKUP(August[[#This Row],[Drug Name2]],'Data Options'!$R$1:$S$100,2,FALSE), " ")</f>
        <v xml:space="preserve"> </v>
      </c>
      <c r="Z70" s="55"/>
      <c r="AA70" s="32"/>
      <c r="AB70" s="32"/>
      <c r="AC70" s="55"/>
      <c r="AD70" s="32"/>
      <c r="AE70" s="54"/>
      <c r="AF70" s="21" t="str">
        <f>IFERROR(VLOOKUP(August[[#This Row],[Drug Name3]],'Data Options'!$R$1:$S$100,2,FALSE), " ")</f>
        <v xml:space="preserve"> </v>
      </c>
      <c r="AG70" s="55"/>
      <c r="AH70" s="32"/>
      <c r="AI70" s="32"/>
      <c r="AJ70" s="55"/>
      <c r="AK70" s="32"/>
      <c r="AL70" s="32"/>
      <c r="AM70" s="32"/>
      <c r="AN70" s="32"/>
      <c r="AO70" s="32"/>
      <c r="AP70" s="31"/>
      <c r="AQ70" s="31"/>
      <c r="AR70" s="54"/>
      <c r="AS70" s="21" t="str">
        <f>IFERROR(VLOOKUP(August[[#This Row],[Drug Name4]],'Data Options'!$R$1:$S$100,2,FALSE), " ")</f>
        <v xml:space="preserve"> </v>
      </c>
      <c r="AT70" s="55"/>
      <c r="AU70" s="32"/>
      <c r="AV70" s="32"/>
      <c r="AW70" s="55"/>
      <c r="AX70" s="32"/>
      <c r="AY70" s="54"/>
      <c r="AZ70" s="21" t="str">
        <f>IFERROR(VLOOKUP(August[[#This Row],[Drug Name5]],'Data Options'!$R$1:$S$100,2,FALSE), " ")</f>
        <v xml:space="preserve"> </v>
      </c>
      <c r="BA70" s="55"/>
      <c r="BB70" s="32"/>
      <c r="BC70" s="32"/>
      <c r="BD70" s="55"/>
      <c r="BE70" s="32"/>
      <c r="BF70" s="54"/>
      <c r="BG70" s="21" t="str">
        <f>IFERROR(VLOOKUP(August[[#This Row],[Drug Name6]],'Data Options'!$R$1:$S$100,2,FALSE), " ")</f>
        <v xml:space="preserve"> </v>
      </c>
      <c r="BH70" s="55"/>
      <c r="BI70" s="32"/>
      <c r="BJ70" s="32"/>
      <c r="BK70" s="55"/>
      <c r="BL70" s="32"/>
      <c r="BM70" s="32"/>
      <c r="BN70" s="32"/>
      <c r="BO70" s="32"/>
      <c r="BP70" s="32"/>
      <c r="BQ70" s="31"/>
      <c r="BR70" s="31"/>
      <c r="BS70" s="54"/>
      <c r="BT70" s="21" t="str">
        <f>IFERROR(VLOOKUP(August[[#This Row],[Drug Name7]],'Data Options'!$R$1:$S$100,2,FALSE), " ")</f>
        <v xml:space="preserve"> </v>
      </c>
      <c r="BU70" s="55"/>
      <c r="BV70" s="32"/>
      <c r="BW70" s="32"/>
      <c r="BX70" s="55"/>
      <c r="BY70" s="32"/>
      <c r="BZ70" s="54"/>
      <c r="CA70" s="21" t="str">
        <f>IFERROR(VLOOKUP(August[[#This Row],[Drug Name8]],'Data Options'!$R$1:$S$100,2,FALSE), " ")</f>
        <v xml:space="preserve"> </v>
      </c>
      <c r="CB70" s="55"/>
      <c r="CC70" s="32"/>
      <c r="CD70" s="32"/>
      <c r="CE70" s="55"/>
      <c r="CF70" s="32"/>
      <c r="CG70" s="54"/>
      <c r="CH70" s="21" t="str">
        <f>IFERROR(VLOOKUP(August[[#This Row],[Drug Name9]],'Data Options'!$R$1:$S$100,2,FALSE), " ")</f>
        <v xml:space="preserve"> </v>
      </c>
      <c r="CI70" s="55"/>
      <c r="CJ70" s="32"/>
      <c r="CK70" s="32"/>
      <c r="CL70" s="55"/>
      <c r="CM70" s="32"/>
    </row>
    <row r="71" spans="1:91">
      <c r="A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31"/>
      <c r="Q71" s="54"/>
      <c r="R71" s="21" t="str">
        <f>IFERROR(VLOOKUP(August[[#This Row],[Drug Name]],'Data Options'!$R$1:$S$100,2,FALSE), " ")</f>
        <v xml:space="preserve"> </v>
      </c>
      <c r="S71" s="55"/>
      <c r="T71" s="32"/>
      <c r="U71" s="32"/>
      <c r="V71" s="55"/>
      <c r="W71" s="32"/>
      <c r="X71" s="54"/>
      <c r="Y71" s="21" t="str">
        <f>IFERROR(VLOOKUP(August[[#This Row],[Drug Name2]],'Data Options'!$R$1:$S$100,2,FALSE), " ")</f>
        <v xml:space="preserve"> </v>
      </c>
      <c r="Z71" s="55"/>
      <c r="AA71" s="32"/>
      <c r="AB71" s="32"/>
      <c r="AC71" s="55"/>
      <c r="AD71" s="32"/>
      <c r="AE71" s="54"/>
      <c r="AF71" s="21" t="str">
        <f>IFERROR(VLOOKUP(August[[#This Row],[Drug Name3]],'Data Options'!$R$1:$S$100,2,FALSE), " ")</f>
        <v xml:space="preserve"> </v>
      </c>
      <c r="AG71" s="55"/>
      <c r="AH71" s="32"/>
      <c r="AI71" s="32"/>
      <c r="AJ71" s="55"/>
      <c r="AK71" s="32"/>
      <c r="AL71" s="32"/>
      <c r="AM71" s="32"/>
      <c r="AN71" s="32"/>
      <c r="AO71" s="32"/>
      <c r="AP71" s="31"/>
      <c r="AQ71" s="31"/>
      <c r="AR71" s="54"/>
      <c r="AS71" s="21" t="str">
        <f>IFERROR(VLOOKUP(August[[#This Row],[Drug Name4]],'Data Options'!$R$1:$S$100,2,FALSE), " ")</f>
        <v xml:space="preserve"> </v>
      </c>
      <c r="AT71" s="55"/>
      <c r="AU71" s="32"/>
      <c r="AV71" s="32"/>
      <c r="AW71" s="55"/>
      <c r="AX71" s="32"/>
      <c r="AY71" s="54"/>
      <c r="AZ71" s="21" t="str">
        <f>IFERROR(VLOOKUP(August[[#This Row],[Drug Name5]],'Data Options'!$R$1:$S$100,2,FALSE), " ")</f>
        <v xml:space="preserve"> </v>
      </c>
      <c r="BA71" s="55"/>
      <c r="BB71" s="32"/>
      <c r="BC71" s="32"/>
      <c r="BD71" s="55"/>
      <c r="BE71" s="32"/>
      <c r="BF71" s="54"/>
      <c r="BG71" s="21" t="str">
        <f>IFERROR(VLOOKUP(August[[#This Row],[Drug Name6]],'Data Options'!$R$1:$S$100,2,FALSE), " ")</f>
        <v xml:space="preserve"> </v>
      </c>
      <c r="BH71" s="55"/>
      <c r="BI71" s="32"/>
      <c r="BJ71" s="32"/>
      <c r="BK71" s="55"/>
      <c r="BL71" s="32"/>
      <c r="BM71" s="32"/>
      <c r="BN71" s="32"/>
      <c r="BO71" s="32"/>
      <c r="BP71" s="32"/>
      <c r="BQ71" s="31"/>
      <c r="BR71" s="31"/>
      <c r="BS71" s="54"/>
      <c r="BT71" s="21" t="str">
        <f>IFERROR(VLOOKUP(August[[#This Row],[Drug Name7]],'Data Options'!$R$1:$S$100,2,FALSE), " ")</f>
        <v xml:space="preserve"> </v>
      </c>
      <c r="BU71" s="55"/>
      <c r="BV71" s="32"/>
      <c r="BW71" s="32"/>
      <c r="BX71" s="55"/>
      <c r="BY71" s="32"/>
      <c r="BZ71" s="54"/>
      <c r="CA71" s="21" t="str">
        <f>IFERROR(VLOOKUP(August[[#This Row],[Drug Name8]],'Data Options'!$R$1:$S$100,2,FALSE), " ")</f>
        <v xml:space="preserve"> </v>
      </c>
      <c r="CB71" s="55"/>
      <c r="CC71" s="32"/>
      <c r="CD71" s="32"/>
      <c r="CE71" s="55"/>
      <c r="CF71" s="32"/>
      <c r="CG71" s="54"/>
      <c r="CH71" s="21" t="str">
        <f>IFERROR(VLOOKUP(August[[#This Row],[Drug Name9]],'Data Options'!$R$1:$S$100,2,FALSE), " ")</f>
        <v xml:space="preserve"> </v>
      </c>
      <c r="CI71" s="55"/>
      <c r="CJ71" s="32"/>
      <c r="CK71" s="32"/>
      <c r="CL71" s="55"/>
      <c r="CM71" s="32"/>
    </row>
    <row r="72" spans="1:91">
      <c r="A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54"/>
      <c r="R72" s="21" t="str">
        <f>IFERROR(VLOOKUP(August[[#This Row],[Drug Name]],'Data Options'!$R$1:$S$100,2,FALSE), " ")</f>
        <v xml:space="preserve"> </v>
      </c>
      <c r="S72" s="55"/>
      <c r="T72" s="32"/>
      <c r="U72" s="32"/>
      <c r="V72" s="55"/>
      <c r="W72" s="32"/>
      <c r="X72" s="54"/>
      <c r="Y72" s="21" t="str">
        <f>IFERROR(VLOOKUP(August[[#This Row],[Drug Name2]],'Data Options'!$R$1:$S$100,2,FALSE), " ")</f>
        <v xml:space="preserve"> </v>
      </c>
      <c r="Z72" s="55"/>
      <c r="AA72" s="32"/>
      <c r="AB72" s="32"/>
      <c r="AC72" s="55"/>
      <c r="AD72" s="32"/>
      <c r="AE72" s="54"/>
      <c r="AF72" s="21" t="str">
        <f>IFERROR(VLOOKUP(August[[#This Row],[Drug Name3]],'Data Options'!$R$1:$S$100,2,FALSE), " ")</f>
        <v xml:space="preserve"> </v>
      </c>
      <c r="AG72" s="55"/>
      <c r="AH72" s="32"/>
      <c r="AI72" s="32"/>
      <c r="AJ72" s="55"/>
      <c r="AK72" s="32"/>
      <c r="AL72" s="32"/>
      <c r="AM72" s="32"/>
      <c r="AN72" s="32"/>
      <c r="AO72" s="32"/>
      <c r="AP72" s="31"/>
      <c r="AQ72" s="31"/>
      <c r="AR72" s="54"/>
      <c r="AS72" s="21" t="str">
        <f>IFERROR(VLOOKUP(August[[#This Row],[Drug Name4]],'Data Options'!$R$1:$S$100,2,FALSE), " ")</f>
        <v xml:space="preserve"> </v>
      </c>
      <c r="AT72" s="55"/>
      <c r="AU72" s="32"/>
      <c r="AV72" s="32"/>
      <c r="AW72" s="55"/>
      <c r="AX72" s="32"/>
      <c r="AY72" s="54"/>
      <c r="AZ72" s="21" t="str">
        <f>IFERROR(VLOOKUP(August[[#This Row],[Drug Name5]],'Data Options'!$R$1:$S$100,2,FALSE), " ")</f>
        <v xml:space="preserve"> </v>
      </c>
      <c r="BA72" s="55"/>
      <c r="BB72" s="32"/>
      <c r="BC72" s="32"/>
      <c r="BD72" s="55"/>
      <c r="BE72" s="32"/>
      <c r="BF72" s="54"/>
      <c r="BG72" s="21" t="str">
        <f>IFERROR(VLOOKUP(August[[#This Row],[Drug Name6]],'Data Options'!$R$1:$S$100,2,FALSE), " ")</f>
        <v xml:space="preserve"> </v>
      </c>
      <c r="BH72" s="55"/>
      <c r="BI72" s="32"/>
      <c r="BJ72" s="32"/>
      <c r="BK72" s="55"/>
      <c r="BL72" s="32"/>
      <c r="BM72" s="32"/>
      <c r="BN72" s="32"/>
      <c r="BO72" s="32"/>
      <c r="BP72" s="32"/>
      <c r="BQ72" s="31"/>
      <c r="BR72" s="31"/>
      <c r="BS72" s="54"/>
      <c r="BT72" s="21" t="str">
        <f>IFERROR(VLOOKUP(August[[#This Row],[Drug Name7]],'Data Options'!$R$1:$S$100,2,FALSE), " ")</f>
        <v xml:space="preserve"> </v>
      </c>
      <c r="BU72" s="55"/>
      <c r="BV72" s="32"/>
      <c r="BW72" s="32"/>
      <c r="BX72" s="55"/>
      <c r="BY72" s="32"/>
      <c r="BZ72" s="54"/>
      <c r="CA72" s="21" t="str">
        <f>IFERROR(VLOOKUP(August[[#This Row],[Drug Name8]],'Data Options'!$R$1:$S$100,2,FALSE), " ")</f>
        <v xml:space="preserve"> </v>
      </c>
      <c r="CB72" s="55"/>
      <c r="CC72" s="32"/>
      <c r="CD72" s="32"/>
      <c r="CE72" s="55"/>
      <c r="CF72" s="32"/>
      <c r="CG72" s="54"/>
      <c r="CH72" s="21" t="str">
        <f>IFERROR(VLOOKUP(August[[#This Row],[Drug Name9]],'Data Options'!$R$1:$S$100,2,FALSE), " ")</f>
        <v xml:space="preserve"> </v>
      </c>
      <c r="CI72" s="55"/>
      <c r="CJ72" s="32"/>
      <c r="CK72" s="32"/>
      <c r="CL72" s="55"/>
      <c r="CM72" s="32"/>
    </row>
    <row r="73" spans="1:91">
      <c r="A73" s="5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31"/>
      <c r="Q73" s="54"/>
      <c r="R73" s="21" t="str">
        <f>IFERROR(VLOOKUP(August[[#This Row],[Drug Name]],'Data Options'!$R$1:$S$100,2,FALSE), " ")</f>
        <v xml:space="preserve"> </v>
      </c>
      <c r="S73" s="55"/>
      <c r="T73" s="32"/>
      <c r="U73" s="32"/>
      <c r="V73" s="55"/>
      <c r="W73" s="32"/>
      <c r="X73" s="54"/>
      <c r="Y73" s="21" t="str">
        <f>IFERROR(VLOOKUP(August[[#This Row],[Drug Name2]],'Data Options'!$R$1:$S$100,2,FALSE), " ")</f>
        <v xml:space="preserve"> </v>
      </c>
      <c r="Z73" s="55"/>
      <c r="AA73" s="32"/>
      <c r="AB73" s="32"/>
      <c r="AC73" s="55"/>
      <c r="AD73" s="32"/>
      <c r="AE73" s="54"/>
      <c r="AF73" s="21" t="str">
        <f>IFERROR(VLOOKUP(August[[#This Row],[Drug Name3]],'Data Options'!$R$1:$S$100,2,FALSE), " ")</f>
        <v xml:space="preserve"> </v>
      </c>
      <c r="AG73" s="55"/>
      <c r="AH73" s="32"/>
      <c r="AI73" s="32"/>
      <c r="AJ73" s="55"/>
      <c r="AK73" s="32"/>
      <c r="AL73" s="32"/>
      <c r="AM73" s="32"/>
      <c r="AN73" s="32"/>
      <c r="AO73" s="32"/>
      <c r="AP73" s="31"/>
      <c r="AQ73" s="31"/>
      <c r="AR73" s="54"/>
      <c r="AS73" s="21" t="str">
        <f>IFERROR(VLOOKUP(August[[#This Row],[Drug Name4]],'Data Options'!$R$1:$S$100,2,FALSE), " ")</f>
        <v xml:space="preserve"> </v>
      </c>
      <c r="AT73" s="55"/>
      <c r="AU73" s="32"/>
      <c r="AV73" s="32"/>
      <c r="AW73" s="55"/>
      <c r="AX73" s="32"/>
      <c r="AY73" s="54"/>
      <c r="AZ73" s="21" t="str">
        <f>IFERROR(VLOOKUP(August[[#This Row],[Drug Name5]],'Data Options'!$R$1:$S$100,2,FALSE), " ")</f>
        <v xml:space="preserve"> </v>
      </c>
      <c r="BA73" s="55"/>
      <c r="BB73" s="32"/>
      <c r="BC73" s="32"/>
      <c r="BD73" s="55"/>
      <c r="BE73" s="32"/>
      <c r="BF73" s="54"/>
      <c r="BG73" s="21" t="str">
        <f>IFERROR(VLOOKUP(August[[#This Row],[Drug Name6]],'Data Options'!$R$1:$S$100,2,FALSE), " ")</f>
        <v xml:space="preserve"> </v>
      </c>
      <c r="BH73" s="55"/>
      <c r="BI73" s="32"/>
      <c r="BJ73" s="32"/>
      <c r="BK73" s="55"/>
      <c r="BL73" s="32"/>
      <c r="BM73" s="32"/>
      <c r="BN73" s="32"/>
      <c r="BO73" s="32"/>
      <c r="BP73" s="32"/>
      <c r="BQ73" s="31"/>
      <c r="BR73" s="31"/>
      <c r="BS73" s="54"/>
      <c r="BT73" s="21" t="str">
        <f>IFERROR(VLOOKUP(August[[#This Row],[Drug Name7]],'Data Options'!$R$1:$S$100,2,FALSE), " ")</f>
        <v xml:space="preserve"> </v>
      </c>
      <c r="BU73" s="55"/>
      <c r="BV73" s="32"/>
      <c r="BW73" s="32"/>
      <c r="BX73" s="55"/>
      <c r="BY73" s="32"/>
      <c r="BZ73" s="54"/>
      <c r="CA73" s="21" t="str">
        <f>IFERROR(VLOOKUP(August[[#This Row],[Drug Name8]],'Data Options'!$R$1:$S$100,2,FALSE), " ")</f>
        <v xml:space="preserve"> </v>
      </c>
      <c r="CB73" s="55"/>
      <c r="CC73" s="32"/>
      <c r="CD73" s="32"/>
      <c r="CE73" s="55"/>
      <c r="CF73" s="32"/>
      <c r="CG73" s="54"/>
      <c r="CH73" s="21" t="str">
        <f>IFERROR(VLOOKUP(August[[#This Row],[Drug Name9]],'Data Options'!$R$1:$S$100,2,FALSE), " ")</f>
        <v xml:space="preserve"> </v>
      </c>
      <c r="CI73" s="55"/>
      <c r="CJ73" s="32"/>
      <c r="CK73" s="32"/>
      <c r="CL73" s="55"/>
      <c r="CM73" s="32"/>
    </row>
    <row r="74" spans="1:91">
      <c r="A74" s="5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31"/>
      <c r="Q74" s="54"/>
      <c r="R74" s="21" t="str">
        <f>IFERROR(VLOOKUP(August[[#This Row],[Drug Name]],'Data Options'!$R$1:$S$100,2,FALSE), " ")</f>
        <v xml:space="preserve"> </v>
      </c>
      <c r="S74" s="55"/>
      <c r="T74" s="32"/>
      <c r="U74" s="32"/>
      <c r="V74" s="55"/>
      <c r="W74" s="32"/>
      <c r="X74" s="54"/>
      <c r="Y74" s="21" t="str">
        <f>IFERROR(VLOOKUP(August[[#This Row],[Drug Name2]],'Data Options'!$R$1:$S$100,2,FALSE), " ")</f>
        <v xml:space="preserve"> </v>
      </c>
      <c r="Z74" s="55"/>
      <c r="AA74" s="32"/>
      <c r="AB74" s="32"/>
      <c r="AC74" s="55"/>
      <c r="AD74" s="32"/>
      <c r="AE74" s="54"/>
      <c r="AF74" s="21" t="str">
        <f>IFERROR(VLOOKUP(August[[#This Row],[Drug Name3]],'Data Options'!$R$1:$S$100,2,FALSE), " ")</f>
        <v xml:space="preserve"> </v>
      </c>
      <c r="AG74" s="55"/>
      <c r="AH74" s="32"/>
      <c r="AI74" s="32"/>
      <c r="AJ74" s="55"/>
      <c r="AK74" s="32"/>
      <c r="AL74" s="32"/>
      <c r="AM74" s="32"/>
      <c r="AN74" s="32"/>
      <c r="AO74" s="32"/>
      <c r="AP74" s="31"/>
      <c r="AQ74" s="31"/>
      <c r="AR74" s="54"/>
      <c r="AS74" s="21" t="str">
        <f>IFERROR(VLOOKUP(August[[#This Row],[Drug Name4]],'Data Options'!$R$1:$S$100,2,FALSE), " ")</f>
        <v xml:space="preserve"> </v>
      </c>
      <c r="AT74" s="55"/>
      <c r="AU74" s="32"/>
      <c r="AV74" s="32"/>
      <c r="AW74" s="55"/>
      <c r="AX74" s="32"/>
      <c r="AY74" s="54"/>
      <c r="AZ74" s="21" t="str">
        <f>IFERROR(VLOOKUP(August[[#This Row],[Drug Name5]],'Data Options'!$R$1:$S$100,2,FALSE), " ")</f>
        <v xml:space="preserve"> </v>
      </c>
      <c r="BA74" s="55"/>
      <c r="BB74" s="32"/>
      <c r="BC74" s="32"/>
      <c r="BD74" s="55"/>
      <c r="BE74" s="32"/>
      <c r="BF74" s="54"/>
      <c r="BG74" s="21" t="str">
        <f>IFERROR(VLOOKUP(August[[#This Row],[Drug Name6]],'Data Options'!$R$1:$S$100,2,FALSE), " ")</f>
        <v xml:space="preserve"> </v>
      </c>
      <c r="BH74" s="55"/>
      <c r="BI74" s="32"/>
      <c r="BJ74" s="32"/>
      <c r="BK74" s="55"/>
      <c r="BL74" s="32"/>
      <c r="BM74" s="32"/>
      <c r="BN74" s="32"/>
      <c r="BO74" s="32"/>
      <c r="BP74" s="32"/>
      <c r="BQ74" s="31"/>
      <c r="BR74" s="31"/>
      <c r="BS74" s="54"/>
      <c r="BT74" s="21" t="str">
        <f>IFERROR(VLOOKUP(August[[#This Row],[Drug Name7]],'Data Options'!$R$1:$S$100,2,FALSE), " ")</f>
        <v xml:space="preserve"> </v>
      </c>
      <c r="BU74" s="55"/>
      <c r="BV74" s="32"/>
      <c r="BW74" s="32"/>
      <c r="BX74" s="55"/>
      <c r="BY74" s="32"/>
      <c r="BZ74" s="54"/>
      <c r="CA74" s="21" t="str">
        <f>IFERROR(VLOOKUP(August[[#This Row],[Drug Name8]],'Data Options'!$R$1:$S$100,2,FALSE), " ")</f>
        <v xml:space="preserve"> </v>
      </c>
      <c r="CB74" s="55"/>
      <c r="CC74" s="32"/>
      <c r="CD74" s="32"/>
      <c r="CE74" s="55"/>
      <c r="CF74" s="32"/>
      <c r="CG74" s="54"/>
      <c r="CH74" s="21" t="str">
        <f>IFERROR(VLOOKUP(August[[#This Row],[Drug Name9]],'Data Options'!$R$1:$S$100,2,FALSE), " ")</f>
        <v xml:space="preserve"> </v>
      </c>
      <c r="CI74" s="55"/>
      <c r="CJ74" s="32"/>
      <c r="CK74" s="32"/>
      <c r="CL74" s="55"/>
      <c r="CM74" s="32"/>
    </row>
    <row r="75" spans="1:91">
      <c r="A75" s="5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31"/>
      <c r="Q75" s="54"/>
      <c r="R75" s="21" t="str">
        <f>IFERROR(VLOOKUP(August[[#This Row],[Drug Name]],'Data Options'!$R$1:$S$100,2,FALSE), " ")</f>
        <v xml:space="preserve"> </v>
      </c>
      <c r="S75" s="55"/>
      <c r="T75" s="32"/>
      <c r="U75" s="32"/>
      <c r="V75" s="55"/>
      <c r="W75" s="32"/>
      <c r="X75" s="54"/>
      <c r="Y75" s="21" t="str">
        <f>IFERROR(VLOOKUP(August[[#This Row],[Drug Name2]],'Data Options'!$R$1:$S$100,2,FALSE), " ")</f>
        <v xml:space="preserve"> </v>
      </c>
      <c r="Z75" s="55"/>
      <c r="AA75" s="32"/>
      <c r="AB75" s="32"/>
      <c r="AC75" s="55"/>
      <c r="AD75" s="32"/>
      <c r="AE75" s="54"/>
      <c r="AF75" s="21" t="str">
        <f>IFERROR(VLOOKUP(August[[#This Row],[Drug Name3]],'Data Options'!$R$1:$S$100,2,FALSE), " ")</f>
        <v xml:space="preserve"> </v>
      </c>
      <c r="AG75" s="55"/>
      <c r="AH75" s="32"/>
      <c r="AI75" s="32"/>
      <c r="AJ75" s="55"/>
      <c r="AK75" s="32"/>
      <c r="AL75" s="32"/>
      <c r="AM75" s="32"/>
      <c r="AN75" s="32"/>
      <c r="AO75" s="32"/>
      <c r="AP75" s="31"/>
      <c r="AQ75" s="31"/>
      <c r="AR75" s="54"/>
      <c r="AS75" s="21" t="str">
        <f>IFERROR(VLOOKUP(August[[#This Row],[Drug Name4]],'Data Options'!$R$1:$S$100,2,FALSE), " ")</f>
        <v xml:space="preserve"> </v>
      </c>
      <c r="AT75" s="55"/>
      <c r="AU75" s="32"/>
      <c r="AV75" s="32"/>
      <c r="AW75" s="55"/>
      <c r="AX75" s="32"/>
      <c r="AY75" s="54"/>
      <c r="AZ75" s="21" t="str">
        <f>IFERROR(VLOOKUP(August[[#This Row],[Drug Name5]],'Data Options'!$R$1:$S$100,2,FALSE), " ")</f>
        <v xml:space="preserve"> </v>
      </c>
      <c r="BA75" s="55"/>
      <c r="BB75" s="32"/>
      <c r="BC75" s="32"/>
      <c r="BD75" s="55"/>
      <c r="BE75" s="32"/>
      <c r="BF75" s="54"/>
      <c r="BG75" s="21" t="str">
        <f>IFERROR(VLOOKUP(August[[#This Row],[Drug Name6]],'Data Options'!$R$1:$S$100,2,FALSE), " ")</f>
        <v xml:space="preserve"> </v>
      </c>
      <c r="BH75" s="55"/>
      <c r="BI75" s="32"/>
      <c r="BJ75" s="32"/>
      <c r="BK75" s="55"/>
      <c r="BL75" s="32"/>
      <c r="BM75" s="32"/>
      <c r="BN75" s="32"/>
      <c r="BO75" s="32"/>
      <c r="BP75" s="32"/>
      <c r="BQ75" s="31"/>
      <c r="BR75" s="31"/>
      <c r="BS75" s="54"/>
      <c r="BT75" s="21" t="str">
        <f>IFERROR(VLOOKUP(August[[#This Row],[Drug Name7]],'Data Options'!$R$1:$S$100,2,FALSE), " ")</f>
        <v xml:space="preserve"> </v>
      </c>
      <c r="BU75" s="55"/>
      <c r="BV75" s="32"/>
      <c r="BW75" s="32"/>
      <c r="BX75" s="55"/>
      <c r="BY75" s="32"/>
      <c r="BZ75" s="54"/>
      <c r="CA75" s="21" t="str">
        <f>IFERROR(VLOOKUP(August[[#This Row],[Drug Name8]],'Data Options'!$R$1:$S$100,2,FALSE), " ")</f>
        <v xml:space="preserve"> </v>
      </c>
      <c r="CB75" s="55"/>
      <c r="CC75" s="32"/>
      <c r="CD75" s="32"/>
      <c r="CE75" s="55"/>
      <c r="CF75" s="32"/>
      <c r="CG75" s="54"/>
      <c r="CH75" s="21" t="str">
        <f>IFERROR(VLOOKUP(August[[#This Row],[Drug Name9]],'Data Options'!$R$1:$S$100,2,FALSE), " ")</f>
        <v xml:space="preserve"> </v>
      </c>
      <c r="CI75" s="55"/>
      <c r="CJ75" s="32"/>
      <c r="CK75" s="32"/>
      <c r="CL75" s="55"/>
      <c r="CM75" s="32"/>
    </row>
    <row r="76" spans="1:91">
      <c r="A76" s="5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54"/>
      <c r="R76" s="21" t="str">
        <f>IFERROR(VLOOKUP(August[[#This Row],[Drug Name]],'Data Options'!$R$1:$S$100,2,FALSE), " ")</f>
        <v xml:space="preserve"> </v>
      </c>
      <c r="S76" s="55"/>
      <c r="T76" s="32"/>
      <c r="U76" s="32"/>
      <c r="V76" s="55"/>
      <c r="W76" s="32"/>
      <c r="X76" s="54"/>
      <c r="Y76" s="21" t="str">
        <f>IFERROR(VLOOKUP(August[[#This Row],[Drug Name2]],'Data Options'!$R$1:$S$100,2,FALSE), " ")</f>
        <v xml:space="preserve"> </v>
      </c>
      <c r="Z76" s="55"/>
      <c r="AA76" s="32"/>
      <c r="AB76" s="32"/>
      <c r="AC76" s="55"/>
      <c r="AD76" s="32"/>
      <c r="AE76" s="54"/>
      <c r="AF76" s="21" t="str">
        <f>IFERROR(VLOOKUP(August[[#This Row],[Drug Name3]],'Data Options'!$R$1:$S$100,2,FALSE), " ")</f>
        <v xml:space="preserve"> </v>
      </c>
      <c r="AG76" s="55"/>
      <c r="AH76" s="32"/>
      <c r="AI76" s="32"/>
      <c r="AJ76" s="55"/>
      <c r="AK76" s="32"/>
      <c r="AL76" s="32"/>
      <c r="AM76" s="32"/>
      <c r="AN76" s="32"/>
      <c r="AO76" s="32"/>
      <c r="AP76" s="31"/>
      <c r="AQ76" s="31"/>
      <c r="AR76" s="54"/>
      <c r="AS76" s="21" t="str">
        <f>IFERROR(VLOOKUP(August[[#This Row],[Drug Name4]],'Data Options'!$R$1:$S$100,2,FALSE), " ")</f>
        <v xml:space="preserve"> </v>
      </c>
      <c r="AT76" s="55"/>
      <c r="AU76" s="32"/>
      <c r="AV76" s="32"/>
      <c r="AW76" s="55"/>
      <c r="AX76" s="32"/>
      <c r="AY76" s="54"/>
      <c r="AZ76" s="21" t="str">
        <f>IFERROR(VLOOKUP(August[[#This Row],[Drug Name5]],'Data Options'!$R$1:$S$100,2,FALSE), " ")</f>
        <v xml:space="preserve"> </v>
      </c>
      <c r="BA76" s="55"/>
      <c r="BB76" s="32"/>
      <c r="BC76" s="32"/>
      <c r="BD76" s="55"/>
      <c r="BE76" s="32"/>
      <c r="BF76" s="54"/>
      <c r="BG76" s="21" t="str">
        <f>IFERROR(VLOOKUP(August[[#This Row],[Drug Name6]],'Data Options'!$R$1:$S$100,2,FALSE), " ")</f>
        <v xml:space="preserve"> </v>
      </c>
      <c r="BH76" s="55"/>
      <c r="BI76" s="32"/>
      <c r="BJ76" s="32"/>
      <c r="BK76" s="55"/>
      <c r="BL76" s="32"/>
      <c r="BM76" s="32"/>
      <c r="BN76" s="32"/>
      <c r="BO76" s="32"/>
      <c r="BP76" s="32"/>
      <c r="BQ76" s="31"/>
      <c r="BR76" s="31"/>
      <c r="BS76" s="54"/>
      <c r="BT76" s="21" t="str">
        <f>IFERROR(VLOOKUP(August[[#This Row],[Drug Name7]],'Data Options'!$R$1:$S$100,2,FALSE), " ")</f>
        <v xml:space="preserve"> </v>
      </c>
      <c r="BU76" s="55"/>
      <c r="BV76" s="32"/>
      <c r="BW76" s="32"/>
      <c r="BX76" s="55"/>
      <c r="BY76" s="32"/>
      <c r="BZ76" s="54"/>
      <c r="CA76" s="21" t="str">
        <f>IFERROR(VLOOKUP(August[[#This Row],[Drug Name8]],'Data Options'!$R$1:$S$100,2,FALSE), " ")</f>
        <v xml:space="preserve"> </v>
      </c>
      <c r="CB76" s="55"/>
      <c r="CC76" s="32"/>
      <c r="CD76" s="32"/>
      <c r="CE76" s="55"/>
      <c r="CF76" s="32"/>
      <c r="CG76" s="54"/>
      <c r="CH76" s="21" t="str">
        <f>IFERROR(VLOOKUP(August[[#This Row],[Drug Name9]],'Data Options'!$R$1:$S$100,2,FALSE), " ")</f>
        <v xml:space="preserve"> </v>
      </c>
      <c r="CI76" s="55"/>
      <c r="CJ76" s="32"/>
      <c r="CK76" s="32"/>
      <c r="CL76" s="55"/>
      <c r="CM76" s="32"/>
    </row>
    <row r="77" spans="1:91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31"/>
      <c r="Q77" s="54"/>
      <c r="R77" s="21" t="str">
        <f>IFERROR(VLOOKUP(August[[#This Row],[Drug Name]],'Data Options'!$R$1:$S$100,2,FALSE), " ")</f>
        <v xml:space="preserve"> </v>
      </c>
      <c r="S77" s="55"/>
      <c r="T77" s="32"/>
      <c r="U77" s="32"/>
      <c r="V77" s="55"/>
      <c r="W77" s="32"/>
      <c r="X77" s="54"/>
      <c r="Y77" s="21" t="str">
        <f>IFERROR(VLOOKUP(August[[#This Row],[Drug Name2]],'Data Options'!$R$1:$S$100,2,FALSE), " ")</f>
        <v xml:space="preserve"> </v>
      </c>
      <c r="Z77" s="55"/>
      <c r="AA77" s="32"/>
      <c r="AB77" s="32"/>
      <c r="AC77" s="55"/>
      <c r="AD77" s="32"/>
      <c r="AE77" s="54"/>
      <c r="AF77" s="21" t="str">
        <f>IFERROR(VLOOKUP(August[[#This Row],[Drug Name3]],'Data Options'!$R$1:$S$100,2,FALSE), " ")</f>
        <v xml:space="preserve"> </v>
      </c>
      <c r="AG77" s="55"/>
      <c r="AH77" s="32"/>
      <c r="AI77" s="32"/>
      <c r="AJ77" s="55"/>
      <c r="AK77" s="32"/>
      <c r="AL77" s="32"/>
      <c r="AM77" s="32"/>
      <c r="AN77" s="32"/>
      <c r="AO77" s="32"/>
      <c r="AP77" s="31"/>
      <c r="AQ77" s="31"/>
      <c r="AR77" s="54"/>
      <c r="AS77" s="21" t="str">
        <f>IFERROR(VLOOKUP(August[[#This Row],[Drug Name4]],'Data Options'!$R$1:$S$100,2,FALSE), " ")</f>
        <v xml:space="preserve"> </v>
      </c>
      <c r="AT77" s="55"/>
      <c r="AU77" s="32"/>
      <c r="AV77" s="32"/>
      <c r="AW77" s="55"/>
      <c r="AX77" s="32"/>
      <c r="AY77" s="54"/>
      <c r="AZ77" s="21" t="str">
        <f>IFERROR(VLOOKUP(August[[#This Row],[Drug Name5]],'Data Options'!$R$1:$S$100,2,FALSE), " ")</f>
        <v xml:space="preserve"> </v>
      </c>
      <c r="BA77" s="55"/>
      <c r="BB77" s="32"/>
      <c r="BC77" s="32"/>
      <c r="BD77" s="55"/>
      <c r="BE77" s="32"/>
      <c r="BF77" s="54"/>
      <c r="BG77" s="21" t="str">
        <f>IFERROR(VLOOKUP(August[[#This Row],[Drug Name6]],'Data Options'!$R$1:$S$100,2,FALSE), " ")</f>
        <v xml:space="preserve"> </v>
      </c>
      <c r="BH77" s="55"/>
      <c r="BI77" s="32"/>
      <c r="BJ77" s="32"/>
      <c r="BK77" s="55"/>
      <c r="BL77" s="32"/>
      <c r="BM77" s="32"/>
      <c r="BN77" s="32"/>
      <c r="BO77" s="32"/>
      <c r="BP77" s="32"/>
      <c r="BQ77" s="31"/>
      <c r="BR77" s="31"/>
      <c r="BS77" s="54"/>
      <c r="BT77" s="21" t="str">
        <f>IFERROR(VLOOKUP(August[[#This Row],[Drug Name7]],'Data Options'!$R$1:$S$100,2,FALSE), " ")</f>
        <v xml:space="preserve"> </v>
      </c>
      <c r="BU77" s="55"/>
      <c r="BV77" s="32"/>
      <c r="BW77" s="32"/>
      <c r="BX77" s="55"/>
      <c r="BY77" s="32"/>
      <c r="BZ77" s="54"/>
      <c r="CA77" s="21" t="str">
        <f>IFERROR(VLOOKUP(August[[#This Row],[Drug Name8]],'Data Options'!$R$1:$S$100,2,FALSE), " ")</f>
        <v xml:space="preserve"> </v>
      </c>
      <c r="CB77" s="55"/>
      <c r="CC77" s="32"/>
      <c r="CD77" s="32"/>
      <c r="CE77" s="55"/>
      <c r="CF77" s="32"/>
      <c r="CG77" s="54"/>
      <c r="CH77" s="21" t="str">
        <f>IFERROR(VLOOKUP(August[[#This Row],[Drug Name9]],'Data Options'!$R$1:$S$100,2,FALSE), " ")</f>
        <v xml:space="preserve"> </v>
      </c>
      <c r="CI77" s="55"/>
      <c r="CJ77" s="32"/>
      <c r="CK77" s="32"/>
      <c r="CL77" s="55"/>
      <c r="CM77" s="32"/>
    </row>
    <row r="78" spans="1:91">
      <c r="A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31"/>
      <c r="Q78" s="54"/>
      <c r="R78" s="21" t="str">
        <f>IFERROR(VLOOKUP(August[[#This Row],[Drug Name]],'Data Options'!$R$1:$S$100,2,FALSE), " ")</f>
        <v xml:space="preserve"> </v>
      </c>
      <c r="S78" s="55"/>
      <c r="T78" s="32"/>
      <c r="U78" s="32"/>
      <c r="V78" s="55"/>
      <c r="W78" s="32"/>
      <c r="X78" s="54"/>
      <c r="Y78" s="21" t="str">
        <f>IFERROR(VLOOKUP(August[[#This Row],[Drug Name2]],'Data Options'!$R$1:$S$100,2,FALSE), " ")</f>
        <v xml:space="preserve"> </v>
      </c>
      <c r="Z78" s="55"/>
      <c r="AA78" s="32"/>
      <c r="AB78" s="32"/>
      <c r="AC78" s="55"/>
      <c r="AD78" s="32"/>
      <c r="AE78" s="54"/>
      <c r="AF78" s="21" t="str">
        <f>IFERROR(VLOOKUP(August[[#This Row],[Drug Name3]],'Data Options'!$R$1:$S$100,2,FALSE), " ")</f>
        <v xml:space="preserve"> </v>
      </c>
      <c r="AG78" s="55"/>
      <c r="AH78" s="32"/>
      <c r="AI78" s="32"/>
      <c r="AJ78" s="55"/>
      <c r="AK78" s="32"/>
      <c r="AL78" s="32"/>
      <c r="AM78" s="32"/>
      <c r="AN78" s="32"/>
      <c r="AO78" s="32"/>
      <c r="AP78" s="31"/>
      <c r="AQ78" s="31"/>
      <c r="AR78" s="54"/>
      <c r="AS78" s="21" t="str">
        <f>IFERROR(VLOOKUP(August[[#This Row],[Drug Name4]],'Data Options'!$R$1:$S$100,2,FALSE), " ")</f>
        <v xml:space="preserve"> </v>
      </c>
      <c r="AT78" s="55"/>
      <c r="AU78" s="32"/>
      <c r="AV78" s="32"/>
      <c r="AW78" s="55"/>
      <c r="AX78" s="32"/>
      <c r="AY78" s="54"/>
      <c r="AZ78" s="21" t="str">
        <f>IFERROR(VLOOKUP(August[[#This Row],[Drug Name5]],'Data Options'!$R$1:$S$100,2,FALSE), " ")</f>
        <v xml:space="preserve"> </v>
      </c>
      <c r="BA78" s="55"/>
      <c r="BB78" s="32"/>
      <c r="BC78" s="32"/>
      <c r="BD78" s="55"/>
      <c r="BE78" s="32"/>
      <c r="BF78" s="54"/>
      <c r="BG78" s="21" t="str">
        <f>IFERROR(VLOOKUP(August[[#This Row],[Drug Name6]],'Data Options'!$R$1:$S$100,2,FALSE), " ")</f>
        <v xml:space="preserve"> </v>
      </c>
      <c r="BH78" s="55"/>
      <c r="BI78" s="32"/>
      <c r="BJ78" s="32"/>
      <c r="BK78" s="55"/>
      <c r="BL78" s="32"/>
      <c r="BM78" s="32"/>
      <c r="BN78" s="32"/>
      <c r="BO78" s="32"/>
      <c r="BP78" s="32"/>
      <c r="BQ78" s="31"/>
      <c r="BR78" s="31"/>
      <c r="BS78" s="54"/>
      <c r="BT78" s="21" t="str">
        <f>IFERROR(VLOOKUP(August[[#This Row],[Drug Name7]],'Data Options'!$R$1:$S$100,2,FALSE), " ")</f>
        <v xml:space="preserve"> </v>
      </c>
      <c r="BU78" s="55"/>
      <c r="BV78" s="32"/>
      <c r="BW78" s="32"/>
      <c r="BX78" s="55"/>
      <c r="BY78" s="32"/>
      <c r="BZ78" s="54"/>
      <c r="CA78" s="21" t="str">
        <f>IFERROR(VLOOKUP(August[[#This Row],[Drug Name8]],'Data Options'!$R$1:$S$100,2,FALSE), " ")</f>
        <v xml:space="preserve"> </v>
      </c>
      <c r="CB78" s="55"/>
      <c r="CC78" s="32"/>
      <c r="CD78" s="32"/>
      <c r="CE78" s="55"/>
      <c r="CF78" s="32"/>
      <c r="CG78" s="54"/>
      <c r="CH78" s="21" t="str">
        <f>IFERROR(VLOOKUP(August[[#This Row],[Drug Name9]],'Data Options'!$R$1:$S$100,2,FALSE), " ")</f>
        <v xml:space="preserve"> </v>
      </c>
      <c r="CI78" s="55"/>
      <c r="CJ78" s="32"/>
      <c r="CK78" s="32"/>
      <c r="CL78" s="55"/>
      <c r="CM78" s="32"/>
    </row>
    <row r="79" spans="1:91">
      <c r="A79" s="5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31"/>
      <c r="Q79" s="54"/>
      <c r="R79" s="21" t="str">
        <f>IFERROR(VLOOKUP(August[[#This Row],[Drug Name]],'Data Options'!$R$1:$S$100,2,FALSE), " ")</f>
        <v xml:space="preserve"> </v>
      </c>
      <c r="S79" s="55"/>
      <c r="T79" s="32"/>
      <c r="U79" s="32"/>
      <c r="V79" s="55"/>
      <c r="W79" s="32"/>
      <c r="X79" s="54"/>
      <c r="Y79" s="21" t="str">
        <f>IFERROR(VLOOKUP(August[[#This Row],[Drug Name2]],'Data Options'!$R$1:$S$100,2,FALSE), " ")</f>
        <v xml:space="preserve"> </v>
      </c>
      <c r="Z79" s="55"/>
      <c r="AA79" s="32"/>
      <c r="AB79" s="32"/>
      <c r="AC79" s="55"/>
      <c r="AD79" s="32"/>
      <c r="AE79" s="54"/>
      <c r="AF79" s="21" t="str">
        <f>IFERROR(VLOOKUP(August[[#This Row],[Drug Name3]],'Data Options'!$R$1:$S$100,2,FALSE), " ")</f>
        <v xml:space="preserve"> </v>
      </c>
      <c r="AG79" s="55"/>
      <c r="AH79" s="32"/>
      <c r="AI79" s="32"/>
      <c r="AJ79" s="55"/>
      <c r="AK79" s="32"/>
      <c r="AL79" s="32"/>
      <c r="AM79" s="32"/>
      <c r="AN79" s="32"/>
      <c r="AO79" s="32"/>
      <c r="AP79" s="31"/>
      <c r="AQ79" s="31"/>
      <c r="AR79" s="54"/>
      <c r="AS79" s="21" t="str">
        <f>IFERROR(VLOOKUP(August[[#This Row],[Drug Name4]],'Data Options'!$R$1:$S$100,2,FALSE), " ")</f>
        <v xml:space="preserve"> </v>
      </c>
      <c r="AT79" s="55"/>
      <c r="AU79" s="32"/>
      <c r="AV79" s="32"/>
      <c r="AW79" s="55"/>
      <c r="AX79" s="32"/>
      <c r="AY79" s="54"/>
      <c r="AZ79" s="21" t="str">
        <f>IFERROR(VLOOKUP(August[[#This Row],[Drug Name5]],'Data Options'!$R$1:$S$100,2,FALSE), " ")</f>
        <v xml:space="preserve"> </v>
      </c>
      <c r="BA79" s="55"/>
      <c r="BB79" s="32"/>
      <c r="BC79" s="32"/>
      <c r="BD79" s="55"/>
      <c r="BE79" s="32"/>
      <c r="BF79" s="54"/>
      <c r="BG79" s="21" t="str">
        <f>IFERROR(VLOOKUP(August[[#This Row],[Drug Name6]],'Data Options'!$R$1:$S$100,2,FALSE), " ")</f>
        <v xml:space="preserve"> </v>
      </c>
      <c r="BH79" s="55"/>
      <c r="BI79" s="32"/>
      <c r="BJ79" s="32"/>
      <c r="BK79" s="55"/>
      <c r="BL79" s="32"/>
      <c r="BM79" s="32"/>
      <c r="BN79" s="32"/>
      <c r="BO79" s="32"/>
      <c r="BP79" s="32"/>
      <c r="BQ79" s="31"/>
      <c r="BR79" s="31"/>
      <c r="BS79" s="54"/>
      <c r="BT79" s="21" t="str">
        <f>IFERROR(VLOOKUP(August[[#This Row],[Drug Name7]],'Data Options'!$R$1:$S$100,2,FALSE), " ")</f>
        <v xml:space="preserve"> </v>
      </c>
      <c r="BU79" s="55"/>
      <c r="BV79" s="32"/>
      <c r="BW79" s="32"/>
      <c r="BX79" s="55"/>
      <c r="BY79" s="32"/>
      <c r="BZ79" s="54"/>
      <c r="CA79" s="21" t="str">
        <f>IFERROR(VLOOKUP(August[[#This Row],[Drug Name8]],'Data Options'!$R$1:$S$100,2,FALSE), " ")</f>
        <v xml:space="preserve"> </v>
      </c>
      <c r="CB79" s="55"/>
      <c r="CC79" s="32"/>
      <c r="CD79" s="32"/>
      <c r="CE79" s="55"/>
      <c r="CF79" s="32"/>
      <c r="CG79" s="54"/>
      <c r="CH79" s="21" t="str">
        <f>IFERROR(VLOOKUP(August[[#This Row],[Drug Name9]],'Data Options'!$R$1:$S$100,2,FALSE), " ")</f>
        <v xml:space="preserve"> </v>
      </c>
      <c r="CI79" s="55"/>
      <c r="CJ79" s="32"/>
      <c r="CK79" s="32"/>
      <c r="CL79" s="55"/>
      <c r="CM79" s="32"/>
    </row>
    <row r="80" spans="1:91">
      <c r="A80" s="5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31"/>
      <c r="Q80" s="54"/>
      <c r="R80" s="21" t="str">
        <f>IFERROR(VLOOKUP(August[[#This Row],[Drug Name]],'Data Options'!$R$1:$S$100,2,FALSE), " ")</f>
        <v xml:space="preserve"> </v>
      </c>
      <c r="S80" s="55"/>
      <c r="T80" s="32"/>
      <c r="U80" s="32"/>
      <c r="V80" s="55"/>
      <c r="W80" s="32"/>
      <c r="X80" s="54"/>
      <c r="Y80" s="21" t="str">
        <f>IFERROR(VLOOKUP(August[[#This Row],[Drug Name2]],'Data Options'!$R$1:$S$100,2,FALSE), " ")</f>
        <v xml:space="preserve"> </v>
      </c>
      <c r="Z80" s="55"/>
      <c r="AA80" s="32"/>
      <c r="AB80" s="32"/>
      <c r="AC80" s="55"/>
      <c r="AD80" s="32"/>
      <c r="AE80" s="54"/>
      <c r="AF80" s="21" t="str">
        <f>IFERROR(VLOOKUP(August[[#This Row],[Drug Name3]],'Data Options'!$R$1:$S$100,2,FALSE), " ")</f>
        <v xml:space="preserve"> </v>
      </c>
      <c r="AG80" s="55"/>
      <c r="AH80" s="32"/>
      <c r="AI80" s="32"/>
      <c r="AJ80" s="55"/>
      <c r="AK80" s="32"/>
      <c r="AL80" s="32"/>
      <c r="AM80" s="32"/>
      <c r="AN80" s="32"/>
      <c r="AO80" s="32"/>
      <c r="AP80" s="31"/>
      <c r="AQ80" s="31"/>
      <c r="AR80" s="54"/>
      <c r="AS80" s="21" t="str">
        <f>IFERROR(VLOOKUP(August[[#This Row],[Drug Name4]],'Data Options'!$R$1:$S$100,2,FALSE), " ")</f>
        <v xml:space="preserve"> </v>
      </c>
      <c r="AT80" s="55"/>
      <c r="AU80" s="32"/>
      <c r="AV80" s="32"/>
      <c r="AW80" s="55"/>
      <c r="AX80" s="32"/>
      <c r="AY80" s="54"/>
      <c r="AZ80" s="21" t="str">
        <f>IFERROR(VLOOKUP(August[[#This Row],[Drug Name5]],'Data Options'!$R$1:$S$100,2,FALSE), " ")</f>
        <v xml:space="preserve"> </v>
      </c>
      <c r="BA80" s="55"/>
      <c r="BB80" s="32"/>
      <c r="BC80" s="32"/>
      <c r="BD80" s="55"/>
      <c r="BE80" s="32"/>
      <c r="BF80" s="54"/>
      <c r="BG80" s="21" t="str">
        <f>IFERROR(VLOOKUP(August[[#This Row],[Drug Name6]],'Data Options'!$R$1:$S$100,2,FALSE), " ")</f>
        <v xml:space="preserve"> </v>
      </c>
      <c r="BH80" s="55"/>
      <c r="BI80" s="32"/>
      <c r="BJ80" s="32"/>
      <c r="BK80" s="55"/>
      <c r="BL80" s="32"/>
      <c r="BM80" s="32"/>
      <c r="BN80" s="32"/>
      <c r="BO80" s="32"/>
      <c r="BP80" s="32"/>
      <c r="BQ80" s="31"/>
      <c r="BR80" s="31"/>
      <c r="BS80" s="54"/>
      <c r="BT80" s="21" t="str">
        <f>IFERROR(VLOOKUP(August[[#This Row],[Drug Name7]],'Data Options'!$R$1:$S$100,2,FALSE), " ")</f>
        <v xml:space="preserve"> </v>
      </c>
      <c r="BU80" s="55"/>
      <c r="BV80" s="32"/>
      <c r="BW80" s="32"/>
      <c r="BX80" s="55"/>
      <c r="BY80" s="32"/>
      <c r="BZ80" s="54"/>
      <c r="CA80" s="21" t="str">
        <f>IFERROR(VLOOKUP(August[[#This Row],[Drug Name8]],'Data Options'!$R$1:$S$100,2,FALSE), " ")</f>
        <v xml:space="preserve"> </v>
      </c>
      <c r="CB80" s="55"/>
      <c r="CC80" s="32"/>
      <c r="CD80" s="32"/>
      <c r="CE80" s="55"/>
      <c r="CF80" s="32"/>
      <c r="CG80" s="54"/>
      <c r="CH80" s="21" t="str">
        <f>IFERROR(VLOOKUP(August[[#This Row],[Drug Name9]],'Data Options'!$R$1:$S$100,2,FALSE), " ")</f>
        <v xml:space="preserve"> </v>
      </c>
      <c r="CI80" s="55"/>
      <c r="CJ80" s="32"/>
      <c r="CK80" s="32"/>
      <c r="CL80" s="55"/>
      <c r="CM80" s="32"/>
    </row>
    <row r="81" spans="1:91">
      <c r="A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54"/>
      <c r="R81" s="21" t="str">
        <f>IFERROR(VLOOKUP(August[[#This Row],[Drug Name]],'Data Options'!$R$1:$S$100,2,FALSE), " ")</f>
        <v xml:space="preserve"> </v>
      </c>
      <c r="S81" s="55"/>
      <c r="T81" s="32"/>
      <c r="U81" s="32"/>
      <c r="V81" s="55"/>
      <c r="W81" s="32"/>
      <c r="X81" s="54"/>
      <c r="Y81" s="21" t="str">
        <f>IFERROR(VLOOKUP(August[[#This Row],[Drug Name2]],'Data Options'!$R$1:$S$100,2,FALSE), " ")</f>
        <v xml:space="preserve"> </v>
      </c>
      <c r="Z81" s="55"/>
      <c r="AA81" s="32"/>
      <c r="AB81" s="32"/>
      <c r="AC81" s="55"/>
      <c r="AD81" s="32"/>
      <c r="AE81" s="54"/>
      <c r="AF81" s="21" t="str">
        <f>IFERROR(VLOOKUP(August[[#This Row],[Drug Name3]],'Data Options'!$R$1:$S$100,2,FALSE), " ")</f>
        <v xml:space="preserve"> </v>
      </c>
      <c r="AG81" s="55"/>
      <c r="AH81" s="32"/>
      <c r="AI81" s="32"/>
      <c r="AJ81" s="55"/>
      <c r="AK81" s="32"/>
      <c r="AL81" s="32"/>
      <c r="AM81" s="32"/>
      <c r="AN81" s="32"/>
      <c r="AO81" s="32"/>
      <c r="AP81" s="31"/>
      <c r="AQ81" s="31"/>
      <c r="AR81" s="54"/>
      <c r="AS81" s="21" t="str">
        <f>IFERROR(VLOOKUP(August[[#This Row],[Drug Name4]],'Data Options'!$R$1:$S$100,2,FALSE), " ")</f>
        <v xml:space="preserve"> </v>
      </c>
      <c r="AT81" s="55"/>
      <c r="AU81" s="32"/>
      <c r="AV81" s="32"/>
      <c r="AW81" s="55"/>
      <c r="AX81" s="32"/>
      <c r="AY81" s="54"/>
      <c r="AZ81" s="21" t="str">
        <f>IFERROR(VLOOKUP(August[[#This Row],[Drug Name5]],'Data Options'!$R$1:$S$100,2,FALSE), " ")</f>
        <v xml:space="preserve"> </v>
      </c>
      <c r="BA81" s="55"/>
      <c r="BB81" s="32"/>
      <c r="BC81" s="32"/>
      <c r="BD81" s="55"/>
      <c r="BE81" s="32"/>
      <c r="BF81" s="54"/>
      <c r="BG81" s="21" t="str">
        <f>IFERROR(VLOOKUP(August[[#This Row],[Drug Name6]],'Data Options'!$R$1:$S$100,2,FALSE), " ")</f>
        <v xml:space="preserve"> </v>
      </c>
      <c r="BH81" s="55"/>
      <c r="BI81" s="32"/>
      <c r="BJ81" s="32"/>
      <c r="BK81" s="55"/>
      <c r="BL81" s="32"/>
      <c r="BM81" s="32"/>
      <c r="BN81" s="32"/>
      <c r="BO81" s="32"/>
      <c r="BP81" s="32"/>
      <c r="BQ81" s="31"/>
      <c r="BR81" s="31"/>
      <c r="BS81" s="54"/>
      <c r="BT81" s="21" t="str">
        <f>IFERROR(VLOOKUP(August[[#This Row],[Drug Name7]],'Data Options'!$R$1:$S$100,2,FALSE), " ")</f>
        <v xml:space="preserve"> </v>
      </c>
      <c r="BU81" s="55"/>
      <c r="BV81" s="32"/>
      <c r="BW81" s="32"/>
      <c r="BX81" s="55"/>
      <c r="BY81" s="32"/>
      <c r="BZ81" s="54"/>
      <c r="CA81" s="21" t="str">
        <f>IFERROR(VLOOKUP(August[[#This Row],[Drug Name8]],'Data Options'!$R$1:$S$100,2,FALSE), " ")</f>
        <v xml:space="preserve"> </v>
      </c>
      <c r="CB81" s="55"/>
      <c r="CC81" s="32"/>
      <c r="CD81" s="32"/>
      <c r="CE81" s="55"/>
      <c r="CF81" s="32"/>
      <c r="CG81" s="54"/>
      <c r="CH81" s="21" t="str">
        <f>IFERROR(VLOOKUP(August[[#This Row],[Drug Name9]],'Data Options'!$R$1:$S$100,2,FALSE), " ")</f>
        <v xml:space="preserve"> </v>
      </c>
      <c r="CI81" s="55"/>
      <c r="CJ81" s="32"/>
      <c r="CK81" s="32"/>
      <c r="CL81" s="55"/>
      <c r="CM81" s="32"/>
    </row>
    <row r="82" spans="1:91">
      <c r="A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54"/>
      <c r="R82" s="21" t="str">
        <f>IFERROR(VLOOKUP(August[[#This Row],[Drug Name]],'Data Options'!$R$1:$S$100,2,FALSE), " ")</f>
        <v xml:space="preserve"> </v>
      </c>
      <c r="S82" s="55"/>
      <c r="T82" s="32"/>
      <c r="U82" s="32"/>
      <c r="V82" s="55"/>
      <c r="W82" s="32"/>
      <c r="X82" s="54"/>
      <c r="Y82" s="21" t="str">
        <f>IFERROR(VLOOKUP(August[[#This Row],[Drug Name2]],'Data Options'!$R$1:$S$100,2,FALSE), " ")</f>
        <v xml:space="preserve"> </v>
      </c>
      <c r="Z82" s="55"/>
      <c r="AA82" s="32"/>
      <c r="AB82" s="32"/>
      <c r="AC82" s="55"/>
      <c r="AD82" s="32"/>
      <c r="AE82" s="54"/>
      <c r="AF82" s="21" t="str">
        <f>IFERROR(VLOOKUP(August[[#This Row],[Drug Name3]],'Data Options'!$R$1:$S$100,2,FALSE), " ")</f>
        <v xml:space="preserve"> </v>
      </c>
      <c r="AG82" s="55"/>
      <c r="AH82" s="32"/>
      <c r="AI82" s="32"/>
      <c r="AJ82" s="55"/>
      <c r="AK82" s="32"/>
      <c r="AL82" s="32"/>
      <c r="AM82" s="32"/>
      <c r="AN82" s="32"/>
      <c r="AO82" s="32"/>
      <c r="AP82" s="31"/>
      <c r="AQ82" s="31"/>
      <c r="AR82" s="54"/>
      <c r="AS82" s="21" t="str">
        <f>IFERROR(VLOOKUP(August[[#This Row],[Drug Name4]],'Data Options'!$R$1:$S$100,2,FALSE), " ")</f>
        <v xml:space="preserve"> </v>
      </c>
      <c r="AT82" s="55"/>
      <c r="AU82" s="32"/>
      <c r="AV82" s="32"/>
      <c r="AW82" s="55"/>
      <c r="AX82" s="32"/>
      <c r="AY82" s="54"/>
      <c r="AZ82" s="21" t="str">
        <f>IFERROR(VLOOKUP(August[[#This Row],[Drug Name5]],'Data Options'!$R$1:$S$100,2,FALSE), " ")</f>
        <v xml:space="preserve"> </v>
      </c>
      <c r="BA82" s="55"/>
      <c r="BB82" s="32"/>
      <c r="BC82" s="32"/>
      <c r="BD82" s="55"/>
      <c r="BE82" s="32"/>
      <c r="BF82" s="54"/>
      <c r="BG82" s="21" t="str">
        <f>IFERROR(VLOOKUP(August[[#This Row],[Drug Name6]],'Data Options'!$R$1:$S$100,2,FALSE), " ")</f>
        <v xml:space="preserve"> </v>
      </c>
      <c r="BH82" s="55"/>
      <c r="BI82" s="32"/>
      <c r="BJ82" s="32"/>
      <c r="BK82" s="55"/>
      <c r="BL82" s="32"/>
      <c r="BM82" s="32"/>
      <c r="BN82" s="32"/>
      <c r="BO82" s="32"/>
      <c r="BP82" s="32"/>
      <c r="BQ82" s="31"/>
      <c r="BR82" s="31"/>
      <c r="BS82" s="54"/>
      <c r="BT82" s="21" t="str">
        <f>IFERROR(VLOOKUP(August[[#This Row],[Drug Name7]],'Data Options'!$R$1:$S$100,2,FALSE), " ")</f>
        <v xml:space="preserve"> </v>
      </c>
      <c r="BU82" s="55"/>
      <c r="BV82" s="32"/>
      <c r="BW82" s="32"/>
      <c r="BX82" s="55"/>
      <c r="BY82" s="32"/>
      <c r="BZ82" s="54"/>
      <c r="CA82" s="21" t="str">
        <f>IFERROR(VLOOKUP(August[[#This Row],[Drug Name8]],'Data Options'!$R$1:$S$100,2,FALSE), " ")</f>
        <v xml:space="preserve"> </v>
      </c>
      <c r="CB82" s="55"/>
      <c r="CC82" s="32"/>
      <c r="CD82" s="32"/>
      <c r="CE82" s="55"/>
      <c r="CF82" s="32"/>
      <c r="CG82" s="54"/>
      <c r="CH82" s="21" t="str">
        <f>IFERROR(VLOOKUP(August[[#This Row],[Drug Name9]],'Data Options'!$R$1:$S$100,2,FALSE), " ")</f>
        <v xml:space="preserve"> </v>
      </c>
      <c r="CI82" s="55"/>
      <c r="CJ82" s="32"/>
      <c r="CK82" s="32"/>
      <c r="CL82" s="55"/>
      <c r="CM82" s="32"/>
    </row>
    <row r="83" spans="1:91">
      <c r="A83" s="5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31"/>
      <c r="Q83" s="54"/>
      <c r="R83" s="21" t="str">
        <f>IFERROR(VLOOKUP(August[[#This Row],[Drug Name]],'Data Options'!$R$1:$S$100,2,FALSE), " ")</f>
        <v xml:space="preserve"> </v>
      </c>
      <c r="S83" s="55"/>
      <c r="T83" s="32"/>
      <c r="U83" s="32"/>
      <c r="V83" s="55"/>
      <c r="W83" s="32"/>
      <c r="X83" s="54"/>
      <c r="Y83" s="21" t="str">
        <f>IFERROR(VLOOKUP(August[[#This Row],[Drug Name2]],'Data Options'!$R$1:$S$100,2,FALSE), " ")</f>
        <v xml:space="preserve"> </v>
      </c>
      <c r="Z83" s="55"/>
      <c r="AA83" s="32"/>
      <c r="AB83" s="32"/>
      <c r="AC83" s="55"/>
      <c r="AD83" s="32"/>
      <c r="AE83" s="54"/>
      <c r="AF83" s="21" t="str">
        <f>IFERROR(VLOOKUP(August[[#This Row],[Drug Name3]],'Data Options'!$R$1:$S$100,2,FALSE), " ")</f>
        <v xml:space="preserve"> </v>
      </c>
      <c r="AG83" s="55"/>
      <c r="AH83" s="32"/>
      <c r="AI83" s="32"/>
      <c r="AJ83" s="55"/>
      <c r="AK83" s="32"/>
      <c r="AL83" s="32"/>
      <c r="AM83" s="32"/>
      <c r="AN83" s="32"/>
      <c r="AO83" s="32"/>
      <c r="AP83" s="31"/>
      <c r="AQ83" s="31"/>
      <c r="AR83" s="54"/>
      <c r="AS83" s="21" t="str">
        <f>IFERROR(VLOOKUP(August[[#This Row],[Drug Name4]],'Data Options'!$R$1:$S$100,2,FALSE), " ")</f>
        <v xml:space="preserve"> </v>
      </c>
      <c r="AT83" s="55"/>
      <c r="AU83" s="32"/>
      <c r="AV83" s="32"/>
      <c r="AW83" s="55"/>
      <c r="AX83" s="32"/>
      <c r="AY83" s="54"/>
      <c r="AZ83" s="21" t="str">
        <f>IFERROR(VLOOKUP(August[[#This Row],[Drug Name5]],'Data Options'!$R$1:$S$100,2,FALSE), " ")</f>
        <v xml:space="preserve"> </v>
      </c>
      <c r="BA83" s="55"/>
      <c r="BB83" s="32"/>
      <c r="BC83" s="32"/>
      <c r="BD83" s="55"/>
      <c r="BE83" s="32"/>
      <c r="BF83" s="54"/>
      <c r="BG83" s="21" t="str">
        <f>IFERROR(VLOOKUP(August[[#This Row],[Drug Name6]],'Data Options'!$R$1:$S$100,2,FALSE), " ")</f>
        <v xml:space="preserve"> </v>
      </c>
      <c r="BH83" s="55"/>
      <c r="BI83" s="32"/>
      <c r="BJ83" s="32"/>
      <c r="BK83" s="55"/>
      <c r="BL83" s="32"/>
      <c r="BM83" s="32"/>
      <c r="BN83" s="32"/>
      <c r="BO83" s="32"/>
      <c r="BP83" s="32"/>
      <c r="BQ83" s="31"/>
      <c r="BR83" s="31"/>
      <c r="BS83" s="54"/>
      <c r="BT83" s="21" t="str">
        <f>IFERROR(VLOOKUP(August[[#This Row],[Drug Name7]],'Data Options'!$R$1:$S$100,2,FALSE), " ")</f>
        <v xml:space="preserve"> </v>
      </c>
      <c r="BU83" s="55"/>
      <c r="BV83" s="32"/>
      <c r="BW83" s="32"/>
      <c r="BX83" s="55"/>
      <c r="BY83" s="32"/>
      <c r="BZ83" s="54"/>
      <c r="CA83" s="21" t="str">
        <f>IFERROR(VLOOKUP(August[[#This Row],[Drug Name8]],'Data Options'!$R$1:$S$100,2,FALSE), " ")</f>
        <v xml:space="preserve"> </v>
      </c>
      <c r="CB83" s="55"/>
      <c r="CC83" s="32"/>
      <c r="CD83" s="32"/>
      <c r="CE83" s="55"/>
      <c r="CF83" s="32"/>
      <c r="CG83" s="54"/>
      <c r="CH83" s="21" t="str">
        <f>IFERROR(VLOOKUP(August[[#This Row],[Drug Name9]],'Data Options'!$R$1:$S$100,2,FALSE), " ")</f>
        <v xml:space="preserve"> </v>
      </c>
      <c r="CI83" s="55"/>
      <c r="CJ83" s="32"/>
      <c r="CK83" s="32"/>
      <c r="CL83" s="55"/>
      <c r="CM83" s="32"/>
    </row>
    <row r="84" spans="1:91">
      <c r="A84" s="5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31"/>
      <c r="Q84" s="54"/>
      <c r="R84" s="21" t="str">
        <f>IFERROR(VLOOKUP(August[[#This Row],[Drug Name]],'Data Options'!$R$1:$S$100,2,FALSE), " ")</f>
        <v xml:space="preserve"> </v>
      </c>
      <c r="S84" s="55"/>
      <c r="T84" s="32"/>
      <c r="U84" s="32"/>
      <c r="V84" s="55"/>
      <c r="W84" s="32"/>
      <c r="X84" s="54"/>
      <c r="Y84" s="21" t="str">
        <f>IFERROR(VLOOKUP(August[[#This Row],[Drug Name2]],'Data Options'!$R$1:$S$100,2,FALSE), " ")</f>
        <v xml:space="preserve"> </v>
      </c>
      <c r="Z84" s="55"/>
      <c r="AA84" s="32"/>
      <c r="AB84" s="32"/>
      <c r="AC84" s="55"/>
      <c r="AD84" s="32"/>
      <c r="AE84" s="54"/>
      <c r="AF84" s="21" t="str">
        <f>IFERROR(VLOOKUP(August[[#This Row],[Drug Name3]],'Data Options'!$R$1:$S$100,2,FALSE), " ")</f>
        <v xml:space="preserve"> </v>
      </c>
      <c r="AG84" s="55"/>
      <c r="AH84" s="32"/>
      <c r="AI84" s="32"/>
      <c r="AJ84" s="55"/>
      <c r="AK84" s="32"/>
      <c r="AL84" s="32"/>
      <c r="AM84" s="32"/>
      <c r="AN84" s="32"/>
      <c r="AO84" s="32"/>
      <c r="AP84" s="31"/>
      <c r="AQ84" s="31"/>
      <c r="AR84" s="54"/>
      <c r="AS84" s="21" t="str">
        <f>IFERROR(VLOOKUP(August[[#This Row],[Drug Name4]],'Data Options'!$R$1:$S$100,2,FALSE), " ")</f>
        <v xml:space="preserve"> </v>
      </c>
      <c r="AT84" s="55"/>
      <c r="AU84" s="32"/>
      <c r="AV84" s="32"/>
      <c r="AW84" s="55"/>
      <c r="AX84" s="32"/>
      <c r="AY84" s="54"/>
      <c r="AZ84" s="21" t="str">
        <f>IFERROR(VLOOKUP(August[[#This Row],[Drug Name5]],'Data Options'!$R$1:$S$100,2,FALSE), " ")</f>
        <v xml:space="preserve"> </v>
      </c>
      <c r="BA84" s="55"/>
      <c r="BB84" s="32"/>
      <c r="BC84" s="32"/>
      <c r="BD84" s="55"/>
      <c r="BE84" s="32"/>
      <c r="BF84" s="54"/>
      <c r="BG84" s="21" t="str">
        <f>IFERROR(VLOOKUP(August[[#This Row],[Drug Name6]],'Data Options'!$R$1:$S$100,2,FALSE), " ")</f>
        <v xml:space="preserve"> </v>
      </c>
      <c r="BH84" s="55"/>
      <c r="BI84" s="32"/>
      <c r="BJ84" s="32"/>
      <c r="BK84" s="55"/>
      <c r="BL84" s="32"/>
      <c r="BM84" s="32"/>
      <c r="BN84" s="32"/>
      <c r="BO84" s="32"/>
      <c r="BP84" s="32"/>
      <c r="BQ84" s="31"/>
      <c r="BR84" s="31"/>
      <c r="BS84" s="54"/>
      <c r="BT84" s="21" t="str">
        <f>IFERROR(VLOOKUP(August[[#This Row],[Drug Name7]],'Data Options'!$R$1:$S$100,2,FALSE), " ")</f>
        <v xml:space="preserve"> </v>
      </c>
      <c r="BU84" s="55"/>
      <c r="BV84" s="32"/>
      <c r="BW84" s="32"/>
      <c r="BX84" s="55"/>
      <c r="BY84" s="32"/>
      <c r="BZ84" s="54"/>
      <c r="CA84" s="21" t="str">
        <f>IFERROR(VLOOKUP(August[[#This Row],[Drug Name8]],'Data Options'!$R$1:$S$100,2,FALSE), " ")</f>
        <v xml:space="preserve"> </v>
      </c>
      <c r="CB84" s="55"/>
      <c r="CC84" s="32"/>
      <c r="CD84" s="32"/>
      <c r="CE84" s="55"/>
      <c r="CF84" s="32"/>
      <c r="CG84" s="54"/>
      <c r="CH84" s="21" t="str">
        <f>IFERROR(VLOOKUP(August[[#This Row],[Drug Name9]],'Data Options'!$R$1:$S$100,2,FALSE), " ")</f>
        <v xml:space="preserve"> </v>
      </c>
      <c r="CI84" s="55"/>
      <c r="CJ84" s="32"/>
      <c r="CK84" s="32"/>
      <c r="CL84" s="55"/>
      <c r="CM84" s="32"/>
    </row>
    <row r="85" spans="1:91">
      <c r="A85" s="5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31"/>
      <c r="Q85" s="54"/>
      <c r="R85" s="21" t="str">
        <f>IFERROR(VLOOKUP(August[[#This Row],[Drug Name]],'Data Options'!$R$1:$S$100,2,FALSE), " ")</f>
        <v xml:space="preserve"> </v>
      </c>
      <c r="S85" s="55"/>
      <c r="T85" s="32"/>
      <c r="U85" s="32"/>
      <c r="V85" s="55"/>
      <c r="W85" s="32"/>
      <c r="X85" s="54"/>
      <c r="Y85" s="21" t="str">
        <f>IFERROR(VLOOKUP(August[[#This Row],[Drug Name2]],'Data Options'!$R$1:$S$100,2,FALSE), " ")</f>
        <v xml:space="preserve"> </v>
      </c>
      <c r="Z85" s="55"/>
      <c r="AA85" s="32"/>
      <c r="AB85" s="32"/>
      <c r="AC85" s="55"/>
      <c r="AD85" s="32"/>
      <c r="AE85" s="54"/>
      <c r="AF85" s="21" t="str">
        <f>IFERROR(VLOOKUP(August[[#This Row],[Drug Name3]],'Data Options'!$R$1:$S$100,2,FALSE), " ")</f>
        <v xml:space="preserve"> </v>
      </c>
      <c r="AG85" s="55"/>
      <c r="AH85" s="32"/>
      <c r="AI85" s="32"/>
      <c r="AJ85" s="55"/>
      <c r="AK85" s="32"/>
      <c r="AL85" s="32"/>
      <c r="AM85" s="32"/>
      <c r="AN85" s="32"/>
      <c r="AO85" s="32"/>
      <c r="AP85" s="31"/>
      <c r="AQ85" s="31"/>
      <c r="AR85" s="54"/>
      <c r="AS85" s="21" t="str">
        <f>IFERROR(VLOOKUP(August[[#This Row],[Drug Name4]],'Data Options'!$R$1:$S$100,2,FALSE), " ")</f>
        <v xml:space="preserve"> </v>
      </c>
      <c r="AT85" s="55"/>
      <c r="AU85" s="32"/>
      <c r="AV85" s="32"/>
      <c r="AW85" s="55"/>
      <c r="AX85" s="32"/>
      <c r="AY85" s="54"/>
      <c r="AZ85" s="21" t="str">
        <f>IFERROR(VLOOKUP(August[[#This Row],[Drug Name5]],'Data Options'!$R$1:$S$100,2,FALSE), " ")</f>
        <v xml:space="preserve"> </v>
      </c>
      <c r="BA85" s="55"/>
      <c r="BB85" s="32"/>
      <c r="BC85" s="32"/>
      <c r="BD85" s="55"/>
      <c r="BE85" s="32"/>
      <c r="BF85" s="54"/>
      <c r="BG85" s="21" t="str">
        <f>IFERROR(VLOOKUP(August[[#This Row],[Drug Name6]],'Data Options'!$R$1:$S$100,2,FALSE), " ")</f>
        <v xml:space="preserve"> </v>
      </c>
      <c r="BH85" s="55"/>
      <c r="BI85" s="32"/>
      <c r="BJ85" s="32"/>
      <c r="BK85" s="55"/>
      <c r="BL85" s="32"/>
      <c r="BM85" s="32"/>
      <c r="BN85" s="32"/>
      <c r="BO85" s="32"/>
      <c r="BP85" s="32"/>
      <c r="BQ85" s="31"/>
      <c r="BR85" s="31"/>
      <c r="BS85" s="54"/>
      <c r="BT85" s="21" t="str">
        <f>IFERROR(VLOOKUP(August[[#This Row],[Drug Name7]],'Data Options'!$R$1:$S$100,2,FALSE), " ")</f>
        <v xml:space="preserve"> </v>
      </c>
      <c r="BU85" s="55"/>
      <c r="BV85" s="32"/>
      <c r="BW85" s="32"/>
      <c r="BX85" s="55"/>
      <c r="BY85" s="32"/>
      <c r="BZ85" s="54"/>
      <c r="CA85" s="21" t="str">
        <f>IFERROR(VLOOKUP(August[[#This Row],[Drug Name8]],'Data Options'!$R$1:$S$100,2,FALSE), " ")</f>
        <v xml:space="preserve"> </v>
      </c>
      <c r="CB85" s="55"/>
      <c r="CC85" s="32"/>
      <c r="CD85" s="32"/>
      <c r="CE85" s="55"/>
      <c r="CF85" s="32"/>
      <c r="CG85" s="54"/>
      <c r="CH85" s="21" t="str">
        <f>IFERROR(VLOOKUP(August[[#This Row],[Drug Name9]],'Data Options'!$R$1:$S$100,2,FALSE), " ")</f>
        <v xml:space="preserve"> </v>
      </c>
      <c r="CI85" s="55"/>
      <c r="CJ85" s="32"/>
      <c r="CK85" s="32"/>
      <c r="CL85" s="55"/>
      <c r="CM85" s="32"/>
    </row>
    <row r="86" spans="1:91">
      <c r="A86" s="5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31"/>
      <c r="Q86" s="54"/>
      <c r="R86" s="21" t="str">
        <f>IFERROR(VLOOKUP(August[[#This Row],[Drug Name]],'Data Options'!$R$1:$S$100,2,FALSE), " ")</f>
        <v xml:space="preserve"> </v>
      </c>
      <c r="S86" s="55"/>
      <c r="T86" s="32"/>
      <c r="U86" s="32"/>
      <c r="V86" s="55"/>
      <c r="W86" s="32"/>
      <c r="X86" s="54"/>
      <c r="Y86" s="21" t="str">
        <f>IFERROR(VLOOKUP(August[[#This Row],[Drug Name2]],'Data Options'!$R$1:$S$100,2,FALSE), " ")</f>
        <v xml:space="preserve"> </v>
      </c>
      <c r="Z86" s="55"/>
      <c r="AA86" s="32"/>
      <c r="AB86" s="32"/>
      <c r="AC86" s="55"/>
      <c r="AD86" s="32"/>
      <c r="AE86" s="54"/>
      <c r="AF86" s="21" t="str">
        <f>IFERROR(VLOOKUP(August[[#This Row],[Drug Name3]],'Data Options'!$R$1:$S$100,2,FALSE), " ")</f>
        <v xml:space="preserve"> </v>
      </c>
      <c r="AG86" s="55"/>
      <c r="AH86" s="32"/>
      <c r="AI86" s="32"/>
      <c r="AJ86" s="55"/>
      <c r="AK86" s="32"/>
      <c r="AL86" s="32"/>
      <c r="AM86" s="32"/>
      <c r="AN86" s="32"/>
      <c r="AO86" s="32"/>
      <c r="AP86" s="31"/>
      <c r="AQ86" s="31"/>
      <c r="AR86" s="54"/>
      <c r="AS86" s="21" t="str">
        <f>IFERROR(VLOOKUP(August[[#This Row],[Drug Name4]],'Data Options'!$R$1:$S$100,2,FALSE), " ")</f>
        <v xml:space="preserve"> </v>
      </c>
      <c r="AT86" s="55"/>
      <c r="AU86" s="32"/>
      <c r="AV86" s="32"/>
      <c r="AW86" s="55"/>
      <c r="AX86" s="32"/>
      <c r="AY86" s="54"/>
      <c r="AZ86" s="21" t="str">
        <f>IFERROR(VLOOKUP(August[[#This Row],[Drug Name5]],'Data Options'!$R$1:$S$100,2,FALSE), " ")</f>
        <v xml:space="preserve"> </v>
      </c>
      <c r="BA86" s="55"/>
      <c r="BB86" s="32"/>
      <c r="BC86" s="32"/>
      <c r="BD86" s="55"/>
      <c r="BE86" s="32"/>
      <c r="BF86" s="54"/>
      <c r="BG86" s="21" t="str">
        <f>IFERROR(VLOOKUP(August[[#This Row],[Drug Name6]],'Data Options'!$R$1:$S$100,2,FALSE), " ")</f>
        <v xml:space="preserve"> </v>
      </c>
      <c r="BH86" s="55"/>
      <c r="BI86" s="32"/>
      <c r="BJ86" s="32"/>
      <c r="BK86" s="55"/>
      <c r="BL86" s="32"/>
      <c r="BM86" s="32"/>
      <c r="BN86" s="32"/>
      <c r="BO86" s="32"/>
      <c r="BP86" s="32"/>
      <c r="BQ86" s="31"/>
      <c r="BR86" s="31"/>
      <c r="BS86" s="54"/>
      <c r="BT86" s="21" t="str">
        <f>IFERROR(VLOOKUP(August[[#This Row],[Drug Name7]],'Data Options'!$R$1:$S$100,2,FALSE), " ")</f>
        <v xml:space="preserve"> </v>
      </c>
      <c r="BU86" s="55"/>
      <c r="BV86" s="32"/>
      <c r="BW86" s="32"/>
      <c r="BX86" s="55"/>
      <c r="BY86" s="32"/>
      <c r="BZ86" s="54"/>
      <c r="CA86" s="21" t="str">
        <f>IFERROR(VLOOKUP(August[[#This Row],[Drug Name8]],'Data Options'!$R$1:$S$100,2,FALSE), " ")</f>
        <v xml:space="preserve"> </v>
      </c>
      <c r="CB86" s="55"/>
      <c r="CC86" s="32"/>
      <c r="CD86" s="32"/>
      <c r="CE86" s="55"/>
      <c r="CF86" s="32"/>
      <c r="CG86" s="54"/>
      <c r="CH86" s="21" t="str">
        <f>IFERROR(VLOOKUP(August[[#This Row],[Drug Name9]],'Data Options'!$R$1:$S$100,2,FALSE), " ")</f>
        <v xml:space="preserve"> </v>
      </c>
      <c r="CI86" s="55"/>
      <c r="CJ86" s="32"/>
      <c r="CK86" s="32"/>
      <c r="CL86" s="55"/>
      <c r="CM86" s="32"/>
    </row>
    <row r="87" spans="1:91">
      <c r="A87" s="5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31"/>
      <c r="Q87" s="54"/>
      <c r="R87" s="21" t="str">
        <f>IFERROR(VLOOKUP(August[[#This Row],[Drug Name]],'Data Options'!$R$1:$S$100,2,FALSE), " ")</f>
        <v xml:space="preserve"> </v>
      </c>
      <c r="S87" s="55"/>
      <c r="T87" s="32"/>
      <c r="U87" s="32"/>
      <c r="V87" s="55"/>
      <c r="W87" s="32"/>
      <c r="X87" s="54"/>
      <c r="Y87" s="21" t="str">
        <f>IFERROR(VLOOKUP(August[[#This Row],[Drug Name2]],'Data Options'!$R$1:$S$100,2,FALSE), " ")</f>
        <v xml:space="preserve"> </v>
      </c>
      <c r="Z87" s="55"/>
      <c r="AA87" s="32"/>
      <c r="AB87" s="32"/>
      <c r="AC87" s="55"/>
      <c r="AD87" s="32"/>
      <c r="AE87" s="54"/>
      <c r="AF87" s="21" t="str">
        <f>IFERROR(VLOOKUP(August[[#This Row],[Drug Name3]],'Data Options'!$R$1:$S$100,2,FALSE), " ")</f>
        <v xml:space="preserve"> </v>
      </c>
      <c r="AG87" s="55"/>
      <c r="AH87" s="32"/>
      <c r="AI87" s="32"/>
      <c r="AJ87" s="55"/>
      <c r="AK87" s="32"/>
      <c r="AL87" s="32"/>
      <c r="AM87" s="32"/>
      <c r="AN87" s="32"/>
      <c r="AO87" s="32"/>
      <c r="AP87" s="31"/>
      <c r="AQ87" s="31"/>
      <c r="AR87" s="54"/>
      <c r="AS87" s="21" t="str">
        <f>IFERROR(VLOOKUP(August[[#This Row],[Drug Name4]],'Data Options'!$R$1:$S$100,2,FALSE), " ")</f>
        <v xml:space="preserve"> </v>
      </c>
      <c r="AT87" s="55"/>
      <c r="AU87" s="32"/>
      <c r="AV87" s="32"/>
      <c r="AW87" s="55"/>
      <c r="AX87" s="32"/>
      <c r="AY87" s="54"/>
      <c r="AZ87" s="21" t="str">
        <f>IFERROR(VLOOKUP(August[[#This Row],[Drug Name5]],'Data Options'!$R$1:$S$100,2,FALSE), " ")</f>
        <v xml:space="preserve"> </v>
      </c>
      <c r="BA87" s="55"/>
      <c r="BB87" s="32"/>
      <c r="BC87" s="32"/>
      <c r="BD87" s="55"/>
      <c r="BE87" s="32"/>
      <c r="BF87" s="54"/>
      <c r="BG87" s="21" t="str">
        <f>IFERROR(VLOOKUP(August[[#This Row],[Drug Name6]],'Data Options'!$R$1:$S$100,2,FALSE), " ")</f>
        <v xml:space="preserve"> </v>
      </c>
      <c r="BH87" s="55"/>
      <c r="BI87" s="32"/>
      <c r="BJ87" s="32"/>
      <c r="BK87" s="55"/>
      <c r="BL87" s="32"/>
      <c r="BM87" s="32"/>
      <c r="BN87" s="32"/>
      <c r="BO87" s="32"/>
      <c r="BP87" s="32"/>
      <c r="BQ87" s="31"/>
      <c r="BR87" s="31"/>
      <c r="BS87" s="54"/>
      <c r="BT87" s="21" t="str">
        <f>IFERROR(VLOOKUP(August[[#This Row],[Drug Name7]],'Data Options'!$R$1:$S$100,2,FALSE), " ")</f>
        <v xml:space="preserve"> </v>
      </c>
      <c r="BU87" s="55"/>
      <c r="BV87" s="32"/>
      <c r="BW87" s="32"/>
      <c r="BX87" s="55"/>
      <c r="BY87" s="32"/>
      <c r="BZ87" s="54"/>
      <c r="CA87" s="21" t="str">
        <f>IFERROR(VLOOKUP(August[[#This Row],[Drug Name8]],'Data Options'!$R$1:$S$100,2,FALSE), " ")</f>
        <v xml:space="preserve"> </v>
      </c>
      <c r="CB87" s="55"/>
      <c r="CC87" s="32"/>
      <c r="CD87" s="32"/>
      <c r="CE87" s="55"/>
      <c r="CF87" s="32"/>
      <c r="CG87" s="54"/>
      <c r="CH87" s="21" t="str">
        <f>IFERROR(VLOOKUP(August[[#This Row],[Drug Name9]],'Data Options'!$R$1:$S$100,2,FALSE), " ")</f>
        <v xml:space="preserve"> </v>
      </c>
      <c r="CI87" s="55"/>
      <c r="CJ87" s="32"/>
      <c r="CK87" s="32"/>
      <c r="CL87" s="55"/>
      <c r="CM87" s="32"/>
    </row>
    <row r="88" spans="1:91">
      <c r="A88" s="5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31"/>
      <c r="Q88" s="54"/>
      <c r="R88" s="21" t="str">
        <f>IFERROR(VLOOKUP(August[[#This Row],[Drug Name]],'Data Options'!$R$1:$S$100,2,FALSE), " ")</f>
        <v xml:space="preserve"> </v>
      </c>
      <c r="S88" s="55"/>
      <c r="T88" s="32"/>
      <c r="U88" s="32"/>
      <c r="V88" s="55"/>
      <c r="W88" s="32"/>
      <c r="X88" s="54"/>
      <c r="Y88" s="21" t="str">
        <f>IFERROR(VLOOKUP(August[[#This Row],[Drug Name2]],'Data Options'!$R$1:$S$100,2,FALSE), " ")</f>
        <v xml:space="preserve"> </v>
      </c>
      <c r="Z88" s="55"/>
      <c r="AA88" s="32"/>
      <c r="AB88" s="32"/>
      <c r="AC88" s="55"/>
      <c r="AD88" s="32"/>
      <c r="AE88" s="54"/>
      <c r="AF88" s="21" t="str">
        <f>IFERROR(VLOOKUP(August[[#This Row],[Drug Name3]],'Data Options'!$R$1:$S$100,2,FALSE), " ")</f>
        <v xml:space="preserve"> </v>
      </c>
      <c r="AG88" s="55"/>
      <c r="AH88" s="32"/>
      <c r="AI88" s="32"/>
      <c r="AJ88" s="55"/>
      <c r="AK88" s="32"/>
      <c r="AL88" s="32"/>
      <c r="AM88" s="32"/>
      <c r="AN88" s="32"/>
      <c r="AO88" s="32"/>
      <c r="AP88" s="31"/>
      <c r="AQ88" s="31"/>
      <c r="AR88" s="54"/>
      <c r="AS88" s="21" t="str">
        <f>IFERROR(VLOOKUP(August[[#This Row],[Drug Name4]],'Data Options'!$R$1:$S$100,2,FALSE), " ")</f>
        <v xml:space="preserve"> </v>
      </c>
      <c r="AT88" s="55"/>
      <c r="AU88" s="32"/>
      <c r="AV88" s="32"/>
      <c r="AW88" s="55"/>
      <c r="AX88" s="32"/>
      <c r="AY88" s="54"/>
      <c r="AZ88" s="21" t="str">
        <f>IFERROR(VLOOKUP(August[[#This Row],[Drug Name5]],'Data Options'!$R$1:$S$100,2,FALSE), " ")</f>
        <v xml:space="preserve"> </v>
      </c>
      <c r="BA88" s="55"/>
      <c r="BB88" s="32"/>
      <c r="BC88" s="32"/>
      <c r="BD88" s="55"/>
      <c r="BE88" s="32"/>
      <c r="BF88" s="54"/>
      <c r="BG88" s="21" t="str">
        <f>IFERROR(VLOOKUP(August[[#This Row],[Drug Name6]],'Data Options'!$R$1:$S$100,2,FALSE), " ")</f>
        <v xml:space="preserve"> </v>
      </c>
      <c r="BH88" s="55"/>
      <c r="BI88" s="32"/>
      <c r="BJ88" s="32"/>
      <c r="BK88" s="55"/>
      <c r="BL88" s="32"/>
      <c r="BM88" s="32"/>
      <c r="BN88" s="32"/>
      <c r="BO88" s="32"/>
      <c r="BP88" s="32"/>
      <c r="BQ88" s="31"/>
      <c r="BR88" s="31"/>
      <c r="BS88" s="54"/>
      <c r="BT88" s="21" t="str">
        <f>IFERROR(VLOOKUP(August[[#This Row],[Drug Name7]],'Data Options'!$R$1:$S$100,2,FALSE), " ")</f>
        <v xml:space="preserve"> </v>
      </c>
      <c r="BU88" s="55"/>
      <c r="BV88" s="32"/>
      <c r="BW88" s="32"/>
      <c r="BX88" s="55"/>
      <c r="BY88" s="32"/>
      <c r="BZ88" s="54"/>
      <c r="CA88" s="21" t="str">
        <f>IFERROR(VLOOKUP(August[[#This Row],[Drug Name8]],'Data Options'!$R$1:$S$100,2,FALSE), " ")</f>
        <v xml:space="preserve"> </v>
      </c>
      <c r="CB88" s="55"/>
      <c r="CC88" s="32"/>
      <c r="CD88" s="32"/>
      <c r="CE88" s="55"/>
      <c r="CF88" s="32"/>
      <c r="CG88" s="54"/>
      <c r="CH88" s="21" t="str">
        <f>IFERROR(VLOOKUP(August[[#This Row],[Drug Name9]],'Data Options'!$R$1:$S$100,2,FALSE), " ")</f>
        <v xml:space="preserve"> </v>
      </c>
      <c r="CI88" s="55"/>
      <c r="CJ88" s="32"/>
      <c r="CK88" s="32"/>
      <c r="CL88" s="55"/>
      <c r="CM88" s="32"/>
    </row>
    <row r="89" spans="1:91">
      <c r="A89" s="5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31"/>
      <c r="Q89" s="54"/>
      <c r="R89" s="21" t="str">
        <f>IFERROR(VLOOKUP(August[[#This Row],[Drug Name]],'Data Options'!$R$1:$S$100,2,FALSE), " ")</f>
        <v xml:space="preserve"> </v>
      </c>
      <c r="S89" s="55"/>
      <c r="T89" s="32"/>
      <c r="U89" s="32"/>
      <c r="V89" s="55"/>
      <c r="W89" s="32"/>
      <c r="X89" s="54"/>
      <c r="Y89" s="21" t="str">
        <f>IFERROR(VLOOKUP(August[[#This Row],[Drug Name2]],'Data Options'!$R$1:$S$100,2,FALSE), " ")</f>
        <v xml:space="preserve"> </v>
      </c>
      <c r="Z89" s="55"/>
      <c r="AA89" s="32"/>
      <c r="AB89" s="32"/>
      <c r="AC89" s="55"/>
      <c r="AD89" s="32"/>
      <c r="AE89" s="54"/>
      <c r="AF89" s="21" t="str">
        <f>IFERROR(VLOOKUP(August[[#This Row],[Drug Name3]],'Data Options'!$R$1:$S$100,2,FALSE), " ")</f>
        <v xml:space="preserve"> </v>
      </c>
      <c r="AG89" s="55"/>
      <c r="AH89" s="32"/>
      <c r="AI89" s="32"/>
      <c r="AJ89" s="55"/>
      <c r="AK89" s="32"/>
      <c r="AL89" s="32"/>
      <c r="AM89" s="32"/>
      <c r="AN89" s="32"/>
      <c r="AO89" s="32"/>
      <c r="AP89" s="31"/>
      <c r="AQ89" s="31"/>
      <c r="AR89" s="54"/>
      <c r="AS89" s="21" t="str">
        <f>IFERROR(VLOOKUP(August[[#This Row],[Drug Name4]],'Data Options'!$R$1:$S$100,2,FALSE), " ")</f>
        <v xml:space="preserve"> </v>
      </c>
      <c r="AT89" s="55"/>
      <c r="AU89" s="32"/>
      <c r="AV89" s="32"/>
      <c r="AW89" s="55"/>
      <c r="AX89" s="32"/>
      <c r="AY89" s="54"/>
      <c r="AZ89" s="21" t="str">
        <f>IFERROR(VLOOKUP(August[[#This Row],[Drug Name5]],'Data Options'!$R$1:$S$100,2,FALSE), " ")</f>
        <v xml:space="preserve"> </v>
      </c>
      <c r="BA89" s="55"/>
      <c r="BB89" s="32"/>
      <c r="BC89" s="32"/>
      <c r="BD89" s="55"/>
      <c r="BE89" s="32"/>
      <c r="BF89" s="54"/>
      <c r="BG89" s="21" t="str">
        <f>IFERROR(VLOOKUP(August[[#This Row],[Drug Name6]],'Data Options'!$R$1:$S$100,2,FALSE), " ")</f>
        <v xml:space="preserve"> </v>
      </c>
      <c r="BH89" s="55"/>
      <c r="BI89" s="32"/>
      <c r="BJ89" s="32"/>
      <c r="BK89" s="55"/>
      <c r="BL89" s="32"/>
      <c r="BM89" s="32"/>
      <c r="BN89" s="32"/>
      <c r="BO89" s="32"/>
      <c r="BP89" s="32"/>
      <c r="BQ89" s="31"/>
      <c r="BR89" s="31"/>
      <c r="BS89" s="54"/>
      <c r="BT89" s="21" t="str">
        <f>IFERROR(VLOOKUP(August[[#This Row],[Drug Name7]],'Data Options'!$R$1:$S$100,2,FALSE), " ")</f>
        <v xml:space="preserve"> </v>
      </c>
      <c r="BU89" s="55"/>
      <c r="BV89" s="32"/>
      <c r="BW89" s="32"/>
      <c r="BX89" s="55"/>
      <c r="BY89" s="32"/>
      <c r="BZ89" s="54"/>
      <c r="CA89" s="21" t="str">
        <f>IFERROR(VLOOKUP(August[[#This Row],[Drug Name8]],'Data Options'!$R$1:$S$100,2,FALSE), " ")</f>
        <v xml:space="preserve"> </v>
      </c>
      <c r="CB89" s="55"/>
      <c r="CC89" s="32"/>
      <c r="CD89" s="32"/>
      <c r="CE89" s="55"/>
      <c r="CF89" s="32"/>
      <c r="CG89" s="54"/>
      <c r="CH89" s="21" t="str">
        <f>IFERROR(VLOOKUP(August[[#This Row],[Drug Name9]],'Data Options'!$R$1:$S$100,2,FALSE), " ")</f>
        <v xml:space="preserve"> </v>
      </c>
      <c r="CI89" s="55"/>
      <c r="CJ89" s="32"/>
      <c r="CK89" s="32"/>
      <c r="CL89" s="55"/>
      <c r="CM89" s="32"/>
    </row>
    <row r="90" spans="1:91">
      <c r="A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1"/>
      <c r="Q90" s="54"/>
      <c r="R90" s="21" t="str">
        <f>IFERROR(VLOOKUP(August[[#This Row],[Drug Name]],'Data Options'!$R$1:$S$100,2,FALSE), " ")</f>
        <v xml:space="preserve"> </v>
      </c>
      <c r="S90" s="55"/>
      <c r="T90" s="32"/>
      <c r="U90" s="32"/>
      <c r="V90" s="55"/>
      <c r="W90" s="32"/>
      <c r="X90" s="54"/>
      <c r="Y90" s="21" t="str">
        <f>IFERROR(VLOOKUP(August[[#This Row],[Drug Name2]],'Data Options'!$R$1:$S$100,2,FALSE), " ")</f>
        <v xml:space="preserve"> </v>
      </c>
      <c r="Z90" s="55"/>
      <c r="AA90" s="32"/>
      <c r="AB90" s="32"/>
      <c r="AC90" s="55"/>
      <c r="AD90" s="32"/>
      <c r="AE90" s="54"/>
      <c r="AF90" s="21" t="str">
        <f>IFERROR(VLOOKUP(August[[#This Row],[Drug Name3]],'Data Options'!$R$1:$S$100,2,FALSE), " ")</f>
        <v xml:space="preserve"> </v>
      </c>
      <c r="AG90" s="55"/>
      <c r="AH90" s="32"/>
      <c r="AI90" s="32"/>
      <c r="AJ90" s="55"/>
      <c r="AK90" s="32"/>
      <c r="AL90" s="32"/>
      <c r="AM90" s="32"/>
      <c r="AN90" s="32"/>
      <c r="AO90" s="32"/>
      <c r="AP90" s="31"/>
      <c r="AQ90" s="31"/>
      <c r="AR90" s="54"/>
      <c r="AS90" s="21" t="str">
        <f>IFERROR(VLOOKUP(August[[#This Row],[Drug Name4]],'Data Options'!$R$1:$S$100,2,FALSE), " ")</f>
        <v xml:space="preserve"> </v>
      </c>
      <c r="AT90" s="55"/>
      <c r="AU90" s="32"/>
      <c r="AV90" s="32"/>
      <c r="AW90" s="55"/>
      <c r="AX90" s="32"/>
      <c r="AY90" s="54"/>
      <c r="AZ90" s="21" t="str">
        <f>IFERROR(VLOOKUP(August[[#This Row],[Drug Name5]],'Data Options'!$R$1:$S$100,2,FALSE), " ")</f>
        <v xml:space="preserve"> </v>
      </c>
      <c r="BA90" s="55"/>
      <c r="BB90" s="32"/>
      <c r="BC90" s="32"/>
      <c r="BD90" s="55"/>
      <c r="BE90" s="32"/>
      <c r="BF90" s="54"/>
      <c r="BG90" s="21" t="str">
        <f>IFERROR(VLOOKUP(August[[#This Row],[Drug Name6]],'Data Options'!$R$1:$S$100,2,FALSE), " ")</f>
        <v xml:space="preserve"> </v>
      </c>
      <c r="BH90" s="55"/>
      <c r="BI90" s="32"/>
      <c r="BJ90" s="32"/>
      <c r="BK90" s="55"/>
      <c r="BL90" s="32"/>
      <c r="BM90" s="32"/>
      <c r="BN90" s="32"/>
      <c r="BO90" s="32"/>
      <c r="BP90" s="32"/>
      <c r="BQ90" s="31"/>
      <c r="BR90" s="31"/>
      <c r="BS90" s="54"/>
      <c r="BT90" s="21" t="str">
        <f>IFERROR(VLOOKUP(August[[#This Row],[Drug Name7]],'Data Options'!$R$1:$S$100,2,FALSE), " ")</f>
        <v xml:space="preserve"> </v>
      </c>
      <c r="BU90" s="55"/>
      <c r="BV90" s="32"/>
      <c r="BW90" s="32"/>
      <c r="BX90" s="55"/>
      <c r="BY90" s="32"/>
      <c r="BZ90" s="54"/>
      <c r="CA90" s="21" t="str">
        <f>IFERROR(VLOOKUP(August[[#This Row],[Drug Name8]],'Data Options'!$R$1:$S$100,2,FALSE), " ")</f>
        <v xml:space="preserve"> </v>
      </c>
      <c r="CB90" s="55"/>
      <c r="CC90" s="32"/>
      <c r="CD90" s="32"/>
      <c r="CE90" s="55"/>
      <c r="CF90" s="32"/>
      <c r="CG90" s="54"/>
      <c r="CH90" s="21" t="str">
        <f>IFERROR(VLOOKUP(August[[#This Row],[Drug Name9]],'Data Options'!$R$1:$S$100,2,FALSE), " ")</f>
        <v xml:space="preserve"> </v>
      </c>
      <c r="CI90" s="55"/>
      <c r="CJ90" s="32"/>
      <c r="CK90" s="32"/>
      <c r="CL90" s="55"/>
      <c r="CM90" s="32"/>
    </row>
    <row r="91" spans="1:91">
      <c r="A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1"/>
      <c r="Q91" s="54"/>
      <c r="R91" s="21" t="str">
        <f>IFERROR(VLOOKUP(August[[#This Row],[Drug Name]],'Data Options'!$R$1:$S$100,2,FALSE), " ")</f>
        <v xml:space="preserve"> </v>
      </c>
      <c r="S91" s="55"/>
      <c r="T91" s="32"/>
      <c r="U91" s="32"/>
      <c r="V91" s="55"/>
      <c r="W91" s="32"/>
      <c r="X91" s="54"/>
      <c r="Y91" s="21" t="str">
        <f>IFERROR(VLOOKUP(August[[#This Row],[Drug Name2]],'Data Options'!$R$1:$S$100,2,FALSE), " ")</f>
        <v xml:space="preserve"> </v>
      </c>
      <c r="Z91" s="55"/>
      <c r="AA91" s="32"/>
      <c r="AB91" s="32"/>
      <c r="AC91" s="55"/>
      <c r="AD91" s="32"/>
      <c r="AE91" s="54"/>
      <c r="AF91" s="21" t="str">
        <f>IFERROR(VLOOKUP(August[[#This Row],[Drug Name3]],'Data Options'!$R$1:$S$100,2,FALSE), " ")</f>
        <v xml:space="preserve"> </v>
      </c>
      <c r="AG91" s="55"/>
      <c r="AH91" s="32"/>
      <c r="AI91" s="32"/>
      <c r="AJ91" s="55"/>
      <c r="AK91" s="32"/>
      <c r="AL91" s="32"/>
      <c r="AM91" s="32"/>
      <c r="AN91" s="32"/>
      <c r="AO91" s="32"/>
      <c r="AP91" s="31"/>
      <c r="AQ91" s="31"/>
      <c r="AR91" s="54"/>
      <c r="AS91" s="21" t="str">
        <f>IFERROR(VLOOKUP(August[[#This Row],[Drug Name4]],'Data Options'!$R$1:$S$100,2,FALSE), " ")</f>
        <v xml:space="preserve"> </v>
      </c>
      <c r="AT91" s="55"/>
      <c r="AU91" s="32"/>
      <c r="AV91" s="32"/>
      <c r="AW91" s="55"/>
      <c r="AX91" s="32"/>
      <c r="AY91" s="54"/>
      <c r="AZ91" s="21" t="str">
        <f>IFERROR(VLOOKUP(August[[#This Row],[Drug Name5]],'Data Options'!$R$1:$S$100,2,FALSE), " ")</f>
        <v xml:space="preserve"> </v>
      </c>
      <c r="BA91" s="55"/>
      <c r="BB91" s="32"/>
      <c r="BC91" s="32"/>
      <c r="BD91" s="55"/>
      <c r="BE91" s="32"/>
      <c r="BF91" s="54"/>
      <c r="BG91" s="21" t="str">
        <f>IFERROR(VLOOKUP(August[[#This Row],[Drug Name6]],'Data Options'!$R$1:$S$100,2,FALSE), " ")</f>
        <v xml:space="preserve"> </v>
      </c>
      <c r="BH91" s="55"/>
      <c r="BI91" s="32"/>
      <c r="BJ91" s="32"/>
      <c r="BK91" s="55"/>
      <c r="BL91" s="32"/>
      <c r="BM91" s="32"/>
      <c r="BN91" s="32"/>
      <c r="BO91" s="32"/>
      <c r="BP91" s="32"/>
      <c r="BQ91" s="31"/>
      <c r="BR91" s="31"/>
      <c r="BS91" s="54"/>
      <c r="BT91" s="21" t="str">
        <f>IFERROR(VLOOKUP(August[[#This Row],[Drug Name7]],'Data Options'!$R$1:$S$100,2,FALSE), " ")</f>
        <v xml:space="preserve"> </v>
      </c>
      <c r="BU91" s="55"/>
      <c r="BV91" s="32"/>
      <c r="BW91" s="32"/>
      <c r="BX91" s="55"/>
      <c r="BY91" s="32"/>
      <c r="BZ91" s="54"/>
      <c r="CA91" s="21" t="str">
        <f>IFERROR(VLOOKUP(August[[#This Row],[Drug Name8]],'Data Options'!$R$1:$S$100,2,FALSE), " ")</f>
        <v xml:space="preserve"> </v>
      </c>
      <c r="CB91" s="55"/>
      <c r="CC91" s="32"/>
      <c r="CD91" s="32"/>
      <c r="CE91" s="55"/>
      <c r="CF91" s="32"/>
      <c r="CG91" s="54"/>
      <c r="CH91" s="21" t="str">
        <f>IFERROR(VLOOKUP(August[[#This Row],[Drug Name9]],'Data Options'!$R$1:$S$100,2,FALSE), " ")</f>
        <v xml:space="preserve"> </v>
      </c>
      <c r="CI91" s="55"/>
      <c r="CJ91" s="32"/>
      <c r="CK91" s="32"/>
      <c r="CL91" s="55"/>
      <c r="CM91" s="32"/>
    </row>
    <row r="92" spans="1:91">
      <c r="A92" s="5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1"/>
      <c r="Q92" s="54"/>
      <c r="R92" s="21" t="str">
        <f>IFERROR(VLOOKUP(August[[#This Row],[Drug Name]],'Data Options'!$R$1:$S$100,2,FALSE), " ")</f>
        <v xml:space="preserve"> </v>
      </c>
      <c r="S92" s="55"/>
      <c r="T92" s="32"/>
      <c r="U92" s="32"/>
      <c r="V92" s="55"/>
      <c r="W92" s="32"/>
      <c r="X92" s="54"/>
      <c r="Y92" s="21" t="str">
        <f>IFERROR(VLOOKUP(August[[#This Row],[Drug Name2]],'Data Options'!$R$1:$S$100,2,FALSE), " ")</f>
        <v xml:space="preserve"> </v>
      </c>
      <c r="Z92" s="55"/>
      <c r="AA92" s="32"/>
      <c r="AB92" s="32"/>
      <c r="AC92" s="55"/>
      <c r="AD92" s="32"/>
      <c r="AE92" s="54"/>
      <c r="AF92" s="21" t="str">
        <f>IFERROR(VLOOKUP(August[[#This Row],[Drug Name3]],'Data Options'!$R$1:$S$100,2,FALSE), " ")</f>
        <v xml:space="preserve"> </v>
      </c>
      <c r="AG92" s="55"/>
      <c r="AH92" s="32"/>
      <c r="AI92" s="32"/>
      <c r="AJ92" s="55"/>
      <c r="AK92" s="32"/>
      <c r="AL92" s="32"/>
      <c r="AM92" s="32"/>
      <c r="AN92" s="32"/>
      <c r="AO92" s="32"/>
      <c r="AP92" s="31"/>
      <c r="AQ92" s="31"/>
      <c r="AR92" s="54"/>
      <c r="AS92" s="21" t="str">
        <f>IFERROR(VLOOKUP(August[[#This Row],[Drug Name4]],'Data Options'!$R$1:$S$100,2,FALSE), " ")</f>
        <v xml:space="preserve"> </v>
      </c>
      <c r="AT92" s="55"/>
      <c r="AU92" s="32"/>
      <c r="AV92" s="32"/>
      <c r="AW92" s="55"/>
      <c r="AX92" s="32"/>
      <c r="AY92" s="54"/>
      <c r="AZ92" s="21" t="str">
        <f>IFERROR(VLOOKUP(August[[#This Row],[Drug Name5]],'Data Options'!$R$1:$S$100,2,FALSE), " ")</f>
        <v xml:space="preserve"> </v>
      </c>
      <c r="BA92" s="55"/>
      <c r="BB92" s="32"/>
      <c r="BC92" s="32"/>
      <c r="BD92" s="55"/>
      <c r="BE92" s="32"/>
      <c r="BF92" s="54"/>
      <c r="BG92" s="21" t="str">
        <f>IFERROR(VLOOKUP(August[[#This Row],[Drug Name6]],'Data Options'!$R$1:$S$100,2,FALSE), " ")</f>
        <v xml:space="preserve"> </v>
      </c>
      <c r="BH92" s="55"/>
      <c r="BI92" s="32"/>
      <c r="BJ92" s="32"/>
      <c r="BK92" s="55"/>
      <c r="BL92" s="32"/>
      <c r="BM92" s="32"/>
      <c r="BN92" s="32"/>
      <c r="BO92" s="32"/>
      <c r="BP92" s="32"/>
      <c r="BQ92" s="31"/>
      <c r="BR92" s="31"/>
      <c r="BS92" s="54"/>
      <c r="BT92" s="21" t="str">
        <f>IFERROR(VLOOKUP(August[[#This Row],[Drug Name7]],'Data Options'!$R$1:$S$100,2,FALSE), " ")</f>
        <v xml:space="preserve"> </v>
      </c>
      <c r="BU92" s="55"/>
      <c r="BV92" s="32"/>
      <c r="BW92" s="32"/>
      <c r="BX92" s="55"/>
      <c r="BY92" s="32"/>
      <c r="BZ92" s="54"/>
      <c r="CA92" s="21" t="str">
        <f>IFERROR(VLOOKUP(August[[#This Row],[Drug Name8]],'Data Options'!$R$1:$S$100,2,FALSE), " ")</f>
        <v xml:space="preserve"> </v>
      </c>
      <c r="CB92" s="55"/>
      <c r="CC92" s="32"/>
      <c r="CD92" s="32"/>
      <c r="CE92" s="55"/>
      <c r="CF92" s="32"/>
      <c r="CG92" s="54"/>
      <c r="CH92" s="21" t="str">
        <f>IFERROR(VLOOKUP(August[[#This Row],[Drug Name9]],'Data Options'!$R$1:$S$100,2,FALSE), " ")</f>
        <v xml:space="preserve"> </v>
      </c>
      <c r="CI92" s="55"/>
      <c r="CJ92" s="32"/>
      <c r="CK92" s="32"/>
      <c r="CL92" s="55"/>
      <c r="CM92" s="32"/>
    </row>
    <row r="93" spans="1:91">
      <c r="A93" s="5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1"/>
      <c r="Q93" s="54"/>
      <c r="R93" s="21" t="str">
        <f>IFERROR(VLOOKUP(August[[#This Row],[Drug Name]],'Data Options'!$R$1:$S$100,2,FALSE), " ")</f>
        <v xml:space="preserve"> </v>
      </c>
      <c r="S93" s="55"/>
      <c r="T93" s="32"/>
      <c r="U93" s="32"/>
      <c r="V93" s="55"/>
      <c r="W93" s="32"/>
      <c r="X93" s="54"/>
      <c r="Y93" s="21" t="str">
        <f>IFERROR(VLOOKUP(August[[#This Row],[Drug Name2]],'Data Options'!$R$1:$S$100,2,FALSE), " ")</f>
        <v xml:space="preserve"> </v>
      </c>
      <c r="Z93" s="55"/>
      <c r="AA93" s="32"/>
      <c r="AB93" s="32"/>
      <c r="AC93" s="55"/>
      <c r="AD93" s="32"/>
      <c r="AE93" s="54"/>
      <c r="AF93" s="21" t="str">
        <f>IFERROR(VLOOKUP(August[[#This Row],[Drug Name3]],'Data Options'!$R$1:$S$100,2,FALSE), " ")</f>
        <v xml:space="preserve"> </v>
      </c>
      <c r="AG93" s="55"/>
      <c r="AH93" s="32"/>
      <c r="AI93" s="32"/>
      <c r="AJ93" s="55"/>
      <c r="AK93" s="32"/>
      <c r="AL93" s="32"/>
      <c r="AM93" s="32"/>
      <c r="AN93" s="32"/>
      <c r="AO93" s="32"/>
      <c r="AP93" s="31"/>
      <c r="AQ93" s="31"/>
      <c r="AR93" s="54"/>
      <c r="AS93" s="21" t="str">
        <f>IFERROR(VLOOKUP(August[[#This Row],[Drug Name4]],'Data Options'!$R$1:$S$100,2,FALSE), " ")</f>
        <v xml:space="preserve"> </v>
      </c>
      <c r="AT93" s="55"/>
      <c r="AU93" s="32"/>
      <c r="AV93" s="32"/>
      <c r="AW93" s="55"/>
      <c r="AX93" s="32"/>
      <c r="AY93" s="54"/>
      <c r="AZ93" s="21" t="str">
        <f>IFERROR(VLOOKUP(August[[#This Row],[Drug Name5]],'Data Options'!$R$1:$S$100,2,FALSE), " ")</f>
        <v xml:space="preserve"> </v>
      </c>
      <c r="BA93" s="55"/>
      <c r="BB93" s="32"/>
      <c r="BC93" s="32"/>
      <c r="BD93" s="55"/>
      <c r="BE93" s="32"/>
      <c r="BF93" s="54"/>
      <c r="BG93" s="21" t="str">
        <f>IFERROR(VLOOKUP(August[[#This Row],[Drug Name6]],'Data Options'!$R$1:$S$100,2,FALSE), " ")</f>
        <v xml:space="preserve"> </v>
      </c>
      <c r="BH93" s="55"/>
      <c r="BI93" s="32"/>
      <c r="BJ93" s="32"/>
      <c r="BK93" s="55"/>
      <c r="BL93" s="32"/>
      <c r="BM93" s="32"/>
      <c r="BN93" s="32"/>
      <c r="BO93" s="32"/>
      <c r="BP93" s="32"/>
      <c r="BQ93" s="31"/>
      <c r="BR93" s="31"/>
      <c r="BS93" s="54"/>
      <c r="BT93" s="21" t="str">
        <f>IFERROR(VLOOKUP(August[[#This Row],[Drug Name7]],'Data Options'!$R$1:$S$100,2,FALSE), " ")</f>
        <v xml:space="preserve"> </v>
      </c>
      <c r="BU93" s="55"/>
      <c r="BV93" s="32"/>
      <c r="BW93" s="32"/>
      <c r="BX93" s="55"/>
      <c r="BY93" s="32"/>
      <c r="BZ93" s="54"/>
      <c r="CA93" s="21" t="str">
        <f>IFERROR(VLOOKUP(August[[#This Row],[Drug Name8]],'Data Options'!$R$1:$S$100,2,FALSE), " ")</f>
        <v xml:space="preserve"> </v>
      </c>
      <c r="CB93" s="55"/>
      <c r="CC93" s="32"/>
      <c r="CD93" s="32"/>
      <c r="CE93" s="55"/>
      <c r="CF93" s="32"/>
      <c r="CG93" s="54"/>
      <c r="CH93" s="21" t="str">
        <f>IFERROR(VLOOKUP(August[[#This Row],[Drug Name9]],'Data Options'!$R$1:$S$100,2,FALSE), " ")</f>
        <v xml:space="preserve"> </v>
      </c>
      <c r="CI93" s="55"/>
      <c r="CJ93" s="32"/>
      <c r="CK93" s="32"/>
      <c r="CL93" s="55"/>
      <c r="CM93" s="32"/>
    </row>
    <row r="94" spans="1:91">
      <c r="A94" s="5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1"/>
      <c r="Q94" s="54"/>
      <c r="R94" s="21" t="str">
        <f>IFERROR(VLOOKUP(August[[#This Row],[Drug Name]],'Data Options'!$R$1:$S$100,2,FALSE), " ")</f>
        <v xml:space="preserve"> </v>
      </c>
      <c r="S94" s="55"/>
      <c r="T94" s="32"/>
      <c r="U94" s="32"/>
      <c r="V94" s="55"/>
      <c r="W94" s="32"/>
      <c r="X94" s="54"/>
      <c r="Y94" s="21" t="str">
        <f>IFERROR(VLOOKUP(August[[#This Row],[Drug Name2]],'Data Options'!$R$1:$S$100,2,FALSE), " ")</f>
        <v xml:space="preserve"> </v>
      </c>
      <c r="Z94" s="55"/>
      <c r="AA94" s="32"/>
      <c r="AB94" s="32"/>
      <c r="AC94" s="55"/>
      <c r="AD94" s="32"/>
      <c r="AE94" s="54"/>
      <c r="AF94" s="21" t="str">
        <f>IFERROR(VLOOKUP(August[[#This Row],[Drug Name3]],'Data Options'!$R$1:$S$100,2,FALSE), " ")</f>
        <v xml:space="preserve"> </v>
      </c>
      <c r="AG94" s="55"/>
      <c r="AH94" s="32"/>
      <c r="AI94" s="32"/>
      <c r="AJ94" s="55"/>
      <c r="AK94" s="32"/>
      <c r="AL94" s="32"/>
      <c r="AM94" s="32"/>
      <c r="AN94" s="32"/>
      <c r="AO94" s="32"/>
      <c r="AP94" s="31"/>
      <c r="AQ94" s="31"/>
      <c r="AR94" s="54"/>
      <c r="AS94" s="21" t="str">
        <f>IFERROR(VLOOKUP(August[[#This Row],[Drug Name4]],'Data Options'!$R$1:$S$100,2,FALSE), " ")</f>
        <v xml:space="preserve"> </v>
      </c>
      <c r="AT94" s="55"/>
      <c r="AU94" s="32"/>
      <c r="AV94" s="32"/>
      <c r="AW94" s="55"/>
      <c r="AX94" s="32"/>
      <c r="AY94" s="54"/>
      <c r="AZ94" s="21" t="str">
        <f>IFERROR(VLOOKUP(August[[#This Row],[Drug Name5]],'Data Options'!$R$1:$S$100,2,FALSE), " ")</f>
        <v xml:space="preserve"> </v>
      </c>
      <c r="BA94" s="55"/>
      <c r="BB94" s="32"/>
      <c r="BC94" s="32"/>
      <c r="BD94" s="55"/>
      <c r="BE94" s="32"/>
      <c r="BF94" s="54"/>
      <c r="BG94" s="21" t="str">
        <f>IFERROR(VLOOKUP(August[[#This Row],[Drug Name6]],'Data Options'!$R$1:$S$100,2,FALSE), " ")</f>
        <v xml:space="preserve"> </v>
      </c>
      <c r="BH94" s="55"/>
      <c r="BI94" s="32"/>
      <c r="BJ94" s="32"/>
      <c r="BK94" s="55"/>
      <c r="BL94" s="32"/>
      <c r="BM94" s="32"/>
      <c r="BN94" s="32"/>
      <c r="BO94" s="32"/>
      <c r="BP94" s="32"/>
      <c r="BQ94" s="31"/>
      <c r="BR94" s="31"/>
      <c r="BS94" s="54"/>
      <c r="BT94" s="21" t="str">
        <f>IFERROR(VLOOKUP(August[[#This Row],[Drug Name7]],'Data Options'!$R$1:$S$100,2,FALSE), " ")</f>
        <v xml:space="preserve"> </v>
      </c>
      <c r="BU94" s="55"/>
      <c r="BV94" s="32"/>
      <c r="BW94" s="32"/>
      <c r="BX94" s="55"/>
      <c r="BY94" s="32"/>
      <c r="BZ94" s="54"/>
      <c r="CA94" s="21" t="str">
        <f>IFERROR(VLOOKUP(August[[#This Row],[Drug Name8]],'Data Options'!$R$1:$S$100,2,FALSE), " ")</f>
        <v xml:space="preserve"> </v>
      </c>
      <c r="CB94" s="55"/>
      <c r="CC94" s="32"/>
      <c r="CD94" s="32"/>
      <c r="CE94" s="55"/>
      <c r="CF94" s="32"/>
      <c r="CG94" s="54"/>
      <c r="CH94" s="21" t="str">
        <f>IFERROR(VLOOKUP(August[[#This Row],[Drug Name9]],'Data Options'!$R$1:$S$100,2,FALSE), " ")</f>
        <v xml:space="preserve"> </v>
      </c>
      <c r="CI94" s="55"/>
      <c r="CJ94" s="32"/>
      <c r="CK94" s="32"/>
      <c r="CL94" s="55"/>
      <c r="CM94" s="32"/>
    </row>
    <row r="95" spans="1:91">
      <c r="A95" s="5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1"/>
      <c r="P95" s="31"/>
      <c r="Q95" s="54"/>
      <c r="R95" s="21" t="str">
        <f>IFERROR(VLOOKUP(August[[#This Row],[Drug Name]],'Data Options'!$R$1:$S$100,2,FALSE), " ")</f>
        <v xml:space="preserve"> </v>
      </c>
      <c r="S95" s="55"/>
      <c r="T95" s="32"/>
      <c r="U95" s="32"/>
      <c r="V95" s="55"/>
      <c r="W95" s="32"/>
      <c r="X95" s="54"/>
      <c r="Y95" s="21" t="str">
        <f>IFERROR(VLOOKUP(August[[#This Row],[Drug Name2]],'Data Options'!$R$1:$S$100,2,FALSE), " ")</f>
        <v xml:space="preserve"> </v>
      </c>
      <c r="Z95" s="55"/>
      <c r="AA95" s="32"/>
      <c r="AB95" s="32"/>
      <c r="AC95" s="55"/>
      <c r="AD95" s="32"/>
      <c r="AE95" s="54"/>
      <c r="AF95" s="21" t="str">
        <f>IFERROR(VLOOKUP(August[[#This Row],[Drug Name3]],'Data Options'!$R$1:$S$100,2,FALSE), " ")</f>
        <v xml:space="preserve"> </v>
      </c>
      <c r="AG95" s="55"/>
      <c r="AH95" s="32"/>
      <c r="AI95" s="32"/>
      <c r="AJ95" s="55"/>
      <c r="AK95" s="32"/>
      <c r="AL95" s="32"/>
      <c r="AM95" s="32"/>
      <c r="AN95" s="32"/>
      <c r="AO95" s="32"/>
      <c r="AP95" s="31"/>
      <c r="AQ95" s="31"/>
      <c r="AR95" s="54"/>
      <c r="AS95" s="21" t="str">
        <f>IFERROR(VLOOKUP(August[[#This Row],[Drug Name4]],'Data Options'!$R$1:$S$100,2,FALSE), " ")</f>
        <v xml:space="preserve"> </v>
      </c>
      <c r="AT95" s="55"/>
      <c r="AU95" s="32"/>
      <c r="AV95" s="32"/>
      <c r="AW95" s="55"/>
      <c r="AX95" s="32"/>
      <c r="AY95" s="54"/>
      <c r="AZ95" s="21" t="str">
        <f>IFERROR(VLOOKUP(August[[#This Row],[Drug Name5]],'Data Options'!$R$1:$S$100,2,FALSE), " ")</f>
        <v xml:space="preserve"> </v>
      </c>
      <c r="BA95" s="55"/>
      <c r="BB95" s="32"/>
      <c r="BC95" s="32"/>
      <c r="BD95" s="55"/>
      <c r="BE95" s="32"/>
      <c r="BF95" s="54"/>
      <c r="BG95" s="21" t="str">
        <f>IFERROR(VLOOKUP(August[[#This Row],[Drug Name6]],'Data Options'!$R$1:$S$100,2,FALSE), " ")</f>
        <v xml:space="preserve"> </v>
      </c>
      <c r="BH95" s="55"/>
      <c r="BI95" s="32"/>
      <c r="BJ95" s="32"/>
      <c r="BK95" s="55"/>
      <c r="BL95" s="32"/>
      <c r="BM95" s="32"/>
      <c r="BN95" s="32"/>
      <c r="BO95" s="32"/>
      <c r="BP95" s="32"/>
      <c r="BQ95" s="31"/>
      <c r="BR95" s="31"/>
      <c r="BS95" s="54"/>
      <c r="BT95" s="21" t="str">
        <f>IFERROR(VLOOKUP(August[[#This Row],[Drug Name7]],'Data Options'!$R$1:$S$100,2,FALSE), " ")</f>
        <v xml:space="preserve"> </v>
      </c>
      <c r="BU95" s="55"/>
      <c r="BV95" s="32"/>
      <c r="BW95" s="32"/>
      <c r="BX95" s="55"/>
      <c r="BY95" s="32"/>
      <c r="BZ95" s="54"/>
      <c r="CA95" s="21" t="str">
        <f>IFERROR(VLOOKUP(August[[#This Row],[Drug Name8]],'Data Options'!$R$1:$S$100,2,FALSE), " ")</f>
        <v xml:space="preserve"> </v>
      </c>
      <c r="CB95" s="55"/>
      <c r="CC95" s="32"/>
      <c r="CD95" s="32"/>
      <c r="CE95" s="55"/>
      <c r="CF95" s="32"/>
      <c r="CG95" s="54"/>
      <c r="CH95" s="21" t="str">
        <f>IFERROR(VLOOKUP(August[[#This Row],[Drug Name9]],'Data Options'!$R$1:$S$100,2,FALSE), " ")</f>
        <v xml:space="preserve"> </v>
      </c>
      <c r="CI95" s="55"/>
      <c r="CJ95" s="32"/>
      <c r="CK95" s="32"/>
      <c r="CL95" s="55"/>
      <c r="CM95" s="32"/>
    </row>
    <row r="96" spans="1:91">
      <c r="A96" s="5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1"/>
      <c r="P96" s="31"/>
      <c r="Q96" s="54"/>
      <c r="R96" s="21" t="str">
        <f>IFERROR(VLOOKUP(August[[#This Row],[Drug Name]],'Data Options'!$R$1:$S$100,2,FALSE), " ")</f>
        <v xml:space="preserve"> </v>
      </c>
      <c r="S96" s="55"/>
      <c r="T96" s="32"/>
      <c r="U96" s="32"/>
      <c r="V96" s="55"/>
      <c r="W96" s="32"/>
      <c r="X96" s="54"/>
      <c r="Y96" s="21" t="str">
        <f>IFERROR(VLOOKUP(August[[#This Row],[Drug Name2]],'Data Options'!$R$1:$S$100,2,FALSE), " ")</f>
        <v xml:space="preserve"> </v>
      </c>
      <c r="Z96" s="55"/>
      <c r="AA96" s="32"/>
      <c r="AB96" s="32"/>
      <c r="AC96" s="55"/>
      <c r="AD96" s="32"/>
      <c r="AE96" s="54"/>
      <c r="AF96" s="21" t="str">
        <f>IFERROR(VLOOKUP(August[[#This Row],[Drug Name3]],'Data Options'!$R$1:$S$100,2,FALSE), " ")</f>
        <v xml:space="preserve"> </v>
      </c>
      <c r="AG96" s="55"/>
      <c r="AH96" s="32"/>
      <c r="AI96" s="32"/>
      <c r="AJ96" s="55"/>
      <c r="AK96" s="32"/>
      <c r="AL96" s="32"/>
      <c r="AM96" s="32"/>
      <c r="AN96" s="32"/>
      <c r="AO96" s="32"/>
      <c r="AP96" s="31"/>
      <c r="AQ96" s="31"/>
      <c r="AR96" s="54"/>
      <c r="AS96" s="21" t="str">
        <f>IFERROR(VLOOKUP(August[[#This Row],[Drug Name4]],'Data Options'!$R$1:$S$100,2,FALSE), " ")</f>
        <v xml:space="preserve"> </v>
      </c>
      <c r="AT96" s="55"/>
      <c r="AU96" s="32"/>
      <c r="AV96" s="32"/>
      <c r="AW96" s="55"/>
      <c r="AX96" s="32"/>
      <c r="AY96" s="54"/>
      <c r="AZ96" s="21" t="str">
        <f>IFERROR(VLOOKUP(August[[#This Row],[Drug Name5]],'Data Options'!$R$1:$S$100,2,FALSE), " ")</f>
        <v xml:space="preserve"> </v>
      </c>
      <c r="BA96" s="55"/>
      <c r="BB96" s="32"/>
      <c r="BC96" s="32"/>
      <c r="BD96" s="55"/>
      <c r="BE96" s="32"/>
      <c r="BF96" s="54"/>
      <c r="BG96" s="21" t="str">
        <f>IFERROR(VLOOKUP(August[[#This Row],[Drug Name6]],'Data Options'!$R$1:$S$100,2,FALSE), " ")</f>
        <v xml:space="preserve"> </v>
      </c>
      <c r="BH96" s="55"/>
      <c r="BI96" s="32"/>
      <c r="BJ96" s="32"/>
      <c r="BK96" s="55"/>
      <c r="BL96" s="32"/>
      <c r="BM96" s="32"/>
      <c r="BN96" s="32"/>
      <c r="BO96" s="32"/>
      <c r="BP96" s="32"/>
      <c r="BQ96" s="31"/>
      <c r="BR96" s="31"/>
      <c r="BS96" s="54"/>
      <c r="BT96" s="21" t="str">
        <f>IFERROR(VLOOKUP(August[[#This Row],[Drug Name7]],'Data Options'!$R$1:$S$100,2,FALSE), " ")</f>
        <v xml:space="preserve"> </v>
      </c>
      <c r="BU96" s="55"/>
      <c r="BV96" s="32"/>
      <c r="BW96" s="32"/>
      <c r="BX96" s="55"/>
      <c r="BY96" s="32"/>
      <c r="BZ96" s="54"/>
      <c r="CA96" s="21" t="str">
        <f>IFERROR(VLOOKUP(August[[#This Row],[Drug Name8]],'Data Options'!$R$1:$S$100,2,FALSE), " ")</f>
        <v xml:space="preserve"> </v>
      </c>
      <c r="CB96" s="55"/>
      <c r="CC96" s="32"/>
      <c r="CD96" s="32"/>
      <c r="CE96" s="55"/>
      <c r="CF96" s="32"/>
      <c r="CG96" s="54"/>
      <c r="CH96" s="21" t="str">
        <f>IFERROR(VLOOKUP(August[[#This Row],[Drug Name9]],'Data Options'!$R$1:$S$100,2,FALSE), " ")</f>
        <v xml:space="preserve"> </v>
      </c>
      <c r="CI96" s="55"/>
      <c r="CJ96" s="32"/>
      <c r="CK96" s="32"/>
      <c r="CL96" s="55"/>
      <c r="CM96" s="32"/>
    </row>
    <row r="97" spans="1:91">
      <c r="A97" s="5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1"/>
      <c r="P97" s="31"/>
      <c r="Q97" s="54"/>
      <c r="R97" s="21" t="str">
        <f>IFERROR(VLOOKUP(August[[#This Row],[Drug Name]],'Data Options'!$R$1:$S$100,2,FALSE), " ")</f>
        <v xml:space="preserve"> </v>
      </c>
      <c r="S97" s="55"/>
      <c r="T97" s="32"/>
      <c r="U97" s="32"/>
      <c r="V97" s="55"/>
      <c r="W97" s="32"/>
      <c r="X97" s="54"/>
      <c r="Y97" s="21" t="str">
        <f>IFERROR(VLOOKUP(August[[#This Row],[Drug Name2]],'Data Options'!$R$1:$S$100,2,FALSE), " ")</f>
        <v xml:space="preserve"> </v>
      </c>
      <c r="Z97" s="55"/>
      <c r="AA97" s="32"/>
      <c r="AB97" s="32"/>
      <c r="AC97" s="55"/>
      <c r="AD97" s="32"/>
      <c r="AE97" s="54"/>
      <c r="AF97" s="21" t="str">
        <f>IFERROR(VLOOKUP(August[[#This Row],[Drug Name3]],'Data Options'!$R$1:$S$100,2,FALSE), " ")</f>
        <v xml:space="preserve"> </v>
      </c>
      <c r="AG97" s="55"/>
      <c r="AH97" s="32"/>
      <c r="AI97" s="32"/>
      <c r="AJ97" s="55"/>
      <c r="AK97" s="32"/>
      <c r="AL97" s="32"/>
      <c r="AM97" s="32"/>
      <c r="AN97" s="32"/>
      <c r="AO97" s="32"/>
      <c r="AP97" s="31"/>
      <c r="AQ97" s="31"/>
      <c r="AR97" s="54"/>
      <c r="AS97" s="21" t="str">
        <f>IFERROR(VLOOKUP(August[[#This Row],[Drug Name4]],'Data Options'!$R$1:$S$100,2,FALSE), " ")</f>
        <v xml:space="preserve"> </v>
      </c>
      <c r="AT97" s="55"/>
      <c r="AU97" s="32"/>
      <c r="AV97" s="32"/>
      <c r="AW97" s="55"/>
      <c r="AX97" s="32"/>
      <c r="AY97" s="54"/>
      <c r="AZ97" s="21" t="str">
        <f>IFERROR(VLOOKUP(August[[#This Row],[Drug Name5]],'Data Options'!$R$1:$S$100,2,FALSE), " ")</f>
        <v xml:space="preserve"> </v>
      </c>
      <c r="BA97" s="55"/>
      <c r="BB97" s="32"/>
      <c r="BC97" s="32"/>
      <c r="BD97" s="55"/>
      <c r="BE97" s="32"/>
      <c r="BF97" s="54"/>
      <c r="BG97" s="21" t="str">
        <f>IFERROR(VLOOKUP(August[[#This Row],[Drug Name6]],'Data Options'!$R$1:$S$100,2,FALSE), " ")</f>
        <v xml:space="preserve"> </v>
      </c>
      <c r="BH97" s="55"/>
      <c r="BI97" s="32"/>
      <c r="BJ97" s="32"/>
      <c r="BK97" s="55"/>
      <c r="BL97" s="32"/>
      <c r="BM97" s="32"/>
      <c r="BN97" s="32"/>
      <c r="BO97" s="32"/>
      <c r="BP97" s="32"/>
      <c r="BQ97" s="31"/>
      <c r="BR97" s="31"/>
      <c r="BS97" s="54"/>
      <c r="BT97" s="21" t="str">
        <f>IFERROR(VLOOKUP(August[[#This Row],[Drug Name7]],'Data Options'!$R$1:$S$100,2,FALSE), " ")</f>
        <v xml:space="preserve"> </v>
      </c>
      <c r="BU97" s="55"/>
      <c r="BV97" s="32"/>
      <c r="BW97" s="32"/>
      <c r="BX97" s="55"/>
      <c r="BY97" s="32"/>
      <c r="BZ97" s="54"/>
      <c r="CA97" s="21" t="str">
        <f>IFERROR(VLOOKUP(August[[#This Row],[Drug Name8]],'Data Options'!$R$1:$S$100,2,FALSE), " ")</f>
        <v xml:space="preserve"> </v>
      </c>
      <c r="CB97" s="55"/>
      <c r="CC97" s="32"/>
      <c r="CD97" s="32"/>
      <c r="CE97" s="55"/>
      <c r="CF97" s="32"/>
      <c r="CG97" s="54"/>
      <c r="CH97" s="21" t="str">
        <f>IFERROR(VLOOKUP(August[[#This Row],[Drug Name9]],'Data Options'!$R$1:$S$100,2,FALSE), " ")</f>
        <v xml:space="preserve"> </v>
      </c>
      <c r="CI97" s="55"/>
      <c r="CJ97" s="32"/>
      <c r="CK97" s="32"/>
      <c r="CL97" s="55"/>
      <c r="CM97" s="32"/>
    </row>
    <row r="98" spans="1:91">
      <c r="A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1"/>
      <c r="P98" s="31"/>
      <c r="Q98" s="54"/>
      <c r="R98" s="21" t="str">
        <f>IFERROR(VLOOKUP(August[[#This Row],[Drug Name]],'Data Options'!$R$1:$S$100,2,FALSE), " ")</f>
        <v xml:space="preserve"> </v>
      </c>
      <c r="S98" s="55"/>
      <c r="T98" s="32"/>
      <c r="U98" s="32"/>
      <c r="V98" s="55"/>
      <c r="W98" s="32"/>
      <c r="X98" s="54"/>
      <c r="Y98" s="21" t="str">
        <f>IFERROR(VLOOKUP(August[[#This Row],[Drug Name2]],'Data Options'!$R$1:$S$100,2,FALSE), " ")</f>
        <v xml:space="preserve"> </v>
      </c>
      <c r="Z98" s="55"/>
      <c r="AA98" s="32"/>
      <c r="AB98" s="32"/>
      <c r="AC98" s="55"/>
      <c r="AD98" s="32"/>
      <c r="AE98" s="54"/>
      <c r="AF98" s="21" t="str">
        <f>IFERROR(VLOOKUP(August[[#This Row],[Drug Name3]],'Data Options'!$R$1:$S$100,2,FALSE), " ")</f>
        <v xml:space="preserve"> </v>
      </c>
      <c r="AG98" s="55"/>
      <c r="AH98" s="32"/>
      <c r="AI98" s="32"/>
      <c r="AJ98" s="55"/>
      <c r="AK98" s="32"/>
      <c r="AL98" s="32"/>
      <c r="AM98" s="32"/>
      <c r="AN98" s="32"/>
      <c r="AO98" s="32"/>
      <c r="AP98" s="31"/>
      <c r="AQ98" s="31"/>
      <c r="AR98" s="54"/>
      <c r="AS98" s="21" t="str">
        <f>IFERROR(VLOOKUP(August[[#This Row],[Drug Name4]],'Data Options'!$R$1:$S$100,2,FALSE), " ")</f>
        <v xml:space="preserve"> </v>
      </c>
      <c r="AT98" s="55"/>
      <c r="AU98" s="32"/>
      <c r="AV98" s="32"/>
      <c r="AW98" s="55"/>
      <c r="AX98" s="32"/>
      <c r="AY98" s="54"/>
      <c r="AZ98" s="21" t="str">
        <f>IFERROR(VLOOKUP(August[[#This Row],[Drug Name5]],'Data Options'!$R$1:$S$100,2,FALSE), " ")</f>
        <v xml:space="preserve"> </v>
      </c>
      <c r="BA98" s="55"/>
      <c r="BB98" s="32"/>
      <c r="BC98" s="32"/>
      <c r="BD98" s="55"/>
      <c r="BE98" s="32"/>
      <c r="BF98" s="54"/>
      <c r="BG98" s="21" t="str">
        <f>IFERROR(VLOOKUP(August[[#This Row],[Drug Name6]],'Data Options'!$R$1:$S$100,2,FALSE), " ")</f>
        <v xml:space="preserve"> </v>
      </c>
      <c r="BH98" s="55"/>
      <c r="BI98" s="32"/>
      <c r="BJ98" s="32"/>
      <c r="BK98" s="55"/>
      <c r="BL98" s="32"/>
      <c r="BM98" s="32"/>
      <c r="BN98" s="32"/>
      <c r="BO98" s="32"/>
      <c r="BP98" s="32"/>
      <c r="BQ98" s="31"/>
      <c r="BR98" s="31"/>
      <c r="BS98" s="54"/>
      <c r="BT98" s="21" t="str">
        <f>IFERROR(VLOOKUP(August[[#This Row],[Drug Name7]],'Data Options'!$R$1:$S$100,2,FALSE), " ")</f>
        <v xml:space="preserve"> </v>
      </c>
      <c r="BU98" s="55"/>
      <c r="BV98" s="32"/>
      <c r="BW98" s="32"/>
      <c r="BX98" s="55"/>
      <c r="BY98" s="32"/>
      <c r="BZ98" s="54"/>
      <c r="CA98" s="21" t="str">
        <f>IFERROR(VLOOKUP(August[[#This Row],[Drug Name8]],'Data Options'!$R$1:$S$100,2,FALSE), " ")</f>
        <v xml:space="preserve"> </v>
      </c>
      <c r="CB98" s="55"/>
      <c r="CC98" s="32"/>
      <c r="CD98" s="32"/>
      <c r="CE98" s="55"/>
      <c r="CF98" s="32"/>
      <c r="CG98" s="54"/>
      <c r="CH98" s="21" t="str">
        <f>IFERROR(VLOOKUP(August[[#This Row],[Drug Name9]],'Data Options'!$R$1:$S$100,2,FALSE), " ")</f>
        <v xml:space="preserve"> </v>
      </c>
      <c r="CI98" s="55"/>
      <c r="CJ98" s="32"/>
      <c r="CK98" s="32"/>
      <c r="CL98" s="55"/>
      <c r="CM98" s="32"/>
    </row>
    <row r="99" spans="1:91">
      <c r="A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1"/>
      <c r="P99" s="31"/>
      <c r="Q99" s="54"/>
      <c r="R99" s="21" t="str">
        <f>IFERROR(VLOOKUP(August[[#This Row],[Drug Name]],'Data Options'!$R$1:$S$100,2,FALSE), " ")</f>
        <v xml:space="preserve"> </v>
      </c>
      <c r="S99" s="55"/>
      <c r="T99" s="32"/>
      <c r="U99" s="32"/>
      <c r="V99" s="55"/>
      <c r="W99" s="32"/>
      <c r="X99" s="54"/>
      <c r="Y99" s="21" t="str">
        <f>IFERROR(VLOOKUP(August[[#This Row],[Drug Name2]],'Data Options'!$R$1:$S$100,2,FALSE), " ")</f>
        <v xml:space="preserve"> </v>
      </c>
      <c r="Z99" s="55"/>
      <c r="AA99" s="32"/>
      <c r="AB99" s="32"/>
      <c r="AC99" s="55"/>
      <c r="AD99" s="32"/>
      <c r="AE99" s="54"/>
      <c r="AF99" s="21" t="str">
        <f>IFERROR(VLOOKUP(August[[#This Row],[Drug Name3]],'Data Options'!$R$1:$S$100,2,FALSE), " ")</f>
        <v xml:space="preserve"> </v>
      </c>
      <c r="AG99" s="55"/>
      <c r="AH99" s="32"/>
      <c r="AI99" s="32"/>
      <c r="AJ99" s="55"/>
      <c r="AK99" s="32"/>
      <c r="AL99" s="32"/>
      <c r="AM99" s="32"/>
      <c r="AN99" s="32"/>
      <c r="AO99" s="32"/>
      <c r="AP99" s="31"/>
      <c r="AQ99" s="31"/>
      <c r="AR99" s="54"/>
      <c r="AS99" s="21" t="str">
        <f>IFERROR(VLOOKUP(August[[#This Row],[Drug Name4]],'Data Options'!$R$1:$S$100,2,FALSE), " ")</f>
        <v xml:space="preserve"> </v>
      </c>
      <c r="AT99" s="55"/>
      <c r="AU99" s="32"/>
      <c r="AV99" s="32"/>
      <c r="AW99" s="55"/>
      <c r="AX99" s="32"/>
      <c r="AY99" s="54"/>
      <c r="AZ99" s="21" t="str">
        <f>IFERROR(VLOOKUP(August[[#This Row],[Drug Name5]],'Data Options'!$R$1:$S$100,2,FALSE), " ")</f>
        <v xml:space="preserve"> </v>
      </c>
      <c r="BA99" s="55"/>
      <c r="BB99" s="32"/>
      <c r="BC99" s="32"/>
      <c r="BD99" s="55"/>
      <c r="BE99" s="32"/>
      <c r="BF99" s="54"/>
      <c r="BG99" s="21" t="str">
        <f>IFERROR(VLOOKUP(August[[#This Row],[Drug Name6]],'Data Options'!$R$1:$S$100,2,FALSE), " ")</f>
        <v xml:space="preserve"> </v>
      </c>
      <c r="BH99" s="55"/>
      <c r="BI99" s="32"/>
      <c r="BJ99" s="32"/>
      <c r="BK99" s="55"/>
      <c r="BL99" s="32"/>
      <c r="BM99" s="32"/>
      <c r="BN99" s="32"/>
      <c r="BO99" s="32"/>
      <c r="BP99" s="32"/>
      <c r="BQ99" s="31"/>
      <c r="BR99" s="31"/>
      <c r="BS99" s="54"/>
      <c r="BT99" s="21" t="str">
        <f>IFERROR(VLOOKUP(August[[#This Row],[Drug Name7]],'Data Options'!$R$1:$S$100,2,FALSE), " ")</f>
        <v xml:space="preserve"> </v>
      </c>
      <c r="BU99" s="55"/>
      <c r="BV99" s="32"/>
      <c r="BW99" s="32"/>
      <c r="BX99" s="55"/>
      <c r="BY99" s="32"/>
      <c r="BZ99" s="54"/>
      <c r="CA99" s="21" t="str">
        <f>IFERROR(VLOOKUP(August[[#This Row],[Drug Name8]],'Data Options'!$R$1:$S$100,2,FALSE), " ")</f>
        <v xml:space="preserve"> </v>
      </c>
      <c r="CB99" s="55"/>
      <c r="CC99" s="32"/>
      <c r="CD99" s="32"/>
      <c r="CE99" s="55"/>
      <c r="CF99" s="32"/>
      <c r="CG99" s="54"/>
      <c r="CH99" s="21" t="str">
        <f>IFERROR(VLOOKUP(August[[#This Row],[Drug Name9]],'Data Options'!$R$1:$S$100,2,FALSE), " ")</f>
        <v xml:space="preserve"> </v>
      </c>
      <c r="CI99" s="55"/>
      <c r="CJ99" s="32"/>
      <c r="CK99" s="32"/>
      <c r="CL99" s="55"/>
      <c r="CM99" s="32"/>
    </row>
    <row r="100" spans="1:91">
      <c r="A100" s="5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1"/>
      <c r="P100" s="31"/>
      <c r="Q100" s="54"/>
      <c r="R100" s="21" t="str">
        <f>IFERROR(VLOOKUP(August[[#This Row],[Drug Name]],'Data Options'!$R$1:$S$100,2,FALSE), " ")</f>
        <v xml:space="preserve"> </v>
      </c>
      <c r="S100" s="55"/>
      <c r="T100" s="32"/>
      <c r="U100" s="32"/>
      <c r="V100" s="55"/>
      <c r="W100" s="32"/>
      <c r="X100" s="54"/>
      <c r="Y100" s="21" t="str">
        <f>IFERROR(VLOOKUP(August[[#This Row],[Drug Name2]],'Data Options'!$R$1:$S$100,2,FALSE), " ")</f>
        <v xml:space="preserve"> </v>
      </c>
      <c r="Z100" s="55"/>
      <c r="AA100" s="32"/>
      <c r="AB100" s="32"/>
      <c r="AC100" s="55"/>
      <c r="AD100" s="32"/>
      <c r="AE100" s="54"/>
      <c r="AF100" s="21" t="str">
        <f>IFERROR(VLOOKUP(August[[#This Row],[Drug Name3]],'Data Options'!$R$1:$S$100,2,FALSE), " ")</f>
        <v xml:space="preserve"> </v>
      </c>
      <c r="AG100" s="55"/>
      <c r="AH100" s="32"/>
      <c r="AI100" s="32"/>
      <c r="AJ100" s="55"/>
      <c r="AK100" s="32"/>
      <c r="AL100" s="32"/>
      <c r="AM100" s="32"/>
      <c r="AN100" s="32"/>
      <c r="AO100" s="32"/>
      <c r="AP100" s="31"/>
      <c r="AQ100" s="31"/>
      <c r="AR100" s="54"/>
      <c r="AS100" s="21" t="str">
        <f>IFERROR(VLOOKUP(August[[#This Row],[Drug Name4]],'Data Options'!$R$1:$S$100,2,FALSE), " ")</f>
        <v xml:space="preserve"> </v>
      </c>
      <c r="AT100" s="55"/>
      <c r="AU100" s="32"/>
      <c r="AV100" s="32"/>
      <c r="AW100" s="55"/>
      <c r="AX100" s="32"/>
      <c r="AY100" s="54"/>
      <c r="AZ100" s="21" t="str">
        <f>IFERROR(VLOOKUP(August[[#This Row],[Drug Name5]],'Data Options'!$R$1:$S$100,2,FALSE), " ")</f>
        <v xml:space="preserve"> </v>
      </c>
      <c r="BA100" s="55"/>
      <c r="BB100" s="32"/>
      <c r="BC100" s="32"/>
      <c r="BD100" s="55"/>
      <c r="BE100" s="32"/>
      <c r="BF100" s="54"/>
      <c r="BG100" s="21" t="str">
        <f>IFERROR(VLOOKUP(August[[#This Row],[Drug Name6]],'Data Options'!$R$1:$S$100,2,FALSE), " ")</f>
        <v xml:space="preserve"> </v>
      </c>
      <c r="BH100" s="55"/>
      <c r="BI100" s="32"/>
      <c r="BJ100" s="32"/>
      <c r="BK100" s="55"/>
      <c r="BL100" s="32"/>
      <c r="BM100" s="32"/>
      <c r="BN100" s="32"/>
      <c r="BO100" s="32"/>
      <c r="BP100" s="32"/>
      <c r="BQ100" s="31"/>
      <c r="BR100" s="31"/>
      <c r="BS100" s="54"/>
      <c r="BT100" s="21" t="str">
        <f>IFERROR(VLOOKUP(August[[#This Row],[Drug Name7]],'Data Options'!$R$1:$S$100,2,FALSE), " ")</f>
        <v xml:space="preserve"> </v>
      </c>
      <c r="BU100" s="55"/>
      <c r="BV100" s="32"/>
      <c r="BW100" s="32"/>
      <c r="BX100" s="55"/>
      <c r="BY100" s="32"/>
      <c r="BZ100" s="54"/>
      <c r="CA100" s="21" t="str">
        <f>IFERROR(VLOOKUP(August[[#This Row],[Drug Name8]],'Data Options'!$R$1:$S$100,2,FALSE), " ")</f>
        <v xml:space="preserve"> </v>
      </c>
      <c r="CB100" s="55"/>
      <c r="CC100" s="32"/>
      <c r="CD100" s="32"/>
      <c r="CE100" s="55"/>
      <c r="CF100" s="32"/>
      <c r="CG100" s="54"/>
      <c r="CH100" s="21" t="str">
        <f>IFERROR(VLOOKUP(August[[#This Row],[Drug Name9]],'Data Options'!$R$1:$S$100,2,FALSE), " ")</f>
        <v xml:space="preserve"> </v>
      </c>
      <c r="CI100" s="55"/>
      <c r="CJ100" s="32"/>
      <c r="CK100" s="32"/>
      <c r="CL100" s="55"/>
      <c r="CM100" s="32"/>
    </row>
    <row r="101" spans="1:91">
      <c r="A101" s="5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1"/>
      <c r="P101" s="31"/>
      <c r="Q101" s="54"/>
      <c r="R101" s="21" t="str">
        <f>IFERROR(VLOOKUP(August[[#This Row],[Drug Name]],'Data Options'!$R$1:$S$100,2,FALSE), " ")</f>
        <v xml:space="preserve"> </v>
      </c>
      <c r="S101" s="55"/>
      <c r="T101" s="32"/>
      <c r="U101" s="32"/>
      <c r="V101" s="55"/>
      <c r="W101" s="32"/>
      <c r="X101" s="54"/>
      <c r="Y101" s="21" t="str">
        <f>IFERROR(VLOOKUP(August[[#This Row],[Drug Name2]],'Data Options'!$R$1:$S$100,2,FALSE), " ")</f>
        <v xml:space="preserve"> </v>
      </c>
      <c r="Z101" s="55"/>
      <c r="AA101" s="32"/>
      <c r="AB101" s="32"/>
      <c r="AC101" s="55"/>
      <c r="AD101" s="32"/>
      <c r="AE101" s="54"/>
      <c r="AF101" s="21" t="str">
        <f>IFERROR(VLOOKUP(August[[#This Row],[Drug Name3]],'Data Options'!$R$1:$S$100,2,FALSE), " ")</f>
        <v xml:space="preserve"> </v>
      </c>
      <c r="AG101" s="55"/>
      <c r="AH101" s="32"/>
      <c r="AI101" s="32"/>
      <c r="AJ101" s="55"/>
      <c r="AK101" s="32"/>
      <c r="AL101" s="32"/>
      <c r="AM101" s="32"/>
      <c r="AN101" s="32"/>
      <c r="AO101" s="32"/>
      <c r="AP101" s="31"/>
      <c r="AQ101" s="31"/>
      <c r="AR101" s="54"/>
      <c r="AS101" s="21" t="str">
        <f>IFERROR(VLOOKUP(August[[#This Row],[Drug Name4]],'Data Options'!$R$1:$S$100,2,FALSE), " ")</f>
        <v xml:space="preserve"> </v>
      </c>
      <c r="AT101" s="55"/>
      <c r="AU101" s="32"/>
      <c r="AV101" s="32"/>
      <c r="AW101" s="55"/>
      <c r="AX101" s="32"/>
      <c r="AY101" s="54"/>
      <c r="AZ101" s="21" t="str">
        <f>IFERROR(VLOOKUP(August[[#This Row],[Drug Name5]],'Data Options'!$R$1:$S$100,2,FALSE), " ")</f>
        <v xml:space="preserve"> </v>
      </c>
      <c r="BA101" s="55"/>
      <c r="BB101" s="32"/>
      <c r="BC101" s="32"/>
      <c r="BD101" s="55"/>
      <c r="BE101" s="32"/>
      <c r="BF101" s="54"/>
      <c r="BG101" s="21" t="str">
        <f>IFERROR(VLOOKUP(August[[#This Row],[Drug Name6]],'Data Options'!$R$1:$S$100,2,FALSE), " ")</f>
        <v xml:space="preserve"> </v>
      </c>
      <c r="BH101" s="55"/>
      <c r="BI101" s="32"/>
      <c r="BJ101" s="32"/>
      <c r="BK101" s="55"/>
      <c r="BL101" s="32"/>
      <c r="BM101" s="32"/>
      <c r="BN101" s="32"/>
      <c r="BO101" s="32"/>
      <c r="BP101" s="32"/>
      <c r="BQ101" s="31"/>
      <c r="BR101" s="31"/>
      <c r="BS101" s="54"/>
      <c r="BT101" s="21" t="str">
        <f>IFERROR(VLOOKUP(August[[#This Row],[Drug Name7]],'Data Options'!$R$1:$S$100,2,FALSE), " ")</f>
        <v xml:space="preserve"> </v>
      </c>
      <c r="BU101" s="55"/>
      <c r="BV101" s="32"/>
      <c r="BW101" s="32"/>
      <c r="BX101" s="55"/>
      <c r="BY101" s="32"/>
      <c r="BZ101" s="54"/>
      <c r="CA101" s="21" t="str">
        <f>IFERROR(VLOOKUP(August[[#This Row],[Drug Name8]],'Data Options'!$R$1:$S$100,2,FALSE), " ")</f>
        <v xml:space="preserve"> </v>
      </c>
      <c r="CB101" s="55"/>
      <c r="CC101" s="32"/>
      <c r="CD101" s="32"/>
      <c r="CE101" s="55"/>
      <c r="CF101" s="32"/>
      <c r="CG101" s="54"/>
      <c r="CH101" s="21" t="str">
        <f>IFERROR(VLOOKUP(August[[#This Row],[Drug Name9]],'Data Options'!$R$1:$S$100,2,FALSE), " ")</f>
        <v xml:space="preserve"> </v>
      </c>
      <c r="CI101" s="55"/>
      <c r="CJ101" s="32"/>
      <c r="CK101" s="32"/>
      <c r="CL101" s="55"/>
      <c r="CM101" s="32"/>
    </row>
    <row r="102" spans="1:91">
      <c r="A102" s="5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1"/>
      <c r="P102" s="31"/>
      <c r="Q102" s="54"/>
      <c r="R102" s="21" t="str">
        <f>IFERROR(VLOOKUP(August[[#This Row],[Drug Name]],'Data Options'!$R$1:$S$100,2,FALSE), " ")</f>
        <v xml:space="preserve"> </v>
      </c>
      <c r="S102" s="55"/>
      <c r="T102" s="32"/>
      <c r="U102" s="32"/>
      <c r="V102" s="55"/>
      <c r="W102" s="32"/>
      <c r="X102" s="54"/>
      <c r="Y102" s="21" t="str">
        <f>IFERROR(VLOOKUP(August[[#This Row],[Drug Name2]],'Data Options'!$R$1:$S$100,2,FALSE), " ")</f>
        <v xml:space="preserve"> </v>
      </c>
      <c r="Z102" s="55"/>
      <c r="AA102" s="32"/>
      <c r="AB102" s="32"/>
      <c r="AC102" s="55"/>
      <c r="AD102" s="32"/>
      <c r="AE102" s="54"/>
      <c r="AF102" s="21" t="str">
        <f>IFERROR(VLOOKUP(August[[#This Row],[Drug Name3]],'Data Options'!$R$1:$S$100,2,FALSE), " ")</f>
        <v xml:space="preserve"> </v>
      </c>
      <c r="AG102" s="55"/>
      <c r="AH102" s="32"/>
      <c r="AI102" s="32"/>
      <c r="AJ102" s="55"/>
      <c r="AK102" s="32"/>
      <c r="AL102" s="32"/>
      <c r="AM102" s="32"/>
      <c r="AN102" s="32"/>
      <c r="AO102" s="32"/>
      <c r="AP102" s="31"/>
      <c r="AQ102" s="31"/>
      <c r="AR102" s="54"/>
      <c r="AS102" s="21" t="str">
        <f>IFERROR(VLOOKUP(August[[#This Row],[Drug Name4]],'Data Options'!$R$1:$S$100,2,FALSE), " ")</f>
        <v xml:space="preserve"> </v>
      </c>
      <c r="AT102" s="55"/>
      <c r="AU102" s="32"/>
      <c r="AV102" s="32"/>
      <c r="AW102" s="55"/>
      <c r="AX102" s="32"/>
      <c r="AY102" s="54"/>
      <c r="AZ102" s="21" t="str">
        <f>IFERROR(VLOOKUP(August[[#This Row],[Drug Name5]],'Data Options'!$R$1:$S$100,2,FALSE), " ")</f>
        <v xml:space="preserve"> </v>
      </c>
      <c r="BA102" s="55"/>
      <c r="BB102" s="32"/>
      <c r="BC102" s="32"/>
      <c r="BD102" s="55"/>
      <c r="BE102" s="32"/>
      <c r="BF102" s="54"/>
      <c r="BG102" s="21" t="str">
        <f>IFERROR(VLOOKUP(August[[#This Row],[Drug Name6]],'Data Options'!$R$1:$S$100,2,FALSE), " ")</f>
        <v xml:space="preserve"> </v>
      </c>
      <c r="BH102" s="55"/>
      <c r="BI102" s="32"/>
      <c r="BJ102" s="32"/>
      <c r="BK102" s="55"/>
      <c r="BL102" s="32"/>
      <c r="BM102" s="32"/>
      <c r="BN102" s="32"/>
      <c r="BO102" s="32"/>
      <c r="BP102" s="32"/>
      <c r="BQ102" s="31"/>
      <c r="BR102" s="31"/>
      <c r="BS102" s="54"/>
      <c r="BT102" s="21" t="str">
        <f>IFERROR(VLOOKUP(August[[#This Row],[Drug Name7]],'Data Options'!$R$1:$S$100,2,FALSE), " ")</f>
        <v xml:space="preserve"> </v>
      </c>
      <c r="BU102" s="55"/>
      <c r="BV102" s="32"/>
      <c r="BW102" s="32"/>
      <c r="BX102" s="55"/>
      <c r="BY102" s="32"/>
      <c r="BZ102" s="54"/>
      <c r="CA102" s="21" t="str">
        <f>IFERROR(VLOOKUP(August[[#This Row],[Drug Name8]],'Data Options'!$R$1:$S$100,2,FALSE), " ")</f>
        <v xml:space="preserve"> </v>
      </c>
      <c r="CB102" s="55"/>
      <c r="CC102" s="32"/>
      <c r="CD102" s="32"/>
      <c r="CE102" s="55"/>
      <c r="CF102" s="32"/>
      <c r="CG102" s="54"/>
      <c r="CH102" s="21" t="str">
        <f>IFERROR(VLOOKUP(August[[#This Row],[Drug Name9]],'Data Options'!$R$1:$S$100,2,FALSE), " ")</f>
        <v xml:space="preserve"> </v>
      </c>
      <c r="CI102" s="55"/>
      <c r="CJ102" s="32"/>
      <c r="CK102" s="32"/>
      <c r="CL102" s="55"/>
      <c r="CM102" s="32"/>
    </row>
    <row r="103" spans="1:91">
      <c r="A103" s="5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1"/>
      <c r="Q103" s="54"/>
      <c r="R103" s="21" t="str">
        <f>IFERROR(VLOOKUP(August[[#This Row],[Drug Name]],'Data Options'!$R$1:$S$100,2,FALSE), " ")</f>
        <v xml:space="preserve"> </v>
      </c>
      <c r="S103" s="55"/>
      <c r="T103" s="32"/>
      <c r="U103" s="32"/>
      <c r="V103" s="55"/>
      <c r="W103" s="32"/>
      <c r="X103" s="54"/>
      <c r="Y103" s="21" t="str">
        <f>IFERROR(VLOOKUP(August[[#This Row],[Drug Name2]],'Data Options'!$R$1:$S$100,2,FALSE), " ")</f>
        <v xml:space="preserve"> </v>
      </c>
      <c r="Z103" s="55"/>
      <c r="AA103" s="32"/>
      <c r="AB103" s="32"/>
      <c r="AC103" s="55"/>
      <c r="AD103" s="32"/>
      <c r="AE103" s="54"/>
      <c r="AF103" s="21" t="str">
        <f>IFERROR(VLOOKUP(August[[#This Row],[Drug Name3]],'Data Options'!$R$1:$S$100,2,FALSE), " ")</f>
        <v xml:space="preserve"> </v>
      </c>
      <c r="AG103" s="55"/>
      <c r="AH103" s="32"/>
      <c r="AI103" s="32"/>
      <c r="AJ103" s="55"/>
      <c r="AK103" s="32"/>
      <c r="AL103" s="32"/>
      <c r="AM103" s="32"/>
      <c r="AN103" s="32"/>
      <c r="AO103" s="32"/>
      <c r="AP103" s="31"/>
      <c r="AQ103" s="31"/>
      <c r="AR103" s="54"/>
      <c r="AS103" s="21" t="str">
        <f>IFERROR(VLOOKUP(August[[#This Row],[Drug Name4]],'Data Options'!$R$1:$S$100,2,FALSE), " ")</f>
        <v xml:space="preserve"> </v>
      </c>
      <c r="AT103" s="55"/>
      <c r="AU103" s="32"/>
      <c r="AV103" s="32"/>
      <c r="AW103" s="55"/>
      <c r="AX103" s="32"/>
      <c r="AY103" s="54"/>
      <c r="AZ103" s="21" t="str">
        <f>IFERROR(VLOOKUP(August[[#This Row],[Drug Name5]],'Data Options'!$R$1:$S$100,2,FALSE), " ")</f>
        <v xml:space="preserve"> </v>
      </c>
      <c r="BA103" s="55"/>
      <c r="BB103" s="32"/>
      <c r="BC103" s="32"/>
      <c r="BD103" s="55"/>
      <c r="BE103" s="32"/>
      <c r="BF103" s="54"/>
      <c r="BG103" s="21" t="str">
        <f>IFERROR(VLOOKUP(August[[#This Row],[Drug Name6]],'Data Options'!$R$1:$S$100,2,FALSE), " ")</f>
        <v xml:space="preserve"> </v>
      </c>
      <c r="BH103" s="55"/>
      <c r="BI103" s="32"/>
      <c r="BJ103" s="32"/>
      <c r="BK103" s="55"/>
      <c r="BL103" s="32"/>
      <c r="BM103" s="32"/>
      <c r="BN103" s="32"/>
      <c r="BO103" s="32"/>
      <c r="BP103" s="32"/>
      <c r="BQ103" s="31"/>
      <c r="BR103" s="31"/>
      <c r="BS103" s="54"/>
      <c r="BT103" s="21" t="str">
        <f>IFERROR(VLOOKUP(August[[#This Row],[Drug Name7]],'Data Options'!$R$1:$S$100,2,FALSE), " ")</f>
        <v xml:space="preserve"> </v>
      </c>
      <c r="BU103" s="55"/>
      <c r="BV103" s="32"/>
      <c r="BW103" s="32"/>
      <c r="BX103" s="55"/>
      <c r="BY103" s="32"/>
      <c r="BZ103" s="54"/>
      <c r="CA103" s="21" t="str">
        <f>IFERROR(VLOOKUP(August[[#This Row],[Drug Name8]],'Data Options'!$R$1:$S$100,2,FALSE), " ")</f>
        <v xml:space="preserve"> </v>
      </c>
      <c r="CB103" s="55"/>
      <c r="CC103" s="32"/>
      <c r="CD103" s="32"/>
      <c r="CE103" s="55"/>
      <c r="CF103" s="32"/>
      <c r="CG103" s="54"/>
      <c r="CH103" s="21" t="str">
        <f>IFERROR(VLOOKUP(August[[#This Row],[Drug Name9]],'Data Options'!$R$1:$S$100,2,FALSE), " ")</f>
        <v xml:space="preserve"> </v>
      </c>
      <c r="CI103" s="55"/>
      <c r="CJ103" s="32"/>
      <c r="CK103" s="32"/>
      <c r="CL103" s="55"/>
      <c r="CM103" s="32"/>
    </row>
    <row r="104" spans="1:91">
      <c r="A104" s="5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Q104" s="54"/>
      <c r="R104" s="21" t="str">
        <f>IFERROR(VLOOKUP(August[[#This Row],[Drug Name]],'Data Options'!$R$1:$S$100,2,FALSE), " ")</f>
        <v xml:space="preserve"> </v>
      </c>
      <c r="S104" s="55"/>
      <c r="T104" s="32"/>
      <c r="U104" s="32"/>
      <c r="V104" s="55"/>
      <c r="W104" s="32"/>
      <c r="X104" s="54"/>
      <c r="Y104" s="21" t="str">
        <f>IFERROR(VLOOKUP(August[[#This Row],[Drug Name2]],'Data Options'!$R$1:$S$100,2,FALSE), " ")</f>
        <v xml:space="preserve"> </v>
      </c>
      <c r="Z104" s="55"/>
      <c r="AA104" s="32"/>
      <c r="AB104" s="32"/>
      <c r="AC104" s="55"/>
      <c r="AD104" s="32"/>
      <c r="AE104" s="54"/>
      <c r="AF104" s="21" t="str">
        <f>IFERROR(VLOOKUP(August[[#This Row],[Drug Name3]],'Data Options'!$R$1:$S$100,2,FALSE), " ")</f>
        <v xml:space="preserve"> </v>
      </c>
      <c r="AG104" s="55"/>
      <c r="AH104" s="32"/>
      <c r="AI104" s="32"/>
      <c r="AJ104" s="55"/>
      <c r="AK104" s="32"/>
      <c r="AL104" s="32"/>
      <c r="AM104" s="32"/>
      <c r="AN104" s="32"/>
      <c r="AO104" s="32"/>
      <c r="AP104" s="31"/>
      <c r="AQ104" s="31"/>
      <c r="AR104" s="54"/>
      <c r="AS104" s="21" t="str">
        <f>IFERROR(VLOOKUP(August[[#This Row],[Drug Name4]],'Data Options'!$R$1:$S$100,2,FALSE), " ")</f>
        <v xml:space="preserve"> </v>
      </c>
      <c r="AT104" s="55"/>
      <c r="AU104" s="32"/>
      <c r="AV104" s="32"/>
      <c r="AW104" s="55"/>
      <c r="AX104" s="32"/>
      <c r="AY104" s="54"/>
      <c r="AZ104" s="21" t="str">
        <f>IFERROR(VLOOKUP(August[[#This Row],[Drug Name5]],'Data Options'!$R$1:$S$100,2,FALSE), " ")</f>
        <v xml:space="preserve"> </v>
      </c>
      <c r="BA104" s="55"/>
      <c r="BB104" s="32"/>
      <c r="BC104" s="32"/>
      <c r="BD104" s="55"/>
      <c r="BE104" s="32"/>
      <c r="BF104" s="54"/>
      <c r="BG104" s="21" t="str">
        <f>IFERROR(VLOOKUP(August[[#This Row],[Drug Name6]],'Data Options'!$R$1:$S$100,2,FALSE), " ")</f>
        <v xml:space="preserve"> </v>
      </c>
      <c r="BH104" s="55"/>
      <c r="BI104" s="32"/>
      <c r="BJ104" s="32"/>
      <c r="BK104" s="55"/>
      <c r="BL104" s="32"/>
      <c r="BM104" s="32"/>
      <c r="BN104" s="32"/>
      <c r="BO104" s="32"/>
      <c r="BP104" s="32"/>
      <c r="BQ104" s="31"/>
      <c r="BR104" s="31"/>
      <c r="BS104" s="54"/>
      <c r="BT104" s="21" t="str">
        <f>IFERROR(VLOOKUP(August[[#This Row],[Drug Name7]],'Data Options'!$R$1:$S$100,2,FALSE), " ")</f>
        <v xml:space="preserve"> </v>
      </c>
      <c r="BU104" s="55"/>
      <c r="BV104" s="32"/>
      <c r="BW104" s="32"/>
      <c r="BX104" s="55"/>
      <c r="BY104" s="32"/>
      <c r="BZ104" s="54"/>
      <c r="CA104" s="21" t="str">
        <f>IFERROR(VLOOKUP(August[[#This Row],[Drug Name8]],'Data Options'!$R$1:$S$100,2,FALSE), " ")</f>
        <v xml:space="preserve"> </v>
      </c>
      <c r="CB104" s="55"/>
      <c r="CC104" s="32"/>
      <c r="CD104" s="32"/>
      <c r="CE104" s="55"/>
      <c r="CF104" s="32"/>
      <c r="CG104" s="54"/>
      <c r="CH104" s="21" t="str">
        <f>IFERROR(VLOOKUP(August[[#This Row],[Drug Name9]],'Data Options'!$R$1:$S$100,2,FALSE), " ")</f>
        <v xml:space="preserve"> </v>
      </c>
      <c r="CI104" s="55"/>
      <c r="CJ104" s="32"/>
      <c r="CK104" s="32"/>
      <c r="CL104" s="55"/>
      <c r="CM104" s="32"/>
    </row>
    <row r="105" spans="1:91">
      <c r="A105" s="5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1"/>
      <c r="Q105" s="54"/>
      <c r="R105" s="21" t="str">
        <f>IFERROR(VLOOKUP(August[[#This Row],[Drug Name]],'Data Options'!$R$1:$S$100,2,FALSE), " ")</f>
        <v xml:space="preserve"> </v>
      </c>
      <c r="S105" s="55"/>
      <c r="T105" s="32"/>
      <c r="U105" s="32"/>
      <c r="V105" s="55"/>
      <c r="W105" s="32"/>
      <c r="X105" s="54"/>
      <c r="Y105" s="21" t="str">
        <f>IFERROR(VLOOKUP(August[[#This Row],[Drug Name2]],'Data Options'!$R$1:$S$100,2,FALSE), " ")</f>
        <v xml:space="preserve"> </v>
      </c>
      <c r="Z105" s="55"/>
      <c r="AA105" s="32"/>
      <c r="AB105" s="32"/>
      <c r="AC105" s="55"/>
      <c r="AD105" s="32"/>
      <c r="AE105" s="54"/>
      <c r="AF105" s="21" t="str">
        <f>IFERROR(VLOOKUP(August[[#This Row],[Drug Name3]],'Data Options'!$R$1:$S$100,2,FALSE), " ")</f>
        <v xml:space="preserve"> </v>
      </c>
      <c r="AG105" s="55"/>
      <c r="AH105" s="32"/>
      <c r="AI105" s="32"/>
      <c r="AJ105" s="55"/>
      <c r="AK105" s="32"/>
      <c r="AL105" s="32"/>
      <c r="AM105" s="32"/>
      <c r="AN105" s="32"/>
      <c r="AO105" s="32"/>
      <c r="AP105" s="31"/>
      <c r="AQ105" s="31"/>
      <c r="AR105" s="54"/>
      <c r="AS105" s="21" t="str">
        <f>IFERROR(VLOOKUP(August[[#This Row],[Drug Name4]],'Data Options'!$R$1:$S$100,2,FALSE), " ")</f>
        <v xml:space="preserve"> </v>
      </c>
      <c r="AT105" s="55"/>
      <c r="AU105" s="32"/>
      <c r="AV105" s="32"/>
      <c r="AW105" s="55"/>
      <c r="AX105" s="32"/>
      <c r="AY105" s="54"/>
      <c r="AZ105" s="21" t="str">
        <f>IFERROR(VLOOKUP(August[[#This Row],[Drug Name5]],'Data Options'!$R$1:$S$100,2,FALSE), " ")</f>
        <v xml:space="preserve"> </v>
      </c>
      <c r="BA105" s="55"/>
      <c r="BB105" s="32"/>
      <c r="BC105" s="32"/>
      <c r="BD105" s="55"/>
      <c r="BE105" s="32"/>
      <c r="BF105" s="54"/>
      <c r="BG105" s="21" t="str">
        <f>IFERROR(VLOOKUP(August[[#This Row],[Drug Name6]],'Data Options'!$R$1:$S$100,2,FALSE), " ")</f>
        <v xml:space="preserve"> </v>
      </c>
      <c r="BH105" s="55"/>
      <c r="BI105" s="32"/>
      <c r="BJ105" s="32"/>
      <c r="BK105" s="55"/>
      <c r="BL105" s="32"/>
      <c r="BM105" s="32"/>
      <c r="BN105" s="32"/>
      <c r="BO105" s="32"/>
      <c r="BP105" s="32"/>
      <c r="BQ105" s="31"/>
      <c r="BR105" s="31"/>
      <c r="BS105" s="54"/>
      <c r="BT105" s="21" t="str">
        <f>IFERROR(VLOOKUP(August[[#This Row],[Drug Name7]],'Data Options'!$R$1:$S$100,2,FALSE), " ")</f>
        <v xml:space="preserve"> </v>
      </c>
      <c r="BU105" s="55"/>
      <c r="BV105" s="32"/>
      <c r="BW105" s="32"/>
      <c r="BX105" s="55"/>
      <c r="BY105" s="32"/>
      <c r="BZ105" s="54"/>
      <c r="CA105" s="21" t="str">
        <f>IFERROR(VLOOKUP(August[[#This Row],[Drug Name8]],'Data Options'!$R$1:$S$100,2,FALSE), " ")</f>
        <v xml:space="preserve"> </v>
      </c>
      <c r="CB105" s="55"/>
      <c r="CC105" s="32"/>
      <c r="CD105" s="32"/>
      <c r="CE105" s="55"/>
      <c r="CF105" s="32"/>
      <c r="CG105" s="54"/>
      <c r="CH105" s="21" t="str">
        <f>IFERROR(VLOOKUP(August[[#This Row],[Drug Name9]],'Data Options'!$R$1:$S$100,2,FALSE), " ")</f>
        <v xml:space="preserve"> </v>
      </c>
      <c r="CI105" s="55"/>
      <c r="CJ105" s="32"/>
      <c r="CK105" s="32"/>
      <c r="CL105" s="55"/>
      <c r="CM105" s="32"/>
    </row>
    <row r="106" spans="1:91">
      <c r="A106" s="5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1"/>
      <c r="P106" s="31"/>
      <c r="Q106" s="54"/>
      <c r="R106" s="21" t="str">
        <f>IFERROR(VLOOKUP(August[[#This Row],[Drug Name]],'Data Options'!$R$1:$S$100,2,FALSE), " ")</f>
        <v xml:space="preserve"> </v>
      </c>
      <c r="S106" s="55"/>
      <c r="T106" s="32"/>
      <c r="U106" s="32"/>
      <c r="V106" s="55"/>
      <c r="W106" s="32"/>
      <c r="X106" s="54"/>
      <c r="Y106" s="21" t="str">
        <f>IFERROR(VLOOKUP(August[[#This Row],[Drug Name2]],'Data Options'!$R$1:$S$100,2,FALSE), " ")</f>
        <v xml:space="preserve"> </v>
      </c>
      <c r="Z106" s="55"/>
      <c r="AA106" s="32"/>
      <c r="AB106" s="32"/>
      <c r="AC106" s="55"/>
      <c r="AD106" s="32"/>
      <c r="AE106" s="54"/>
      <c r="AF106" s="21" t="str">
        <f>IFERROR(VLOOKUP(August[[#This Row],[Drug Name3]],'Data Options'!$R$1:$S$100,2,FALSE), " ")</f>
        <v xml:space="preserve"> </v>
      </c>
      <c r="AG106" s="55"/>
      <c r="AH106" s="32"/>
      <c r="AI106" s="32"/>
      <c r="AJ106" s="55"/>
      <c r="AK106" s="32"/>
      <c r="AL106" s="32"/>
      <c r="AM106" s="32"/>
      <c r="AN106" s="32"/>
      <c r="AO106" s="32"/>
      <c r="AP106" s="31"/>
      <c r="AQ106" s="31"/>
      <c r="AR106" s="54"/>
      <c r="AS106" s="21" t="str">
        <f>IFERROR(VLOOKUP(August[[#This Row],[Drug Name4]],'Data Options'!$R$1:$S$100,2,FALSE), " ")</f>
        <v xml:space="preserve"> </v>
      </c>
      <c r="AT106" s="55"/>
      <c r="AU106" s="32"/>
      <c r="AV106" s="32"/>
      <c r="AW106" s="55"/>
      <c r="AX106" s="32"/>
      <c r="AY106" s="54"/>
      <c r="AZ106" s="21" t="str">
        <f>IFERROR(VLOOKUP(August[[#This Row],[Drug Name5]],'Data Options'!$R$1:$S$100,2,FALSE), " ")</f>
        <v xml:space="preserve"> </v>
      </c>
      <c r="BA106" s="55"/>
      <c r="BB106" s="32"/>
      <c r="BC106" s="32"/>
      <c r="BD106" s="55"/>
      <c r="BE106" s="32"/>
      <c r="BF106" s="54"/>
      <c r="BG106" s="21" t="str">
        <f>IFERROR(VLOOKUP(August[[#This Row],[Drug Name6]],'Data Options'!$R$1:$S$100,2,FALSE), " ")</f>
        <v xml:space="preserve"> </v>
      </c>
      <c r="BH106" s="55"/>
      <c r="BI106" s="32"/>
      <c r="BJ106" s="32"/>
      <c r="BK106" s="55"/>
      <c r="BL106" s="32"/>
      <c r="BM106" s="32"/>
      <c r="BN106" s="32"/>
      <c r="BO106" s="32"/>
      <c r="BP106" s="32"/>
      <c r="BQ106" s="31"/>
      <c r="BR106" s="31"/>
      <c r="BS106" s="54"/>
      <c r="BT106" s="21" t="str">
        <f>IFERROR(VLOOKUP(August[[#This Row],[Drug Name7]],'Data Options'!$R$1:$S$100,2,FALSE), " ")</f>
        <v xml:space="preserve"> </v>
      </c>
      <c r="BU106" s="55"/>
      <c r="BV106" s="32"/>
      <c r="BW106" s="32"/>
      <c r="BX106" s="55"/>
      <c r="BY106" s="32"/>
      <c r="BZ106" s="54"/>
      <c r="CA106" s="21" t="str">
        <f>IFERROR(VLOOKUP(August[[#This Row],[Drug Name8]],'Data Options'!$R$1:$S$100,2,FALSE), " ")</f>
        <v xml:space="preserve"> </v>
      </c>
      <c r="CB106" s="55"/>
      <c r="CC106" s="32"/>
      <c r="CD106" s="32"/>
      <c r="CE106" s="55"/>
      <c r="CF106" s="32"/>
      <c r="CG106" s="54"/>
      <c r="CH106" s="21" t="str">
        <f>IFERROR(VLOOKUP(August[[#This Row],[Drug Name9]],'Data Options'!$R$1:$S$100,2,FALSE), " ")</f>
        <v xml:space="preserve"> </v>
      </c>
      <c r="CI106" s="55"/>
      <c r="CJ106" s="32"/>
      <c r="CK106" s="32"/>
      <c r="CL106" s="55"/>
      <c r="CM106" s="32"/>
    </row>
    <row r="107" spans="1:91">
      <c r="A107" s="5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1"/>
      <c r="P107" s="31"/>
      <c r="Q107" s="54"/>
      <c r="R107" s="21" t="str">
        <f>IFERROR(VLOOKUP(August[[#This Row],[Drug Name]],'Data Options'!$R$1:$S$100,2,FALSE), " ")</f>
        <v xml:space="preserve"> </v>
      </c>
      <c r="S107" s="55"/>
      <c r="T107" s="32"/>
      <c r="U107" s="32"/>
      <c r="V107" s="55"/>
      <c r="W107" s="32"/>
      <c r="X107" s="54"/>
      <c r="Y107" s="21" t="str">
        <f>IFERROR(VLOOKUP(August[[#This Row],[Drug Name2]],'Data Options'!$R$1:$S$100,2,FALSE), " ")</f>
        <v xml:space="preserve"> </v>
      </c>
      <c r="Z107" s="55"/>
      <c r="AA107" s="32"/>
      <c r="AB107" s="32"/>
      <c r="AC107" s="55"/>
      <c r="AD107" s="32"/>
      <c r="AE107" s="54"/>
      <c r="AF107" s="21" t="str">
        <f>IFERROR(VLOOKUP(August[[#This Row],[Drug Name3]],'Data Options'!$R$1:$S$100,2,FALSE), " ")</f>
        <v xml:space="preserve"> </v>
      </c>
      <c r="AG107" s="55"/>
      <c r="AH107" s="32"/>
      <c r="AI107" s="32"/>
      <c r="AJ107" s="55"/>
      <c r="AK107" s="32"/>
      <c r="AL107" s="32"/>
      <c r="AM107" s="32"/>
      <c r="AN107" s="32"/>
      <c r="AO107" s="32"/>
      <c r="AP107" s="31"/>
      <c r="AQ107" s="31"/>
      <c r="AR107" s="54"/>
      <c r="AS107" s="21" t="str">
        <f>IFERROR(VLOOKUP(August[[#This Row],[Drug Name4]],'Data Options'!$R$1:$S$100,2,FALSE), " ")</f>
        <v xml:space="preserve"> </v>
      </c>
      <c r="AT107" s="55"/>
      <c r="AU107" s="32"/>
      <c r="AV107" s="32"/>
      <c r="AW107" s="55"/>
      <c r="AX107" s="32"/>
      <c r="AY107" s="54"/>
      <c r="AZ107" s="21" t="str">
        <f>IFERROR(VLOOKUP(August[[#This Row],[Drug Name5]],'Data Options'!$R$1:$S$100,2,FALSE), " ")</f>
        <v xml:space="preserve"> </v>
      </c>
      <c r="BA107" s="55"/>
      <c r="BB107" s="32"/>
      <c r="BC107" s="32"/>
      <c r="BD107" s="55"/>
      <c r="BE107" s="32"/>
      <c r="BF107" s="54"/>
      <c r="BG107" s="21" t="str">
        <f>IFERROR(VLOOKUP(August[[#This Row],[Drug Name6]],'Data Options'!$R$1:$S$100,2,FALSE), " ")</f>
        <v xml:space="preserve"> </v>
      </c>
      <c r="BH107" s="55"/>
      <c r="BI107" s="32"/>
      <c r="BJ107" s="32"/>
      <c r="BK107" s="55"/>
      <c r="BL107" s="32"/>
      <c r="BM107" s="32"/>
      <c r="BN107" s="32"/>
      <c r="BO107" s="32"/>
      <c r="BP107" s="32"/>
      <c r="BQ107" s="31"/>
      <c r="BR107" s="31"/>
      <c r="BS107" s="54"/>
      <c r="BT107" s="21" t="str">
        <f>IFERROR(VLOOKUP(August[[#This Row],[Drug Name7]],'Data Options'!$R$1:$S$100,2,FALSE), " ")</f>
        <v xml:space="preserve"> </v>
      </c>
      <c r="BU107" s="55"/>
      <c r="BV107" s="32"/>
      <c r="BW107" s="32"/>
      <c r="BX107" s="55"/>
      <c r="BY107" s="32"/>
      <c r="BZ107" s="54"/>
      <c r="CA107" s="21" t="str">
        <f>IFERROR(VLOOKUP(August[[#This Row],[Drug Name8]],'Data Options'!$R$1:$S$100,2,FALSE), " ")</f>
        <v xml:space="preserve"> </v>
      </c>
      <c r="CB107" s="55"/>
      <c r="CC107" s="32"/>
      <c r="CD107" s="32"/>
      <c r="CE107" s="55"/>
      <c r="CF107" s="32"/>
      <c r="CG107" s="54"/>
      <c r="CH107" s="21" t="str">
        <f>IFERROR(VLOOKUP(August[[#This Row],[Drug Name9]],'Data Options'!$R$1:$S$100,2,FALSE), " ")</f>
        <v xml:space="preserve"> </v>
      </c>
      <c r="CI107" s="55"/>
      <c r="CJ107" s="32"/>
      <c r="CK107" s="32"/>
      <c r="CL107" s="55"/>
      <c r="CM107" s="32"/>
    </row>
    <row r="108" spans="1:91">
      <c r="A108" s="5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1"/>
      <c r="P108" s="31"/>
      <c r="Q108" s="54"/>
      <c r="R108" s="21" t="str">
        <f>IFERROR(VLOOKUP(August[[#This Row],[Drug Name]],'Data Options'!$R$1:$S$100,2,FALSE), " ")</f>
        <v xml:space="preserve"> </v>
      </c>
      <c r="S108" s="55"/>
      <c r="T108" s="32"/>
      <c r="U108" s="32"/>
      <c r="V108" s="55"/>
      <c r="W108" s="32"/>
      <c r="X108" s="54"/>
      <c r="Y108" s="21" t="str">
        <f>IFERROR(VLOOKUP(August[[#This Row],[Drug Name2]],'Data Options'!$R$1:$S$100,2,FALSE), " ")</f>
        <v xml:space="preserve"> </v>
      </c>
      <c r="Z108" s="55"/>
      <c r="AA108" s="32"/>
      <c r="AB108" s="32"/>
      <c r="AC108" s="55"/>
      <c r="AD108" s="32"/>
      <c r="AE108" s="54"/>
      <c r="AF108" s="21" t="str">
        <f>IFERROR(VLOOKUP(August[[#This Row],[Drug Name3]],'Data Options'!$R$1:$S$100,2,FALSE), " ")</f>
        <v xml:space="preserve"> </v>
      </c>
      <c r="AG108" s="55"/>
      <c r="AH108" s="32"/>
      <c r="AI108" s="32"/>
      <c r="AJ108" s="55"/>
      <c r="AK108" s="32"/>
      <c r="AL108" s="32"/>
      <c r="AM108" s="32"/>
      <c r="AN108" s="32"/>
      <c r="AO108" s="32"/>
      <c r="AP108" s="31"/>
      <c r="AQ108" s="31"/>
      <c r="AR108" s="54"/>
      <c r="AS108" s="21" t="str">
        <f>IFERROR(VLOOKUP(August[[#This Row],[Drug Name4]],'Data Options'!$R$1:$S$100,2,FALSE), " ")</f>
        <v xml:space="preserve"> </v>
      </c>
      <c r="AT108" s="55"/>
      <c r="AU108" s="32"/>
      <c r="AV108" s="32"/>
      <c r="AW108" s="55"/>
      <c r="AX108" s="32"/>
      <c r="AY108" s="54"/>
      <c r="AZ108" s="21" t="str">
        <f>IFERROR(VLOOKUP(August[[#This Row],[Drug Name5]],'Data Options'!$R$1:$S$100,2,FALSE), " ")</f>
        <v xml:space="preserve"> </v>
      </c>
      <c r="BA108" s="55"/>
      <c r="BB108" s="32"/>
      <c r="BC108" s="32"/>
      <c r="BD108" s="55"/>
      <c r="BE108" s="32"/>
      <c r="BF108" s="54"/>
      <c r="BG108" s="21" t="str">
        <f>IFERROR(VLOOKUP(August[[#This Row],[Drug Name6]],'Data Options'!$R$1:$S$100,2,FALSE), " ")</f>
        <v xml:space="preserve"> </v>
      </c>
      <c r="BH108" s="55"/>
      <c r="BI108" s="32"/>
      <c r="BJ108" s="32"/>
      <c r="BK108" s="55"/>
      <c r="BL108" s="32"/>
      <c r="BM108" s="32"/>
      <c r="BN108" s="32"/>
      <c r="BO108" s="32"/>
      <c r="BP108" s="32"/>
      <c r="BQ108" s="31"/>
      <c r="BR108" s="31"/>
      <c r="BS108" s="54"/>
      <c r="BT108" s="21" t="str">
        <f>IFERROR(VLOOKUP(August[[#This Row],[Drug Name7]],'Data Options'!$R$1:$S$100,2,FALSE), " ")</f>
        <v xml:space="preserve"> </v>
      </c>
      <c r="BU108" s="55"/>
      <c r="BV108" s="32"/>
      <c r="BW108" s="32"/>
      <c r="BX108" s="55"/>
      <c r="BY108" s="32"/>
      <c r="BZ108" s="54"/>
      <c r="CA108" s="21" t="str">
        <f>IFERROR(VLOOKUP(August[[#This Row],[Drug Name8]],'Data Options'!$R$1:$S$100,2,FALSE), " ")</f>
        <v xml:space="preserve"> </v>
      </c>
      <c r="CB108" s="55"/>
      <c r="CC108" s="32"/>
      <c r="CD108" s="32"/>
      <c r="CE108" s="55"/>
      <c r="CF108" s="32"/>
      <c r="CG108" s="54"/>
      <c r="CH108" s="21" t="str">
        <f>IFERROR(VLOOKUP(August[[#This Row],[Drug Name9]],'Data Options'!$R$1:$S$100,2,FALSE), " ")</f>
        <v xml:space="preserve"> </v>
      </c>
      <c r="CI108" s="55"/>
      <c r="CJ108" s="32"/>
      <c r="CK108" s="32"/>
      <c r="CL108" s="55"/>
      <c r="CM108" s="32"/>
    </row>
    <row r="109" spans="1:91">
      <c r="A109" s="5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1"/>
      <c r="P109" s="31"/>
      <c r="Q109" s="54"/>
      <c r="R109" s="21" t="str">
        <f>IFERROR(VLOOKUP(August[[#This Row],[Drug Name]],'Data Options'!$R$1:$S$100,2,FALSE), " ")</f>
        <v xml:space="preserve"> </v>
      </c>
      <c r="S109" s="55"/>
      <c r="T109" s="32"/>
      <c r="U109" s="32"/>
      <c r="V109" s="55"/>
      <c r="W109" s="32"/>
      <c r="X109" s="54"/>
      <c r="Y109" s="21" t="str">
        <f>IFERROR(VLOOKUP(August[[#This Row],[Drug Name2]],'Data Options'!$R$1:$S$100,2,FALSE), " ")</f>
        <v xml:space="preserve"> </v>
      </c>
      <c r="Z109" s="55"/>
      <c r="AA109" s="32"/>
      <c r="AB109" s="32"/>
      <c r="AC109" s="55"/>
      <c r="AD109" s="32"/>
      <c r="AE109" s="54"/>
      <c r="AF109" s="21" t="str">
        <f>IFERROR(VLOOKUP(August[[#This Row],[Drug Name3]],'Data Options'!$R$1:$S$100,2,FALSE), " ")</f>
        <v xml:space="preserve"> </v>
      </c>
      <c r="AG109" s="55"/>
      <c r="AH109" s="32"/>
      <c r="AI109" s="32"/>
      <c r="AJ109" s="55"/>
      <c r="AK109" s="32"/>
      <c r="AL109" s="32"/>
      <c r="AM109" s="32"/>
      <c r="AN109" s="32"/>
      <c r="AO109" s="32"/>
      <c r="AP109" s="31"/>
      <c r="AQ109" s="31"/>
      <c r="AR109" s="54"/>
      <c r="AS109" s="21" t="str">
        <f>IFERROR(VLOOKUP(August[[#This Row],[Drug Name4]],'Data Options'!$R$1:$S$100,2,FALSE), " ")</f>
        <v xml:space="preserve"> </v>
      </c>
      <c r="AT109" s="55"/>
      <c r="AU109" s="32"/>
      <c r="AV109" s="32"/>
      <c r="AW109" s="55"/>
      <c r="AX109" s="32"/>
      <c r="AY109" s="54"/>
      <c r="AZ109" s="21" t="str">
        <f>IFERROR(VLOOKUP(August[[#This Row],[Drug Name5]],'Data Options'!$R$1:$S$100,2,FALSE), " ")</f>
        <v xml:space="preserve"> </v>
      </c>
      <c r="BA109" s="55"/>
      <c r="BB109" s="32"/>
      <c r="BC109" s="32"/>
      <c r="BD109" s="55"/>
      <c r="BE109" s="32"/>
      <c r="BF109" s="54"/>
      <c r="BG109" s="21" t="str">
        <f>IFERROR(VLOOKUP(August[[#This Row],[Drug Name6]],'Data Options'!$R$1:$S$100,2,FALSE), " ")</f>
        <v xml:space="preserve"> </v>
      </c>
      <c r="BH109" s="55"/>
      <c r="BI109" s="32"/>
      <c r="BJ109" s="32"/>
      <c r="BK109" s="55"/>
      <c r="BL109" s="32"/>
      <c r="BM109" s="32"/>
      <c r="BN109" s="32"/>
      <c r="BO109" s="32"/>
      <c r="BP109" s="32"/>
      <c r="BQ109" s="31"/>
      <c r="BR109" s="31"/>
      <c r="BS109" s="54"/>
      <c r="BT109" s="21" t="str">
        <f>IFERROR(VLOOKUP(August[[#This Row],[Drug Name7]],'Data Options'!$R$1:$S$100,2,FALSE), " ")</f>
        <v xml:space="preserve"> </v>
      </c>
      <c r="BU109" s="55"/>
      <c r="BV109" s="32"/>
      <c r="BW109" s="32"/>
      <c r="BX109" s="55"/>
      <c r="BY109" s="32"/>
      <c r="BZ109" s="54"/>
      <c r="CA109" s="21" t="str">
        <f>IFERROR(VLOOKUP(August[[#This Row],[Drug Name8]],'Data Options'!$R$1:$S$100,2,FALSE), " ")</f>
        <v xml:space="preserve"> </v>
      </c>
      <c r="CB109" s="55"/>
      <c r="CC109" s="32"/>
      <c r="CD109" s="32"/>
      <c r="CE109" s="55"/>
      <c r="CF109" s="32"/>
      <c r="CG109" s="54"/>
      <c r="CH109" s="21" t="str">
        <f>IFERROR(VLOOKUP(August[[#This Row],[Drug Name9]],'Data Options'!$R$1:$S$100,2,FALSE), " ")</f>
        <v xml:space="preserve"> </v>
      </c>
      <c r="CI109" s="55"/>
      <c r="CJ109" s="32"/>
      <c r="CK109" s="32"/>
      <c r="CL109" s="55"/>
      <c r="CM109" s="32"/>
    </row>
    <row r="110" spans="1:91">
      <c r="A110" s="5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54"/>
      <c r="R110" s="21" t="str">
        <f>IFERROR(VLOOKUP(August[[#This Row],[Drug Name]],'Data Options'!$R$1:$S$100,2,FALSE), " ")</f>
        <v xml:space="preserve"> </v>
      </c>
      <c r="S110" s="55"/>
      <c r="T110" s="32"/>
      <c r="U110" s="32"/>
      <c r="V110" s="55"/>
      <c r="W110" s="32"/>
      <c r="X110" s="54"/>
      <c r="Y110" s="21" t="str">
        <f>IFERROR(VLOOKUP(August[[#This Row],[Drug Name2]],'Data Options'!$R$1:$S$100,2,FALSE), " ")</f>
        <v xml:space="preserve"> </v>
      </c>
      <c r="Z110" s="55"/>
      <c r="AA110" s="32"/>
      <c r="AB110" s="32"/>
      <c r="AC110" s="55"/>
      <c r="AD110" s="32"/>
      <c r="AE110" s="54"/>
      <c r="AF110" s="21" t="str">
        <f>IFERROR(VLOOKUP(August[[#This Row],[Drug Name3]],'Data Options'!$R$1:$S$100,2,FALSE), " ")</f>
        <v xml:space="preserve"> </v>
      </c>
      <c r="AG110" s="55"/>
      <c r="AH110" s="32"/>
      <c r="AI110" s="32"/>
      <c r="AJ110" s="55"/>
      <c r="AK110" s="32"/>
      <c r="AL110" s="32"/>
      <c r="AM110" s="32"/>
      <c r="AN110" s="32"/>
      <c r="AO110" s="32"/>
      <c r="AP110" s="31"/>
      <c r="AQ110" s="31"/>
      <c r="AR110" s="54"/>
      <c r="AS110" s="21" t="str">
        <f>IFERROR(VLOOKUP(August[[#This Row],[Drug Name4]],'Data Options'!$R$1:$S$100,2,FALSE), " ")</f>
        <v xml:space="preserve"> </v>
      </c>
      <c r="AT110" s="55"/>
      <c r="AU110" s="32"/>
      <c r="AV110" s="32"/>
      <c r="AW110" s="55"/>
      <c r="AX110" s="32"/>
      <c r="AY110" s="54"/>
      <c r="AZ110" s="21" t="str">
        <f>IFERROR(VLOOKUP(August[[#This Row],[Drug Name5]],'Data Options'!$R$1:$S$100,2,FALSE), " ")</f>
        <v xml:space="preserve"> </v>
      </c>
      <c r="BA110" s="55"/>
      <c r="BB110" s="32"/>
      <c r="BC110" s="32"/>
      <c r="BD110" s="55"/>
      <c r="BE110" s="32"/>
      <c r="BF110" s="54"/>
      <c r="BG110" s="21" t="str">
        <f>IFERROR(VLOOKUP(August[[#This Row],[Drug Name6]],'Data Options'!$R$1:$S$100,2,FALSE), " ")</f>
        <v xml:space="preserve"> </v>
      </c>
      <c r="BH110" s="55"/>
      <c r="BI110" s="32"/>
      <c r="BJ110" s="32"/>
      <c r="BK110" s="55"/>
      <c r="BL110" s="32"/>
      <c r="BM110" s="32"/>
      <c r="BN110" s="32"/>
      <c r="BO110" s="32"/>
      <c r="BP110" s="32"/>
      <c r="BQ110" s="31"/>
      <c r="BR110" s="31"/>
      <c r="BS110" s="54"/>
      <c r="BT110" s="21" t="str">
        <f>IFERROR(VLOOKUP(August[[#This Row],[Drug Name7]],'Data Options'!$R$1:$S$100,2,FALSE), " ")</f>
        <v xml:space="preserve"> </v>
      </c>
      <c r="BU110" s="55"/>
      <c r="BV110" s="32"/>
      <c r="BW110" s="32"/>
      <c r="BX110" s="55"/>
      <c r="BY110" s="32"/>
      <c r="BZ110" s="54"/>
      <c r="CA110" s="21" t="str">
        <f>IFERROR(VLOOKUP(August[[#This Row],[Drug Name8]],'Data Options'!$R$1:$S$100,2,FALSE), " ")</f>
        <v xml:space="preserve"> </v>
      </c>
      <c r="CB110" s="55"/>
      <c r="CC110" s="32"/>
      <c r="CD110" s="32"/>
      <c r="CE110" s="55"/>
      <c r="CF110" s="32"/>
      <c r="CG110" s="54"/>
      <c r="CH110" s="21" t="str">
        <f>IFERROR(VLOOKUP(August[[#This Row],[Drug Name9]],'Data Options'!$R$1:$S$100,2,FALSE), " ")</f>
        <v xml:space="preserve"> </v>
      </c>
      <c r="CI110" s="55"/>
      <c r="CJ110" s="32"/>
      <c r="CK110" s="32"/>
      <c r="CL110" s="55"/>
      <c r="CM110" s="32"/>
    </row>
    <row r="111" spans="1:91">
      <c r="A111" s="5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1"/>
      <c r="P111" s="31"/>
      <c r="Q111" s="54"/>
      <c r="R111" s="21" t="str">
        <f>IFERROR(VLOOKUP(August[[#This Row],[Drug Name]],'Data Options'!$R$1:$S$100,2,FALSE), " ")</f>
        <v xml:space="preserve"> </v>
      </c>
      <c r="S111" s="55"/>
      <c r="T111" s="32"/>
      <c r="U111" s="32"/>
      <c r="V111" s="55"/>
      <c r="W111" s="32"/>
      <c r="X111" s="54"/>
      <c r="Y111" s="21" t="str">
        <f>IFERROR(VLOOKUP(August[[#This Row],[Drug Name2]],'Data Options'!$R$1:$S$100,2,FALSE), " ")</f>
        <v xml:space="preserve"> </v>
      </c>
      <c r="Z111" s="55"/>
      <c r="AA111" s="32"/>
      <c r="AB111" s="32"/>
      <c r="AC111" s="55"/>
      <c r="AD111" s="32"/>
      <c r="AE111" s="54"/>
      <c r="AF111" s="21" t="str">
        <f>IFERROR(VLOOKUP(August[[#This Row],[Drug Name3]],'Data Options'!$R$1:$S$100,2,FALSE), " ")</f>
        <v xml:space="preserve"> </v>
      </c>
      <c r="AG111" s="55"/>
      <c r="AH111" s="32"/>
      <c r="AI111" s="32"/>
      <c r="AJ111" s="55"/>
      <c r="AK111" s="32"/>
      <c r="AL111" s="32"/>
      <c r="AM111" s="32"/>
      <c r="AN111" s="32"/>
      <c r="AO111" s="32"/>
      <c r="AP111" s="31"/>
      <c r="AQ111" s="31"/>
      <c r="AR111" s="54"/>
      <c r="AS111" s="21" t="str">
        <f>IFERROR(VLOOKUP(August[[#This Row],[Drug Name4]],'Data Options'!$R$1:$S$100,2,FALSE), " ")</f>
        <v xml:space="preserve"> </v>
      </c>
      <c r="AT111" s="55"/>
      <c r="AU111" s="32"/>
      <c r="AV111" s="32"/>
      <c r="AW111" s="55"/>
      <c r="AX111" s="32"/>
      <c r="AY111" s="54"/>
      <c r="AZ111" s="21" t="str">
        <f>IFERROR(VLOOKUP(August[[#This Row],[Drug Name5]],'Data Options'!$R$1:$S$100,2,FALSE), " ")</f>
        <v xml:space="preserve"> </v>
      </c>
      <c r="BA111" s="55"/>
      <c r="BB111" s="32"/>
      <c r="BC111" s="32"/>
      <c r="BD111" s="55"/>
      <c r="BE111" s="32"/>
      <c r="BF111" s="54"/>
      <c r="BG111" s="21" t="str">
        <f>IFERROR(VLOOKUP(August[[#This Row],[Drug Name6]],'Data Options'!$R$1:$S$100,2,FALSE), " ")</f>
        <v xml:space="preserve"> </v>
      </c>
      <c r="BH111" s="55"/>
      <c r="BI111" s="32"/>
      <c r="BJ111" s="32"/>
      <c r="BK111" s="55"/>
      <c r="BL111" s="32"/>
      <c r="BM111" s="32"/>
      <c r="BN111" s="32"/>
      <c r="BO111" s="32"/>
      <c r="BP111" s="32"/>
      <c r="BQ111" s="31"/>
      <c r="BR111" s="31"/>
      <c r="BS111" s="54"/>
      <c r="BT111" s="21" t="str">
        <f>IFERROR(VLOOKUP(August[[#This Row],[Drug Name7]],'Data Options'!$R$1:$S$100,2,FALSE), " ")</f>
        <v xml:space="preserve"> </v>
      </c>
      <c r="BU111" s="55"/>
      <c r="BV111" s="32"/>
      <c r="BW111" s="32"/>
      <c r="BX111" s="55"/>
      <c r="BY111" s="32"/>
      <c r="BZ111" s="54"/>
      <c r="CA111" s="21" t="str">
        <f>IFERROR(VLOOKUP(August[[#This Row],[Drug Name8]],'Data Options'!$R$1:$S$100,2,FALSE), " ")</f>
        <v xml:space="preserve"> </v>
      </c>
      <c r="CB111" s="55"/>
      <c r="CC111" s="32"/>
      <c r="CD111" s="32"/>
      <c r="CE111" s="55"/>
      <c r="CF111" s="32"/>
      <c r="CG111" s="54"/>
      <c r="CH111" s="21" t="str">
        <f>IFERROR(VLOOKUP(August[[#This Row],[Drug Name9]],'Data Options'!$R$1:$S$100,2,FALSE), " ")</f>
        <v xml:space="preserve"> </v>
      </c>
      <c r="CI111" s="55"/>
      <c r="CJ111" s="32"/>
      <c r="CK111" s="32"/>
      <c r="CL111" s="55"/>
      <c r="CM111" s="32"/>
    </row>
    <row r="112" spans="1:91">
      <c r="A112" s="5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1"/>
      <c r="P112" s="31"/>
      <c r="Q112" s="54"/>
      <c r="R112" s="21" t="str">
        <f>IFERROR(VLOOKUP(August[[#This Row],[Drug Name]],'Data Options'!$R$1:$S$100,2,FALSE), " ")</f>
        <v xml:space="preserve"> </v>
      </c>
      <c r="S112" s="55"/>
      <c r="T112" s="32"/>
      <c r="U112" s="32"/>
      <c r="V112" s="55"/>
      <c r="W112" s="32"/>
      <c r="X112" s="54"/>
      <c r="Y112" s="21" t="str">
        <f>IFERROR(VLOOKUP(August[[#This Row],[Drug Name2]],'Data Options'!$R$1:$S$100,2,FALSE), " ")</f>
        <v xml:space="preserve"> </v>
      </c>
      <c r="Z112" s="55"/>
      <c r="AA112" s="32"/>
      <c r="AB112" s="32"/>
      <c r="AC112" s="55"/>
      <c r="AD112" s="32"/>
      <c r="AE112" s="54"/>
      <c r="AF112" s="21" t="str">
        <f>IFERROR(VLOOKUP(August[[#This Row],[Drug Name3]],'Data Options'!$R$1:$S$100,2,FALSE), " ")</f>
        <v xml:space="preserve"> </v>
      </c>
      <c r="AG112" s="55"/>
      <c r="AH112" s="32"/>
      <c r="AI112" s="32"/>
      <c r="AJ112" s="55"/>
      <c r="AK112" s="32"/>
      <c r="AL112" s="32"/>
      <c r="AM112" s="32"/>
      <c r="AN112" s="32"/>
      <c r="AO112" s="32"/>
      <c r="AP112" s="31"/>
      <c r="AQ112" s="31"/>
      <c r="AR112" s="54"/>
      <c r="AS112" s="21" t="str">
        <f>IFERROR(VLOOKUP(August[[#This Row],[Drug Name4]],'Data Options'!$R$1:$S$100,2,FALSE), " ")</f>
        <v xml:space="preserve"> </v>
      </c>
      <c r="AT112" s="55"/>
      <c r="AU112" s="32"/>
      <c r="AV112" s="32"/>
      <c r="AW112" s="55"/>
      <c r="AX112" s="32"/>
      <c r="AY112" s="54"/>
      <c r="AZ112" s="21" t="str">
        <f>IFERROR(VLOOKUP(August[[#This Row],[Drug Name5]],'Data Options'!$R$1:$S$100,2,FALSE), " ")</f>
        <v xml:space="preserve"> </v>
      </c>
      <c r="BA112" s="55"/>
      <c r="BB112" s="32"/>
      <c r="BC112" s="32"/>
      <c r="BD112" s="55"/>
      <c r="BE112" s="32"/>
      <c r="BF112" s="54"/>
      <c r="BG112" s="21" t="str">
        <f>IFERROR(VLOOKUP(August[[#This Row],[Drug Name6]],'Data Options'!$R$1:$S$100,2,FALSE), " ")</f>
        <v xml:space="preserve"> </v>
      </c>
      <c r="BH112" s="55"/>
      <c r="BI112" s="32"/>
      <c r="BJ112" s="32"/>
      <c r="BK112" s="55"/>
      <c r="BL112" s="32"/>
      <c r="BM112" s="32"/>
      <c r="BN112" s="32"/>
      <c r="BO112" s="32"/>
      <c r="BP112" s="32"/>
      <c r="BQ112" s="31"/>
      <c r="BR112" s="31"/>
      <c r="BS112" s="54"/>
      <c r="BT112" s="21" t="str">
        <f>IFERROR(VLOOKUP(August[[#This Row],[Drug Name7]],'Data Options'!$R$1:$S$100,2,FALSE), " ")</f>
        <v xml:space="preserve"> </v>
      </c>
      <c r="BU112" s="55"/>
      <c r="BV112" s="32"/>
      <c r="BW112" s="32"/>
      <c r="BX112" s="55"/>
      <c r="BY112" s="32"/>
      <c r="BZ112" s="54"/>
      <c r="CA112" s="21" t="str">
        <f>IFERROR(VLOOKUP(August[[#This Row],[Drug Name8]],'Data Options'!$R$1:$S$100,2,FALSE), " ")</f>
        <v xml:space="preserve"> </v>
      </c>
      <c r="CB112" s="55"/>
      <c r="CC112" s="32"/>
      <c r="CD112" s="32"/>
      <c r="CE112" s="55"/>
      <c r="CF112" s="32"/>
      <c r="CG112" s="54"/>
      <c r="CH112" s="21" t="str">
        <f>IFERROR(VLOOKUP(August[[#This Row],[Drug Name9]],'Data Options'!$R$1:$S$100,2,FALSE), " ")</f>
        <v xml:space="preserve"> </v>
      </c>
      <c r="CI112" s="55"/>
      <c r="CJ112" s="32"/>
      <c r="CK112" s="32"/>
      <c r="CL112" s="55"/>
      <c r="CM112" s="32"/>
    </row>
    <row r="113" spans="1:91">
      <c r="A113" s="5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1"/>
      <c r="P113" s="31"/>
      <c r="Q113" s="54"/>
      <c r="R113" s="21" t="str">
        <f>IFERROR(VLOOKUP(August[[#This Row],[Drug Name]],'Data Options'!$R$1:$S$100,2,FALSE), " ")</f>
        <v xml:space="preserve"> </v>
      </c>
      <c r="S113" s="55"/>
      <c r="T113" s="32"/>
      <c r="U113" s="32"/>
      <c r="V113" s="55"/>
      <c r="W113" s="32"/>
      <c r="X113" s="54"/>
      <c r="Y113" s="21" t="str">
        <f>IFERROR(VLOOKUP(August[[#This Row],[Drug Name2]],'Data Options'!$R$1:$S$100,2,FALSE), " ")</f>
        <v xml:space="preserve"> </v>
      </c>
      <c r="Z113" s="55"/>
      <c r="AA113" s="32"/>
      <c r="AB113" s="32"/>
      <c r="AC113" s="55"/>
      <c r="AD113" s="32"/>
      <c r="AE113" s="54"/>
      <c r="AF113" s="21" t="str">
        <f>IFERROR(VLOOKUP(August[[#This Row],[Drug Name3]],'Data Options'!$R$1:$S$100,2,FALSE), " ")</f>
        <v xml:space="preserve"> </v>
      </c>
      <c r="AG113" s="55"/>
      <c r="AH113" s="32"/>
      <c r="AI113" s="32"/>
      <c r="AJ113" s="55"/>
      <c r="AK113" s="32"/>
      <c r="AL113" s="32"/>
      <c r="AM113" s="32"/>
      <c r="AN113" s="32"/>
      <c r="AO113" s="32"/>
      <c r="AP113" s="31"/>
      <c r="AQ113" s="31"/>
      <c r="AR113" s="54"/>
      <c r="AS113" s="21" t="str">
        <f>IFERROR(VLOOKUP(August[[#This Row],[Drug Name4]],'Data Options'!$R$1:$S$100,2,FALSE), " ")</f>
        <v xml:space="preserve"> </v>
      </c>
      <c r="AT113" s="55"/>
      <c r="AU113" s="32"/>
      <c r="AV113" s="32"/>
      <c r="AW113" s="55"/>
      <c r="AX113" s="32"/>
      <c r="AY113" s="54"/>
      <c r="AZ113" s="21" t="str">
        <f>IFERROR(VLOOKUP(August[[#This Row],[Drug Name5]],'Data Options'!$R$1:$S$100,2,FALSE), " ")</f>
        <v xml:space="preserve"> </v>
      </c>
      <c r="BA113" s="55"/>
      <c r="BB113" s="32"/>
      <c r="BC113" s="32"/>
      <c r="BD113" s="55"/>
      <c r="BE113" s="32"/>
      <c r="BF113" s="54"/>
      <c r="BG113" s="21" t="str">
        <f>IFERROR(VLOOKUP(August[[#This Row],[Drug Name6]],'Data Options'!$R$1:$S$100,2,FALSE), " ")</f>
        <v xml:space="preserve"> </v>
      </c>
      <c r="BH113" s="55"/>
      <c r="BI113" s="32"/>
      <c r="BJ113" s="32"/>
      <c r="BK113" s="55"/>
      <c r="BL113" s="32"/>
      <c r="BM113" s="32"/>
      <c r="BN113" s="32"/>
      <c r="BO113" s="32"/>
      <c r="BP113" s="32"/>
      <c r="BQ113" s="31"/>
      <c r="BR113" s="31"/>
      <c r="BS113" s="54"/>
      <c r="BT113" s="21" t="str">
        <f>IFERROR(VLOOKUP(August[[#This Row],[Drug Name7]],'Data Options'!$R$1:$S$100,2,FALSE), " ")</f>
        <v xml:space="preserve"> </v>
      </c>
      <c r="BU113" s="55"/>
      <c r="BV113" s="32"/>
      <c r="BW113" s="32"/>
      <c r="BX113" s="55"/>
      <c r="BY113" s="32"/>
      <c r="BZ113" s="54"/>
      <c r="CA113" s="21" t="str">
        <f>IFERROR(VLOOKUP(August[[#This Row],[Drug Name8]],'Data Options'!$R$1:$S$100,2,FALSE), " ")</f>
        <v xml:space="preserve"> </v>
      </c>
      <c r="CB113" s="55"/>
      <c r="CC113" s="32"/>
      <c r="CD113" s="32"/>
      <c r="CE113" s="55"/>
      <c r="CF113" s="32"/>
      <c r="CG113" s="54"/>
      <c r="CH113" s="21" t="str">
        <f>IFERROR(VLOOKUP(August[[#This Row],[Drug Name9]],'Data Options'!$R$1:$S$100,2,FALSE), " ")</f>
        <v xml:space="preserve"> </v>
      </c>
      <c r="CI113" s="55"/>
      <c r="CJ113" s="32"/>
      <c r="CK113" s="32"/>
      <c r="CL113" s="55"/>
      <c r="CM113" s="32"/>
    </row>
    <row r="114" spans="1:91">
      <c r="A114" s="5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1"/>
      <c r="P114" s="31"/>
      <c r="Q114" s="54"/>
      <c r="R114" s="21" t="str">
        <f>IFERROR(VLOOKUP(August[[#This Row],[Drug Name]],'Data Options'!$R$1:$S$100,2,FALSE), " ")</f>
        <v xml:space="preserve"> </v>
      </c>
      <c r="S114" s="55"/>
      <c r="T114" s="32"/>
      <c r="U114" s="32"/>
      <c r="V114" s="55"/>
      <c r="W114" s="32"/>
      <c r="X114" s="54"/>
      <c r="Y114" s="21" t="str">
        <f>IFERROR(VLOOKUP(August[[#This Row],[Drug Name2]],'Data Options'!$R$1:$S$100,2,FALSE), " ")</f>
        <v xml:space="preserve"> </v>
      </c>
      <c r="Z114" s="55"/>
      <c r="AA114" s="32"/>
      <c r="AB114" s="32"/>
      <c r="AC114" s="55"/>
      <c r="AD114" s="32"/>
      <c r="AE114" s="54"/>
      <c r="AF114" s="21" t="str">
        <f>IFERROR(VLOOKUP(August[[#This Row],[Drug Name3]],'Data Options'!$R$1:$S$100,2,FALSE), " ")</f>
        <v xml:space="preserve"> </v>
      </c>
      <c r="AG114" s="55"/>
      <c r="AH114" s="32"/>
      <c r="AI114" s="32"/>
      <c r="AJ114" s="55"/>
      <c r="AK114" s="32"/>
      <c r="AL114" s="32"/>
      <c r="AM114" s="32"/>
      <c r="AN114" s="32"/>
      <c r="AO114" s="32"/>
      <c r="AP114" s="31"/>
      <c r="AQ114" s="31"/>
      <c r="AR114" s="54"/>
      <c r="AS114" s="21" t="str">
        <f>IFERROR(VLOOKUP(August[[#This Row],[Drug Name4]],'Data Options'!$R$1:$S$100,2,FALSE), " ")</f>
        <v xml:space="preserve"> </v>
      </c>
      <c r="AT114" s="55"/>
      <c r="AU114" s="32"/>
      <c r="AV114" s="32"/>
      <c r="AW114" s="55"/>
      <c r="AX114" s="32"/>
      <c r="AY114" s="54"/>
      <c r="AZ114" s="21" t="str">
        <f>IFERROR(VLOOKUP(August[[#This Row],[Drug Name5]],'Data Options'!$R$1:$S$100,2,FALSE), " ")</f>
        <v xml:space="preserve"> </v>
      </c>
      <c r="BA114" s="55"/>
      <c r="BB114" s="32"/>
      <c r="BC114" s="32"/>
      <c r="BD114" s="55"/>
      <c r="BE114" s="32"/>
      <c r="BF114" s="54"/>
      <c r="BG114" s="21" t="str">
        <f>IFERROR(VLOOKUP(August[[#This Row],[Drug Name6]],'Data Options'!$R$1:$S$100,2,FALSE), " ")</f>
        <v xml:space="preserve"> </v>
      </c>
      <c r="BH114" s="55"/>
      <c r="BI114" s="32"/>
      <c r="BJ114" s="32"/>
      <c r="BK114" s="55"/>
      <c r="BL114" s="32"/>
      <c r="BM114" s="32"/>
      <c r="BN114" s="32"/>
      <c r="BO114" s="32"/>
      <c r="BP114" s="32"/>
      <c r="BQ114" s="31"/>
      <c r="BR114" s="31"/>
      <c r="BS114" s="54"/>
      <c r="BT114" s="21" t="str">
        <f>IFERROR(VLOOKUP(August[[#This Row],[Drug Name7]],'Data Options'!$R$1:$S$100,2,FALSE), " ")</f>
        <v xml:space="preserve"> </v>
      </c>
      <c r="BU114" s="55"/>
      <c r="BV114" s="32"/>
      <c r="BW114" s="32"/>
      <c r="BX114" s="55"/>
      <c r="BY114" s="32"/>
      <c r="BZ114" s="54"/>
      <c r="CA114" s="21" t="str">
        <f>IFERROR(VLOOKUP(August[[#This Row],[Drug Name8]],'Data Options'!$R$1:$S$100,2,FALSE), " ")</f>
        <v xml:space="preserve"> </v>
      </c>
      <c r="CB114" s="55"/>
      <c r="CC114" s="32"/>
      <c r="CD114" s="32"/>
      <c r="CE114" s="55"/>
      <c r="CF114" s="32"/>
      <c r="CG114" s="54"/>
      <c r="CH114" s="21" t="str">
        <f>IFERROR(VLOOKUP(August[[#This Row],[Drug Name9]],'Data Options'!$R$1:$S$100,2,FALSE), " ")</f>
        <v xml:space="preserve"> </v>
      </c>
      <c r="CI114" s="55"/>
      <c r="CJ114" s="32"/>
      <c r="CK114" s="32"/>
      <c r="CL114" s="55"/>
      <c r="CM114" s="32"/>
    </row>
    <row r="115" spans="1:91">
      <c r="A115" s="5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1"/>
      <c r="P115" s="31"/>
      <c r="Q115" s="54"/>
      <c r="R115" s="21" t="str">
        <f>IFERROR(VLOOKUP(August[[#This Row],[Drug Name]],'Data Options'!$R$1:$S$100,2,FALSE), " ")</f>
        <v xml:space="preserve"> </v>
      </c>
      <c r="S115" s="55"/>
      <c r="T115" s="32"/>
      <c r="U115" s="32"/>
      <c r="V115" s="55"/>
      <c r="W115" s="32"/>
      <c r="X115" s="54"/>
      <c r="Y115" s="21" t="str">
        <f>IFERROR(VLOOKUP(August[[#This Row],[Drug Name2]],'Data Options'!$R$1:$S$100,2,FALSE), " ")</f>
        <v xml:space="preserve"> </v>
      </c>
      <c r="Z115" s="55"/>
      <c r="AA115" s="32"/>
      <c r="AB115" s="32"/>
      <c r="AC115" s="55"/>
      <c r="AD115" s="32"/>
      <c r="AE115" s="54"/>
      <c r="AF115" s="21" t="str">
        <f>IFERROR(VLOOKUP(August[[#This Row],[Drug Name3]],'Data Options'!$R$1:$S$100,2,FALSE), " ")</f>
        <v xml:space="preserve"> </v>
      </c>
      <c r="AG115" s="55"/>
      <c r="AH115" s="32"/>
      <c r="AI115" s="32"/>
      <c r="AJ115" s="55"/>
      <c r="AK115" s="32"/>
      <c r="AL115" s="32"/>
      <c r="AM115" s="32"/>
      <c r="AN115" s="32"/>
      <c r="AO115" s="32"/>
      <c r="AP115" s="31"/>
      <c r="AQ115" s="31"/>
      <c r="AR115" s="54"/>
      <c r="AS115" s="21" t="str">
        <f>IFERROR(VLOOKUP(August[[#This Row],[Drug Name4]],'Data Options'!$R$1:$S$100,2,FALSE), " ")</f>
        <v xml:space="preserve"> </v>
      </c>
      <c r="AT115" s="55"/>
      <c r="AU115" s="32"/>
      <c r="AV115" s="32"/>
      <c r="AW115" s="55"/>
      <c r="AX115" s="32"/>
      <c r="AY115" s="54"/>
      <c r="AZ115" s="21" t="str">
        <f>IFERROR(VLOOKUP(August[[#This Row],[Drug Name5]],'Data Options'!$R$1:$S$100,2,FALSE), " ")</f>
        <v xml:space="preserve"> </v>
      </c>
      <c r="BA115" s="55"/>
      <c r="BB115" s="32"/>
      <c r="BC115" s="32"/>
      <c r="BD115" s="55"/>
      <c r="BE115" s="32"/>
      <c r="BF115" s="54"/>
      <c r="BG115" s="21" t="str">
        <f>IFERROR(VLOOKUP(August[[#This Row],[Drug Name6]],'Data Options'!$R$1:$S$100,2,FALSE), " ")</f>
        <v xml:space="preserve"> </v>
      </c>
      <c r="BH115" s="55"/>
      <c r="BI115" s="32"/>
      <c r="BJ115" s="32"/>
      <c r="BK115" s="55"/>
      <c r="BL115" s="32"/>
      <c r="BM115" s="32"/>
      <c r="BN115" s="32"/>
      <c r="BO115" s="32"/>
      <c r="BP115" s="32"/>
      <c r="BQ115" s="31"/>
      <c r="BR115" s="31"/>
      <c r="BS115" s="54"/>
      <c r="BT115" s="21" t="str">
        <f>IFERROR(VLOOKUP(August[[#This Row],[Drug Name7]],'Data Options'!$R$1:$S$100,2,FALSE), " ")</f>
        <v xml:space="preserve"> </v>
      </c>
      <c r="BU115" s="55"/>
      <c r="BV115" s="32"/>
      <c r="BW115" s="32"/>
      <c r="BX115" s="55"/>
      <c r="BY115" s="32"/>
      <c r="BZ115" s="54"/>
      <c r="CA115" s="21" t="str">
        <f>IFERROR(VLOOKUP(August[[#This Row],[Drug Name8]],'Data Options'!$R$1:$S$100,2,FALSE), " ")</f>
        <v xml:space="preserve"> </v>
      </c>
      <c r="CB115" s="55"/>
      <c r="CC115" s="32"/>
      <c r="CD115" s="32"/>
      <c r="CE115" s="55"/>
      <c r="CF115" s="32"/>
      <c r="CG115" s="54"/>
      <c r="CH115" s="21" t="str">
        <f>IFERROR(VLOOKUP(August[[#This Row],[Drug Name9]],'Data Options'!$R$1:$S$100,2,FALSE), " ")</f>
        <v xml:space="preserve"> </v>
      </c>
      <c r="CI115" s="55"/>
      <c r="CJ115" s="32"/>
      <c r="CK115" s="32"/>
      <c r="CL115" s="55"/>
      <c r="CM115" s="32"/>
    </row>
    <row r="116" spans="1:91">
      <c r="A116" s="5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1"/>
      <c r="P116" s="31"/>
      <c r="Q116" s="54"/>
      <c r="R116" s="21" t="str">
        <f>IFERROR(VLOOKUP(August[[#This Row],[Drug Name]],'Data Options'!$R$1:$S$100,2,FALSE), " ")</f>
        <v xml:space="preserve"> </v>
      </c>
      <c r="S116" s="55"/>
      <c r="T116" s="32"/>
      <c r="U116" s="32"/>
      <c r="V116" s="55"/>
      <c r="W116" s="32"/>
      <c r="X116" s="54"/>
      <c r="Y116" s="21" t="str">
        <f>IFERROR(VLOOKUP(August[[#This Row],[Drug Name2]],'Data Options'!$R$1:$S$100,2,FALSE), " ")</f>
        <v xml:space="preserve"> </v>
      </c>
      <c r="Z116" s="55"/>
      <c r="AA116" s="32"/>
      <c r="AB116" s="32"/>
      <c r="AC116" s="55"/>
      <c r="AD116" s="32"/>
      <c r="AE116" s="54"/>
      <c r="AF116" s="21" t="str">
        <f>IFERROR(VLOOKUP(August[[#This Row],[Drug Name3]],'Data Options'!$R$1:$S$100,2,FALSE), " ")</f>
        <v xml:space="preserve"> </v>
      </c>
      <c r="AG116" s="55"/>
      <c r="AH116" s="32"/>
      <c r="AI116" s="32"/>
      <c r="AJ116" s="55"/>
      <c r="AK116" s="32"/>
      <c r="AL116" s="32"/>
      <c r="AM116" s="32"/>
      <c r="AN116" s="32"/>
      <c r="AO116" s="32"/>
      <c r="AP116" s="31"/>
      <c r="AQ116" s="31"/>
      <c r="AR116" s="54"/>
      <c r="AS116" s="21" t="str">
        <f>IFERROR(VLOOKUP(August[[#This Row],[Drug Name4]],'Data Options'!$R$1:$S$100,2,FALSE), " ")</f>
        <v xml:space="preserve"> </v>
      </c>
      <c r="AT116" s="55"/>
      <c r="AU116" s="32"/>
      <c r="AV116" s="32"/>
      <c r="AW116" s="55"/>
      <c r="AX116" s="32"/>
      <c r="AY116" s="54"/>
      <c r="AZ116" s="21" t="str">
        <f>IFERROR(VLOOKUP(August[[#This Row],[Drug Name5]],'Data Options'!$R$1:$S$100,2,FALSE), " ")</f>
        <v xml:space="preserve"> </v>
      </c>
      <c r="BA116" s="55"/>
      <c r="BB116" s="32"/>
      <c r="BC116" s="32"/>
      <c r="BD116" s="55"/>
      <c r="BE116" s="32"/>
      <c r="BF116" s="54"/>
      <c r="BG116" s="21" t="str">
        <f>IFERROR(VLOOKUP(August[[#This Row],[Drug Name6]],'Data Options'!$R$1:$S$100,2,FALSE), " ")</f>
        <v xml:space="preserve"> </v>
      </c>
      <c r="BH116" s="55"/>
      <c r="BI116" s="32"/>
      <c r="BJ116" s="32"/>
      <c r="BK116" s="55"/>
      <c r="BL116" s="32"/>
      <c r="BM116" s="32"/>
      <c r="BN116" s="32"/>
      <c r="BO116" s="32"/>
      <c r="BP116" s="32"/>
      <c r="BQ116" s="31"/>
      <c r="BR116" s="31"/>
      <c r="BS116" s="54"/>
      <c r="BT116" s="21" t="str">
        <f>IFERROR(VLOOKUP(August[[#This Row],[Drug Name7]],'Data Options'!$R$1:$S$100,2,FALSE), " ")</f>
        <v xml:space="preserve"> </v>
      </c>
      <c r="BU116" s="55"/>
      <c r="BV116" s="32"/>
      <c r="BW116" s="32"/>
      <c r="BX116" s="55"/>
      <c r="BY116" s="32"/>
      <c r="BZ116" s="54"/>
      <c r="CA116" s="21" t="str">
        <f>IFERROR(VLOOKUP(August[[#This Row],[Drug Name8]],'Data Options'!$R$1:$S$100,2,FALSE), " ")</f>
        <v xml:space="preserve"> </v>
      </c>
      <c r="CB116" s="55"/>
      <c r="CC116" s="32"/>
      <c r="CD116" s="32"/>
      <c r="CE116" s="55"/>
      <c r="CF116" s="32"/>
      <c r="CG116" s="54"/>
      <c r="CH116" s="21" t="str">
        <f>IFERROR(VLOOKUP(August[[#This Row],[Drug Name9]],'Data Options'!$R$1:$S$100,2,FALSE), " ")</f>
        <v xml:space="preserve"> </v>
      </c>
      <c r="CI116" s="55"/>
      <c r="CJ116" s="32"/>
      <c r="CK116" s="32"/>
      <c r="CL116" s="55"/>
      <c r="CM116" s="32"/>
    </row>
    <row r="117" spans="1:91">
      <c r="A117" s="5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1"/>
      <c r="P117" s="31"/>
      <c r="Q117" s="54"/>
      <c r="R117" s="21" t="str">
        <f>IFERROR(VLOOKUP(August[[#This Row],[Drug Name]],'Data Options'!$R$1:$S$100,2,FALSE), " ")</f>
        <v xml:space="preserve"> </v>
      </c>
      <c r="S117" s="55"/>
      <c r="T117" s="32"/>
      <c r="U117" s="32"/>
      <c r="V117" s="55"/>
      <c r="W117" s="32"/>
      <c r="X117" s="54"/>
      <c r="Y117" s="21" t="str">
        <f>IFERROR(VLOOKUP(August[[#This Row],[Drug Name2]],'Data Options'!$R$1:$S$100,2,FALSE), " ")</f>
        <v xml:space="preserve"> </v>
      </c>
      <c r="Z117" s="55"/>
      <c r="AA117" s="32"/>
      <c r="AB117" s="32"/>
      <c r="AC117" s="55"/>
      <c r="AD117" s="32"/>
      <c r="AE117" s="54"/>
      <c r="AF117" s="21" t="str">
        <f>IFERROR(VLOOKUP(August[[#This Row],[Drug Name3]],'Data Options'!$R$1:$S$100,2,FALSE), " ")</f>
        <v xml:space="preserve"> </v>
      </c>
      <c r="AG117" s="55"/>
      <c r="AH117" s="32"/>
      <c r="AI117" s="32"/>
      <c r="AJ117" s="55"/>
      <c r="AK117" s="32"/>
      <c r="AL117" s="32"/>
      <c r="AM117" s="32"/>
      <c r="AN117" s="32"/>
      <c r="AO117" s="32"/>
      <c r="AP117" s="31"/>
      <c r="AQ117" s="31"/>
      <c r="AR117" s="54"/>
      <c r="AS117" s="21" t="str">
        <f>IFERROR(VLOOKUP(August[[#This Row],[Drug Name4]],'Data Options'!$R$1:$S$100,2,FALSE), " ")</f>
        <v xml:space="preserve"> </v>
      </c>
      <c r="AT117" s="55"/>
      <c r="AU117" s="32"/>
      <c r="AV117" s="32"/>
      <c r="AW117" s="55"/>
      <c r="AX117" s="32"/>
      <c r="AY117" s="54"/>
      <c r="AZ117" s="21" t="str">
        <f>IFERROR(VLOOKUP(August[[#This Row],[Drug Name5]],'Data Options'!$R$1:$S$100,2,FALSE), " ")</f>
        <v xml:space="preserve"> </v>
      </c>
      <c r="BA117" s="55"/>
      <c r="BB117" s="32"/>
      <c r="BC117" s="32"/>
      <c r="BD117" s="55"/>
      <c r="BE117" s="32"/>
      <c r="BF117" s="54"/>
      <c r="BG117" s="21" t="str">
        <f>IFERROR(VLOOKUP(August[[#This Row],[Drug Name6]],'Data Options'!$R$1:$S$100,2,FALSE), " ")</f>
        <v xml:space="preserve"> </v>
      </c>
      <c r="BH117" s="55"/>
      <c r="BI117" s="32"/>
      <c r="BJ117" s="32"/>
      <c r="BK117" s="55"/>
      <c r="BL117" s="32"/>
      <c r="BM117" s="32"/>
      <c r="BN117" s="32"/>
      <c r="BO117" s="32"/>
      <c r="BP117" s="32"/>
      <c r="BQ117" s="31"/>
      <c r="BR117" s="31"/>
      <c r="BS117" s="54"/>
      <c r="BT117" s="21" t="str">
        <f>IFERROR(VLOOKUP(August[[#This Row],[Drug Name7]],'Data Options'!$R$1:$S$100,2,FALSE), " ")</f>
        <v xml:space="preserve"> </v>
      </c>
      <c r="BU117" s="55"/>
      <c r="BV117" s="32"/>
      <c r="BW117" s="32"/>
      <c r="BX117" s="55"/>
      <c r="BY117" s="32"/>
      <c r="BZ117" s="54"/>
      <c r="CA117" s="21" t="str">
        <f>IFERROR(VLOOKUP(August[[#This Row],[Drug Name8]],'Data Options'!$R$1:$S$100,2,FALSE), " ")</f>
        <v xml:space="preserve"> </v>
      </c>
      <c r="CB117" s="55"/>
      <c r="CC117" s="32"/>
      <c r="CD117" s="32"/>
      <c r="CE117" s="55"/>
      <c r="CF117" s="32"/>
      <c r="CG117" s="54"/>
      <c r="CH117" s="21" t="str">
        <f>IFERROR(VLOOKUP(August[[#This Row],[Drug Name9]],'Data Options'!$R$1:$S$100,2,FALSE), " ")</f>
        <v xml:space="preserve"> </v>
      </c>
      <c r="CI117" s="55"/>
      <c r="CJ117" s="32"/>
      <c r="CK117" s="32"/>
      <c r="CL117" s="55"/>
      <c r="CM117" s="32"/>
    </row>
    <row r="118" spans="1:91">
      <c r="A118" s="5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/>
      <c r="P118" s="31"/>
      <c r="Q118" s="54"/>
      <c r="R118" s="21" t="str">
        <f>IFERROR(VLOOKUP(August[[#This Row],[Drug Name]],'Data Options'!$R$1:$S$100,2,FALSE), " ")</f>
        <v xml:space="preserve"> </v>
      </c>
      <c r="S118" s="55"/>
      <c r="T118" s="32"/>
      <c r="U118" s="32"/>
      <c r="V118" s="55"/>
      <c r="W118" s="32"/>
      <c r="X118" s="54"/>
      <c r="Y118" s="21" t="str">
        <f>IFERROR(VLOOKUP(August[[#This Row],[Drug Name2]],'Data Options'!$R$1:$S$100,2,FALSE), " ")</f>
        <v xml:space="preserve"> </v>
      </c>
      <c r="Z118" s="55"/>
      <c r="AA118" s="32"/>
      <c r="AB118" s="32"/>
      <c r="AC118" s="55"/>
      <c r="AD118" s="32"/>
      <c r="AE118" s="54"/>
      <c r="AF118" s="21" t="str">
        <f>IFERROR(VLOOKUP(August[[#This Row],[Drug Name3]],'Data Options'!$R$1:$S$100,2,FALSE), " ")</f>
        <v xml:space="preserve"> </v>
      </c>
      <c r="AG118" s="55"/>
      <c r="AH118" s="32"/>
      <c r="AI118" s="32"/>
      <c r="AJ118" s="55"/>
      <c r="AK118" s="32"/>
      <c r="AL118" s="32"/>
      <c r="AM118" s="32"/>
      <c r="AN118" s="32"/>
      <c r="AO118" s="32"/>
      <c r="AP118" s="31"/>
      <c r="AQ118" s="31"/>
      <c r="AR118" s="54"/>
      <c r="AS118" s="21" t="str">
        <f>IFERROR(VLOOKUP(August[[#This Row],[Drug Name4]],'Data Options'!$R$1:$S$100,2,FALSE), " ")</f>
        <v xml:space="preserve"> </v>
      </c>
      <c r="AT118" s="55"/>
      <c r="AU118" s="32"/>
      <c r="AV118" s="32"/>
      <c r="AW118" s="55"/>
      <c r="AX118" s="32"/>
      <c r="AY118" s="54"/>
      <c r="AZ118" s="21" t="str">
        <f>IFERROR(VLOOKUP(August[[#This Row],[Drug Name5]],'Data Options'!$R$1:$S$100,2,FALSE), " ")</f>
        <v xml:space="preserve"> </v>
      </c>
      <c r="BA118" s="55"/>
      <c r="BB118" s="32"/>
      <c r="BC118" s="32"/>
      <c r="BD118" s="55"/>
      <c r="BE118" s="32"/>
      <c r="BF118" s="54"/>
      <c r="BG118" s="21" t="str">
        <f>IFERROR(VLOOKUP(August[[#This Row],[Drug Name6]],'Data Options'!$R$1:$S$100,2,FALSE), " ")</f>
        <v xml:space="preserve"> </v>
      </c>
      <c r="BH118" s="55"/>
      <c r="BI118" s="32"/>
      <c r="BJ118" s="32"/>
      <c r="BK118" s="55"/>
      <c r="BL118" s="32"/>
      <c r="BM118" s="32"/>
      <c r="BN118" s="32"/>
      <c r="BO118" s="32"/>
      <c r="BP118" s="32"/>
      <c r="BQ118" s="31"/>
      <c r="BR118" s="31"/>
      <c r="BS118" s="54"/>
      <c r="BT118" s="21" t="str">
        <f>IFERROR(VLOOKUP(August[[#This Row],[Drug Name7]],'Data Options'!$R$1:$S$100,2,FALSE), " ")</f>
        <v xml:space="preserve"> </v>
      </c>
      <c r="BU118" s="55"/>
      <c r="BV118" s="32"/>
      <c r="BW118" s="32"/>
      <c r="BX118" s="55"/>
      <c r="BY118" s="32"/>
      <c r="BZ118" s="54"/>
      <c r="CA118" s="21" t="str">
        <f>IFERROR(VLOOKUP(August[[#This Row],[Drug Name8]],'Data Options'!$R$1:$S$100,2,FALSE), " ")</f>
        <v xml:space="preserve"> </v>
      </c>
      <c r="CB118" s="55"/>
      <c r="CC118" s="32"/>
      <c r="CD118" s="32"/>
      <c r="CE118" s="55"/>
      <c r="CF118" s="32"/>
      <c r="CG118" s="54"/>
      <c r="CH118" s="21" t="str">
        <f>IFERROR(VLOOKUP(August[[#This Row],[Drug Name9]],'Data Options'!$R$1:$S$100,2,FALSE), " ")</f>
        <v xml:space="preserve"> </v>
      </c>
      <c r="CI118" s="55"/>
      <c r="CJ118" s="32"/>
      <c r="CK118" s="32"/>
      <c r="CL118" s="55"/>
      <c r="CM118" s="32"/>
    </row>
    <row r="119" spans="1:91">
      <c r="A119" s="5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1"/>
      <c r="P119" s="31"/>
      <c r="Q119" s="54"/>
      <c r="R119" s="21" t="str">
        <f>IFERROR(VLOOKUP(August[[#This Row],[Drug Name]],'Data Options'!$R$1:$S$100,2,FALSE), " ")</f>
        <v xml:space="preserve"> </v>
      </c>
      <c r="S119" s="55"/>
      <c r="T119" s="32"/>
      <c r="U119" s="32"/>
      <c r="V119" s="55"/>
      <c r="W119" s="32"/>
      <c r="X119" s="54"/>
      <c r="Y119" s="21" t="str">
        <f>IFERROR(VLOOKUP(August[[#This Row],[Drug Name2]],'Data Options'!$R$1:$S$100,2,FALSE), " ")</f>
        <v xml:space="preserve"> </v>
      </c>
      <c r="Z119" s="55"/>
      <c r="AA119" s="32"/>
      <c r="AB119" s="32"/>
      <c r="AC119" s="55"/>
      <c r="AD119" s="32"/>
      <c r="AE119" s="54"/>
      <c r="AF119" s="21" t="str">
        <f>IFERROR(VLOOKUP(August[[#This Row],[Drug Name3]],'Data Options'!$R$1:$S$100,2,FALSE), " ")</f>
        <v xml:space="preserve"> </v>
      </c>
      <c r="AG119" s="55"/>
      <c r="AH119" s="32"/>
      <c r="AI119" s="32"/>
      <c r="AJ119" s="55"/>
      <c r="AK119" s="32"/>
      <c r="AL119" s="32"/>
      <c r="AM119" s="32"/>
      <c r="AN119" s="32"/>
      <c r="AO119" s="32"/>
      <c r="AP119" s="31"/>
      <c r="AQ119" s="31"/>
      <c r="AR119" s="54"/>
      <c r="AS119" s="21" t="str">
        <f>IFERROR(VLOOKUP(August[[#This Row],[Drug Name4]],'Data Options'!$R$1:$S$100,2,FALSE), " ")</f>
        <v xml:space="preserve"> </v>
      </c>
      <c r="AT119" s="55"/>
      <c r="AU119" s="32"/>
      <c r="AV119" s="32"/>
      <c r="AW119" s="55"/>
      <c r="AX119" s="32"/>
      <c r="AY119" s="54"/>
      <c r="AZ119" s="21" t="str">
        <f>IFERROR(VLOOKUP(August[[#This Row],[Drug Name5]],'Data Options'!$R$1:$S$100,2,FALSE), " ")</f>
        <v xml:space="preserve"> </v>
      </c>
      <c r="BA119" s="55"/>
      <c r="BB119" s="32"/>
      <c r="BC119" s="32"/>
      <c r="BD119" s="55"/>
      <c r="BE119" s="32"/>
      <c r="BF119" s="54"/>
      <c r="BG119" s="21" t="str">
        <f>IFERROR(VLOOKUP(August[[#This Row],[Drug Name6]],'Data Options'!$R$1:$S$100,2,FALSE), " ")</f>
        <v xml:space="preserve"> </v>
      </c>
      <c r="BH119" s="55"/>
      <c r="BI119" s="32"/>
      <c r="BJ119" s="32"/>
      <c r="BK119" s="55"/>
      <c r="BL119" s="32"/>
      <c r="BM119" s="32"/>
      <c r="BN119" s="32"/>
      <c r="BO119" s="32"/>
      <c r="BP119" s="32"/>
      <c r="BQ119" s="31"/>
      <c r="BR119" s="31"/>
      <c r="BS119" s="54"/>
      <c r="BT119" s="21" t="str">
        <f>IFERROR(VLOOKUP(August[[#This Row],[Drug Name7]],'Data Options'!$R$1:$S$100,2,FALSE), " ")</f>
        <v xml:space="preserve"> </v>
      </c>
      <c r="BU119" s="55"/>
      <c r="BV119" s="32"/>
      <c r="BW119" s="32"/>
      <c r="BX119" s="55"/>
      <c r="BY119" s="32"/>
      <c r="BZ119" s="54"/>
      <c r="CA119" s="21" t="str">
        <f>IFERROR(VLOOKUP(August[[#This Row],[Drug Name8]],'Data Options'!$R$1:$S$100,2,FALSE), " ")</f>
        <v xml:space="preserve"> </v>
      </c>
      <c r="CB119" s="55"/>
      <c r="CC119" s="32"/>
      <c r="CD119" s="32"/>
      <c r="CE119" s="55"/>
      <c r="CF119" s="32"/>
      <c r="CG119" s="54"/>
      <c r="CH119" s="21" t="str">
        <f>IFERROR(VLOOKUP(August[[#This Row],[Drug Name9]],'Data Options'!$R$1:$S$100,2,FALSE), " ")</f>
        <v xml:space="preserve"> </v>
      </c>
      <c r="CI119" s="55"/>
      <c r="CJ119" s="32"/>
      <c r="CK119" s="32"/>
      <c r="CL119" s="55"/>
      <c r="CM119" s="32"/>
    </row>
    <row r="120" spans="1:91">
      <c r="A120" s="5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/>
      <c r="P120" s="31"/>
      <c r="Q120" s="54"/>
      <c r="R120" s="21" t="str">
        <f>IFERROR(VLOOKUP(August[[#This Row],[Drug Name]],'Data Options'!$R$1:$S$100,2,FALSE), " ")</f>
        <v xml:space="preserve"> </v>
      </c>
      <c r="S120" s="55"/>
      <c r="T120" s="32"/>
      <c r="U120" s="32"/>
      <c r="V120" s="55"/>
      <c r="W120" s="32"/>
      <c r="X120" s="54"/>
      <c r="Y120" s="21" t="str">
        <f>IFERROR(VLOOKUP(August[[#This Row],[Drug Name2]],'Data Options'!$R$1:$S$100,2,FALSE), " ")</f>
        <v xml:space="preserve"> </v>
      </c>
      <c r="Z120" s="55"/>
      <c r="AA120" s="32"/>
      <c r="AB120" s="32"/>
      <c r="AC120" s="55"/>
      <c r="AD120" s="32"/>
      <c r="AE120" s="54"/>
      <c r="AF120" s="21" t="str">
        <f>IFERROR(VLOOKUP(August[[#This Row],[Drug Name3]],'Data Options'!$R$1:$S$100,2,FALSE), " ")</f>
        <v xml:space="preserve"> </v>
      </c>
      <c r="AG120" s="55"/>
      <c r="AH120" s="32"/>
      <c r="AI120" s="32"/>
      <c r="AJ120" s="55"/>
      <c r="AK120" s="32"/>
      <c r="AL120" s="32"/>
      <c r="AM120" s="32"/>
      <c r="AN120" s="32"/>
      <c r="AO120" s="32"/>
      <c r="AP120" s="31"/>
      <c r="AQ120" s="31"/>
      <c r="AR120" s="54"/>
      <c r="AS120" s="21" t="str">
        <f>IFERROR(VLOOKUP(August[[#This Row],[Drug Name4]],'Data Options'!$R$1:$S$100,2,FALSE), " ")</f>
        <v xml:space="preserve"> </v>
      </c>
      <c r="AT120" s="55"/>
      <c r="AU120" s="32"/>
      <c r="AV120" s="32"/>
      <c r="AW120" s="55"/>
      <c r="AX120" s="32"/>
      <c r="AY120" s="54"/>
      <c r="AZ120" s="21" t="str">
        <f>IFERROR(VLOOKUP(August[[#This Row],[Drug Name5]],'Data Options'!$R$1:$S$100,2,FALSE), " ")</f>
        <v xml:space="preserve"> </v>
      </c>
      <c r="BA120" s="55"/>
      <c r="BB120" s="32"/>
      <c r="BC120" s="32"/>
      <c r="BD120" s="55"/>
      <c r="BE120" s="32"/>
      <c r="BF120" s="54"/>
      <c r="BG120" s="21" t="str">
        <f>IFERROR(VLOOKUP(August[[#This Row],[Drug Name6]],'Data Options'!$R$1:$S$100,2,FALSE), " ")</f>
        <v xml:space="preserve"> </v>
      </c>
      <c r="BH120" s="55"/>
      <c r="BI120" s="32"/>
      <c r="BJ120" s="32"/>
      <c r="BK120" s="55"/>
      <c r="BL120" s="32"/>
      <c r="BM120" s="32"/>
      <c r="BN120" s="32"/>
      <c r="BO120" s="32"/>
      <c r="BP120" s="32"/>
      <c r="BQ120" s="31"/>
      <c r="BR120" s="31"/>
      <c r="BS120" s="54"/>
      <c r="BT120" s="21" t="str">
        <f>IFERROR(VLOOKUP(August[[#This Row],[Drug Name7]],'Data Options'!$R$1:$S$100,2,FALSE), " ")</f>
        <v xml:space="preserve"> </v>
      </c>
      <c r="BU120" s="55"/>
      <c r="BV120" s="32"/>
      <c r="BW120" s="32"/>
      <c r="BX120" s="55"/>
      <c r="BY120" s="32"/>
      <c r="BZ120" s="54"/>
      <c r="CA120" s="21" t="str">
        <f>IFERROR(VLOOKUP(August[[#This Row],[Drug Name8]],'Data Options'!$R$1:$S$100,2,FALSE), " ")</f>
        <v xml:space="preserve"> </v>
      </c>
      <c r="CB120" s="55"/>
      <c r="CC120" s="32"/>
      <c r="CD120" s="32"/>
      <c r="CE120" s="55"/>
      <c r="CF120" s="32"/>
      <c r="CG120" s="54"/>
      <c r="CH120" s="21" t="str">
        <f>IFERROR(VLOOKUP(August[[#This Row],[Drug Name9]],'Data Options'!$R$1:$S$100,2,FALSE), " ")</f>
        <v xml:space="preserve"> </v>
      </c>
      <c r="CI120" s="55"/>
      <c r="CJ120" s="32"/>
      <c r="CK120" s="32"/>
      <c r="CL120" s="55"/>
      <c r="CM120" s="32"/>
    </row>
    <row r="121" spans="1:91">
      <c r="A121" s="5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1"/>
      <c r="P121" s="31"/>
      <c r="Q121" s="54"/>
      <c r="R121" s="21" t="str">
        <f>IFERROR(VLOOKUP(August[[#This Row],[Drug Name]],'Data Options'!$R$1:$S$100,2,FALSE), " ")</f>
        <v xml:space="preserve"> </v>
      </c>
      <c r="S121" s="55"/>
      <c r="T121" s="32"/>
      <c r="U121" s="32"/>
      <c r="V121" s="55"/>
      <c r="W121" s="32"/>
      <c r="X121" s="54"/>
      <c r="Y121" s="21" t="str">
        <f>IFERROR(VLOOKUP(August[[#This Row],[Drug Name2]],'Data Options'!$R$1:$S$100,2,FALSE), " ")</f>
        <v xml:space="preserve"> </v>
      </c>
      <c r="Z121" s="55"/>
      <c r="AA121" s="32"/>
      <c r="AB121" s="32"/>
      <c r="AC121" s="55"/>
      <c r="AD121" s="32"/>
      <c r="AE121" s="54"/>
      <c r="AF121" s="21" t="str">
        <f>IFERROR(VLOOKUP(August[[#This Row],[Drug Name3]],'Data Options'!$R$1:$S$100,2,FALSE), " ")</f>
        <v xml:space="preserve"> </v>
      </c>
      <c r="AG121" s="55"/>
      <c r="AH121" s="32"/>
      <c r="AI121" s="32"/>
      <c r="AJ121" s="55"/>
      <c r="AK121" s="32"/>
      <c r="AL121" s="32"/>
      <c r="AM121" s="32"/>
      <c r="AN121" s="32"/>
      <c r="AO121" s="32"/>
      <c r="AP121" s="31"/>
      <c r="AQ121" s="31"/>
      <c r="AR121" s="54"/>
      <c r="AS121" s="21" t="str">
        <f>IFERROR(VLOOKUP(August[[#This Row],[Drug Name4]],'Data Options'!$R$1:$S$100,2,FALSE), " ")</f>
        <v xml:space="preserve"> </v>
      </c>
      <c r="AT121" s="55"/>
      <c r="AU121" s="32"/>
      <c r="AV121" s="32"/>
      <c r="AW121" s="55"/>
      <c r="AX121" s="32"/>
      <c r="AY121" s="54"/>
      <c r="AZ121" s="21" t="str">
        <f>IFERROR(VLOOKUP(August[[#This Row],[Drug Name5]],'Data Options'!$R$1:$S$100,2,FALSE), " ")</f>
        <v xml:space="preserve"> </v>
      </c>
      <c r="BA121" s="55"/>
      <c r="BB121" s="32"/>
      <c r="BC121" s="32"/>
      <c r="BD121" s="55"/>
      <c r="BE121" s="32"/>
      <c r="BF121" s="54"/>
      <c r="BG121" s="21" t="str">
        <f>IFERROR(VLOOKUP(August[[#This Row],[Drug Name6]],'Data Options'!$R$1:$S$100,2,FALSE), " ")</f>
        <v xml:space="preserve"> </v>
      </c>
      <c r="BH121" s="55"/>
      <c r="BI121" s="32"/>
      <c r="BJ121" s="32"/>
      <c r="BK121" s="55"/>
      <c r="BL121" s="32"/>
      <c r="BM121" s="32"/>
      <c r="BN121" s="32"/>
      <c r="BO121" s="32"/>
      <c r="BP121" s="32"/>
      <c r="BQ121" s="31"/>
      <c r="BR121" s="31"/>
      <c r="BS121" s="54"/>
      <c r="BT121" s="21" t="str">
        <f>IFERROR(VLOOKUP(August[[#This Row],[Drug Name7]],'Data Options'!$R$1:$S$100,2,FALSE), " ")</f>
        <v xml:space="preserve"> </v>
      </c>
      <c r="BU121" s="55"/>
      <c r="BV121" s="32"/>
      <c r="BW121" s="32"/>
      <c r="BX121" s="55"/>
      <c r="BY121" s="32"/>
      <c r="BZ121" s="54"/>
      <c r="CA121" s="21" t="str">
        <f>IFERROR(VLOOKUP(August[[#This Row],[Drug Name8]],'Data Options'!$R$1:$S$100,2,FALSE), " ")</f>
        <v xml:space="preserve"> </v>
      </c>
      <c r="CB121" s="55"/>
      <c r="CC121" s="32"/>
      <c r="CD121" s="32"/>
      <c r="CE121" s="55"/>
      <c r="CF121" s="32"/>
      <c r="CG121" s="54"/>
      <c r="CH121" s="21" t="str">
        <f>IFERROR(VLOOKUP(August[[#This Row],[Drug Name9]],'Data Options'!$R$1:$S$100,2,FALSE), " ")</f>
        <v xml:space="preserve"> </v>
      </c>
      <c r="CI121" s="55"/>
      <c r="CJ121" s="32"/>
      <c r="CK121" s="32"/>
      <c r="CL121" s="55"/>
      <c r="CM121" s="32"/>
    </row>
    <row r="122" spans="1:91">
      <c r="A122" s="5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1"/>
      <c r="P122" s="31"/>
      <c r="Q122" s="54"/>
      <c r="R122" s="21" t="str">
        <f>IFERROR(VLOOKUP(August[[#This Row],[Drug Name]],'Data Options'!$R$1:$S$100,2,FALSE), " ")</f>
        <v xml:space="preserve"> </v>
      </c>
      <c r="S122" s="55"/>
      <c r="T122" s="32"/>
      <c r="U122" s="32"/>
      <c r="V122" s="55"/>
      <c r="W122" s="32"/>
      <c r="X122" s="54"/>
      <c r="Y122" s="21" t="str">
        <f>IFERROR(VLOOKUP(August[[#This Row],[Drug Name2]],'Data Options'!$R$1:$S$100,2,FALSE), " ")</f>
        <v xml:space="preserve"> </v>
      </c>
      <c r="Z122" s="55"/>
      <c r="AA122" s="32"/>
      <c r="AB122" s="32"/>
      <c r="AC122" s="55"/>
      <c r="AD122" s="32"/>
      <c r="AE122" s="54"/>
      <c r="AF122" s="21" t="str">
        <f>IFERROR(VLOOKUP(August[[#This Row],[Drug Name3]],'Data Options'!$R$1:$S$100,2,FALSE), " ")</f>
        <v xml:space="preserve"> </v>
      </c>
      <c r="AG122" s="55"/>
      <c r="AH122" s="32"/>
      <c r="AI122" s="32"/>
      <c r="AJ122" s="55"/>
      <c r="AK122" s="32"/>
      <c r="AL122" s="32"/>
      <c r="AM122" s="32"/>
      <c r="AN122" s="32"/>
      <c r="AO122" s="32"/>
      <c r="AP122" s="31"/>
      <c r="AQ122" s="31"/>
      <c r="AR122" s="54"/>
      <c r="AS122" s="21" t="str">
        <f>IFERROR(VLOOKUP(August[[#This Row],[Drug Name4]],'Data Options'!$R$1:$S$100,2,FALSE), " ")</f>
        <v xml:space="preserve"> </v>
      </c>
      <c r="AT122" s="55"/>
      <c r="AU122" s="32"/>
      <c r="AV122" s="32"/>
      <c r="AW122" s="55"/>
      <c r="AX122" s="32"/>
      <c r="AY122" s="54"/>
      <c r="AZ122" s="21" t="str">
        <f>IFERROR(VLOOKUP(August[[#This Row],[Drug Name5]],'Data Options'!$R$1:$S$100,2,FALSE), " ")</f>
        <v xml:space="preserve"> </v>
      </c>
      <c r="BA122" s="55"/>
      <c r="BB122" s="32"/>
      <c r="BC122" s="32"/>
      <c r="BD122" s="55"/>
      <c r="BE122" s="32"/>
      <c r="BF122" s="54"/>
      <c r="BG122" s="21" t="str">
        <f>IFERROR(VLOOKUP(August[[#This Row],[Drug Name6]],'Data Options'!$R$1:$S$100,2,FALSE), " ")</f>
        <v xml:space="preserve"> </v>
      </c>
      <c r="BH122" s="55"/>
      <c r="BI122" s="32"/>
      <c r="BJ122" s="32"/>
      <c r="BK122" s="55"/>
      <c r="BL122" s="32"/>
      <c r="BM122" s="32"/>
      <c r="BN122" s="32"/>
      <c r="BO122" s="32"/>
      <c r="BP122" s="32"/>
      <c r="BQ122" s="31"/>
      <c r="BR122" s="31"/>
      <c r="BS122" s="54"/>
      <c r="BT122" s="21" t="str">
        <f>IFERROR(VLOOKUP(August[[#This Row],[Drug Name7]],'Data Options'!$R$1:$S$100,2,FALSE), " ")</f>
        <v xml:space="preserve"> </v>
      </c>
      <c r="BU122" s="55"/>
      <c r="BV122" s="32"/>
      <c r="BW122" s="32"/>
      <c r="BX122" s="55"/>
      <c r="BY122" s="32"/>
      <c r="BZ122" s="54"/>
      <c r="CA122" s="21" t="str">
        <f>IFERROR(VLOOKUP(August[[#This Row],[Drug Name8]],'Data Options'!$R$1:$S$100,2,FALSE), " ")</f>
        <v xml:space="preserve"> </v>
      </c>
      <c r="CB122" s="55"/>
      <c r="CC122" s="32"/>
      <c r="CD122" s="32"/>
      <c r="CE122" s="55"/>
      <c r="CF122" s="32"/>
      <c r="CG122" s="54"/>
      <c r="CH122" s="21" t="str">
        <f>IFERROR(VLOOKUP(August[[#This Row],[Drug Name9]],'Data Options'!$R$1:$S$100,2,FALSE), " ")</f>
        <v xml:space="preserve"> </v>
      </c>
      <c r="CI122" s="55"/>
      <c r="CJ122" s="32"/>
      <c r="CK122" s="32"/>
      <c r="CL122" s="55"/>
      <c r="CM122" s="32"/>
    </row>
    <row r="123" spans="1:91">
      <c r="A123" s="5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1"/>
      <c r="P123" s="31"/>
      <c r="Q123" s="54"/>
      <c r="R123" s="21" t="str">
        <f>IFERROR(VLOOKUP(August[[#This Row],[Drug Name]],'Data Options'!$R$1:$S$100,2,FALSE), " ")</f>
        <v xml:space="preserve"> </v>
      </c>
      <c r="S123" s="55"/>
      <c r="T123" s="32"/>
      <c r="U123" s="32"/>
      <c r="V123" s="55"/>
      <c r="W123" s="32"/>
      <c r="X123" s="54"/>
      <c r="Y123" s="21" t="str">
        <f>IFERROR(VLOOKUP(August[[#This Row],[Drug Name2]],'Data Options'!$R$1:$S$100,2,FALSE), " ")</f>
        <v xml:space="preserve"> </v>
      </c>
      <c r="Z123" s="55"/>
      <c r="AA123" s="32"/>
      <c r="AB123" s="32"/>
      <c r="AC123" s="55"/>
      <c r="AD123" s="32"/>
      <c r="AE123" s="54"/>
      <c r="AF123" s="21" t="str">
        <f>IFERROR(VLOOKUP(August[[#This Row],[Drug Name3]],'Data Options'!$R$1:$S$100,2,FALSE), " ")</f>
        <v xml:space="preserve"> </v>
      </c>
      <c r="AG123" s="55"/>
      <c r="AH123" s="32"/>
      <c r="AI123" s="32"/>
      <c r="AJ123" s="55"/>
      <c r="AK123" s="32"/>
      <c r="AL123" s="32"/>
      <c r="AM123" s="32"/>
      <c r="AN123" s="32"/>
      <c r="AO123" s="32"/>
      <c r="AP123" s="31"/>
      <c r="AQ123" s="31"/>
      <c r="AR123" s="54"/>
      <c r="AS123" s="21" t="str">
        <f>IFERROR(VLOOKUP(August[[#This Row],[Drug Name4]],'Data Options'!$R$1:$S$100,2,FALSE), " ")</f>
        <v xml:space="preserve"> </v>
      </c>
      <c r="AT123" s="55"/>
      <c r="AU123" s="32"/>
      <c r="AV123" s="32"/>
      <c r="AW123" s="55"/>
      <c r="AX123" s="32"/>
      <c r="AY123" s="54"/>
      <c r="AZ123" s="21" t="str">
        <f>IFERROR(VLOOKUP(August[[#This Row],[Drug Name5]],'Data Options'!$R$1:$S$100,2,FALSE), " ")</f>
        <v xml:space="preserve"> </v>
      </c>
      <c r="BA123" s="55"/>
      <c r="BB123" s="32"/>
      <c r="BC123" s="32"/>
      <c r="BD123" s="55"/>
      <c r="BE123" s="32"/>
      <c r="BF123" s="54"/>
      <c r="BG123" s="21" t="str">
        <f>IFERROR(VLOOKUP(August[[#This Row],[Drug Name6]],'Data Options'!$R$1:$S$100,2,FALSE), " ")</f>
        <v xml:space="preserve"> </v>
      </c>
      <c r="BH123" s="55"/>
      <c r="BI123" s="32"/>
      <c r="BJ123" s="32"/>
      <c r="BK123" s="55"/>
      <c r="BL123" s="32"/>
      <c r="BM123" s="32"/>
      <c r="BN123" s="32"/>
      <c r="BO123" s="32"/>
      <c r="BP123" s="32"/>
      <c r="BQ123" s="31"/>
      <c r="BR123" s="31"/>
      <c r="BS123" s="54"/>
      <c r="BT123" s="21" t="str">
        <f>IFERROR(VLOOKUP(August[[#This Row],[Drug Name7]],'Data Options'!$R$1:$S$100,2,FALSE), " ")</f>
        <v xml:space="preserve"> </v>
      </c>
      <c r="BU123" s="55"/>
      <c r="BV123" s="32"/>
      <c r="BW123" s="32"/>
      <c r="BX123" s="55"/>
      <c r="BY123" s="32"/>
      <c r="BZ123" s="54"/>
      <c r="CA123" s="21" t="str">
        <f>IFERROR(VLOOKUP(August[[#This Row],[Drug Name8]],'Data Options'!$R$1:$S$100,2,FALSE), " ")</f>
        <v xml:space="preserve"> </v>
      </c>
      <c r="CB123" s="55"/>
      <c r="CC123" s="32"/>
      <c r="CD123" s="32"/>
      <c r="CE123" s="55"/>
      <c r="CF123" s="32"/>
      <c r="CG123" s="54"/>
      <c r="CH123" s="21" t="str">
        <f>IFERROR(VLOOKUP(August[[#This Row],[Drug Name9]],'Data Options'!$R$1:$S$100,2,FALSE), " ")</f>
        <v xml:space="preserve"> </v>
      </c>
      <c r="CI123" s="55"/>
      <c r="CJ123" s="32"/>
      <c r="CK123" s="32"/>
      <c r="CL123" s="55"/>
      <c r="CM123" s="32"/>
    </row>
    <row r="124" spans="1:91">
      <c r="A124" s="5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1"/>
      <c r="P124" s="31"/>
      <c r="Q124" s="54"/>
      <c r="R124" s="21" t="str">
        <f>IFERROR(VLOOKUP(August[[#This Row],[Drug Name]],'Data Options'!$R$1:$S$100,2,FALSE), " ")</f>
        <v xml:space="preserve"> </v>
      </c>
      <c r="S124" s="55"/>
      <c r="T124" s="32"/>
      <c r="U124" s="32"/>
      <c r="V124" s="55"/>
      <c r="W124" s="32"/>
      <c r="X124" s="54"/>
      <c r="Y124" s="21" t="str">
        <f>IFERROR(VLOOKUP(August[[#This Row],[Drug Name2]],'Data Options'!$R$1:$S$100,2,FALSE), " ")</f>
        <v xml:space="preserve"> </v>
      </c>
      <c r="Z124" s="55"/>
      <c r="AA124" s="32"/>
      <c r="AB124" s="32"/>
      <c r="AC124" s="55"/>
      <c r="AD124" s="32"/>
      <c r="AE124" s="54"/>
      <c r="AF124" s="21" t="str">
        <f>IFERROR(VLOOKUP(August[[#This Row],[Drug Name3]],'Data Options'!$R$1:$S$100,2,FALSE), " ")</f>
        <v xml:space="preserve"> </v>
      </c>
      <c r="AG124" s="55"/>
      <c r="AH124" s="32"/>
      <c r="AI124" s="32"/>
      <c r="AJ124" s="55"/>
      <c r="AK124" s="32"/>
      <c r="AL124" s="32"/>
      <c r="AM124" s="32"/>
      <c r="AN124" s="32"/>
      <c r="AO124" s="32"/>
      <c r="AP124" s="31"/>
      <c r="AQ124" s="31"/>
      <c r="AR124" s="54"/>
      <c r="AS124" s="21" t="str">
        <f>IFERROR(VLOOKUP(August[[#This Row],[Drug Name4]],'Data Options'!$R$1:$S$100,2,FALSE), " ")</f>
        <v xml:space="preserve"> </v>
      </c>
      <c r="AT124" s="55"/>
      <c r="AU124" s="32"/>
      <c r="AV124" s="32"/>
      <c r="AW124" s="55"/>
      <c r="AX124" s="32"/>
      <c r="AY124" s="54"/>
      <c r="AZ124" s="21" t="str">
        <f>IFERROR(VLOOKUP(August[[#This Row],[Drug Name5]],'Data Options'!$R$1:$S$100,2,FALSE), " ")</f>
        <v xml:space="preserve"> </v>
      </c>
      <c r="BA124" s="55"/>
      <c r="BB124" s="32"/>
      <c r="BC124" s="32"/>
      <c r="BD124" s="55"/>
      <c r="BE124" s="32"/>
      <c r="BF124" s="54"/>
      <c r="BG124" s="21" t="str">
        <f>IFERROR(VLOOKUP(August[[#This Row],[Drug Name6]],'Data Options'!$R$1:$S$100,2,FALSE), " ")</f>
        <v xml:space="preserve"> </v>
      </c>
      <c r="BH124" s="55"/>
      <c r="BI124" s="32"/>
      <c r="BJ124" s="32"/>
      <c r="BK124" s="55"/>
      <c r="BL124" s="32"/>
      <c r="BM124" s="32"/>
      <c r="BN124" s="32"/>
      <c r="BO124" s="32"/>
      <c r="BP124" s="32"/>
      <c r="BQ124" s="31"/>
      <c r="BR124" s="31"/>
      <c r="BS124" s="54"/>
      <c r="BT124" s="21" t="str">
        <f>IFERROR(VLOOKUP(August[[#This Row],[Drug Name7]],'Data Options'!$R$1:$S$100,2,FALSE), " ")</f>
        <v xml:space="preserve"> </v>
      </c>
      <c r="BU124" s="55"/>
      <c r="BV124" s="32"/>
      <c r="BW124" s="32"/>
      <c r="BX124" s="55"/>
      <c r="BY124" s="32"/>
      <c r="BZ124" s="54"/>
      <c r="CA124" s="21" t="str">
        <f>IFERROR(VLOOKUP(August[[#This Row],[Drug Name8]],'Data Options'!$R$1:$S$100,2,FALSE), " ")</f>
        <v xml:space="preserve"> </v>
      </c>
      <c r="CB124" s="55"/>
      <c r="CC124" s="32"/>
      <c r="CD124" s="32"/>
      <c r="CE124" s="55"/>
      <c r="CF124" s="32"/>
      <c r="CG124" s="54"/>
      <c r="CH124" s="21" t="str">
        <f>IFERROR(VLOOKUP(August[[#This Row],[Drug Name9]],'Data Options'!$R$1:$S$100,2,FALSE), " ")</f>
        <v xml:space="preserve"> </v>
      </c>
      <c r="CI124" s="55"/>
      <c r="CJ124" s="32"/>
      <c r="CK124" s="32"/>
      <c r="CL124" s="55"/>
      <c r="CM124" s="32"/>
    </row>
    <row r="125" spans="1:91">
      <c r="A125" s="5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1"/>
      <c r="P125" s="31"/>
      <c r="Q125" s="54"/>
      <c r="R125" s="21" t="str">
        <f>IFERROR(VLOOKUP(August[[#This Row],[Drug Name]],'Data Options'!$R$1:$S$100,2,FALSE), " ")</f>
        <v xml:space="preserve"> </v>
      </c>
      <c r="S125" s="55"/>
      <c r="T125" s="32"/>
      <c r="U125" s="32"/>
      <c r="V125" s="55"/>
      <c r="W125" s="32"/>
      <c r="X125" s="54"/>
      <c r="Y125" s="21" t="str">
        <f>IFERROR(VLOOKUP(August[[#This Row],[Drug Name2]],'Data Options'!$R$1:$S$100,2,FALSE), " ")</f>
        <v xml:space="preserve"> </v>
      </c>
      <c r="Z125" s="55"/>
      <c r="AA125" s="32"/>
      <c r="AB125" s="32"/>
      <c r="AC125" s="55"/>
      <c r="AD125" s="32"/>
      <c r="AE125" s="54"/>
      <c r="AF125" s="21" t="str">
        <f>IFERROR(VLOOKUP(August[[#This Row],[Drug Name3]],'Data Options'!$R$1:$S$100,2,FALSE), " ")</f>
        <v xml:space="preserve"> </v>
      </c>
      <c r="AG125" s="55"/>
      <c r="AH125" s="32"/>
      <c r="AI125" s="32"/>
      <c r="AJ125" s="55"/>
      <c r="AK125" s="32"/>
      <c r="AL125" s="32"/>
      <c r="AM125" s="32"/>
      <c r="AN125" s="32"/>
      <c r="AO125" s="32"/>
      <c r="AP125" s="31"/>
      <c r="AQ125" s="31"/>
      <c r="AR125" s="54"/>
      <c r="AS125" s="21" t="str">
        <f>IFERROR(VLOOKUP(August[[#This Row],[Drug Name4]],'Data Options'!$R$1:$S$100,2,FALSE), " ")</f>
        <v xml:space="preserve"> </v>
      </c>
      <c r="AT125" s="55"/>
      <c r="AU125" s="32"/>
      <c r="AV125" s="32"/>
      <c r="AW125" s="55"/>
      <c r="AX125" s="32"/>
      <c r="AY125" s="54"/>
      <c r="AZ125" s="21" t="str">
        <f>IFERROR(VLOOKUP(August[[#This Row],[Drug Name5]],'Data Options'!$R$1:$S$100,2,FALSE), " ")</f>
        <v xml:space="preserve"> </v>
      </c>
      <c r="BA125" s="55"/>
      <c r="BB125" s="32"/>
      <c r="BC125" s="32"/>
      <c r="BD125" s="55"/>
      <c r="BE125" s="32"/>
      <c r="BF125" s="54"/>
      <c r="BG125" s="21" t="str">
        <f>IFERROR(VLOOKUP(August[[#This Row],[Drug Name6]],'Data Options'!$R$1:$S$100,2,FALSE), " ")</f>
        <v xml:space="preserve"> </v>
      </c>
      <c r="BH125" s="55"/>
      <c r="BI125" s="32"/>
      <c r="BJ125" s="32"/>
      <c r="BK125" s="55"/>
      <c r="BL125" s="32"/>
      <c r="BM125" s="32"/>
      <c r="BN125" s="32"/>
      <c r="BO125" s="32"/>
      <c r="BP125" s="32"/>
      <c r="BQ125" s="31"/>
      <c r="BR125" s="31"/>
      <c r="BS125" s="54"/>
      <c r="BT125" s="21" t="str">
        <f>IFERROR(VLOOKUP(August[[#This Row],[Drug Name7]],'Data Options'!$R$1:$S$100,2,FALSE), " ")</f>
        <v xml:space="preserve"> </v>
      </c>
      <c r="BU125" s="55"/>
      <c r="BV125" s="32"/>
      <c r="BW125" s="32"/>
      <c r="BX125" s="55"/>
      <c r="BY125" s="32"/>
      <c r="BZ125" s="54"/>
      <c r="CA125" s="21" t="str">
        <f>IFERROR(VLOOKUP(August[[#This Row],[Drug Name8]],'Data Options'!$R$1:$S$100,2,FALSE), " ")</f>
        <v xml:space="preserve"> </v>
      </c>
      <c r="CB125" s="55"/>
      <c r="CC125" s="32"/>
      <c r="CD125" s="32"/>
      <c r="CE125" s="55"/>
      <c r="CF125" s="32"/>
      <c r="CG125" s="54"/>
      <c r="CH125" s="21" t="str">
        <f>IFERROR(VLOOKUP(August[[#This Row],[Drug Name9]],'Data Options'!$R$1:$S$100,2,FALSE), " ")</f>
        <v xml:space="preserve"> </v>
      </c>
      <c r="CI125" s="55"/>
      <c r="CJ125" s="32"/>
      <c r="CK125" s="32"/>
      <c r="CL125" s="55"/>
      <c r="CM125" s="32"/>
    </row>
    <row r="126" spans="1:91">
      <c r="A126" s="5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1"/>
      <c r="P126" s="31"/>
      <c r="Q126" s="54"/>
      <c r="R126" s="21" t="str">
        <f>IFERROR(VLOOKUP(August[[#This Row],[Drug Name]],'Data Options'!$R$1:$S$100,2,FALSE), " ")</f>
        <v xml:space="preserve"> </v>
      </c>
      <c r="S126" s="55"/>
      <c r="T126" s="32"/>
      <c r="U126" s="32"/>
      <c r="V126" s="55"/>
      <c r="W126" s="32"/>
      <c r="X126" s="54"/>
      <c r="Y126" s="21" t="str">
        <f>IFERROR(VLOOKUP(August[[#This Row],[Drug Name2]],'Data Options'!$R$1:$S$100,2,FALSE), " ")</f>
        <v xml:space="preserve"> </v>
      </c>
      <c r="Z126" s="55"/>
      <c r="AA126" s="32"/>
      <c r="AB126" s="32"/>
      <c r="AC126" s="55"/>
      <c r="AD126" s="32"/>
      <c r="AE126" s="54"/>
      <c r="AF126" s="21" t="str">
        <f>IFERROR(VLOOKUP(August[[#This Row],[Drug Name3]],'Data Options'!$R$1:$S$100,2,FALSE), " ")</f>
        <v xml:space="preserve"> </v>
      </c>
      <c r="AG126" s="55"/>
      <c r="AH126" s="32"/>
      <c r="AI126" s="32"/>
      <c r="AJ126" s="55"/>
      <c r="AK126" s="32"/>
      <c r="AL126" s="32"/>
      <c r="AM126" s="32"/>
      <c r="AN126" s="32"/>
      <c r="AO126" s="32"/>
      <c r="AP126" s="31"/>
      <c r="AQ126" s="31"/>
      <c r="AR126" s="54"/>
      <c r="AS126" s="21" t="str">
        <f>IFERROR(VLOOKUP(August[[#This Row],[Drug Name4]],'Data Options'!$R$1:$S$100,2,FALSE), " ")</f>
        <v xml:space="preserve"> </v>
      </c>
      <c r="AT126" s="55"/>
      <c r="AU126" s="32"/>
      <c r="AV126" s="32"/>
      <c r="AW126" s="55"/>
      <c r="AX126" s="32"/>
      <c r="AY126" s="54"/>
      <c r="AZ126" s="21" t="str">
        <f>IFERROR(VLOOKUP(August[[#This Row],[Drug Name5]],'Data Options'!$R$1:$S$100,2,FALSE), " ")</f>
        <v xml:space="preserve"> </v>
      </c>
      <c r="BA126" s="55"/>
      <c r="BB126" s="32"/>
      <c r="BC126" s="32"/>
      <c r="BD126" s="55"/>
      <c r="BE126" s="32"/>
      <c r="BF126" s="54"/>
      <c r="BG126" s="21" t="str">
        <f>IFERROR(VLOOKUP(August[[#This Row],[Drug Name6]],'Data Options'!$R$1:$S$100,2,FALSE), " ")</f>
        <v xml:space="preserve"> </v>
      </c>
      <c r="BH126" s="55"/>
      <c r="BI126" s="32"/>
      <c r="BJ126" s="32"/>
      <c r="BK126" s="55"/>
      <c r="BL126" s="32"/>
      <c r="BM126" s="32"/>
      <c r="BN126" s="32"/>
      <c r="BO126" s="32"/>
      <c r="BP126" s="32"/>
      <c r="BQ126" s="31"/>
      <c r="BR126" s="31"/>
      <c r="BS126" s="54"/>
      <c r="BT126" s="21" t="str">
        <f>IFERROR(VLOOKUP(August[[#This Row],[Drug Name7]],'Data Options'!$R$1:$S$100,2,FALSE), " ")</f>
        <v xml:space="preserve"> </v>
      </c>
      <c r="BU126" s="55"/>
      <c r="BV126" s="32"/>
      <c r="BW126" s="32"/>
      <c r="BX126" s="55"/>
      <c r="BY126" s="32"/>
      <c r="BZ126" s="54"/>
      <c r="CA126" s="21" t="str">
        <f>IFERROR(VLOOKUP(August[[#This Row],[Drug Name8]],'Data Options'!$R$1:$S$100,2,FALSE), " ")</f>
        <v xml:space="preserve"> </v>
      </c>
      <c r="CB126" s="55"/>
      <c r="CC126" s="32"/>
      <c r="CD126" s="32"/>
      <c r="CE126" s="55"/>
      <c r="CF126" s="32"/>
      <c r="CG126" s="54"/>
      <c r="CH126" s="21" t="str">
        <f>IFERROR(VLOOKUP(August[[#This Row],[Drug Name9]],'Data Options'!$R$1:$S$100,2,FALSE), " ")</f>
        <v xml:space="preserve"> </v>
      </c>
      <c r="CI126" s="55"/>
      <c r="CJ126" s="32"/>
      <c r="CK126" s="32"/>
      <c r="CL126" s="55"/>
      <c r="CM126" s="32"/>
    </row>
    <row r="127" spans="1:91">
      <c r="A127" s="5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1"/>
      <c r="P127" s="31"/>
      <c r="Q127" s="54"/>
      <c r="R127" s="21" t="str">
        <f>IFERROR(VLOOKUP(August[[#This Row],[Drug Name]],'Data Options'!$R$1:$S$100,2,FALSE), " ")</f>
        <v xml:space="preserve"> </v>
      </c>
      <c r="S127" s="55"/>
      <c r="T127" s="32"/>
      <c r="U127" s="32"/>
      <c r="V127" s="55"/>
      <c r="W127" s="32"/>
      <c r="X127" s="54"/>
      <c r="Y127" s="21" t="str">
        <f>IFERROR(VLOOKUP(August[[#This Row],[Drug Name2]],'Data Options'!$R$1:$S$100,2,FALSE), " ")</f>
        <v xml:space="preserve"> </v>
      </c>
      <c r="Z127" s="55"/>
      <c r="AA127" s="32"/>
      <c r="AB127" s="32"/>
      <c r="AC127" s="55"/>
      <c r="AD127" s="32"/>
      <c r="AE127" s="54"/>
      <c r="AF127" s="21" t="str">
        <f>IFERROR(VLOOKUP(August[[#This Row],[Drug Name3]],'Data Options'!$R$1:$S$100,2,FALSE), " ")</f>
        <v xml:space="preserve"> </v>
      </c>
      <c r="AG127" s="55"/>
      <c r="AH127" s="32"/>
      <c r="AI127" s="32"/>
      <c r="AJ127" s="55"/>
      <c r="AK127" s="32"/>
      <c r="AL127" s="32"/>
      <c r="AM127" s="32"/>
      <c r="AN127" s="32"/>
      <c r="AO127" s="32"/>
      <c r="AP127" s="31"/>
      <c r="AQ127" s="31"/>
      <c r="AR127" s="54"/>
      <c r="AS127" s="21" t="str">
        <f>IFERROR(VLOOKUP(August[[#This Row],[Drug Name4]],'Data Options'!$R$1:$S$100,2,FALSE), " ")</f>
        <v xml:space="preserve"> </v>
      </c>
      <c r="AT127" s="55"/>
      <c r="AU127" s="32"/>
      <c r="AV127" s="32"/>
      <c r="AW127" s="55"/>
      <c r="AX127" s="32"/>
      <c r="AY127" s="54"/>
      <c r="AZ127" s="21" t="str">
        <f>IFERROR(VLOOKUP(August[[#This Row],[Drug Name5]],'Data Options'!$R$1:$S$100,2,FALSE), " ")</f>
        <v xml:space="preserve"> </v>
      </c>
      <c r="BA127" s="55"/>
      <c r="BB127" s="32"/>
      <c r="BC127" s="32"/>
      <c r="BD127" s="55"/>
      <c r="BE127" s="32"/>
      <c r="BF127" s="54"/>
      <c r="BG127" s="21" t="str">
        <f>IFERROR(VLOOKUP(August[[#This Row],[Drug Name6]],'Data Options'!$R$1:$S$100,2,FALSE), " ")</f>
        <v xml:space="preserve"> </v>
      </c>
      <c r="BH127" s="55"/>
      <c r="BI127" s="32"/>
      <c r="BJ127" s="32"/>
      <c r="BK127" s="55"/>
      <c r="BL127" s="32"/>
      <c r="BM127" s="32"/>
      <c r="BN127" s="32"/>
      <c r="BO127" s="32"/>
      <c r="BP127" s="32"/>
      <c r="BQ127" s="31"/>
      <c r="BR127" s="31"/>
      <c r="BS127" s="54"/>
      <c r="BT127" s="21" t="str">
        <f>IFERROR(VLOOKUP(August[[#This Row],[Drug Name7]],'Data Options'!$R$1:$S$100,2,FALSE), " ")</f>
        <v xml:space="preserve"> </v>
      </c>
      <c r="BU127" s="55"/>
      <c r="BV127" s="32"/>
      <c r="BW127" s="32"/>
      <c r="BX127" s="55"/>
      <c r="BY127" s="32"/>
      <c r="BZ127" s="54"/>
      <c r="CA127" s="21" t="str">
        <f>IFERROR(VLOOKUP(August[[#This Row],[Drug Name8]],'Data Options'!$R$1:$S$100,2,FALSE), " ")</f>
        <v xml:space="preserve"> </v>
      </c>
      <c r="CB127" s="55"/>
      <c r="CC127" s="32"/>
      <c r="CD127" s="32"/>
      <c r="CE127" s="55"/>
      <c r="CF127" s="32"/>
      <c r="CG127" s="54"/>
      <c r="CH127" s="21" t="str">
        <f>IFERROR(VLOOKUP(August[[#This Row],[Drug Name9]],'Data Options'!$R$1:$S$100,2,FALSE), " ")</f>
        <v xml:space="preserve"> </v>
      </c>
      <c r="CI127" s="55"/>
      <c r="CJ127" s="32"/>
      <c r="CK127" s="32"/>
      <c r="CL127" s="55"/>
      <c r="CM127" s="32"/>
    </row>
    <row r="128" spans="1:91">
      <c r="A128" s="5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1"/>
      <c r="P128" s="31"/>
      <c r="Q128" s="54"/>
      <c r="R128" s="21" t="str">
        <f>IFERROR(VLOOKUP(August[[#This Row],[Drug Name]],'Data Options'!$R$1:$S$100,2,FALSE), " ")</f>
        <v xml:space="preserve"> </v>
      </c>
      <c r="S128" s="55"/>
      <c r="T128" s="32"/>
      <c r="U128" s="32"/>
      <c r="V128" s="55"/>
      <c r="W128" s="32"/>
      <c r="X128" s="54"/>
      <c r="Y128" s="21" t="str">
        <f>IFERROR(VLOOKUP(August[[#This Row],[Drug Name2]],'Data Options'!$R$1:$S$100,2,FALSE), " ")</f>
        <v xml:space="preserve"> </v>
      </c>
      <c r="Z128" s="55"/>
      <c r="AA128" s="32"/>
      <c r="AB128" s="32"/>
      <c r="AC128" s="55"/>
      <c r="AD128" s="32"/>
      <c r="AE128" s="54"/>
      <c r="AF128" s="21" t="str">
        <f>IFERROR(VLOOKUP(August[[#This Row],[Drug Name3]],'Data Options'!$R$1:$S$100,2,FALSE), " ")</f>
        <v xml:space="preserve"> </v>
      </c>
      <c r="AG128" s="55"/>
      <c r="AH128" s="32"/>
      <c r="AI128" s="32"/>
      <c r="AJ128" s="55"/>
      <c r="AK128" s="32"/>
      <c r="AL128" s="32"/>
      <c r="AM128" s="32"/>
      <c r="AN128" s="32"/>
      <c r="AO128" s="32"/>
      <c r="AP128" s="31"/>
      <c r="AQ128" s="31"/>
      <c r="AR128" s="54"/>
      <c r="AS128" s="21" t="str">
        <f>IFERROR(VLOOKUP(August[[#This Row],[Drug Name4]],'Data Options'!$R$1:$S$100,2,FALSE), " ")</f>
        <v xml:space="preserve"> </v>
      </c>
      <c r="AT128" s="55"/>
      <c r="AU128" s="32"/>
      <c r="AV128" s="32"/>
      <c r="AW128" s="55"/>
      <c r="AX128" s="32"/>
      <c r="AY128" s="54"/>
      <c r="AZ128" s="21" t="str">
        <f>IFERROR(VLOOKUP(August[[#This Row],[Drug Name5]],'Data Options'!$R$1:$S$100,2,FALSE), " ")</f>
        <v xml:space="preserve"> </v>
      </c>
      <c r="BA128" s="55"/>
      <c r="BB128" s="32"/>
      <c r="BC128" s="32"/>
      <c r="BD128" s="55"/>
      <c r="BE128" s="32"/>
      <c r="BF128" s="54"/>
      <c r="BG128" s="21" t="str">
        <f>IFERROR(VLOOKUP(August[[#This Row],[Drug Name6]],'Data Options'!$R$1:$S$100,2,FALSE), " ")</f>
        <v xml:space="preserve"> </v>
      </c>
      <c r="BH128" s="55"/>
      <c r="BI128" s="32"/>
      <c r="BJ128" s="32"/>
      <c r="BK128" s="55"/>
      <c r="BL128" s="32"/>
      <c r="BM128" s="32"/>
      <c r="BN128" s="32"/>
      <c r="BO128" s="32"/>
      <c r="BP128" s="32"/>
      <c r="BQ128" s="31"/>
      <c r="BR128" s="31"/>
      <c r="BS128" s="54"/>
      <c r="BT128" s="21" t="str">
        <f>IFERROR(VLOOKUP(August[[#This Row],[Drug Name7]],'Data Options'!$R$1:$S$100,2,FALSE), " ")</f>
        <v xml:space="preserve"> </v>
      </c>
      <c r="BU128" s="55"/>
      <c r="BV128" s="32"/>
      <c r="BW128" s="32"/>
      <c r="BX128" s="55"/>
      <c r="BY128" s="32"/>
      <c r="BZ128" s="54"/>
      <c r="CA128" s="21" t="str">
        <f>IFERROR(VLOOKUP(August[[#This Row],[Drug Name8]],'Data Options'!$R$1:$S$100,2,FALSE), " ")</f>
        <v xml:space="preserve"> </v>
      </c>
      <c r="CB128" s="55"/>
      <c r="CC128" s="32"/>
      <c r="CD128" s="32"/>
      <c r="CE128" s="55"/>
      <c r="CF128" s="32"/>
      <c r="CG128" s="54"/>
      <c r="CH128" s="21" t="str">
        <f>IFERROR(VLOOKUP(August[[#This Row],[Drug Name9]],'Data Options'!$R$1:$S$100,2,FALSE), " ")</f>
        <v xml:space="preserve"> </v>
      </c>
      <c r="CI128" s="55"/>
      <c r="CJ128" s="32"/>
      <c r="CK128" s="32"/>
      <c r="CL128" s="55"/>
      <c r="CM128" s="32"/>
    </row>
    <row r="129" spans="1:91">
      <c r="A129" s="5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1"/>
      <c r="P129" s="31"/>
      <c r="Q129" s="54"/>
      <c r="R129" s="21" t="str">
        <f>IFERROR(VLOOKUP(August[[#This Row],[Drug Name]],'Data Options'!$R$1:$S$100,2,FALSE), " ")</f>
        <v xml:space="preserve"> </v>
      </c>
      <c r="S129" s="55"/>
      <c r="T129" s="32"/>
      <c r="U129" s="32"/>
      <c r="V129" s="55"/>
      <c r="W129" s="32"/>
      <c r="X129" s="54"/>
      <c r="Y129" s="21" t="str">
        <f>IFERROR(VLOOKUP(August[[#This Row],[Drug Name2]],'Data Options'!$R$1:$S$100,2,FALSE), " ")</f>
        <v xml:space="preserve"> </v>
      </c>
      <c r="Z129" s="55"/>
      <c r="AA129" s="32"/>
      <c r="AB129" s="32"/>
      <c r="AC129" s="55"/>
      <c r="AD129" s="32"/>
      <c r="AE129" s="54"/>
      <c r="AF129" s="21" t="str">
        <f>IFERROR(VLOOKUP(August[[#This Row],[Drug Name3]],'Data Options'!$R$1:$S$100,2,FALSE), " ")</f>
        <v xml:space="preserve"> </v>
      </c>
      <c r="AG129" s="55"/>
      <c r="AH129" s="32"/>
      <c r="AI129" s="32"/>
      <c r="AJ129" s="55"/>
      <c r="AK129" s="32"/>
      <c r="AL129" s="32"/>
      <c r="AM129" s="32"/>
      <c r="AN129" s="32"/>
      <c r="AO129" s="32"/>
      <c r="AP129" s="31"/>
      <c r="AQ129" s="31"/>
      <c r="AR129" s="54"/>
      <c r="AS129" s="21" t="str">
        <f>IFERROR(VLOOKUP(August[[#This Row],[Drug Name4]],'Data Options'!$R$1:$S$100,2,FALSE), " ")</f>
        <v xml:space="preserve"> </v>
      </c>
      <c r="AT129" s="55"/>
      <c r="AU129" s="32"/>
      <c r="AV129" s="32"/>
      <c r="AW129" s="55"/>
      <c r="AX129" s="32"/>
      <c r="AY129" s="54"/>
      <c r="AZ129" s="21" t="str">
        <f>IFERROR(VLOOKUP(August[[#This Row],[Drug Name5]],'Data Options'!$R$1:$S$100,2,FALSE), " ")</f>
        <v xml:space="preserve"> </v>
      </c>
      <c r="BA129" s="55"/>
      <c r="BB129" s="32"/>
      <c r="BC129" s="32"/>
      <c r="BD129" s="55"/>
      <c r="BE129" s="32"/>
      <c r="BF129" s="54"/>
      <c r="BG129" s="21" t="str">
        <f>IFERROR(VLOOKUP(August[[#This Row],[Drug Name6]],'Data Options'!$R$1:$S$100,2,FALSE), " ")</f>
        <v xml:space="preserve"> </v>
      </c>
      <c r="BH129" s="55"/>
      <c r="BI129" s="32"/>
      <c r="BJ129" s="32"/>
      <c r="BK129" s="55"/>
      <c r="BL129" s="32"/>
      <c r="BM129" s="32"/>
      <c r="BN129" s="32"/>
      <c r="BO129" s="32"/>
      <c r="BP129" s="32"/>
      <c r="BQ129" s="31"/>
      <c r="BR129" s="31"/>
      <c r="BS129" s="54"/>
      <c r="BT129" s="21" t="str">
        <f>IFERROR(VLOOKUP(August[[#This Row],[Drug Name7]],'Data Options'!$R$1:$S$100,2,FALSE), " ")</f>
        <v xml:space="preserve"> </v>
      </c>
      <c r="BU129" s="55"/>
      <c r="BV129" s="32"/>
      <c r="BW129" s="32"/>
      <c r="BX129" s="55"/>
      <c r="BY129" s="32"/>
      <c r="BZ129" s="54"/>
      <c r="CA129" s="21" t="str">
        <f>IFERROR(VLOOKUP(August[[#This Row],[Drug Name8]],'Data Options'!$R$1:$S$100,2,FALSE), " ")</f>
        <v xml:space="preserve"> </v>
      </c>
      <c r="CB129" s="55"/>
      <c r="CC129" s="32"/>
      <c r="CD129" s="32"/>
      <c r="CE129" s="55"/>
      <c r="CF129" s="32"/>
      <c r="CG129" s="54"/>
      <c r="CH129" s="21" t="str">
        <f>IFERROR(VLOOKUP(August[[#This Row],[Drug Name9]],'Data Options'!$R$1:$S$100,2,FALSE), " ")</f>
        <v xml:space="preserve"> </v>
      </c>
      <c r="CI129" s="55"/>
      <c r="CJ129" s="32"/>
      <c r="CK129" s="32"/>
      <c r="CL129" s="55"/>
      <c r="CM129" s="32"/>
    </row>
    <row r="130" spans="1:91">
      <c r="A130" s="5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1"/>
      <c r="P130" s="31"/>
      <c r="Q130" s="54"/>
      <c r="R130" s="21" t="str">
        <f>IFERROR(VLOOKUP(August[[#This Row],[Drug Name]],'Data Options'!$R$1:$S$100,2,FALSE), " ")</f>
        <v xml:space="preserve"> </v>
      </c>
      <c r="S130" s="55"/>
      <c r="T130" s="32"/>
      <c r="U130" s="32"/>
      <c r="V130" s="55"/>
      <c r="W130" s="32"/>
      <c r="X130" s="54"/>
      <c r="Y130" s="21" t="str">
        <f>IFERROR(VLOOKUP(August[[#This Row],[Drug Name2]],'Data Options'!$R$1:$S$100,2,FALSE), " ")</f>
        <v xml:space="preserve"> </v>
      </c>
      <c r="Z130" s="55"/>
      <c r="AA130" s="32"/>
      <c r="AB130" s="32"/>
      <c r="AC130" s="55"/>
      <c r="AD130" s="32"/>
      <c r="AE130" s="54"/>
      <c r="AF130" s="21" t="str">
        <f>IFERROR(VLOOKUP(August[[#This Row],[Drug Name3]],'Data Options'!$R$1:$S$100,2,FALSE), " ")</f>
        <v xml:space="preserve"> </v>
      </c>
      <c r="AG130" s="55"/>
      <c r="AH130" s="32"/>
      <c r="AI130" s="32"/>
      <c r="AJ130" s="55"/>
      <c r="AK130" s="32"/>
      <c r="AL130" s="32"/>
      <c r="AM130" s="32"/>
      <c r="AN130" s="32"/>
      <c r="AO130" s="32"/>
      <c r="AP130" s="31"/>
      <c r="AQ130" s="31"/>
      <c r="AR130" s="54"/>
      <c r="AS130" s="21" t="str">
        <f>IFERROR(VLOOKUP(August[[#This Row],[Drug Name4]],'Data Options'!$R$1:$S$100,2,FALSE), " ")</f>
        <v xml:space="preserve"> </v>
      </c>
      <c r="AT130" s="55"/>
      <c r="AU130" s="32"/>
      <c r="AV130" s="32"/>
      <c r="AW130" s="55"/>
      <c r="AX130" s="32"/>
      <c r="AY130" s="54"/>
      <c r="AZ130" s="21" t="str">
        <f>IFERROR(VLOOKUP(August[[#This Row],[Drug Name5]],'Data Options'!$R$1:$S$100,2,FALSE), " ")</f>
        <v xml:space="preserve"> </v>
      </c>
      <c r="BA130" s="55"/>
      <c r="BB130" s="32"/>
      <c r="BC130" s="32"/>
      <c r="BD130" s="55"/>
      <c r="BE130" s="32"/>
      <c r="BF130" s="54"/>
      <c r="BG130" s="21" t="str">
        <f>IFERROR(VLOOKUP(August[[#This Row],[Drug Name6]],'Data Options'!$R$1:$S$100,2,FALSE), " ")</f>
        <v xml:space="preserve"> </v>
      </c>
      <c r="BH130" s="55"/>
      <c r="BI130" s="32"/>
      <c r="BJ130" s="32"/>
      <c r="BK130" s="55"/>
      <c r="BL130" s="32"/>
      <c r="BM130" s="32"/>
      <c r="BN130" s="32"/>
      <c r="BO130" s="32"/>
      <c r="BP130" s="32"/>
      <c r="BQ130" s="31"/>
      <c r="BR130" s="31"/>
      <c r="BS130" s="54"/>
      <c r="BT130" s="21" t="str">
        <f>IFERROR(VLOOKUP(August[[#This Row],[Drug Name7]],'Data Options'!$R$1:$S$100,2,FALSE), " ")</f>
        <v xml:space="preserve"> </v>
      </c>
      <c r="BU130" s="55"/>
      <c r="BV130" s="32"/>
      <c r="BW130" s="32"/>
      <c r="BX130" s="55"/>
      <c r="BY130" s="32"/>
      <c r="BZ130" s="54"/>
      <c r="CA130" s="21" t="str">
        <f>IFERROR(VLOOKUP(August[[#This Row],[Drug Name8]],'Data Options'!$R$1:$S$100,2,FALSE), " ")</f>
        <v xml:space="preserve"> </v>
      </c>
      <c r="CB130" s="55"/>
      <c r="CC130" s="32"/>
      <c r="CD130" s="32"/>
      <c r="CE130" s="55"/>
      <c r="CF130" s="32"/>
      <c r="CG130" s="54"/>
      <c r="CH130" s="21" t="str">
        <f>IFERROR(VLOOKUP(August[[#This Row],[Drug Name9]],'Data Options'!$R$1:$S$100,2,FALSE), " ")</f>
        <v xml:space="preserve"> </v>
      </c>
      <c r="CI130" s="55"/>
      <c r="CJ130" s="32"/>
      <c r="CK130" s="32"/>
      <c r="CL130" s="55"/>
      <c r="CM130" s="32"/>
    </row>
    <row r="131" spans="1:91">
      <c r="A131" s="5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1"/>
      <c r="P131" s="31"/>
      <c r="Q131" s="54"/>
      <c r="R131" s="21" t="str">
        <f>IFERROR(VLOOKUP(August[[#This Row],[Drug Name]],'Data Options'!$R$1:$S$100,2,FALSE), " ")</f>
        <v xml:space="preserve"> </v>
      </c>
      <c r="S131" s="55"/>
      <c r="T131" s="32"/>
      <c r="U131" s="32"/>
      <c r="V131" s="55"/>
      <c r="W131" s="32"/>
      <c r="X131" s="54"/>
      <c r="Y131" s="21" t="str">
        <f>IFERROR(VLOOKUP(August[[#This Row],[Drug Name2]],'Data Options'!$R$1:$S$100,2,FALSE), " ")</f>
        <v xml:space="preserve"> </v>
      </c>
      <c r="Z131" s="55"/>
      <c r="AA131" s="32"/>
      <c r="AB131" s="32"/>
      <c r="AC131" s="55"/>
      <c r="AD131" s="32"/>
      <c r="AE131" s="54"/>
      <c r="AF131" s="21" t="str">
        <f>IFERROR(VLOOKUP(August[[#This Row],[Drug Name3]],'Data Options'!$R$1:$S$100,2,FALSE), " ")</f>
        <v xml:space="preserve"> </v>
      </c>
      <c r="AG131" s="55"/>
      <c r="AH131" s="32"/>
      <c r="AI131" s="32"/>
      <c r="AJ131" s="55"/>
      <c r="AK131" s="32"/>
      <c r="AL131" s="32"/>
      <c r="AM131" s="32"/>
      <c r="AN131" s="32"/>
      <c r="AO131" s="32"/>
      <c r="AP131" s="31"/>
      <c r="AQ131" s="31"/>
      <c r="AR131" s="54"/>
      <c r="AS131" s="21" t="str">
        <f>IFERROR(VLOOKUP(August[[#This Row],[Drug Name4]],'Data Options'!$R$1:$S$100,2,FALSE), " ")</f>
        <v xml:space="preserve"> </v>
      </c>
      <c r="AT131" s="55"/>
      <c r="AU131" s="32"/>
      <c r="AV131" s="32"/>
      <c r="AW131" s="55"/>
      <c r="AX131" s="32"/>
      <c r="AY131" s="54"/>
      <c r="AZ131" s="21" t="str">
        <f>IFERROR(VLOOKUP(August[[#This Row],[Drug Name5]],'Data Options'!$R$1:$S$100,2,FALSE), " ")</f>
        <v xml:space="preserve"> </v>
      </c>
      <c r="BA131" s="55"/>
      <c r="BB131" s="32"/>
      <c r="BC131" s="32"/>
      <c r="BD131" s="55"/>
      <c r="BE131" s="32"/>
      <c r="BF131" s="54"/>
      <c r="BG131" s="21" t="str">
        <f>IFERROR(VLOOKUP(August[[#This Row],[Drug Name6]],'Data Options'!$R$1:$S$100,2,FALSE), " ")</f>
        <v xml:space="preserve"> </v>
      </c>
      <c r="BH131" s="55"/>
      <c r="BI131" s="32"/>
      <c r="BJ131" s="32"/>
      <c r="BK131" s="55"/>
      <c r="BL131" s="32"/>
      <c r="BM131" s="32"/>
      <c r="BN131" s="32"/>
      <c r="BO131" s="32"/>
      <c r="BP131" s="32"/>
      <c r="BQ131" s="31"/>
      <c r="BR131" s="31"/>
      <c r="BS131" s="54"/>
      <c r="BT131" s="21" t="str">
        <f>IFERROR(VLOOKUP(August[[#This Row],[Drug Name7]],'Data Options'!$R$1:$S$100,2,FALSE), " ")</f>
        <v xml:space="preserve"> </v>
      </c>
      <c r="BU131" s="55"/>
      <c r="BV131" s="32"/>
      <c r="BW131" s="32"/>
      <c r="BX131" s="55"/>
      <c r="BY131" s="32"/>
      <c r="BZ131" s="54"/>
      <c r="CA131" s="21" t="str">
        <f>IFERROR(VLOOKUP(August[[#This Row],[Drug Name8]],'Data Options'!$R$1:$S$100,2,FALSE), " ")</f>
        <v xml:space="preserve"> </v>
      </c>
      <c r="CB131" s="55"/>
      <c r="CC131" s="32"/>
      <c r="CD131" s="32"/>
      <c r="CE131" s="55"/>
      <c r="CF131" s="32"/>
      <c r="CG131" s="54"/>
      <c r="CH131" s="21" t="str">
        <f>IFERROR(VLOOKUP(August[[#This Row],[Drug Name9]],'Data Options'!$R$1:$S$100,2,FALSE), " ")</f>
        <v xml:space="preserve"> </v>
      </c>
      <c r="CI131" s="55"/>
      <c r="CJ131" s="32"/>
      <c r="CK131" s="32"/>
      <c r="CL131" s="55"/>
      <c r="CM131" s="32"/>
    </row>
    <row r="132" spans="1:91">
      <c r="A132" s="5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1"/>
      <c r="P132" s="31"/>
      <c r="Q132" s="54"/>
      <c r="R132" s="21" t="str">
        <f>IFERROR(VLOOKUP(August[[#This Row],[Drug Name]],'Data Options'!$R$1:$S$100,2,FALSE), " ")</f>
        <v xml:space="preserve"> </v>
      </c>
      <c r="S132" s="55"/>
      <c r="T132" s="32"/>
      <c r="U132" s="32"/>
      <c r="V132" s="55"/>
      <c r="W132" s="32"/>
      <c r="X132" s="54"/>
      <c r="Y132" s="21" t="str">
        <f>IFERROR(VLOOKUP(August[[#This Row],[Drug Name2]],'Data Options'!$R$1:$S$100,2,FALSE), " ")</f>
        <v xml:space="preserve"> </v>
      </c>
      <c r="Z132" s="55"/>
      <c r="AA132" s="32"/>
      <c r="AB132" s="32"/>
      <c r="AC132" s="55"/>
      <c r="AD132" s="32"/>
      <c r="AE132" s="54"/>
      <c r="AF132" s="21" t="str">
        <f>IFERROR(VLOOKUP(August[[#This Row],[Drug Name3]],'Data Options'!$R$1:$S$100,2,FALSE), " ")</f>
        <v xml:space="preserve"> </v>
      </c>
      <c r="AG132" s="55"/>
      <c r="AH132" s="32"/>
      <c r="AI132" s="32"/>
      <c r="AJ132" s="55"/>
      <c r="AK132" s="32"/>
      <c r="AL132" s="32"/>
      <c r="AM132" s="32"/>
      <c r="AN132" s="32"/>
      <c r="AO132" s="32"/>
      <c r="AP132" s="31"/>
      <c r="AQ132" s="31"/>
      <c r="AR132" s="54"/>
      <c r="AS132" s="21" t="str">
        <f>IFERROR(VLOOKUP(August[[#This Row],[Drug Name4]],'Data Options'!$R$1:$S$100,2,FALSE), " ")</f>
        <v xml:space="preserve"> </v>
      </c>
      <c r="AT132" s="55"/>
      <c r="AU132" s="32"/>
      <c r="AV132" s="32"/>
      <c r="AW132" s="55"/>
      <c r="AX132" s="32"/>
      <c r="AY132" s="54"/>
      <c r="AZ132" s="21" t="str">
        <f>IFERROR(VLOOKUP(August[[#This Row],[Drug Name5]],'Data Options'!$R$1:$S$100,2,FALSE), " ")</f>
        <v xml:space="preserve"> </v>
      </c>
      <c r="BA132" s="55"/>
      <c r="BB132" s="32"/>
      <c r="BC132" s="32"/>
      <c r="BD132" s="55"/>
      <c r="BE132" s="32"/>
      <c r="BF132" s="54"/>
      <c r="BG132" s="21" t="str">
        <f>IFERROR(VLOOKUP(August[[#This Row],[Drug Name6]],'Data Options'!$R$1:$S$100,2,FALSE), " ")</f>
        <v xml:space="preserve"> </v>
      </c>
      <c r="BH132" s="55"/>
      <c r="BI132" s="32"/>
      <c r="BJ132" s="32"/>
      <c r="BK132" s="55"/>
      <c r="BL132" s="32"/>
      <c r="BM132" s="32"/>
      <c r="BN132" s="32"/>
      <c r="BO132" s="32"/>
      <c r="BP132" s="32"/>
      <c r="BQ132" s="31"/>
      <c r="BR132" s="31"/>
      <c r="BS132" s="54"/>
      <c r="BT132" s="21" t="str">
        <f>IFERROR(VLOOKUP(August[[#This Row],[Drug Name7]],'Data Options'!$R$1:$S$100,2,FALSE), " ")</f>
        <v xml:space="preserve"> </v>
      </c>
      <c r="BU132" s="55"/>
      <c r="BV132" s="32"/>
      <c r="BW132" s="32"/>
      <c r="BX132" s="55"/>
      <c r="BY132" s="32"/>
      <c r="BZ132" s="54"/>
      <c r="CA132" s="21" t="str">
        <f>IFERROR(VLOOKUP(August[[#This Row],[Drug Name8]],'Data Options'!$R$1:$S$100,2,FALSE), " ")</f>
        <v xml:space="preserve"> </v>
      </c>
      <c r="CB132" s="55"/>
      <c r="CC132" s="32"/>
      <c r="CD132" s="32"/>
      <c r="CE132" s="55"/>
      <c r="CF132" s="32"/>
      <c r="CG132" s="54"/>
      <c r="CH132" s="21" t="str">
        <f>IFERROR(VLOOKUP(August[[#This Row],[Drug Name9]],'Data Options'!$R$1:$S$100,2,FALSE), " ")</f>
        <v xml:space="preserve"> </v>
      </c>
      <c r="CI132" s="55"/>
      <c r="CJ132" s="32"/>
      <c r="CK132" s="32"/>
      <c r="CL132" s="55"/>
      <c r="CM132" s="32"/>
    </row>
    <row r="133" spans="1:91">
      <c r="A133" s="5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54"/>
      <c r="R133" s="21" t="str">
        <f>IFERROR(VLOOKUP(August[[#This Row],[Drug Name]],'Data Options'!$R$1:$S$100,2,FALSE), " ")</f>
        <v xml:space="preserve"> </v>
      </c>
      <c r="S133" s="55"/>
      <c r="T133" s="32"/>
      <c r="U133" s="32"/>
      <c r="V133" s="55"/>
      <c r="W133" s="32"/>
      <c r="X133" s="54"/>
      <c r="Y133" s="21" t="str">
        <f>IFERROR(VLOOKUP(August[[#This Row],[Drug Name2]],'Data Options'!$R$1:$S$100,2,FALSE), " ")</f>
        <v xml:space="preserve"> </v>
      </c>
      <c r="Z133" s="55"/>
      <c r="AA133" s="32"/>
      <c r="AB133" s="32"/>
      <c r="AC133" s="55"/>
      <c r="AD133" s="32"/>
      <c r="AE133" s="54"/>
      <c r="AF133" s="21" t="str">
        <f>IFERROR(VLOOKUP(August[[#This Row],[Drug Name3]],'Data Options'!$R$1:$S$100,2,FALSE), " ")</f>
        <v xml:space="preserve"> </v>
      </c>
      <c r="AG133" s="55"/>
      <c r="AH133" s="32"/>
      <c r="AI133" s="32"/>
      <c r="AJ133" s="55"/>
      <c r="AK133" s="32"/>
      <c r="AL133" s="32"/>
      <c r="AM133" s="32"/>
      <c r="AN133" s="32"/>
      <c r="AO133" s="32"/>
      <c r="AP133" s="31"/>
      <c r="AQ133" s="31"/>
      <c r="AR133" s="54"/>
      <c r="AS133" s="21" t="str">
        <f>IFERROR(VLOOKUP(August[[#This Row],[Drug Name4]],'Data Options'!$R$1:$S$100,2,FALSE), " ")</f>
        <v xml:space="preserve"> </v>
      </c>
      <c r="AT133" s="55"/>
      <c r="AU133" s="32"/>
      <c r="AV133" s="32"/>
      <c r="AW133" s="55"/>
      <c r="AX133" s="32"/>
      <c r="AY133" s="54"/>
      <c r="AZ133" s="21" t="str">
        <f>IFERROR(VLOOKUP(August[[#This Row],[Drug Name5]],'Data Options'!$R$1:$S$100,2,FALSE), " ")</f>
        <v xml:space="preserve"> </v>
      </c>
      <c r="BA133" s="55"/>
      <c r="BB133" s="32"/>
      <c r="BC133" s="32"/>
      <c r="BD133" s="55"/>
      <c r="BE133" s="32"/>
      <c r="BF133" s="54"/>
      <c r="BG133" s="21" t="str">
        <f>IFERROR(VLOOKUP(August[[#This Row],[Drug Name6]],'Data Options'!$R$1:$S$100,2,FALSE), " ")</f>
        <v xml:space="preserve"> </v>
      </c>
      <c r="BH133" s="55"/>
      <c r="BI133" s="32"/>
      <c r="BJ133" s="32"/>
      <c r="BK133" s="55"/>
      <c r="BL133" s="32"/>
      <c r="BM133" s="32"/>
      <c r="BN133" s="32"/>
      <c r="BO133" s="32"/>
      <c r="BP133" s="32"/>
      <c r="BQ133" s="31"/>
      <c r="BR133" s="31"/>
      <c r="BS133" s="54"/>
      <c r="BT133" s="21" t="str">
        <f>IFERROR(VLOOKUP(August[[#This Row],[Drug Name7]],'Data Options'!$R$1:$S$100,2,FALSE), " ")</f>
        <v xml:space="preserve"> </v>
      </c>
      <c r="BU133" s="55"/>
      <c r="BV133" s="32"/>
      <c r="BW133" s="32"/>
      <c r="BX133" s="55"/>
      <c r="BY133" s="32"/>
      <c r="BZ133" s="54"/>
      <c r="CA133" s="21" t="str">
        <f>IFERROR(VLOOKUP(August[[#This Row],[Drug Name8]],'Data Options'!$R$1:$S$100,2,FALSE), " ")</f>
        <v xml:space="preserve"> </v>
      </c>
      <c r="CB133" s="55"/>
      <c r="CC133" s="32"/>
      <c r="CD133" s="32"/>
      <c r="CE133" s="55"/>
      <c r="CF133" s="32"/>
      <c r="CG133" s="54"/>
      <c r="CH133" s="21" t="str">
        <f>IFERROR(VLOOKUP(August[[#This Row],[Drug Name9]],'Data Options'!$R$1:$S$100,2,FALSE), " ")</f>
        <v xml:space="preserve"> </v>
      </c>
      <c r="CI133" s="55"/>
      <c r="CJ133" s="32"/>
      <c r="CK133" s="32"/>
      <c r="CL133" s="55"/>
      <c r="CM133" s="32"/>
    </row>
    <row r="134" spans="1:91">
      <c r="A134" s="5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54"/>
      <c r="R134" s="21" t="str">
        <f>IFERROR(VLOOKUP(August[[#This Row],[Drug Name]],'Data Options'!$R$1:$S$100,2,FALSE), " ")</f>
        <v xml:space="preserve"> </v>
      </c>
      <c r="S134" s="55"/>
      <c r="T134" s="32"/>
      <c r="U134" s="32"/>
      <c r="V134" s="55"/>
      <c r="W134" s="32"/>
      <c r="X134" s="54"/>
      <c r="Y134" s="21" t="str">
        <f>IFERROR(VLOOKUP(August[[#This Row],[Drug Name2]],'Data Options'!$R$1:$S$100,2,FALSE), " ")</f>
        <v xml:space="preserve"> </v>
      </c>
      <c r="Z134" s="55"/>
      <c r="AA134" s="32"/>
      <c r="AB134" s="32"/>
      <c r="AC134" s="55"/>
      <c r="AD134" s="32"/>
      <c r="AE134" s="54"/>
      <c r="AF134" s="21" t="str">
        <f>IFERROR(VLOOKUP(August[[#This Row],[Drug Name3]],'Data Options'!$R$1:$S$100,2,FALSE), " ")</f>
        <v xml:space="preserve"> </v>
      </c>
      <c r="AG134" s="55"/>
      <c r="AH134" s="32"/>
      <c r="AI134" s="32"/>
      <c r="AJ134" s="55"/>
      <c r="AK134" s="32"/>
      <c r="AL134" s="32"/>
      <c r="AM134" s="32"/>
      <c r="AN134" s="32"/>
      <c r="AO134" s="32"/>
      <c r="AP134" s="31"/>
      <c r="AQ134" s="31"/>
      <c r="AR134" s="54"/>
      <c r="AS134" s="21" t="str">
        <f>IFERROR(VLOOKUP(August[[#This Row],[Drug Name4]],'Data Options'!$R$1:$S$100,2,FALSE), " ")</f>
        <v xml:space="preserve"> </v>
      </c>
      <c r="AT134" s="55"/>
      <c r="AU134" s="32"/>
      <c r="AV134" s="32"/>
      <c r="AW134" s="55"/>
      <c r="AX134" s="32"/>
      <c r="AY134" s="54"/>
      <c r="AZ134" s="21" t="str">
        <f>IFERROR(VLOOKUP(August[[#This Row],[Drug Name5]],'Data Options'!$R$1:$S$100,2,FALSE), " ")</f>
        <v xml:space="preserve"> </v>
      </c>
      <c r="BA134" s="55"/>
      <c r="BB134" s="32"/>
      <c r="BC134" s="32"/>
      <c r="BD134" s="55"/>
      <c r="BE134" s="32"/>
      <c r="BF134" s="54"/>
      <c r="BG134" s="21" t="str">
        <f>IFERROR(VLOOKUP(August[[#This Row],[Drug Name6]],'Data Options'!$R$1:$S$100,2,FALSE), " ")</f>
        <v xml:space="preserve"> </v>
      </c>
      <c r="BH134" s="55"/>
      <c r="BI134" s="32"/>
      <c r="BJ134" s="32"/>
      <c r="BK134" s="55"/>
      <c r="BL134" s="32"/>
      <c r="BM134" s="32"/>
      <c r="BN134" s="32"/>
      <c r="BO134" s="32"/>
      <c r="BP134" s="32"/>
      <c r="BQ134" s="31"/>
      <c r="BR134" s="31"/>
      <c r="BS134" s="54"/>
      <c r="BT134" s="21" t="str">
        <f>IFERROR(VLOOKUP(August[[#This Row],[Drug Name7]],'Data Options'!$R$1:$S$100,2,FALSE), " ")</f>
        <v xml:space="preserve"> </v>
      </c>
      <c r="BU134" s="55"/>
      <c r="BV134" s="32"/>
      <c r="BW134" s="32"/>
      <c r="BX134" s="55"/>
      <c r="BY134" s="32"/>
      <c r="BZ134" s="54"/>
      <c r="CA134" s="21" t="str">
        <f>IFERROR(VLOOKUP(August[[#This Row],[Drug Name8]],'Data Options'!$R$1:$S$100,2,FALSE), " ")</f>
        <v xml:space="preserve"> </v>
      </c>
      <c r="CB134" s="55"/>
      <c r="CC134" s="32"/>
      <c r="CD134" s="32"/>
      <c r="CE134" s="55"/>
      <c r="CF134" s="32"/>
      <c r="CG134" s="54"/>
      <c r="CH134" s="21" t="str">
        <f>IFERROR(VLOOKUP(August[[#This Row],[Drug Name9]],'Data Options'!$R$1:$S$100,2,FALSE), " ")</f>
        <v xml:space="preserve"> </v>
      </c>
      <c r="CI134" s="55"/>
      <c r="CJ134" s="32"/>
      <c r="CK134" s="32"/>
      <c r="CL134" s="55"/>
      <c r="CM134" s="32"/>
    </row>
    <row r="135" spans="1:91">
      <c r="A135" s="5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1"/>
      <c r="P135" s="31"/>
      <c r="Q135" s="54"/>
      <c r="R135" s="21" t="str">
        <f>IFERROR(VLOOKUP(August[[#This Row],[Drug Name]],'Data Options'!$R$1:$S$100,2,FALSE), " ")</f>
        <v xml:space="preserve"> </v>
      </c>
      <c r="S135" s="55"/>
      <c r="T135" s="32"/>
      <c r="U135" s="32"/>
      <c r="V135" s="55"/>
      <c r="W135" s="32"/>
      <c r="X135" s="54"/>
      <c r="Y135" s="21" t="str">
        <f>IFERROR(VLOOKUP(August[[#This Row],[Drug Name2]],'Data Options'!$R$1:$S$100,2,FALSE), " ")</f>
        <v xml:space="preserve"> </v>
      </c>
      <c r="Z135" s="55"/>
      <c r="AA135" s="32"/>
      <c r="AB135" s="32"/>
      <c r="AC135" s="55"/>
      <c r="AD135" s="32"/>
      <c r="AE135" s="54"/>
      <c r="AF135" s="21" t="str">
        <f>IFERROR(VLOOKUP(August[[#This Row],[Drug Name3]],'Data Options'!$R$1:$S$100,2,FALSE), " ")</f>
        <v xml:space="preserve"> </v>
      </c>
      <c r="AG135" s="55"/>
      <c r="AH135" s="32"/>
      <c r="AI135" s="32"/>
      <c r="AJ135" s="55"/>
      <c r="AK135" s="32"/>
      <c r="AL135" s="32"/>
      <c r="AM135" s="32"/>
      <c r="AN135" s="32"/>
      <c r="AO135" s="32"/>
      <c r="AP135" s="31"/>
      <c r="AQ135" s="31"/>
      <c r="AR135" s="54"/>
      <c r="AS135" s="21" t="str">
        <f>IFERROR(VLOOKUP(August[[#This Row],[Drug Name4]],'Data Options'!$R$1:$S$100,2,FALSE), " ")</f>
        <v xml:space="preserve"> </v>
      </c>
      <c r="AT135" s="55"/>
      <c r="AU135" s="32"/>
      <c r="AV135" s="32"/>
      <c r="AW135" s="55"/>
      <c r="AX135" s="32"/>
      <c r="AY135" s="54"/>
      <c r="AZ135" s="21" t="str">
        <f>IFERROR(VLOOKUP(August[[#This Row],[Drug Name5]],'Data Options'!$R$1:$S$100,2,FALSE), " ")</f>
        <v xml:space="preserve"> </v>
      </c>
      <c r="BA135" s="55"/>
      <c r="BB135" s="32"/>
      <c r="BC135" s="32"/>
      <c r="BD135" s="55"/>
      <c r="BE135" s="32"/>
      <c r="BF135" s="54"/>
      <c r="BG135" s="21" t="str">
        <f>IFERROR(VLOOKUP(August[[#This Row],[Drug Name6]],'Data Options'!$R$1:$S$100,2,FALSE), " ")</f>
        <v xml:space="preserve"> </v>
      </c>
      <c r="BH135" s="55"/>
      <c r="BI135" s="32"/>
      <c r="BJ135" s="32"/>
      <c r="BK135" s="55"/>
      <c r="BL135" s="32"/>
      <c r="BM135" s="32"/>
      <c r="BN135" s="32"/>
      <c r="BO135" s="32"/>
      <c r="BP135" s="32"/>
      <c r="BQ135" s="31"/>
      <c r="BR135" s="31"/>
      <c r="BS135" s="54"/>
      <c r="BT135" s="21" t="str">
        <f>IFERROR(VLOOKUP(August[[#This Row],[Drug Name7]],'Data Options'!$R$1:$S$100,2,FALSE), " ")</f>
        <v xml:space="preserve"> </v>
      </c>
      <c r="BU135" s="55"/>
      <c r="BV135" s="32"/>
      <c r="BW135" s="32"/>
      <c r="BX135" s="55"/>
      <c r="BY135" s="32"/>
      <c r="BZ135" s="54"/>
      <c r="CA135" s="21" t="str">
        <f>IFERROR(VLOOKUP(August[[#This Row],[Drug Name8]],'Data Options'!$R$1:$S$100,2,FALSE), " ")</f>
        <v xml:space="preserve"> </v>
      </c>
      <c r="CB135" s="55"/>
      <c r="CC135" s="32"/>
      <c r="CD135" s="32"/>
      <c r="CE135" s="55"/>
      <c r="CF135" s="32"/>
      <c r="CG135" s="54"/>
      <c r="CH135" s="21" t="str">
        <f>IFERROR(VLOOKUP(August[[#This Row],[Drug Name9]],'Data Options'!$R$1:$S$100,2,FALSE), " ")</f>
        <v xml:space="preserve"> </v>
      </c>
      <c r="CI135" s="55"/>
      <c r="CJ135" s="32"/>
      <c r="CK135" s="32"/>
      <c r="CL135" s="55"/>
      <c r="CM135" s="32"/>
    </row>
    <row r="136" spans="1:91">
      <c r="A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1"/>
      <c r="P136" s="31"/>
      <c r="Q136" s="54"/>
      <c r="R136" s="21" t="str">
        <f>IFERROR(VLOOKUP(August[[#This Row],[Drug Name]],'Data Options'!$R$1:$S$100,2,FALSE), " ")</f>
        <v xml:space="preserve"> </v>
      </c>
      <c r="S136" s="55"/>
      <c r="T136" s="32"/>
      <c r="U136" s="32"/>
      <c r="V136" s="55"/>
      <c r="W136" s="32"/>
      <c r="X136" s="54"/>
      <c r="Y136" s="21" t="str">
        <f>IFERROR(VLOOKUP(August[[#This Row],[Drug Name2]],'Data Options'!$R$1:$S$100,2,FALSE), " ")</f>
        <v xml:space="preserve"> </v>
      </c>
      <c r="Z136" s="55"/>
      <c r="AA136" s="32"/>
      <c r="AB136" s="32"/>
      <c r="AC136" s="55"/>
      <c r="AD136" s="32"/>
      <c r="AE136" s="54"/>
      <c r="AF136" s="21" t="str">
        <f>IFERROR(VLOOKUP(August[[#This Row],[Drug Name3]],'Data Options'!$R$1:$S$100,2,FALSE), " ")</f>
        <v xml:space="preserve"> </v>
      </c>
      <c r="AG136" s="55"/>
      <c r="AH136" s="32"/>
      <c r="AI136" s="32"/>
      <c r="AJ136" s="55"/>
      <c r="AK136" s="32"/>
      <c r="AL136" s="32"/>
      <c r="AM136" s="32"/>
      <c r="AN136" s="32"/>
      <c r="AO136" s="32"/>
      <c r="AP136" s="31"/>
      <c r="AQ136" s="31"/>
      <c r="AR136" s="54"/>
      <c r="AS136" s="21" t="str">
        <f>IFERROR(VLOOKUP(August[[#This Row],[Drug Name4]],'Data Options'!$R$1:$S$100,2,FALSE), " ")</f>
        <v xml:space="preserve"> </v>
      </c>
      <c r="AT136" s="55"/>
      <c r="AU136" s="32"/>
      <c r="AV136" s="32"/>
      <c r="AW136" s="55"/>
      <c r="AX136" s="32"/>
      <c r="AY136" s="54"/>
      <c r="AZ136" s="21" t="str">
        <f>IFERROR(VLOOKUP(August[[#This Row],[Drug Name5]],'Data Options'!$R$1:$S$100,2,FALSE), " ")</f>
        <v xml:space="preserve"> </v>
      </c>
      <c r="BA136" s="55"/>
      <c r="BB136" s="32"/>
      <c r="BC136" s="32"/>
      <c r="BD136" s="55"/>
      <c r="BE136" s="32"/>
      <c r="BF136" s="54"/>
      <c r="BG136" s="21" t="str">
        <f>IFERROR(VLOOKUP(August[[#This Row],[Drug Name6]],'Data Options'!$R$1:$S$100,2,FALSE), " ")</f>
        <v xml:space="preserve"> </v>
      </c>
      <c r="BH136" s="55"/>
      <c r="BI136" s="32"/>
      <c r="BJ136" s="32"/>
      <c r="BK136" s="55"/>
      <c r="BL136" s="32"/>
      <c r="BM136" s="32"/>
      <c r="BN136" s="32"/>
      <c r="BO136" s="32"/>
      <c r="BP136" s="32"/>
      <c r="BQ136" s="31"/>
      <c r="BR136" s="31"/>
      <c r="BS136" s="54"/>
      <c r="BT136" s="21" t="str">
        <f>IFERROR(VLOOKUP(August[[#This Row],[Drug Name7]],'Data Options'!$R$1:$S$100,2,FALSE), " ")</f>
        <v xml:space="preserve"> </v>
      </c>
      <c r="BU136" s="55"/>
      <c r="BV136" s="32"/>
      <c r="BW136" s="32"/>
      <c r="BX136" s="55"/>
      <c r="BY136" s="32"/>
      <c r="BZ136" s="54"/>
      <c r="CA136" s="21" t="str">
        <f>IFERROR(VLOOKUP(August[[#This Row],[Drug Name8]],'Data Options'!$R$1:$S$100,2,FALSE), " ")</f>
        <v xml:space="preserve"> </v>
      </c>
      <c r="CB136" s="55"/>
      <c r="CC136" s="32"/>
      <c r="CD136" s="32"/>
      <c r="CE136" s="55"/>
      <c r="CF136" s="32"/>
      <c r="CG136" s="54"/>
      <c r="CH136" s="21" t="str">
        <f>IFERROR(VLOOKUP(August[[#This Row],[Drug Name9]],'Data Options'!$R$1:$S$100,2,FALSE), " ")</f>
        <v xml:space="preserve"> </v>
      </c>
      <c r="CI136" s="55"/>
      <c r="CJ136" s="32"/>
      <c r="CK136" s="32"/>
      <c r="CL136" s="55"/>
      <c r="CM136" s="32"/>
    </row>
    <row r="137" spans="1:91">
      <c r="A137" s="5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/>
      <c r="P137" s="31"/>
      <c r="Q137" s="54"/>
      <c r="R137" s="21" t="str">
        <f>IFERROR(VLOOKUP(August[[#This Row],[Drug Name]],'Data Options'!$R$1:$S$100,2,FALSE), " ")</f>
        <v xml:space="preserve"> </v>
      </c>
      <c r="S137" s="55"/>
      <c r="T137" s="32"/>
      <c r="U137" s="32"/>
      <c r="V137" s="55"/>
      <c r="W137" s="32"/>
      <c r="X137" s="54"/>
      <c r="Y137" s="21" t="str">
        <f>IFERROR(VLOOKUP(August[[#This Row],[Drug Name2]],'Data Options'!$R$1:$S$100,2,FALSE), " ")</f>
        <v xml:space="preserve"> </v>
      </c>
      <c r="Z137" s="55"/>
      <c r="AA137" s="32"/>
      <c r="AB137" s="32"/>
      <c r="AC137" s="55"/>
      <c r="AD137" s="32"/>
      <c r="AE137" s="54"/>
      <c r="AF137" s="21" t="str">
        <f>IFERROR(VLOOKUP(August[[#This Row],[Drug Name3]],'Data Options'!$R$1:$S$100,2,FALSE), " ")</f>
        <v xml:space="preserve"> </v>
      </c>
      <c r="AG137" s="55"/>
      <c r="AH137" s="32"/>
      <c r="AI137" s="32"/>
      <c r="AJ137" s="55"/>
      <c r="AK137" s="32"/>
      <c r="AL137" s="32"/>
      <c r="AM137" s="32"/>
      <c r="AN137" s="32"/>
      <c r="AO137" s="32"/>
      <c r="AP137" s="31"/>
      <c r="AQ137" s="31"/>
      <c r="AR137" s="54"/>
      <c r="AS137" s="21" t="str">
        <f>IFERROR(VLOOKUP(August[[#This Row],[Drug Name4]],'Data Options'!$R$1:$S$100,2,FALSE), " ")</f>
        <v xml:space="preserve"> </v>
      </c>
      <c r="AT137" s="55"/>
      <c r="AU137" s="32"/>
      <c r="AV137" s="32"/>
      <c r="AW137" s="55"/>
      <c r="AX137" s="32"/>
      <c r="AY137" s="54"/>
      <c r="AZ137" s="21" t="str">
        <f>IFERROR(VLOOKUP(August[[#This Row],[Drug Name5]],'Data Options'!$R$1:$S$100,2,FALSE), " ")</f>
        <v xml:space="preserve"> </v>
      </c>
      <c r="BA137" s="55"/>
      <c r="BB137" s="32"/>
      <c r="BC137" s="32"/>
      <c r="BD137" s="55"/>
      <c r="BE137" s="32"/>
      <c r="BF137" s="54"/>
      <c r="BG137" s="21" t="str">
        <f>IFERROR(VLOOKUP(August[[#This Row],[Drug Name6]],'Data Options'!$R$1:$S$100,2,FALSE), " ")</f>
        <v xml:space="preserve"> </v>
      </c>
      <c r="BH137" s="55"/>
      <c r="BI137" s="32"/>
      <c r="BJ137" s="32"/>
      <c r="BK137" s="55"/>
      <c r="BL137" s="32"/>
      <c r="BM137" s="32"/>
      <c r="BN137" s="32"/>
      <c r="BO137" s="32"/>
      <c r="BP137" s="32"/>
      <c r="BQ137" s="31"/>
      <c r="BR137" s="31"/>
      <c r="BS137" s="54"/>
      <c r="BT137" s="21" t="str">
        <f>IFERROR(VLOOKUP(August[[#This Row],[Drug Name7]],'Data Options'!$R$1:$S$100,2,FALSE), " ")</f>
        <v xml:space="preserve"> </v>
      </c>
      <c r="BU137" s="55"/>
      <c r="BV137" s="32"/>
      <c r="BW137" s="32"/>
      <c r="BX137" s="55"/>
      <c r="BY137" s="32"/>
      <c r="BZ137" s="54"/>
      <c r="CA137" s="21" t="str">
        <f>IFERROR(VLOOKUP(August[[#This Row],[Drug Name8]],'Data Options'!$R$1:$S$100,2,FALSE), " ")</f>
        <v xml:space="preserve"> </v>
      </c>
      <c r="CB137" s="55"/>
      <c r="CC137" s="32"/>
      <c r="CD137" s="32"/>
      <c r="CE137" s="55"/>
      <c r="CF137" s="32"/>
      <c r="CG137" s="54"/>
      <c r="CH137" s="21" t="str">
        <f>IFERROR(VLOOKUP(August[[#This Row],[Drug Name9]],'Data Options'!$R$1:$S$100,2,FALSE), " ")</f>
        <v xml:space="preserve"> </v>
      </c>
      <c r="CI137" s="55"/>
      <c r="CJ137" s="32"/>
      <c r="CK137" s="32"/>
      <c r="CL137" s="55"/>
      <c r="CM137" s="32"/>
    </row>
    <row r="138" spans="1:91">
      <c r="A138" s="5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1"/>
      <c r="P138" s="31"/>
      <c r="Q138" s="54"/>
      <c r="R138" s="21" t="str">
        <f>IFERROR(VLOOKUP(August[[#This Row],[Drug Name]],'Data Options'!$R$1:$S$100,2,FALSE), " ")</f>
        <v xml:space="preserve"> </v>
      </c>
      <c r="S138" s="55"/>
      <c r="T138" s="32"/>
      <c r="U138" s="32"/>
      <c r="V138" s="55"/>
      <c r="W138" s="32"/>
      <c r="X138" s="54"/>
      <c r="Y138" s="21" t="str">
        <f>IFERROR(VLOOKUP(August[[#This Row],[Drug Name2]],'Data Options'!$R$1:$S$100,2,FALSE), " ")</f>
        <v xml:space="preserve"> </v>
      </c>
      <c r="Z138" s="55"/>
      <c r="AA138" s="32"/>
      <c r="AB138" s="32"/>
      <c r="AC138" s="55"/>
      <c r="AD138" s="32"/>
      <c r="AE138" s="54"/>
      <c r="AF138" s="21" t="str">
        <f>IFERROR(VLOOKUP(August[[#This Row],[Drug Name3]],'Data Options'!$R$1:$S$100,2,FALSE), " ")</f>
        <v xml:space="preserve"> </v>
      </c>
      <c r="AG138" s="55"/>
      <c r="AH138" s="32"/>
      <c r="AI138" s="32"/>
      <c r="AJ138" s="55"/>
      <c r="AK138" s="32"/>
      <c r="AL138" s="32"/>
      <c r="AM138" s="32"/>
      <c r="AN138" s="32"/>
      <c r="AO138" s="32"/>
      <c r="AP138" s="31"/>
      <c r="AQ138" s="31"/>
      <c r="AR138" s="54"/>
      <c r="AS138" s="21" t="str">
        <f>IFERROR(VLOOKUP(August[[#This Row],[Drug Name4]],'Data Options'!$R$1:$S$100,2,FALSE), " ")</f>
        <v xml:space="preserve"> </v>
      </c>
      <c r="AT138" s="55"/>
      <c r="AU138" s="32"/>
      <c r="AV138" s="32"/>
      <c r="AW138" s="55"/>
      <c r="AX138" s="32"/>
      <c r="AY138" s="54"/>
      <c r="AZ138" s="21" t="str">
        <f>IFERROR(VLOOKUP(August[[#This Row],[Drug Name5]],'Data Options'!$R$1:$S$100,2,FALSE), " ")</f>
        <v xml:space="preserve"> </v>
      </c>
      <c r="BA138" s="55"/>
      <c r="BB138" s="32"/>
      <c r="BC138" s="32"/>
      <c r="BD138" s="55"/>
      <c r="BE138" s="32"/>
      <c r="BF138" s="54"/>
      <c r="BG138" s="21" t="str">
        <f>IFERROR(VLOOKUP(August[[#This Row],[Drug Name6]],'Data Options'!$R$1:$S$100,2,FALSE), " ")</f>
        <v xml:space="preserve"> </v>
      </c>
      <c r="BH138" s="55"/>
      <c r="BI138" s="32"/>
      <c r="BJ138" s="32"/>
      <c r="BK138" s="55"/>
      <c r="BL138" s="32"/>
      <c r="BM138" s="32"/>
      <c r="BN138" s="32"/>
      <c r="BO138" s="32"/>
      <c r="BP138" s="32"/>
      <c r="BQ138" s="31"/>
      <c r="BR138" s="31"/>
      <c r="BS138" s="54"/>
      <c r="BT138" s="21" t="str">
        <f>IFERROR(VLOOKUP(August[[#This Row],[Drug Name7]],'Data Options'!$R$1:$S$100,2,FALSE), " ")</f>
        <v xml:space="preserve"> </v>
      </c>
      <c r="BU138" s="55"/>
      <c r="BV138" s="32"/>
      <c r="BW138" s="32"/>
      <c r="BX138" s="55"/>
      <c r="BY138" s="32"/>
      <c r="BZ138" s="54"/>
      <c r="CA138" s="21" t="str">
        <f>IFERROR(VLOOKUP(August[[#This Row],[Drug Name8]],'Data Options'!$R$1:$S$100,2,FALSE), " ")</f>
        <v xml:space="preserve"> </v>
      </c>
      <c r="CB138" s="55"/>
      <c r="CC138" s="32"/>
      <c r="CD138" s="32"/>
      <c r="CE138" s="55"/>
      <c r="CF138" s="32"/>
      <c r="CG138" s="54"/>
      <c r="CH138" s="21" t="str">
        <f>IFERROR(VLOOKUP(August[[#This Row],[Drug Name9]],'Data Options'!$R$1:$S$100,2,FALSE), " ")</f>
        <v xml:space="preserve"> </v>
      </c>
      <c r="CI138" s="55"/>
      <c r="CJ138" s="32"/>
      <c r="CK138" s="32"/>
      <c r="CL138" s="55"/>
      <c r="CM138" s="32"/>
    </row>
    <row r="139" spans="1:91">
      <c r="A139" s="5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1"/>
      <c r="P139" s="31"/>
      <c r="Q139" s="54"/>
      <c r="R139" s="21" t="str">
        <f>IFERROR(VLOOKUP(August[[#This Row],[Drug Name]],'Data Options'!$R$1:$S$100,2,FALSE), " ")</f>
        <v xml:space="preserve"> </v>
      </c>
      <c r="S139" s="55"/>
      <c r="T139" s="32"/>
      <c r="U139" s="32"/>
      <c r="V139" s="55"/>
      <c r="W139" s="32"/>
      <c r="X139" s="54"/>
      <c r="Y139" s="21" t="str">
        <f>IFERROR(VLOOKUP(August[[#This Row],[Drug Name2]],'Data Options'!$R$1:$S$100,2,FALSE), " ")</f>
        <v xml:space="preserve"> </v>
      </c>
      <c r="Z139" s="55"/>
      <c r="AA139" s="32"/>
      <c r="AB139" s="32"/>
      <c r="AC139" s="55"/>
      <c r="AD139" s="32"/>
      <c r="AE139" s="54"/>
      <c r="AF139" s="21" t="str">
        <f>IFERROR(VLOOKUP(August[[#This Row],[Drug Name3]],'Data Options'!$R$1:$S$100,2,FALSE), " ")</f>
        <v xml:space="preserve"> </v>
      </c>
      <c r="AG139" s="55"/>
      <c r="AH139" s="32"/>
      <c r="AI139" s="32"/>
      <c r="AJ139" s="55"/>
      <c r="AK139" s="32"/>
      <c r="AL139" s="32"/>
      <c r="AM139" s="32"/>
      <c r="AN139" s="32"/>
      <c r="AO139" s="32"/>
      <c r="AP139" s="31"/>
      <c r="AQ139" s="31"/>
      <c r="AR139" s="54"/>
      <c r="AS139" s="21" t="str">
        <f>IFERROR(VLOOKUP(August[[#This Row],[Drug Name4]],'Data Options'!$R$1:$S$100,2,FALSE), " ")</f>
        <v xml:space="preserve"> </v>
      </c>
      <c r="AT139" s="55"/>
      <c r="AU139" s="32"/>
      <c r="AV139" s="32"/>
      <c r="AW139" s="55"/>
      <c r="AX139" s="32"/>
      <c r="AY139" s="54"/>
      <c r="AZ139" s="21" t="str">
        <f>IFERROR(VLOOKUP(August[[#This Row],[Drug Name5]],'Data Options'!$R$1:$S$100,2,FALSE), " ")</f>
        <v xml:space="preserve"> </v>
      </c>
      <c r="BA139" s="55"/>
      <c r="BB139" s="32"/>
      <c r="BC139" s="32"/>
      <c r="BD139" s="55"/>
      <c r="BE139" s="32"/>
      <c r="BF139" s="54"/>
      <c r="BG139" s="21" t="str">
        <f>IFERROR(VLOOKUP(August[[#This Row],[Drug Name6]],'Data Options'!$R$1:$S$100,2,FALSE), " ")</f>
        <v xml:space="preserve"> </v>
      </c>
      <c r="BH139" s="55"/>
      <c r="BI139" s="32"/>
      <c r="BJ139" s="32"/>
      <c r="BK139" s="55"/>
      <c r="BL139" s="32"/>
      <c r="BM139" s="32"/>
      <c r="BN139" s="32"/>
      <c r="BO139" s="32"/>
      <c r="BP139" s="32"/>
      <c r="BQ139" s="31"/>
      <c r="BR139" s="31"/>
      <c r="BS139" s="54"/>
      <c r="BT139" s="21" t="str">
        <f>IFERROR(VLOOKUP(August[[#This Row],[Drug Name7]],'Data Options'!$R$1:$S$100,2,FALSE), " ")</f>
        <v xml:space="preserve"> </v>
      </c>
      <c r="BU139" s="55"/>
      <c r="BV139" s="32"/>
      <c r="BW139" s="32"/>
      <c r="BX139" s="55"/>
      <c r="BY139" s="32"/>
      <c r="BZ139" s="54"/>
      <c r="CA139" s="21" t="str">
        <f>IFERROR(VLOOKUP(August[[#This Row],[Drug Name8]],'Data Options'!$R$1:$S$100,2,FALSE), " ")</f>
        <v xml:space="preserve"> </v>
      </c>
      <c r="CB139" s="55"/>
      <c r="CC139" s="32"/>
      <c r="CD139" s="32"/>
      <c r="CE139" s="55"/>
      <c r="CF139" s="32"/>
      <c r="CG139" s="54"/>
      <c r="CH139" s="21" t="str">
        <f>IFERROR(VLOOKUP(August[[#This Row],[Drug Name9]],'Data Options'!$R$1:$S$100,2,FALSE), " ")</f>
        <v xml:space="preserve"> </v>
      </c>
      <c r="CI139" s="55"/>
      <c r="CJ139" s="32"/>
      <c r="CK139" s="32"/>
      <c r="CL139" s="55"/>
      <c r="CM139" s="32"/>
    </row>
    <row r="140" spans="1:91">
      <c r="A140" s="5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1"/>
      <c r="P140" s="31"/>
      <c r="Q140" s="54"/>
      <c r="R140" s="21" t="str">
        <f>IFERROR(VLOOKUP(August[[#This Row],[Drug Name]],'Data Options'!$R$1:$S$100,2,FALSE), " ")</f>
        <v xml:space="preserve"> </v>
      </c>
      <c r="S140" s="55"/>
      <c r="T140" s="32"/>
      <c r="U140" s="32"/>
      <c r="V140" s="55"/>
      <c r="W140" s="32"/>
      <c r="X140" s="54"/>
      <c r="Y140" s="21" t="str">
        <f>IFERROR(VLOOKUP(August[[#This Row],[Drug Name2]],'Data Options'!$R$1:$S$100,2,FALSE), " ")</f>
        <v xml:space="preserve"> </v>
      </c>
      <c r="Z140" s="55"/>
      <c r="AA140" s="32"/>
      <c r="AB140" s="32"/>
      <c r="AC140" s="55"/>
      <c r="AD140" s="32"/>
      <c r="AE140" s="54"/>
      <c r="AF140" s="21" t="str">
        <f>IFERROR(VLOOKUP(August[[#This Row],[Drug Name3]],'Data Options'!$R$1:$S$100,2,FALSE), " ")</f>
        <v xml:space="preserve"> </v>
      </c>
      <c r="AG140" s="55"/>
      <c r="AH140" s="32"/>
      <c r="AI140" s="32"/>
      <c r="AJ140" s="55"/>
      <c r="AK140" s="32"/>
      <c r="AL140" s="32"/>
      <c r="AM140" s="32"/>
      <c r="AN140" s="32"/>
      <c r="AO140" s="32"/>
      <c r="AP140" s="31"/>
      <c r="AQ140" s="31"/>
      <c r="AR140" s="54"/>
      <c r="AS140" s="21" t="str">
        <f>IFERROR(VLOOKUP(August[[#This Row],[Drug Name4]],'Data Options'!$R$1:$S$100,2,FALSE), " ")</f>
        <v xml:space="preserve"> </v>
      </c>
      <c r="AT140" s="55"/>
      <c r="AU140" s="32"/>
      <c r="AV140" s="32"/>
      <c r="AW140" s="55"/>
      <c r="AX140" s="32"/>
      <c r="AY140" s="54"/>
      <c r="AZ140" s="21" t="str">
        <f>IFERROR(VLOOKUP(August[[#This Row],[Drug Name5]],'Data Options'!$R$1:$S$100,2,FALSE), " ")</f>
        <v xml:space="preserve"> </v>
      </c>
      <c r="BA140" s="55"/>
      <c r="BB140" s="32"/>
      <c r="BC140" s="32"/>
      <c r="BD140" s="55"/>
      <c r="BE140" s="32"/>
      <c r="BF140" s="54"/>
      <c r="BG140" s="21" t="str">
        <f>IFERROR(VLOOKUP(August[[#This Row],[Drug Name6]],'Data Options'!$R$1:$S$100,2,FALSE), " ")</f>
        <v xml:space="preserve"> </v>
      </c>
      <c r="BH140" s="55"/>
      <c r="BI140" s="32"/>
      <c r="BJ140" s="32"/>
      <c r="BK140" s="55"/>
      <c r="BL140" s="32"/>
      <c r="BM140" s="32"/>
      <c r="BN140" s="32"/>
      <c r="BO140" s="32"/>
      <c r="BP140" s="32"/>
      <c r="BQ140" s="31"/>
      <c r="BR140" s="31"/>
      <c r="BS140" s="54"/>
      <c r="BT140" s="21" t="str">
        <f>IFERROR(VLOOKUP(August[[#This Row],[Drug Name7]],'Data Options'!$R$1:$S$100,2,FALSE), " ")</f>
        <v xml:space="preserve"> </v>
      </c>
      <c r="BU140" s="55"/>
      <c r="BV140" s="32"/>
      <c r="BW140" s="32"/>
      <c r="BX140" s="55"/>
      <c r="BY140" s="32"/>
      <c r="BZ140" s="54"/>
      <c r="CA140" s="21" t="str">
        <f>IFERROR(VLOOKUP(August[[#This Row],[Drug Name8]],'Data Options'!$R$1:$S$100,2,FALSE), " ")</f>
        <v xml:space="preserve"> </v>
      </c>
      <c r="CB140" s="55"/>
      <c r="CC140" s="32"/>
      <c r="CD140" s="32"/>
      <c r="CE140" s="55"/>
      <c r="CF140" s="32"/>
      <c r="CG140" s="54"/>
      <c r="CH140" s="21" t="str">
        <f>IFERROR(VLOOKUP(August[[#This Row],[Drug Name9]],'Data Options'!$R$1:$S$100,2,FALSE), " ")</f>
        <v xml:space="preserve"> </v>
      </c>
      <c r="CI140" s="55"/>
      <c r="CJ140" s="32"/>
      <c r="CK140" s="32"/>
      <c r="CL140" s="55"/>
      <c r="CM140" s="32"/>
    </row>
    <row r="141" spans="1:91">
      <c r="A141" s="5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1"/>
      <c r="Q141" s="54"/>
      <c r="R141" s="21" t="str">
        <f>IFERROR(VLOOKUP(August[[#This Row],[Drug Name]],'Data Options'!$R$1:$S$100,2,FALSE), " ")</f>
        <v xml:space="preserve"> </v>
      </c>
      <c r="S141" s="55"/>
      <c r="T141" s="32"/>
      <c r="U141" s="32"/>
      <c r="V141" s="55"/>
      <c r="W141" s="32"/>
      <c r="X141" s="54"/>
      <c r="Y141" s="21" t="str">
        <f>IFERROR(VLOOKUP(August[[#This Row],[Drug Name2]],'Data Options'!$R$1:$S$100,2,FALSE), " ")</f>
        <v xml:space="preserve"> </v>
      </c>
      <c r="Z141" s="55"/>
      <c r="AA141" s="32"/>
      <c r="AB141" s="32"/>
      <c r="AC141" s="55"/>
      <c r="AD141" s="32"/>
      <c r="AE141" s="54"/>
      <c r="AF141" s="21" t="str">
        <f>IFERROR(VLOOKUP(August[[#This Row],[Drug Name3]],'Data Options'!$R$1:$S$100,2,FALSE), " ")</f>
        <v xml:space="preserve"> </v>
      </c>
      <c r="AG141" s="55"/>
      <c r="AH141" s="32"/>
      <c r="AI141" s="32"/>
      <c r="AJ141" s="55"/>
      <c r="AK141" s="32"/>
      <c r="AL141" s="32"/>
      <c r="AM141" s="32"/>
      <c r="AN141" s="32"/>
      <c r="AO141" s="32"/>
      <c r="AP141" s="31"/>
      <c r="AQ141" s="31"/>
      <c r="AR141" s="54"/>
      <c r="AS141" s="21" t="str">
        <f>IFERROR(VLOOKUP(August[[#This Row],[Drug Name4]],'Data Options'!$R$1:$S$100,2,FALSE), " ")</f>
        <v xml:space="preserve"> </v>
      </c>
      <c r="AT141" s="55"/>
      <c r="AU141" s="32"/>
      <c r="AV141" s="32"/>
      <c r="AW141" s="55"/>
      <c r="AX141" s="32"/>
      <c r="AY141" s="54"/>
      <c r="AZ141" s="21" t="str">
        <f>IFERROR(VLOOKUP(August[[#This Row],[Drug Name5]],'Data Options'!$R$1:$S$100,2,FALSE), " ")</f>
        <v xml:space="preserve"> </v>
      </c>
      <c r="BA141" s="55"/>
      <c r="BB141" s="32"/>
      <c r="BC141" s="32"/>
      <c r="BD141" s="55"/>
      <c r="BE141" s="32"/>
      <c r="BF141" s="54"/>
      <c r="BG141" s="21" t="str">
        <f>IFERROR(VLOOKUP(August[[#This Row],[Drug Name6]],'Data Options'!$R$1:$S$100,2,FALSE), " ")</f>
        <v xml:space="preserve"> </v>
      </c>
      <c r="BH141" s="55"/>
      <c r="BI141" s="32"/>
      <c r="BJ141" s="32"/>
      <c r="BK141" s="55"/>
      <c r="BL141" s="32"/>
      <c r="BM141" s="32"/>
      <c r="BN141" s="32"/>
      <c r="BO141" s="32"/>
      <c r="BP141" s="32"/>
      <c r="BQ141" s="31"/>
      <c r="BR141" s="31"/>
      <c r="BS141" s="54"/>
      <c r="BT141" s="21" t="str">
        <f>IFERROR(VLOOKUP(August[[#This Row],[Drug Name7]],'Data Options'!$R$1:$S$100,2,FALSE), " ")</f>
        <v xml:space="preserve"> </v>
      </c>
      <c r="BU141" s="55"/>
      <c r="BV141" s="32"/>
      <c r="BW141" s="32"/>
      <c r="BX141" s="55"/>
      <c r="BY141" s="32"/>
      <c r="BZ141" s="54"/>
      <c r="CA141" s="21" t="str">
        <f>IFERROR(VLOOKUP(August[[#This Row],[Drug Name8]],'Data Options'!$R$1:$S$100,2,FALSE), " ")</f>
        <v xml:space="preserve"> </v>
      </c>
      <c r="CB141" s="55"/>
      <c r="CC141" s="32"/>
      <c r="CD141" s="32"/>
      <c r="CE141" s="55"/>
      <c r="CF141" s="32"/>
      <c r="CG141" s="54"/>
      <c r="CH141" s="21" t="str">
        <f>IFERROR(VLOOKUP(August[[#This Row],[Drug Name9]],'Data Options'!$R$1:$S$100,2,FALSE), " ")</f>
        <v xml:space="preserve"> </v>
      </c>
      <c r="CI141" s="55"/>
      <c r="CJ141" s="32"/>
      <c r="CK141" s="32"/>
      <c r="CL141" s="55"/>
      <c r="CM141" s="32"/>
    </row>
    <row r="142" spans="1:91">
      <c r="A142" s="5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1"/>
      <c r="P142" s="31"/>
      <c r="Q142" s="54"/>
      <c r="R142" s="21" t="str">
        <f>IFERROR(VLOOKUP(August[[#This Row],[Drug Name]],'Data Options'!$R$1:$S$100,2,FALSE), " ")</f>
        <v xml:space="preserve"> </v>
      </c>
      <c r="S142" s="55"/>
      <c r="T142" s="32"/>
      <c r="U142" s="32"/>
      <c r="V142" s="55"/>
      <c r="W142" s="32"/>
      <c r="X142" s="54"/>
      <c r="Y142" s="21" t="str">
        <f>IFERROR(VLOOKUP(August[[#This Row],[Drug Name2]],'Data Options'!$R$1:$S$100,2,FALSE), " ")</f>
        <v xml:space="preserve"> </v>
      </c>
      <c r="Z142" s="55"/>
      <c r="AA142" s="32"/>
      <c r="AB142" s="32"/>
      <c r="AC142" s="55"/>
      <c r="AD142" s="32"/>
      <c r="AE142" s="54"/>
      <c r="AF142" s="21" t="str">
        <f>IFERROR(VLOOKUP(August[[#This Row],[Drug Name3]],'Data Options'!$R$1:$S$100,2,FALSE), " ")</f>
        <v xml:space="preserve"> </v>
      </c>
      <c r="AG142" s="55"/>
      <c r="AH142" s="32"/>
      <c r="AI142" s="32"/>
      <c r="AJ142" s="55"/>
      <c r="AK142" s="32"/>
      <c r="AL142" s="32"/>
      <c r="AM142" s="32"/>
      <c r="AN142" s="32"/>
      <c r="AO142" s="32"/>
      <c r="AP142" s="31"/>
      <c r="AQ142" s="31"/>
      <c r="AR142" s="54"/>
      <c r="AS142" s="21" t="str">
        <f>IFERROR(VLOOKUP(August[[#This Row],[Drug Name4]],'Data Options'!$R$1:$S$100,2,FALSE), " ")</f>
        <v xml:space="preserve"> </v>
      </c>
      <c r="AT142" s="55"/>
      <c r="AU142" s="32"/>
      <c r="AV142" s="32"/>
      <c r="AW142" s="55"/>
      <c r="AX142" s="32"/>
      <c r="AY142" s="54"/>
      <c r="AZ142" s="21" t="str">
        <f>IFERROR(VLOOKUP(August[[#This Row],[Drug Name5]],'Data Options'!$R$1:$S$100,2,FALSE), " ")</f>
        <v xml:space="preserve"> </v>
      </c>
      <c r="BA142" s="55"/>
      <c r="BB142" s="32"/>
      <c r="BC142" s="32"/>
      <c r="BD142" s="55"/>
      <c r="BE142" s="32"/>
      <c r="BF142" s="54"/>
      <c r="BG142" s="21" t="str">
        <f>IFERROR(VLOOKUP(August[[#This Row],[Drug Name6]],'Data Options'!$R$1:$S$100,2,FALSE), " ")</f>
        <v xml:space="preserve"> </v>
      </c>
      <c r="BH142" s="55"/>
      <c r="BI142" s="32"/>
      <c r="BJ142" s="32"/>
      <c r="BK142" s="55"/>
      <c r="BL142" s="32"/>
      <c r="BM142" s="32"/>
      <c r="BN142" s="32"/>
      <c r="BO142" s="32"/>
      <c r="BP142" s="32"/>
      <c r="BQ142" s="31"/>
      <c r="BR142" s="31"/>
      <c r="BS142" s="54"/>
      <c r="BT142" s="21" t="str">
        <f>IFERROR(VLOOKUP(August[[#This Row],[Drug Name7]],'Data Options'!$R$1:$S$100,2,FALSE), " ")</f>
        <v xml:space="preserve"> </v>
      </c>
      <c r="BU142" s="55"/>
      <c r="BV142" s="32"/>
      <c r="BW142" s="32"/>
      <c r="BX142" s="55"/>
      <c r="BY142" s="32"/>
      <c r="BZ142" s="54"/>
      <c r="CA142" s="21" t="str">
        <f>IFERROR(VLOOKUP(August[[#This Row],[Drug Name8]],'Data Options'!$R$1:$S$100,2,FALSE), " ")</f>
        <v xml:space="preserve"> </v>
      </c>
      <c r="CB142" s="55"/>
      <c r="CC142" s="32"/>
      <c r="CD142" s="32"/>
      <c r="CE142" s="55"/>
      <c r="CF142" s="32"/>
      <c r="CG142" s="54"/>
      <c r="CH142" s="21" t="str">
        <f>IFERROR(VLOOKUP(August[[#This Row],[Drug Name9]],'Data Options'!$R$1:$S$100,2,FALSE), " ")</f>
        <v xml:space="preserve"> </v>
      </c>
      <c r="CI142" s="55"/>
      <c r="CJ142" s="32"/>
      <c r="CK142" s="32"/>
      <c r="CL142" s="55"/>
      <c r="CM142" s="32"/>
    </row>
    <row r="143" spans="1:91">
      <c r="A143" s="5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1"/>
      <c r="P143" s="31"/>
      <c r="Q143" s="54"/>
      <c r="R143" s="21" t="str">
        <f>IFERROR(VLOOKUP(August[[#This Row],[Drug Name]],'Data Options'!$R$1:$S$100,2,FALSE), " ")</f>
        <v xml:space="preserve"> </v>
      </c>
      <c r="S143" s="55"/>
      <c r="T143" s="32"/>
      <c r="U143" s="32"/>
      <c r="V143" s="55"/>
      <c r="W143" s="32"/>
      <c r="X143" s="54"/>
      <c r="Y143" s="21" t="str">
        <f>IFERROR(VLOOKUP(August[[#This Row],[Drug Name2]],'Data Options'!$R$1:$S$100,2,FALSE), " ")</f>
        <v xml:space="preserve"> </v>
      </c>
      <c r="Z143" s="55"/>
      <c r="AA143" s="32"/>
      <c r="AB143" s="32"/>
      <c r="AC143" s="55"/>
      <c r="AD143" s="32"/>
      <c r="AE143" s="54"/>
      <c r="AF143" s="21" t="str">
        <f>IFERROR(VLOOKUP(August[[#This Row],[Drug Name3]],'Data Options'!$R$1:$S$100,2,FALSE), " ")</f>
        <v xml:space="preserve"> </v>
      </c>
      <c r="AG143" s="55"/>
      <c r="AH143" s="32"/>
      <c r="AI143" s="32"/>
      <c r="AJ143" s="55"/>
      <c r="AK143" s="32"/>
      <c r="AL143" s="32"/>
      <c r="AM143" s="32"/>
      <c r="AN143" s="32"/>
      <c r="AO143" s="32"/>
      <c r="AP143" s="31"/>
      <c r="AQ143" s="31"/>
      <c r="AR143" s="54"/>
      <c r="AS143" s="21" t="str">
        <f>IFERROR(VLOOKUP(August[[#This Row],[Drug Name4]],'Data Options'!$R$1:$S$100,2,FALSE), " ")</f>
        <v xml:space="preserve"> </v>
      </c>
      <c r="AT143" s="55"/>
      <c r="AU143" s="32"/>
      <c r="AV143" s="32"/>
      <c r="AW143" s="55"/>
      <c r="AX143" s="32"/>
      <c r="AY143" s="54"/>
      <c r="AZ143" s="21" t="str">
        <f>IFERROR(VLOOKUP(August[[#This Row],[Drug Name5]],'Data Options'!$R$1:$S$100,2,FALSE), " ")</f>
        <v xml:space="preserve"> </v>
      </c>
      <c r="BA143" s="55"/>
      <c r="BB143" s="32"/>
      <c r="BC143" s="32"/>
      <c r="BD143" s="55"/>
      <c r="BE143" s="32"/>
      <c r="BF143" s="54"/>
      <c r="BG143" s="21" t="str">
        <f>IFERROR(VLOOKUP(August[[#This Row],[Drug Name6]],'Data Options'!$R$1:$S$100,2,FALSE), " ")</f>
        <v xml:space="preserve"> </v>
      </c>
      <c r="BH143" s="55"/>
      <c r="BI143" s="32"/>
      <c r="BJ143" s="32"/>
      <c r="BK143" s="55"/>
      <c r="BL143" s="32"/>
      <c r="BM143" s="32"/>
      <c r="BN143" s="32"/>
      <c r="BO143" s="32"/>
      <c r="BP143" s="32"/>
      <c r="BQ143" s="31"/>
      <c r="BR143" s="31"/>
      <c r="BS143" s="54"/>
      <c r="BT143" s="21" t="str">
        <f>IFERROR(VLOOKUP(August[[#This Row],[Drug Name7]],'Data Options'!$R$1:$S$100,2,FALSE), " ")</f>
        <v xml:space="preserve"> </v>
      </c>
      <c r="BU143" s="55"/>
      <c r="BV143" s="32"/>
      <c r="BW143" s="32"/>
      <c r="BX143" s="55"/>
      <c r="BY143" s="32"/>
      <c r="BZ143" s="54"/>
      <c r="CA143" s="21" t="str">
        <f>IFERROR(VLOOKUP(August[[#This Row],[Drug Name8]],'Data Options'!$R$1:$S$100,2,FALSE), " ")</f>
        <v xml:space="preserve"> </v>
      </c>
      <c r="CB143" s="55"/>
      <c r="CC143" s="32"/>
      <c r="CD143" s="32"/>
      <c r="CE143" s="55"/>
      <c r="CF143" s="32"/>
      <c r="CG143" s="54"/>
      <c r="CH143" s="21" t="str">
        <f>IFERROR(VLOOKUP(August[[#This Row],[Drug Name9]],'Data Options'!$R$1:$S$100,2,FALSE), " ")</f>
        <v xml:space="preserve"> </v>
      </c>
      <c r="CI143" s="55"/>
      <c r="CJ143" s="32"/>
      <c r="CK143" s="32"/>
      <c r="CL143" s="55"/>
      <c r="CM143" s="32"/>
    </row>
    <row r="144" spans="1:91">
      <c r="A144" s="5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1"/>
      <c r="P144" s="31"/>
      <c r="Q144" s="54"/>
      <c r="R144" s="21" t="str">
        <f>IFERROR(VLOOKUP(August[[#This Row],[Drug Name]],'Data Options'!$R$1:$S$100,2,FALSE), " ")</f>
        <v xml:space="preserve"> </v>
      </c>
      <c r="S144" s="55"/>
      <c r="T144" s="32"/>
      <c r="U144" s="32"/>
      <c r="V144" s="55"/>
      <c r="W144" s="32"/>
      <c r="X144" s="54"/>
      <c r="Y144" s="21" t="str">
        <f>IFERROR(VLOOKUP(August[[#This Row],[Drug Name2]],'Data Options'!$R$1:$S$100,2,FALSE), " ")</f>
        <v xml:space="preserve"> </v>
      </c>
      <c r="Z144" s="55"/>
      <c r="AA144" s="32"/>
      <c r="AB144" s="32"/>
      <c r="AC144" s="55"/>
      <c r="AD144" s="32"/>
      <c r="AE144" s="54"/>
      <c r="AF144" s="21" t="str">
        <f>IFERROR(VLOOKUP(August[[#This Row],[Drug Name3]],'Data Options'!$R$1:$S$100,2,FALSE), " ")</f>
        <v xml:space="preserve"> </v>
      </c>
      <c r="AG144" s="55"/>
      <c r="AH144" s="32"/>
      <c r="AI144" s="32"/>
      <c r="AJ144" s="55"/>
      <c r="AK144" s="32"/>
      <c r="AL144" s="32"/>
      <c r="AM144" s="32"/>
      <c r="AN144" s="32"/>
      <c r="AO144" s="32"/>
      <c r="AP144" s="31"/>
      <c r="AQ144" s="31"/>
      <c r="AR144" s="54"/>
      <c r="AS144" s="21" t="str">
        <f>IFERROR(VLOOKUP(August[[#This Row],[Drug Name4]],'Data Options'!$R$1:$S$100,2,FALSE), " ")</f>
        <v xml:space="preserve"> </v>
      </c>
      <c r="AT144" s="55"/>
      <c r="AU144" s="32"/>
      <c r="AV144" s="32"/>
      <c r="AW144" s="55"/>
      <c r="AX144" s="32"/>
      <c r="AY144" s="54"/>
      <c r="AZ144" s="21" t="str">
        <f>IFERROR(VLOOKUP(August[[#This Row],[Drug Name5]],'Data Options'!$R$1:$S$100,2,FALSE), " ")</f>
        <v xml:space="preserve"> </v>
      </c>
      <c r="BA144" s="55"/>
      <c r="BB144" s="32"/>
      <c r="BC144" s="32"/>
      <c r="BD144" s="55"/>
      <c r="BE144" s="32"/>
      <c r="BF144" s="54"/>
      <c r="BG144" s="21" t="str">
        <f>IFERROR(VLOOKUP(August[[#This Row],[Drug Name6]],'Data Options'!$R$1:$S$100,2,FALSE), " ")</f>
        <v xml:space="preserve"> </v>
      </c>
      <c r="BH144" s="55"/>
      <c r="BI144" s="32"/>
      <c r="BJ144" s="32"/>
      <c r="BK144" s="55"/>
      <c r="BL144" s="32"/>
      <c r="BM144" s="32"/>
      <c r="BN144" s="32"/>
      <c r="BO144" s="32"/>
      <c r="BP144" s="32"/>
      <c r="BQ144" s="31"/>
      <c r="BR144" s="31"/>
      <c r="BS144" s="54"/>
      <c r="BT144" s="21" t="str">
        <f>IFERROR(VLOOKUP(August[[#This Row],[Drug Name7]],'Data Options'!$R$1:$S$100,2,FALSE), " ")</f>
        <v xml:space="preserve"> </v>
      </c>
      <c r="BU144" s="55"/>
      <c r="BV144" s="32"/>
      <c r="BW144" s="32"/>
      <c r="BX144" s="55"/>
      <c r="BY144" s="32"/>
      <c r="BZ144" s="54"/>
      <c r="CA144" s="21" t="str">
        <f>IFERROR(VLOOKUP(August[[#This Row],[Drug Name8]],'Data Options'!$R$1:$S$100,2,FALSE), " ")</f>
        <v xml:space="preserve"> </v>
      </c>
      <c r="CB144" s="55"/>
      <c r="CC144" s="32"/>
      <c r="CD144" s="32"/>
      <c r="CE144" s="55"/>
      <c r="CF144" s="32"/>
      <c r="CG144" s="54"/>
      <c r="CH144" s="21" t="str">
        <f>IFERROR(VLOOKUP(August[[#This Row],[Drug Name9]],'Data Options'!$R$1:$S$100,2,FALSE), " ")</f>
        <v xml:space="preserve"> </v>
      </c>
      <c r="CI144" s="55"/>
      <c r="CJ144" s="32"/>
      <c r="CK144" s="32"/>
      <c r="CL144" s="55"/>
      <c r="CM144" s="32"/>
    </row>
    <row r="145" spans="1:91">
      <c r="A145" s="5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1"/>
      <c r="P145" s="31"/>
      <c r="Q145" s="54"/>
      <c r="R145" s="21" t="str">
        <f>IFERROR(VLOOKUP(August[[#This Row],[Drug Name]],'Data Options'!$R$1:$S$100,2,FALSE), " ")</f>
        <v xml:space="preserve"> </v>
      </c>
      <c r="S145" s="55"/>
      <c r="T145" s="32"/>
      <c r="U145" s="32"/>
      <c r="V145" s="55"/>
      <c r="W145" s="32"/>
      <c r="X145" s="54"/>
      <c r="Y145" s="21" t="str">
        <f>IFERROR(VLOOKUP(August[[#This Row],[Drug Name2]],'Data Options'!$R$1:$S$100,2,FALSE), " ")</f>
        <v xml:space="preserve"> </v>
      </c>
      <c r="Z145" s="55"/>
      <c r="AA145" s="32"/>
      <c r="AB145" s="32"/>
      <c r="AC145" s="55"/>
      <c r="AD145" s="32"/>
      <c r="AE145" s="54"/>
      <c r="AF145" s="21" t="str">
        <f>IFERROR(VLOOKUP(August[[#This Row],[Drug Name3]],'Data Options'!$R$1:$S$100,2,FALSE), " ")</f>
        <v xml:space="preserve"> </v>
      </c>
      <c r="AG145" s="55"/>
      <c r="AH145" s="32"/>
      <c r="AI145" s="32"/>
      <c r="AJ145" s="55"/>
      <c r="AK145" s="32"/>
      <c r="AL145" s="32"/>
      <c r="AM145" s="32"/>
      <c r="AN145" s="32"/>
      <c r="AO145" s="32"/>
      <c r="AP145" s="31"/>
      <c r="AQ145" s="31"/>
      <c r="AR145" s="54"/>
      <c r="AS145" s="21" t="str">
        <f>IFERROR(VLOOKUP(August[[#This Row],[Drug Name4]],'Data Options'!$R$1:$S$100,2,FALSE), " ")</f>
        <v xml:space="preserve"> </v>
      </c>
      <c r="AT145" s="55"/>
      <c r="AU145" s="32"/>
      <c r="AV145" s="32"/>
      <c r="AW145" s="55"/>
      <c r="AX145" s="32"/>
      <c r="AY145" s="54"/>
      <c r="AZ145" s="21" t="str">
        <f>IFERROR(VLOOKUP(August[[#This Row],[Drug Name5]],'Data Options'!$R$1:$S$100,2,FALSE), " ")</f>
        <v xml:space="preserve"> </v>
      </c>
      <c r="BA145" s="55"/>
      <c r="BB145" s="32"/>
      <c r="BC145" s="32"/>
      <c r="BD145" s="55"/>
      <c r="BE145" s="32"/>
      <c r="BF145" s="54"/>
      <c r="BG145" s="21" t="str">
        <f>IFERROR(VLOOKUP(August[[#This Row],[Drug Name6]],'Data Options'!$R$1:$S$100,2,FALSE), " ")</f>
        <v xml:space="preserve"> </v>
      </c>
      <c r="BH145" s="55"/>
      <c r="BI145" s="32"/>
      <c r="BJ145" s="32"/>
      <c r="BK145" s="55"/>
      <c r="BL145" s="32"/>
      <c r="BM145" s="32"/>
      <c r="BN145" s="32"/>
      <c r="BO145" s="32"/>
      <c r="BP145" s="32"/>
      <c r="BQ145" s="31"/>
      <c r="BR145" s="31"/>
      <c r="BS145" s="54"/>
      <c r="BT145" s="21" t="str">
        <f>IFERROR(VLOOKUP(August[[#This Row],[Drug Name7]],'Data Options'!$R$1:$S$100,2,FALSE), " ")</f>
        <v xml:space="preserve"> </v>
      </c>
      <c r="BU145" s="55"/>
      <c r="BV145" s="32"/>
      <c r="BW145" s="32"/>
      <c r="BX145" s="55"/>
      <c r="BY145" s="32"/>
      <c r="BZ145" s="54"/>
      <c r="CA145" s="21" t="str">
        <f>IFERROR(VLOOKUP(August[[#This Row],[Drug Name8]],'Data Options'!$R$1:$S$100,2,FALSE), " ")</f>
        <v xml:space="preserve"> </v>
      </c>
      <c r="CB145" s="55"/>
      <c r="CC145" s="32"/>
      <c r="CD145" s="32"/>
      <c r="CE145" s="55"/>
      <c r="CF145" s="32"/>
      <c r="CG145" s="54"/>
      <c r="CH145" s="21" t="str">
        <f>IFERROR(VLOOKUP(August[[#This Row],[Drug Name9]],'Data Options'!$R$1:$S$100,2,FALSE), " ")</f>
        <v xml:space="preserve"> </v>
      </c>
      <c r="CI145" s="55"/>
      <c r="CJ145" s="32"/>
      <c r="CK145" s="32"/>
      <c r="CL145" s="55"/>
      <c r="CM145" s="32"/>
    </row>
    <row r="146" spans="1:91">
      <c r="A146" s="5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1"/>
      <c r="P146" s="31"/>
      <c r="Q146" s="54"/>
      <c r="R146" s="21" t="str">
        <f>IFERROR(VLOOKUP(August[[#This Row],[Drug Name]],'Data Options'!$R$1:$S$100,2,FALSE), " ")</f>
        <v xml:space="preserve"> </v>
      </c>
      <c r="S146" s="55"/>
      <c r="T146" s="32"/>
      <c r="U146" s="32"/>
      <c r="V146" s="55"/>
      <c r="W146" s="32"/>
      <c r="X146" s="54"/>
      <c r="Y146" s="21" t="str">
        <f>IFERROR(VLOOKUP(August[[#This Row],[Drug Name2]],'Data Options'!$R$1:$S$100,2,FALSE), " ")</f>
        <v xml:space="preserve"> </v>
      </c>
      <c r="Z146" s="55"/>
      <c r="AA146" s="32"/>
      <c r="AB146" s="32"/>
      <c r="AC146" s="55"/>
      <c r="AD146" s="32"/>
      <c r="AE146" s="54"/>
      <c r="AF146" s="21" t="str">
        <f>IFERROR(VLOOKUP(August[[#This Row],[Drug Name3]],'Data Options'!$R$1:$S$100,2,FALSE), " ")</f>
        <v xml:space="preserve"> </v>
      </c>
      <c r="AG146" s="55"/>
      <c r="AH146" s="32"/>
      <c r="AI146" s="32"/>
      <c r="AJ146" s="55"/>
      <c r="AK146" s="32"/>
      <c r="AL146" s="32"/>
      <c r="AM146" s="32"/>
      <c r="AN146" s="32"/>
      <c r="AO146" s="32"/>
      <c r="AP146" s="31"/>
      <c r="AQ146" s="31"/>
      <c r="AR146" s="54"/>
      <c r="AS146" s="21" t="str">
        <f>IFERROR(VLOOKUP(August[[#This Row],[Drug Name4]],'Data Options'!$R$1:$S$100,2,FALSE), " ")</f>
        <v xml:space="preserve"> </v>
      </c>
      <c r="AT146" s="55"/>
      <c r="AU146" s="32"/>
      <c r="AV146" s="32"/>
      <c r="AW146" s="55"/>
      <c r="AX146" s="32"/>
      <c r="AY146" s="54"/>
      <c r="AZ146" s="21" t="str">
        <f>IFERROR(VLOOKUP(August[[#This Row],[Drug Name5]],'Data Options'!$R$1:$S$100,2,FALSE), " ")</f>
        <v xml:space="preserve"> </v>
      </c>
      <c r="BA146" s="55"/>
      <c r="BB146" s="32"/>
      <c r="BC146" s="32"/>
      <c r="BD146" s="55"/>
      <c r="BE146" s="32"/>
      <c r="BF146" s="54"/>
      <c r="BG146" s="21" t="str">
        <f>IFERROR(VLOOKUP(August[[#This Row],[Drug Name6]],'Data Options'!$R$1:$S$100,2,FALSE), " ")</f>
        <v xml:space="preserve"> </v>
      </c>
      <c r="BH146" s="55"/>
      <c r="BI146" s="32"/>
      <c r="BJ146" s="32"/>
      <c r="BK146" s="55"/>
      <c r="BL146" s="32"/>
      <c r="BM146" s="32"/>
      <c r="BN146" s="32"/>
      <c r="BO146" s="32"/>
      <c r="BP146" s="32"/>
      <c r="BQ146" s="31"/>
      <c r="BR146" s="31"/>
      <c r="BS146" s="54"/>
      <c r="BT146" s="21" t="str">
        <f>IFERROR(VLOOKUP(August[[#This Row],[Drug Name7]],'Data Options'!$R$1:$S$100,2,FALSE), " ")</f>
        <v xml:space="preserve"> </v>
      </c>
      <c r="BU146" s="55"/>
      <c r="BV146" s="32"/>
      <c r="BW146" s="32"/>
      <c r="BX146" s="55"/>
      <c r="BY146" s="32"/>
      <c r="BZ146" s="54"/>
      <c r="CA146" s="21" t="str">
        <f>IFERROR(VLOOKUP(August[[#This Row],[Drug Name8]],'Data Options'!$R$1:$S$100,2,FALSE), " ")</f>
        <v xml:space="preserve"> </v>
      </c>
      <c r="CB146" s="55"/>
      <c r="CC146" s="32"/>
      <c r="CD146" s="32"/>
      <c r="CE146" s="55"/>
      <c r="CF146" s="32"/>
      <c r="CG146" s="54"/>
      <c r="CH146" s="21" t="str">
        <f>IFERROR(VLOOKUP(August[[#This Row],[Drug Name9]],'Data Options'!$R$1:$S$100,2,FALSE), " ")</f>
        <v xml:space="preserve"> </v>
      </c>
      <c r="CI146" s="55"/>
      <c r="CJ146" s="32"/>
      <c r="CK146" s="32"/>
      <c r="CL146" s="55"/>
      <c r="CM146" s="32"/>
    </row>
    <row r="147" spans="1:91">
      <c r="A147" s="5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1"/>
      <c r="P147" s="31"/>
      <c r="Q147" s="54"/>
      <c r="R147" s="21" t="str">
        <f>IFERROR(VLOOKUP(August[[#This Row],[Drug Name]],'Data Options'!$R$1:$S$100,2,FALSE), " ")</f>
        <v xml:space="preserve"> </v>
      </c>
      <c r="S147" s="55"/>
      <c r="T147" s="32"/>
      <c r="U147" s="32"/>
      <c r="V147" s="55"/>
      <c r="W147" s="32"/>
      <c r="X147" s="54"/>
      <c r="Y147" s="21" t="str">
        <f>IFERROR(VLOOKUP(August[[#This Row],[Drug Name2]],'Data Options'!$R$1:$S$100,2,FALSE), " ")</f>
        <v xml:space="preserve"> </v>
      </c>
      <c r="Z147" s="55"/>
      <c r="AA147" s="32"/>
      <c r="AB147" s="32"/>
      <c r="AC147" s="55"/>
      <c r="AD147" s="32"/>
      <c r="AE147" s="54"/>
      <c r="AF147" s="21" t="str">
        <f>IFERROR(VLOOKUP(August[[#This Row],[Drug Name3]],'Data Options'!$R$1:$S$100,2,FALSE), " ")</f>
        <v xml:space="preserve"> </v>
      </c>
      <c r="AG147" s="55"/>
      <c r="AH147" s="32"/>
      <c r="AI147" s="32"/>
      <c r="AJ147" s="55"/>
      <c r="AK147" s="32"/>
      <c r="AL147" s="32"/>
      <c r="AM147" s="32"/>
      <c r="AN147" s="32"/>
      <c r="AO147" s="32"/>
      <c r="AP147" s="31"/>
      <c r="AQ147" s="31"/>
      <c r="AR147" s="54"/>
      <c r="AS147" s="21" t="str">
        <f>IFERROR(VLOOKUP(August[[#This Row],[Drug Name4]],'Data Options'!$R$1:$S$100,2,FALSE), " ")</f>
        <v xml:space="preserve"> </v>
      </c>
      <c r="AT147" s="55"/>
      <c r="AU147" s="32"/>
      <c r="AV147" s="32"/>
      <c r="AW147" s="55"/>
      <c r="AX147" s="32"/>
      <c r="AY147" s="54"/>
      <c r="AZ147" s="21" t="str">
        <f>IFERROR(VLOOKUP(August[[#This Row],[Drug Name5]],'Data Options'!$R$1:$S$100,2,FALSE), " ")</f>
        <v xml:space="preserve"> </v>
      </c>
      <c r="BA147" s="55"/>
      <c r="BB147" s="32"/>
      <c r="BC147" s="32"/>
      <c r="BD147" s="55"/>
      <c r="BE147" s="32"/>
      <c r="BF147" s="54"/>
      <c r="BG147" s="21" t="str">
        <f>IFERROR(VLOOKUP(August[[#This Row],[Drug Name6]],'Data Options'!$R$1:$S$100,2,FALSE), " ")</f>
        <v xml:space="preserve"> </v>
      </c>
      <c r="BH147" s="55"/>
      <c r="BI147" s="32"/>
      <c r="BJ147" s="32"/>
      <c r="BK147" s="55"/>
      <c r="BL147" s="32"/>
      <c r="BM147" s="32"/>
      <c r="BN147" s="32"/>
      <c r="BO147" s="32"/>
      <c r="BP147" s="32"/>
      <c r="BQ147" s="31"/>
      <c r="BR147" s="31"/>
      <c r="BS147" s="54"/>
      <c r="BT147" s="21" t="str">
        <f>IFERROR(VLOOKUP(August[[#This Row],[Drug Name7]],'Data Options'!$R$1:$S$100,2,FALSE), " ")</f>
        <v xml:space="preserve"> </v>
      </c>
      <c r="BU147" s="55"/>
      <c r="BV147" s="32"/>
      <c r="BW147" s="32"/>
      <c r="BX147" s="55"/>
      <c r="BY147" s="32"/>
      <c r="BZ147" s="54"/>
      <c r="CA147" s="21" t="str">
        <f>IFERROR(VLOOKUP(August[[#This Row],[Drug Name8]],'Data Options'!$R$1:$S$100,2,FALSE), " ")</f>
        <v xml:space="preserve"> </v>
      </c>
      <c r="CB147" s="55"/>
      <c r="CC147" s="32"/>
      <c r="CD147" s="32"/>
      <c r="CE147" s="55"/>
      <c r="CF147" s="32"/>
      <c r="CG147" s="54"/>
      <c r="CH147" s="21" t="str">
        <f>IFERROR(VLOOKUP(August[[#This Row],[Drug Name9]],'Data Options'!$R$1:$S$100,2,FALSE), " ")</f>
        <v xml:space="preserve"> </v>
      </c>
      <c r="CI147" s="55"/>
      <c r="CJ147" s="32"/>
      <c r="CK147" s="32"/>
      <c r="CL147" s="55"/>
      <c r="CM147" s="32"/>
    </row>
    <row r="148" spans="1:91">
      <c r="A148" s="5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1"/>
      <c r="P148" s="31"/>
      <c r="Q148" s="54"/>
      <c r="R148" s="21" t="str">
        <f>IFERROR(VLOOKUP(August[[#This Row],[Drug Name]],'Data Options'!$R$1:$S$100,2,FALSE), " ")</f>
        <v xml:space="preserve"> </v>
      </c>
      <c r="S148" s="55"/>
      <c r="T148" s="32"/>
      <c r="U148" s="32"/>
      <c r="V148" s="55"/>
      <c r="W148" s="32"/>
      <c r="X148" s="54"/>
      <c r="Y148" s="21" t="str">
        <f>IFERROR(VLOOKUP(August[[#This Row],[Drug Name2]],'Data Options'!$R$1:$S$100,2,FALSE), " ")</f>
        <v xml:space="preserve"> </v>
      </c>
      <c r="Z148" s="55"/>
      <c r="AA148" s="32"/>
      <c r="AB148" s="32"/>
      <c r="AC148" s="55"/>
      <c r="AD148" s="32"/>
      <c r="AE148" s="54"/>
      <c r="AF148" s="21" t="str">
        <f>IFERROR(VLOOKUP(August[[#This Row],[Drug Name3]],'Data Options'!$R$1:$S$100,2,FALSE), " ")</f>
        <v xml:space="preserve"> </v>
      </c>
      <c r="AG148" s="55"/>
      <c r="AH148" s="32"/>
      <c r="AI148" s="32"/>
      <c r="AJ148" s="55"/>
      <c r="AK148" s="32"/>
      <c r="AL148" s="32"/>
      <c r="AM148" s="32"/>
      <c r="AN148" s="32"/>
      <c r="AO148" s="32"/>
      <c r="AP148" s="31"/>
      <c r="AQ148" s="31"/>
      <c r="AR148" s="54"/>
      <c r="AS148" s="21" t="str">
        <f>IFERROR(VLOOKUP(August[[#This Row],[Drug Name4]],'Data Options'!$R$1:$S$100,2,FALSE), " ")</f>
        <v xml:space="preserve"> </v>
      </c>
      <c r="AT148" s="55"/>
      <c r="AU148" s="32"/>
      <c r="AV148" s="32"/>
      <c r="AW148" s="55"/>
      <c r="AX148" s="32"/>
      <c r="AY148" s="54"/>
      <c r="AZ148" s="21" t="str">
        <f>IFERROR(VLOOKUP(August[[#This Row],[Drug Name5]],'Data Options'!$R$1:$S$100,2,FALSE), " ")</f>
        <v xml:space="preserve"> </v>
      </c>
      <c r="BA148" s="55"/>
      <c r="BB148" s="32"/>
      <c r="BC148" s="32"/>
      <c r="BD148" s="55"/>
      <c r="BE148" s="32"/>
      <c r="BF148" s="54"/>
      <c r="BG148" s="21" t="str">
        <f>IFERROR(VLOOKUP(August[[#This Row],[Drug Name6]],'Data Options'!$R$1:$S$100,2,FALSE), " ")</f>
        <v xml:space="preserve"> </v>
      </c>
      <c r="BH148" s="55"/>
      <c r="BI148" s="32"/>
      <c r="BJ148" s="32"/>
      <c r="BK148" s="55"/>
      <c r="BL148" s="32"/>
      <c r="BM148" s="32"/>
      <c r="BN148" s="32"/>
      <c r="BO148" s="32"/>
      <c r="BP148" s="32"/>
      <c r="BQ148" s="31"/>
      <c r="BR148" s="31"/>
      <c r="BS148" s="54"/>
      <c r="BT148" s="21" t="str">
        <f>IFERROR(VLOOKUP(August[[#This Row],[Drug Name7]],'Data Options'!$R$1:$S$100,2,FALSE), " ")</f>
        <v xml:space="preserve"> </v>
      </c>
      <c r="BU148" s="55"/>
      <c r="BV148" s="32"/>
      <c r="BW148" s="32"/>
      <c r="BX148" s="55"/>
      <c r="BY148" s="32"/>
      <c r="BZ148" s="54"/>
      <c r="CA148" s="21" t="str">
        <f>IFERROR(VLOOKUP(August[[#This Row],[Drug Name8]],'Data Options'!$R$1:$S$100,2,FALSE), " ")</f>
        <v xml:space="preserve"> </v>
      </c>
      <c r="CB148" s="55"/>
      <c r="CC148" s="32"/>
      <c r="CD148" s="32"/>
      <c r="CE148" s="55"/>
      <c r="CF148" s="32"/>
      <c r="CG148" s="54"/>
      <c r="CH148" s="21" t="str">
        <f>IFERROR(VLOOKUP(August[[#This Row],[Drug Name9]],'Data Options'!$R$1:$S$100,2,FALSE), " ")</f>
        <v xml:space="preserve"> </v>
      </c>
      <c r="CI148" s="55"/>
      <c r="CJ148" s="32"/>
      <c r="CK148" s="32"/>
      <c r="CL148" s="55"/>
      <c r="CM148" s="32"/>
    </row>
    <row r="149" spans="1:91">
      <c r="A149" s="5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1"/>
      <c r="P149" s="31"/>
      <c r="Q149" s="54"/>
      <c r="R149" s="21" t="str">
        <f>IFERROR(VLOOKUP(August[[#This Row],[Drug Name]],'Data Options'!$R$1:$S$100,2,FALSE), " ")</f>
        <v xml:space="preserve"> </v>
      </c>
      <c r="S149" s="55"/>
      <c r="T149" s="32"/>
      <c r="U149" s="32"/>
      <c r="V149" s="55"/>
      <c r="W149" s="32"/>
      <c r="X149" s="54"/>
      <c r="Y149" s="21" t="str">
        <f>IFERROR(VLOOKUP(August[[#This Row],[Drug Name2]],'Data Options'!$R$1:$S$100,2,FALSE), " ")</f>
        <v xml:space="preserve"> </v>
      </c>
      <c r="Z149" s="55"/>
      <c r="AA149" s="32"/>
      <c r="AB149" s="32"/>
      <c r="AC149" s="55"/>
      <c r="AD149" s="32"/>
      <c r="AE149" s="54"/>
      <c r="AF149" s="21" t="str">
        <f>IFERROR(VLOOKUP(August[[#This Row],[Drug Name3]],'Data Options'!$R$1:$S$100,2,FALSE), " ")</f>
        <v xml:space="preserve"> </v>
      </c>
      <c r="AG149" s="55"/>
      <c r="AH149" s="32"/>
      <c r="AI149" s="32"/>
      <c r="AJ149" s="55"/>
      <c r="AK149" s="32"/>
      <c r="AL149" s="32"/>
      <c r="AM149" s="32"/>
      <c r="AN149" s="32"/>
      <c r="AO149" s="32"/>
      <c r="AP149" s="31"/>
      <c r="AQ149" s="31"/>
      <c r="AR149" s="54"/>
      <c r="AS149" s="21" t="str">
        <f>IFERROR(VLOOKUP(August[[#This Row],[Drug Name4]],'Data Options'!$R$1:$S$100,2,FALSE), " ")</f>
        <v xml:space="preserve"> </v>
      </c>
      <c r="AT149" s="55"/>
      <c r="AU149" s="32"/>
      <c r="AV149" s="32"/>
      <c r="AW149" s="55"/>
      <c r="AX149" s="32"/>
      <c r="AY149" s="54"/>
      <c r="AZ149" s="21" t="str">
        <f>IFERROR(VLOOKUP(August[[#This Row],[Drug Name5]],'Data Options'!$R$1:$S$100,2,FALSE), " ")</f>
        <v xml:space="preserve"> </v>
      </c>
      <c r="BA149" s="55"/>
      <c r="BB149" s="32"/>
      <c r="BC149" s="32"/>
      <c r="BD149" s="55"/>
      <c r="BE149" s="32"/>
      <c r="BF149" s="54"/>
      <c r="BG149" s="21" t="str">
        <f>IFERROR(VLOOKUP(August[[#This Row],[Drug Name6]],'Data Options'!$R$1:$S$100,2,FALSE), " ")</f>
        <v xml:space="preserve"> </v>
      </c>
      <c r="BH149" s="55"/>
      <c r="BI149" s="32"/>
      <c r="BJ149" s="32"/>
      <c r="BK149" s="55"/>
      <c r="BL149" s="32"/>
      <c r="BM149" s="32"/>
      <c r="BN149" s="32"/>
      <c r="BO149" s="32"/>
      <c r="BP149" s="32"/>
      <c r="BQ149" s="31"/>
      <c r="BR149" s="31"/>
      <c r="BS149" s="54"/>
      <c r="BT149" s="21" t="str">
        <f>IFERROR(VLOOKUP(August[[#This Row],[Drug Name7]],'Data Options'!$R$1:$S$100,2,FALSE), " ")</f>
        <v xml:space="preserve"> </v>
      </c>
      <c r="BU149" s="55"/>
      <c r="BV149" s="32"/>
      <c r="BW149" s="32"/>
      <c r="BX149" s="55"/>
      <c r="BY149" s="32"/>
      <c r="BZ149" s="54"/>
      <c r="CA149" s="21" t="str">
        <f>IFERROR(VLOOKUP(August[[#This Row],[Drug Name8]],'Data Options'!$R$1:$S$100,2,FALSE), " ")</f>
        <v xml:space="preserve"> </v>
      </c>
      <c r="CB149" s="55"/>
      <c r="CC149" s="32"/>
      <c r="CD149" s="32"/>
      <c r="CE149" s="55"/>
      <c r="CF149" s="32"/>
      <c r="CG149" s="54"/>
      <c r="CH149" s="21" t="str">
        <f>IFERROR(VLOOKUP(August[[#This Row],[Drug Name9]],'Data Options'!$R$1:$S$100,2,FALSE), " ")</f>
        <v xml:space="preserve"> </v>
      </c>
      <c r="CI149" s="55"/>
      <c r="CJ149" s="32"/>
      <c r="CK149" s="32"/>
      <c r="CL149" s="55"/>
      <c r="CM149" s="32"/>
    </row>
    <row r="150" spans="1:91">
      <c r="A150" s="5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1"/>
      <c r="P150" s="31"/>
      <c r="Q150" s="54"/>
      <c r="R150" s="21" t="str">
        <f>IFERROR(VLOOKUP(August[[#This Row],[Drug Name]],'Data Options'!$R$1:$S$100,2,FALSE), " ")</f>
        <v xml:space="preserve"> </v>
      </c>
      <c r="S150" s="55"/>
      <c r="T150" s="32"/>
      <c r="U150" s="32"/>
      <c r="V150" s="55"/>
      <c r="W150" s="32"/>
      <c r="X150" s="54"/>
      <c r="Y150" s="21" t="str">
        <f>IFERROR(VLOOKUP(August[[#This Row],[Drug Name2]],'Data Options'!$R$1:$S$100,2,FALSE), " ")</f>
        <v xml:space="preserve"> </v>
      </c>
      <c r="Z150" s="55"/>
      <c r="AA150" s="32"/>
      <c r="AB150" s="32"/>
      <c r="AC150" s="55"/>
      <c r="AD150" s="32"/>
      <c r="AE150" s="54"/>
      <c r="AF150" s="21" t="str">
        <f>IFERROR(VLOOKUP(August[[#This Row],[Drug Name3]],'Data Options'!$R$1:$S$100,2,FALSE), " ")</f>
        <v xml:space="preserve"> </v>
      </c>
      <c r="AG150" s="55"/>
      <c r="AH150" s="32"/>
      <c r="AI150" s="32"/>
      <c r="AJ150" s="55"/>
      <c r="AK150" s="32"/>
      <c r="AL150" s="32"/>
      <c r="AM150" s="32"/>
      <c r="AN150" s="32"/>
      <c r="AO150" s="32"/>
      <c r="AP150" s="31"/>
      <c r="AQ150" s="31"/>
      <c r="AR150" s="54"/>
      <c r="AS150" s="21" t="str">
        <f>IFERROR(VLOOKUP(August[[#This Row],[Drug Name4]],'Data Options'!$R$1:$S$100,2,FALSE), " ")</f>
        <v xml:space="preserve"> </v>
      </c>
      <c r="AT150" s="55"/>
      <c r="AU150" s="32"/>
      <c r="AV150" s="32"/>
      <c r="AW150" s="55"/>
      <c r="AX150" s="32"/>
      <c r="AY150" s="54"/>
      <c r="AZ150" s="21" t="str">
        <f>IFERROR(VLOOKUP(August[[#This Row],[Drug Name5]],'Data Options'!$R$1:$S$100,2,FALSE), " ")</f>
        <v xml:space="preserve"> </v>
      </c>
      <c r="BA150" s="55"/>
      <c r="BB150" s="32"/>
      <c r="BC150" s="32"/>
      <c r="BD150" s="55"/>
      <c r="BE150" s="32"/>
      <c r="BF150" s="54"/>
      <c r="BG150" s="21" t="str">
        <f>IFERROR(VLOOKUP(August[[#This Row],[Drug Name6]],'Data Options'!$R$1:$S$100,2,FALSE), " ")</f>
        <v xml:space="preserve"> </v>
      </c>
      <c r="BH150" s="55"/>
      <c r="BI150" s="32"/>
      <c r="BJ150" s="32"/>
      <c r="BK150" s="55"/>
      <c r="BL150" s="32"/>
      <c r="BM150" s="32"/>
      <c r="BN150" s="32"/>
      <c r="BO150" s="32"/>
      <c r="BP150" s="32"/>
      <c r="BQ150" s="31"/>
      <c r="BR150" s="31"/>
      <c r="BS150" s="54"/>
      <c r="BT150" s="21" t="str">
        <f>IFERROR(VLOOKUP(August[[#This Row],[Drug Name7]],'Data Options'!$R$1:$S$100,2,FALSE), " ")</f>
        <v xml:space="preserve"> </v>
      </c>
      <c r="BU150" s="55"/>
      <c r="BV150" s="32"/>
      <c r="BW150" s="32"/>
      <c r="BX150" s="55"/>
      <c r="BY150" s="32"/>
      <c r="BZ150" s="54"/>
      <c r="CA150" s="21" t="str">
        <f>IFERROR(VLOOKUP(August[[#This Row],[Drug Name8]],'Data Options'!$R$1:$S$100,2,FALSE), " ")</f>
        <v xml:space="preserve"> </v>
      </c>
      <c r="CB150" s="55"/>
      <c r="CC150" s="32"/>
      <c r="CD150" s="32"/>
      <c r="CE150" s="55"/>
      <c r="CF150" s="32"/>
      <c r="CG150" s="54"/>
      <c r="CH150" s="21" t="str">
        <f>IFERROR(VLOOKUP(August[[#This Row],[Drug Name9]],'Data Options'!$R$1:$S$100,2,FALSE), " ")</f>
        <v xml:space="preserve"> </v>
      </c>
      <c r="CI150" s="55"/>
      <c r="CJ150" s="32"/>
      <c r="CK150" s="32"/>
      <c r="CL150" s="55"/>
      <c r="CM150" s="32"/>
    </row>
    <row r="151" spans="1:91">
      <c r="A151" s="5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1"/>
      <c r="P151" s="31"/>
      <c r="Q151" s="54"/>
      <c r="R151" s="21" t="str">
        <f>IFERROR(VLOOKUP(August[[#This Row],[Drug Name]],'Data Options'!$R$1:$S$100,2,FALSE), " ")</f>
        <v xml:space="preserve"> </v>
      </c>
      <c r="S151" s="55"/>
      <c r="T151" s="32"/>
      <c r="U151" s="32"/>
      <c r="V151" s="55"/>
      <c r="W151" s="32"/>
      <c r="X151" s="54"/>
      <c r="Y151" s="21" t="str">
        <f>IFERROR(VLOOKUP(August[[#This Row],[Drug Name2]],'Data Options'!$R$1:$S$100,2,FALSE), " ")</f>
        <v xml:space="preserve"> </v>
      </c>
      <c r="Z151" s="55"/>
      <c r="AA151" s="32"/>
      <c r="AB151" s="32"/>
      <c r="AC151" s="55"/>
      <c r="AD151" s="32"/>
      <c r="AE151" s="54"/>
      <c r="AF151" s="21" t="str">
        <f>IFERROR(VLOOKUP(August[[#This Row],[Drug Name3]],'Data Options'!$R$1:$S$100,2,FALSE), " ")</f>
        <v xml:space="preserve"> </v>
      </c>
      <c r="AG151" s="55"/>
      <c r="AH151" s="32"/>
      <c r="AI151" s="32"/>
      <c r="AJ151" s="55"/>
      <c r="AK151" s="32"/>
      <c r="AL151" s="32"/>
      <c r="AM151" s="32"/>
      <c r="AN151" s="32"/>
      <c r="AO151" s="32"/>
      <c r="AP151" s="31"/>
      <c r="AQ151" s="31"/>
      <c r="AR151" s="54"/>
      <c r="AS151" s="21" t="str">
        <f>IFERROR(VLOOKUP(August[[#This Row],[Drug Name4]],'Data Options'!$R$1:$S$100,2,FALSE), " ")</f>
        <v xml:space="preserve"> </v>
      </c>
      <c r="AT151" s="55"/>
      <c r="AU151" s="32"/>
      <c r="AV151" s="32"/>
      <c r="AW151" s="55"/>
      <c r="AX151" s="32"/>
      <c r="AY151" s="54"/>
      <c r="AZ151" s="21" t="str">
        <f>IFERROR(VLOOKUP(August[[#This Row],[Drug Name5]],'Data Options'!$R$1:$S$100,2,FALSE), " ")</f>
        <v xml:space="preserve"> </v>
      </c>
      <c r="BA151" s="55"/>
      <c r="BB151" s="32"/>
      <c r="BC151" s="32"/>
      <c r="BD151" s="55"/>
      <c r="BE151" s="32"/>
      <c r="BF151" s="54"/>
      <c r="BG151" s="21" t="str">
        <f>IFERROR(VLOOKUP(August[[#This Row],[Drug Name6]],'Data Options'!$R$1:$S$100,2,FALSE), " ")</f>
        <v xml:space="preserve"> </v>
      </c>
      <c r="BH151" s="55"/>
      <c r="BI151" s="32"/>
      <c r="BJ151" s="32"/>
      <c r="BK151" s="55"/>
      <c r="BL151" s="32"/>
      <c r="BM151" s="32"/>
      <c r="BN151" s="32"/>
      <c r="BO151" s="32"/>
      <c r="BP151" s="32"/>
      <c r="BQ151" s="31"/>
      <c r="BR151" s="31"/>
      <c r="BS151" s="54"/>
      <c r="BT151" s="21" t="str">
        <f>IFERROR(VLOOKUP(August[[#This Row],[Drug Name7]],'Data Options'!$R$1:$S$100,2,FALSE), " ")</f>
        <v xml:space="preserve"> </v>
      </c>
      <c r="BU151" s="55"/>
      <c r="BV151" s="32"/>
      <c r="BW151" s="32"/>
      <c r="BX151" s="55"/>
      <c r="BY151" s="32"/>
      <c r="BZ151" s="54"/>
      <c r="CA151" s="21" t="str">
        <f>IFERROR(VLOOKUP(August[[#This Row],[Drug Name8]],'Data Options'!$R$1:$S$100,2,FALSE), " ")</f>
        <v xml:space="preserve"> </v>
      </c>
      <c r="CB151" s="55"/>
      <c r="CC151" s="32"/>
      <c r="CD151" s="32"/>
      <c r="CE151" s="55"/>
      <c r="CF151" s="32"/>
      <c r="CG151" s="54"/>
      <c r="CH151" s="21" t="str">
        <f>IFERROR(VLOOKUP(August[[#This Row],[Drug Name9]],'Data Options'!$R$1:$S$100,2,FALSE), " ")</f>
        <v xml:space="preserve"> </v>
      </c>
      <c r="CI151" s="55"/>
      <c r="CJ151" s="32"/>
      <c r="CK151" s="32"/>
      <c r="CL151" s="55"/>
      <c r="CM151" s="32"/>
    </row>
    <row r="152" spans="1:91">
      <c r="A152" s="5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1"/>
      <c r="P152" s="31"/>
      <c r="Q152" s="54"/>
      <c r="R152" s="21" t="str">
        <f>IFERROR(VLOOKUP(August[[#This Row],[Drug Name]],'Data Options'!$R$1:$S$100,2,FALSE), " ")</f>
        <v xml:space="preserve"> </v>
      </c>
      <c r="S152" s="55"/>
      <c r="T152" s="32"/>
      <c r="U152" s="32"/>
      <c r="V152" s="55"/>
      <c r="W152" s="32"/>
      <c r="X152" s="54"/>
      <c r="Y152" s="21" t="str">
        <f>IFERROR(VLOOKUP(August[[#This Row],[Drug Name2]],'Data Options'!$R$1:$S$100,2,FALSE), " ")</f>
        <v xml:space="preserve"> </v>
      </c>
      <c r="Z152" s="55"/>
      <c r="AA152" s="32"/>
      <c r="AB152" s="32"/>
      <c r="AC152" s="55"/>
      <c r="AD152" s="32"/>
      <c r="AE152" s="54"/>
      <c r="AF152" s="21" t="str">
        <f>IFERROR(VLOOKUP(August[[#This Row],[Drug Name3]],'Data Options'!$R$1:$S$100,2,FALSE), " ")</f>
        <v xml:space="preserve"> </v>
      </c>
      <c r="AG152" s="55"/>
      <c r="AH152" s="32"/>
      <c r="AI152" s="32"/>
      <c r="AJ152" s="55"/>
      <c r="AK152" s="32"/>
      <c r="AL152" s="32"/>
      <c r="AM152" s="32"/>
      <c r="AN152" s="32"/>
      <c r="AO152" s="32"/>
      <c r="AP152" s="31"/>
      <c r="AQ152" s="31"/>
      <c r="AR152" s="54"/>
      <c r="AS152" s="21" t="str">
        <f>IFERROR(VLOOKUP(August[[#This Row],[Drug Name4]],'Data Options'!$R$1:$S$100,2,FALSE), " ")</f>
        <v xml:space="preserve"> </v>
      </c>
      <c r="AT152" s="55"/>
      <c r="AU152" s="32"/>
      <c r="AV152" s="32"/>
      <c r="AW152" s="55"/>
      <c r="AX152" s="32"/>
      <c r="AY152" s="54"/>
      <c r="AZ152" s="21" t="str">
        <f>IFERROR(VLOOKUP(August[[#This Row],[Drug Name5]],'Data Options'!$R$1:$S$100,2,FALSE), " ")</f>
        <v xml:space="preserve"> </v>
      </c>
      <c r="BA152" s="55"/>
      <c r="BB152" s="32"/>
      <c r="BC152" s="32"/>
      <c r="BD152" s="55"/>
      <c r="BE152" s="32"/>
      <c r="BF152" s="54"/>
      <c r="BG152" s="21" t="str">
        <f>IFERROR(VLOOKUP(August[[#This Row],[Drug Name6]],'Data Options'!$R$1:$S$100,2,FALSE), " ")</f>
        <v xml:space="preserve"> </v>
      </c>
      <c r="BH152" s="55"/>
      <c r="BI152" s="32"/>
      <c r="BJ152" s="32"/>
      <c r="BK152" s="55"/>
      <c r="BL152" s="32"/>
      <c r="BM152" s="32"/>
      <c r="BN152" s="32"/>
      <c r="BO152" s="32"/>
      <c r="BP152" s="32"/>
      <c r="BQ152" s="31"/>
      <c r="BR152" s="31"/>
      <c r="BS152" s="54"/>
      <c r="BT152" s="21" t="str">
        <f>IFERROR(VLOOKUP(August[[#This Row],[Drug Name7]],'Data Options'!$R$1:$S$100,2,FALSE), " ")</f>
        <v xml:space="preserve"> </v>
      </c>
      <c r="BU152" s="55"/>
      <c r="BV152" s="32"/>
      <c r="BW152" s="32"/>
      <c r="BX152" s="55"/>
      <c r="BY152" s="32"/>
      <c r="BZ152" s="54"/>
      <c r="CA152" s="21" t="str">
        <f>IFERROR(VLOOKUP(August[[#This Row],[Drug Name8]],'Data Options'!$R$1:$S$100,2,FALSE), " ")</f>
        <v xml:space="preserve"> </v>
      </c>
      <c r="CB152" s="55"/>
      <c r="CC152" s="32"/>
      <c r="CD152" s="32"/>
      <c r="CE152" s="55"/>
      <c r="CF152" s="32"/>
      <c r="CG152" s="54"/>
      <c r="CH152" s="21" t="str">
        <f>IFERROR(VLOOKUP(August[[#This Row],[Drug Name9]],'Data Options'!$R$1:$S$100,2,FALSE), " ")</f>
        <v xml:space="preserve"> </v>
      </c>
      <c r="CI152" s="55"/>
      <c r="CJ152" s="32"/>
      <c r="CK152" s="32"/>
      <c r="CL152" s="55"/>
      <c r="CM152" s="32"/>
    </row>
    <row r="153" spans="1:91">
      <c r="A153" s="5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1"/>
      <c r="P153" s="31"/>
      <c r="Q153" s="54"/>
      <c r="R153" s="21" t="str">
        <f>IFERROR(VLOOKUP(August[[#This Row],[Drug Name]],'Data Options'!$R$1:$S$100,2,FALSE), " ")</f>
        <v xml:space="preserve"> </v>
      </c>
      <c r="S153" s="55"/>
      <c r="T153" s="32"/>
      <c r="U153" s="32"/>
      <c r="V153" s="55"/>
      <c r="W153" s="32"/>
      <c r="X153" s="54"/>
      <c r="Y153" s="21" t="str">
        <f>IFERROR(VLOOKUP(August[[#This Row],[Drug Name2]],'Data Options'!$R$1:$S$100,2,FALSE), " ")</f>
        <v xml:space="preserve"> </v>
      </c>
      <c r="Z153" s="55"/>
      <c r="AA153" s="32"/>
      <c r="AB153" s="32"/>
      <c r="AC153" s="55"/>
      <c r="AD153" s="32"/>
      <c r="AE153" s="54"/>
      <c r="AF153" s="21" t="str">
        <f>IFERROR(VLOOKUP(August[[#This Row],[Drug Name3]],'Data Options'!$R$1:$S$100,2,FALSE), " ")</f>
        <v xml:space="preserve"> </v>
      </c>
      <c r="AG153" s="55"/>
      <c r="AH153" s="32"/>
      <c r="AI153" s="32"/>
      <c r="AJ153" s="55"/>
      <c r="AK153" s="32"/>
      <c r="AL153" s="32"/>
      <c r="AM153" s="32"/>
      <c r="AN153" s="32"/>
      <c r="AO153" s="32"/>
      <c r="AP153" s="31"/>
      <c r="AQ153" s="31"/>
      <c r="AR153" s="54"/>
      <c r="AS153" s="21" t="str">
        <f>IFERROR(VLOOKUP(August[[#This Row],[Drug Name4]],'Data Options'!$R$1:$S$100,2,FALSE), " ")</f>
        <v xml:space="preserve"> </v>
      </c>
      <c r="AT153" s="55"/>
      <c r="AU153" s="32"/>
      <c r="AV153" s="32"/>
      <c r="AW153" s="55"/>
      <c r="AX153" s="32"/>
      <c r="AY153" s="54"/>
      <c r="AZ153" s="21" t="str">
        <f>IFERROR(VLOOKUP(August[[#This Row],[Drug Name5]],'Data Options'!$R$1:$S$100,2,FALSE), " ")</f>
        <v xml:space="preserve"> </v>
      </c>
      <c r="BA153" s="55"/>
      <c r="BB153" s="32"/>
      <c r="BC153" s="32"/>
      <c r="BD153" s="55"/>
      <c r="BE153" s="32"/>
      <c r="BF153" s="54"/>
      <c r="BG153" s="21" t="str">
        <f>IFERROR(VLOOKUP(August[[#This Row],[Drug Name6]],'Data Options'!$R$1:$S$100,2,FALSE), " ")</f>
        <v xml:space="preserve"> </v>
      </c>
      <c r="BH153" s="55"/>
      <c r="BI153" s="32"/>
      <c r="BJ153" s="32"/>
      <c r="BK153" s="55"/>
      <c r="BL153" s="32"/>
      <c r="BM153" s="32"/>
      <c r="BN153" s="32"/>
      <c r="BO153" s="32"/>
      <c r="BP153" s="32"/>
      <c r="BQ153" s="31"/>
      <c r="BR153" s="31"/>
      <c r="BS153" s="54"/>
      <c r="BT153" s="21" t="str">
        <f>IFERROR(VLOOKUP(August[[#This Row],[Drug Name7]],'Data Options'!$R$1:$S$100,2,FALSE), " ")</f>
        <v xml:space="preserve"> </v>
      </c>
      <c r="BU153" s="55"/>
      <c r="BV153" s="32"/>
      <c r="BW153" s="32"/>
      <c r="BX153" s="55"/>
      <c r="BY153" s="32"/>
      <c r="BZ153" s="54"/>
      <c r="CA153" s="21" t="str">
        <f>IFERROR(VLOOKUP(August[[#This Row],[Drug Name8]],'Data Options'!$R$1:$S$100,2,FALSE), " ")</f>
        <v xml:space="preserve"> </v>
      </c>
      <c r="CB153" s="55"/>
      <c r="CC153" s="32"/>
      <c r="CD153" s="32"/>
      <c r="CE153" s="55"/>
      <c r="CF153" s="32"/>
      <c r="CG153" s="54"/>
      <c r="CH153" s="21" t="str">
        <f>IFERROR(VLOOKUP(August[[#This Row],[Drug Name9]],'Data Options'!$R$1:$S$100,2,FALSE), " ")</f>
        <v xml:space="preserve"> </v>
      </c>
      <c r="CI153" s="55"/>
      <c r="CJ153" s="32"/>
      <c r="CK153" s="32"/>
      <c r="CL153" s="55"/>
      <c r="CM153" s="32"/>
    </row>
    <row r="154" spans="1:91">
      <c r="A154" s="5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1"/>
      <c r="P154" s="31"/>
      <c r="Q154" s="54"/>
      <c r="R154" s="21" t="str">
        <f>IFERROR(VLOOKUP(August[[#This Row],[Drug Name]],'Data Options'!$R$1:$S$100,2,FALSE), " ")</f>
        <v xml:space="preserve"> </v>
      </c>
      <c r="S154" s="55"/>
      <c r="T154" s="32"/>
      <c r="U154" s="32"/>
      <c r="V154" s="55"/>
      <c r="W154" s="32"/>
      <c r="X154" s="54"/>
      <c r="Y154" s="21" t="str">
        <f>IFERROR(VLOOKUP(August[[#This Row],[Drug Name2]],'Data Options'!$R$1:$S$100,2,FALSE), " ")</f>
        <v xml:space="preserve"> </v>
      </c>
      <c r="Z154" s="55"/>
      <c r="AA154" s="32"/>
      <c r="AB154" s="32"/>
      <c r="AC154" s="55"/>
      <c r="AD154" s="32"/>
      <c r="AE154" s="54"/>
      <c r="AF154" s="21" t="str">
        <f>IFERROR(VLOOKUP(August[[#This Row],[Drug Name3]],'Data Options'!$R$1:$S$100,2,FALSE), " ")</f>
        <v xml:space="preserve"> </v>
      </c>
      <c r="AG154" s="55"/>
      <c r="AH154" s="32"/>
      <c r="AI154" s="32"/>
      <c r="AJ154" s="55"/>
      <c r="AK154" s="32"/>
      <c r="AL154" s="32"/>
      <c r="AM154" s="32"/>
      <c r="AN154" s="32"/>
      <c r="AO154" s="32"/>
      <c r="AP154" s="31"/>
      <c r="AQ154" s="31"/>
      <c r="AR154" s="54"/>
      <c r="AS154" s="21" t="str">
        <f>IFERROR(VLOOKUP(August[[#This Row],[Drug Name4]],'Data Options'!$R$1:$S$100,2,FALSE), " ")</f>
        <v xml:space="preserve"> </v>
      </c>
      <c r="AT154" s="55"/>
      <c r="AU154" s="32"/>
      <c r="AV154" s="32"/>
      <c r="AW154" s="55"/>
      <c r="AX154" s="32"/>
      <c r="AY154" s="54"/>
      <c r="AZ154" s="21" t="str">
        <f>IFERROR(VLOOKUP(August[[#This Row],[Drug Name5]],'Data Options'!$R$1:$S$100,2,FALSE), " ")</f>
        <v xml:space="preserve"> </v>
      </c>
      <c r="BA154" s="55"/>
      <c r="BB154" s="32"/>
      <c r="BC154" s="32"/>
      <c r="BD154" s="55"/>
      <c r="BE154" s="32"/>
      <c r="BF154" s="54"/>
      <c r="BG154" s="21" t="str">
        <f>IFERROR(VLOOKUP(August[[#This Row],[Drug Name6]],'Data Options'!$R$1:$S$100,2,FALSE), " ")</f>
        <v xml:space="preserve"> </v>
      </c>
      <c r="BH154" s="55"/>
      <c r="BI154" s="32"/>
      <c r="BJ154" s="32"/>
      <c r="BK154" s="55"/>
      <c r="BL154" s="32"/>
      <c r="BM154" s="32"/>
      <c r="BN154" s="32"/>
      <c r="BO154" s="32"/>
      <c r="BP154" s="32"/>
      <c r="BQ154" s="31"/>
      <c r="BR154" s="31"/>
      <c r="BS154" s="54"/>
      <c r="BT154" s="21" t="str">
        <f>IFERROR(VLOOKUP(August[[#This Row],[Drug Name7]],'Data Options'!$R$1:$S$100,2,FALSE), " ")</f>
        <v xml:space="preserve"> </v>
      </c>
      <c r="BU154" s="55"/>
      <c r="BV154" s="32"/>
      <c r="BW154" s="32"/>
      <c r="BX154" s="55"/>
      <c r="BY154" s="32"/>
      <c r="BZ154" s="54"/>
      <c r="CA154" s="21" t="str">
        <f>IFERROR(VLOOKUP(August[[#This Row],[Drug Name8]],'Data Options'!$R$1:$S$100,2,FALSE), " ")</f>
        <v xml:space="preserve"> </v>
      </c>
      <c r="CB154" s="55"/>
      <c r="CC154" s="32"/>
      <c r="CD154" s="32"/>
      <c r="CE154" s="55"/>
      <c r="CF154" s="32"/>
      <c r="CG154" s="54"/>
      <c r="CH154" s="21" t="str">
        <f>IFERROR(VLOOKUP(August[[#This Row],[Drug Name9]],'Data Options'!$R$1:$S$100,2,FALSE), " ")</f>
        <v xml:space="preserve"> </v>
      </c>
      <c r="CI154" s="55"/>
      <c r="CJ154" s="32"/>
      <c r="CK154" s="32"/>
      <c r="CL154" s="55"/>
      <c r="CM154" s="32"/>
    </row>
    <row r="155" spans="1:91">
      <c r="A155" s="5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54"/>
      <c r="R155" s="21" t="str">
        <f>IFERROR(VLOOKUP(August[[#This Row],[Drug Name]],'Data Options'!$R$1:$S$100,2,FALSE), " ")</f>
        <v xml:space="preserve"> </v>
      </c>
      <c r="S155" s="55"/>
      <c r="T155" s="32"/>
      <c r="U155" s="32"/>
      <c r="V155" s="55"/>
      <c r="W155" s="32"/>
      <c r="X155" s="54"/>
      <c r="Y155" s="21" t="str">
        <f>IFERROR(VLOOKUP(August[[#This Row],[Drug Name2]],'Data Options'!$R$1:$S$100,2,FALSE), " ")</f>
        <v xml:space="preserve"> </v>
      </c>
      <c r="Z155" s="55"/>
      <c r="AA155" s="32"/>
      <c r="AB155" s="32"/>
      <c r="AC155" s="55"/>
      <c r="AD155" s="32"/>
      <c r="AE155" s="54"/>
      <c r="AF155" s="21" t="str">
        <f>IFERROR(VLOOKUP(August[[#This Row],[Drug Name3]],'Data Options'!$R$1:$S$100,2,FALSE), " ")</f>
        <v xml:space="preserve"> </v>
      </c>
      <c r="AG155" s="55"/>
      <c r="AH155" s="32"/>
      <c r="AI155" s="32"/>
      <c r="AJ155" s="55"/>
      <c r="AK155" s="32"/>
      <c r="AL155" s="32"/>
      <c r="AM155" s="32"/>
      <c r="AN155" s="32"/>
      <c r="AO155" s="32"/>
      <c r="AP155" s="31"/>
      <c r="AQ155" s="31"/>
      <c r="AR155" s="54"/>
      <c r="AS155" s="21" t="str">
        <f>IFERROR(VLOOKUP(August[[#This Row],[Drug Name4]],'Data Options'!$R$1:$S$100,2,FALSE), " ")</f>
        <v xml:space="preserve"> </v>
      </c>
      <c r="AT155" s="55"/>
      <c r="AU155" s="32"/>
      <c r="AV155" s="32"/>
      <c r="AW155" s="55"/>
      <c r="AX155" s="32"/>
      <c r="AY155" s="54"/>
      <c r="AZ155" s="21" t="str">
        <f>IFERROR(VLOOKUP(August[[#This Row],[Drug Name5]],'Data Options'!$R$1:$S$100,2,FALSE), " ")</f>
        <v xml:space="preserve"> </v>
      </c>
      <c r="BA155" s="55"/>
      <c r="BB155" s="32"/>
      <c r="BC155" s="32"/>
      <c r="BD155" s="55"/>
      <c r="BE155" s="32"/>
      <c r="BF155" s="54"/>
      <c r="BG155" s="21" t="str">
        <f>IFERROR(VLOOKUP(August[[#This Row],[Drug Name6]],'Data Options'!$R$1:$S$100,2,FALSE), " ")</f>
        <v xml:space="preserve"> </v>
      </c>
      <c r="BH155" s="55"/>
      <c r="BI155" s="32"/>
      <c r="BJ155" s="32"/>
      <c r="BK155" s="55"/>
      <c r="BL155" s="32"/>
      <c r="BM155" s="32"/>
      <c r="BN155" s="32"/>
      <c r="BO155" s="32"/>
      <c r="BP155" s="32"/>
      <c r="BQ155" s="31"/>
      <c r="BR155" s="31"/>
      <c r="BS155" s="54"/>
      <c r="BT155" s="21" t="str">
        <f>IFERROR(VLOOKUP(August[[#This Row],[Drug Name7]],'Data Options'!$R$1:$S$100,2,FALSE), " ")</f>
        <v xml:space="preserve"> </v>
      </c>
      <c r="BU155" s="55"/>
      <c r="BV155" s="32"/>
      <c r="BW155" s="32"/>
      <c r="BX155" s="55"/>
      <c r="BY155" s="32"/>
      <c r="BZ155" s="54"/>
      <c r="CA155" s="21" t="str">
        <f>IFERROR(VLOOKUP(August[[#This Row],[Drug Name8]],'Data Options'!$R$1:$S$100,2,FALSE), " ")</f>
        <v xml:space="preserve"> </v>
      </c>
      <c r="CB155" s="55"/>
      <c r="CC155" s="32"/>
      <c r="CD155" s="32"/>
      <c r="CE155" s="55"/>
      <c r="CF155" s="32"/>
      <c r="CG155" s="54"/>
      <c r="CH155" s="21" t="str">
        <f>IFERROR(VLOOKUP(August[[#This Row],[Drug Name9]],'Data Options'!$R$1:$S$100,2,FALSE), " ")</f>
        <v xml:space="preserve"> </v>
      </c>
      <c r="CI155" s="55"/>
      <c r="CJ155" s="32"/>
      <c r="CK155" s="32"/>
      <c r="CL155" s="55"/>
      <c r="CM155" s="32"/>
    </row>
    <row r="156" spans="1:91">
      <c r="A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1"/>
      <c r="P156" s="31"/>
      <c r="Q156" s="54"/>
      <c r="R156" s="21" t="str">
        <f>IFERROR(VLOOKUP(August[[#This Row],[Drug Name]],'Data Options'!$R$1:$S$100,2,FALSE), " ")</f>
        <v xml:space="preserve"> </v>
      </c>
      <c r="S156" s="55"/>
      <c r="T156" s="32"/>
      <c r="U156" s="32"/>
      <c r="V156" s="55"/>
      <c r="W156" s="32"/>
      <c r="X156" s="54"/>
      <c r="Y156" s="21" t="str">
        <f>IFERROR(VLOOKUP(August[[#This Row],[Drug Name2]],'Data Options'!$R$1:$S$100,2,FALSE), " ")</f>
        <v xml:space="preserve"> </v>
      </c>
      <c r="Z156" s="55"/>
      <c r="AA156" s="32"/>
      <c r="AB156" s="32"/>
      <c r="AC156" s="55"/>
      <c r="AD156" s="32"/>
      <c r="AE156" s="54"/>
      <c r="AF156" s="21" t="str">
        <f>IFERROR(VLOOKUP(August[[#This Row],[Drug Name3]],'Data Options'!$R$1:$S$100,2,FALSE), " ")</f>
        <v xml:space="preserve"> </v>
      </c>
      <c r="AG156" s="55"/>
      <c r="AH156" s="32"/>
      <c r="AI156" s="32"/>
      <c r="AJ156" s="55"/>
      <c r="AK156" s="32"/>
      <c r="AL156" s="32"/>
      <c r="AM156" s="32"/>
      <c r="AN156" s="32"/>
      <c r="AO156" s="32"/>
      <c r="AP156" s="31"/>
      <c r="AQ156" s="31"/>
      <c r="AR156" s="54"/>
      <c r="AS156" s="21" t="str">
        <f>IFERROR(VLOOKUP(August[[#This Row],[Drug Name4]],'Data Options'!$R$1:$S$100,2,FALSE), " ")</f>
        <v xml:space="preserve"> </v>
      </c>
      <c r="AT156" s="55"/>
      <c r="AU156" s="32"/>
      <c r="AV156" s="32"/>
      <c r="AW156" s="55"/>
      <c r="AX156" s="32"/>
      <c r="AY156" s="54"/>
      <c r="AZ156" s="21" t="str">
        <f>IFERROR(VLOOKUP(August[[#This Row],[Drug Name5]],'Data Options'!$R$1:$S$100,2,FALSE), " ")</f>
        <v xml:space="preserve"> </v>
      </c>
      <c r="BA156" s="55"/>
      <c r="BB156" s="32"/>
      <c r="BC156" s="32"/>
      <c r="BD156" s="55"/>
      <c r="BE156" s="32"/>
      <c r="BF156" s="54"/>
      <c r="BG156" s="21" t="str">
        <f>IFERROR(VLOOKUP(August[[#This Row],[Drug Name6]],'Data Options'!$R$1:$S$100,2,FALSE), " ")</f>
        <v xml:space="preserve"> </v>
      </c>
      <c r="BH156" s="55"/>
      <c r="BI156" s="32"/>
      <c r="BJ156" s="32"/>
      <c r="BK156" s="55"/>
      <c r="BL156" s="32"/>
      <c r="BM156" s="32"/>
      <c r="BN156" s="32"/>
      <c r="BO156" s="32"/>
      <c r="BP156" s="32"/>
      <c r="BQ156" s="31"/>
      <c r="BR156" s="31"/>
      <c r="BS156" s="54"/>
      <c r="BT156" s="21" t="str">
        <f>IFERROR(VLOOKUP(August[[#This Row],[Drug Name7]],'Data Options'!$R$1:$S$100,2,FALSE), " ")</f>
        <v xml:space="preserve"> </v>
      </c>
      <c r="BU156" s="55"/>
      <c r="BV156" s="32"/>
      <c r="BW156" s="32"/>
      <c r="BX156" s="55"/>
      <c r="BY156" s="32"/>
      <c r="BZ156" s="54"/>
      <c r="CA156" s="21" t="str">
        <f>IFERROR(VLOOKUP(August[[#This Row],[Drug Name8]],'Data Options'!$R$1:$S$100,2,FALSE), " ")</f>
        <v xml:space="preserve"> </v>
      </c>
      <c r="CB156" s="55"/>
      <c r="CC156" s="32"/>
      <c r="CD156" s="32"/>
      <c r="CE156" s="55"/>
      <c r="CF156" s="32"/>
      <c r="CG156" s="54"/>
      <c r="CH156" s="21" t="str">
        <f>IFERROR(VLOOKUP(August[[#This Row],[Drug Name9]],'Data Options'!$R$1:$S$100,2,FALSE), " ")</f>
        <v xml:space="preserve"> </v>
      </c>
      <c r="CI156" s="55"/>
      <c r="CJ156" s="32"/>
      <c r="CK156" s="32"/>
      <c r="CL156" s="55"/>
      <c r="CM156" s="32"/>
    </row>
    <row r="157" spans="1:91">
      <c r="A157" s="5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1"/>
      <c r="P157" s="31"/>
      <c r="Q157" s="54"/>
      <c r="R157" s="21" t="str">
        <f>IFERROR(VLOOKUP(August[[#This Row],[Drug Name]],'Data Options'!$R$1:$S$100,2,FALSE), " ")</f>
        <v xml:space="preserve"> </v>
      </c>
      <c r="S157" s="55"/>
      <c r="T157" s="32"/>
      <c r="U157" s="32"/>
      <c r="V157" s="55"/>
      <c r="W157" s="32"/>
      <c r="X157" s="54"/>
      <c r="Y157" s="21" t="str">
        <f>IFERROR(VLOOKUP(August[[#This Row],[Drug Name2]],'Data Options'!$R$1:$S$100,2,FALSE), " ")</f>
        <v xml:space="preserve"> </v>
      </c>
      <c r="Z157" s="55"/>
      <c r="AA157" s="32"/>
      <c r="AB157" s="32"/>
      <c r="AC157" s="55"/>
      <c r="AD157" s="32"/>
      <c r="AE157" s="54"/>
      <c r="AF157" s="21" t="str">
        <f>IFERROR(VLOOKUP(August[[#This Row],[Drug Name3]],'Data Options'!$R$1:$S$100,2,FALSE), " ")</f>
        <v xml:space="preserve"> </v>
      </c>
      <c r="AG157" s="55"/>
      <c r="AH157" s="32"/>
      <c r="AI157" s="32"/>
      <c r="AJ157" s="55"/>
      <c r="AK157" s="32"/>
      <c r="AL157" s="32"/>
      <c r="AM157" s="32"/>
      <c r="AN157" s="32"/>
      <c r="AO157" s="32"/>
      <c r="AP157" s="31"/>
      <c r="AQ157" s="31"/>
      <c r="AR157" s="54"/>
      <c r="AS157" s="21" t="str">
        <f>IFERROR(VLOOKUP(August[[#This Row],[Drug Name4]],'Data Options'!$R$1:$S$100,2,FALSE), " ")</f>
        <v xml:space="preserve"> </v>
      </c>
      <c r="AT157" s="55"/>
      <c r="AU157" s="32"/>
      <c r="AV157" s="32"/>
      <c r="AW157" s="55"/>
      <c r="AX157" s="32"/>
      <c r="AY157" s="54"/>
      <c r="AZ157" s="21" t="str">
        <f>IFERROR(VLOOKUP(August[[#This Row],[Drug Name5]],'Data Options'!$R$1:$S$100,2,FALSE), " ")</f>
        <v xml:space="preserve"> </v>
      </c>
      <c r="BA157" s="55"/>
      <c r="BB157" s="32"/>
      <c r="BC157" s="32"/>
      <c r="BD157" s="55"/>
      <c r="BE157" s="32"/>
      <c r="BF157" s="54"/>
      <c r="BG157" s="21" t="str">
        <f>IFERROR(VLOOKUP(August[[#This Row],[Drug Name6]],'Data Options'!$R$1:$S$100,2,FALSE), " ")</f>
        <v xml:space="preserve"> </v>
      </c>
      <c r="BH157" s="55"/>
      <c r="BI157" s="32"/>
      <c r="BJ157" s="32"/>
      <c r="BK157" s="55"/>
      <c r="BL157" s="32"/>
      <c r="BM157" s="32"/>
      <c r="BN157" s="32"/>
      <c r="BO157" s="32"/>
      <c r="BP157" s="32"/>
      <c r="BQ157" s="31"/>
      <c r="BR157" s="31"/>
      <c r="BS157" s="54"/>
      <c r="BT157" s="21" t="str">
        <f>IFERROR(VLOOKUP(August[[#This Row],[Drug Name7]],'Data Options'!$R$1:$S$100,2,FALSE), " ")</f>
        <v xml:space="preserve"> </v>
      </c>
      <c r="BU157" s="55"/>
      <c r="BV157" s="32"/>
      <c r="BW157" s="32"/>
      <c r="BX157" s="55"/>
      <c r="BY157" s="32"/>
      <c r="BZ157" s="54"/>
      <c r="CA157" s="21" t="str">
        <f>IFERROR(VLOOKUP(August[[#This Row],[Drug Name8]],'Data Options'!$R$1:$S$100,2,FALSE), " ")</f>
        <v xml:space="preserve"> </v>
      </c>
      <c r="CB157" s="55"/>
      <c r="CC157" s="32"/>
      <c r="CD157" s="32"/>
      <c r="CE157" s="55"/>
      <c r="CF157" s="32"/>
      <c r="CG157" s="54"/>
      <c r="CH157" s="21" t="str">
        <f>IFERROR(VLOOKUP(August[[#This Row],[Drug Name9]],'Data Options'!$R$1:$S$100,2,FALSE), " ")</f>
        <v xml:space="preserve"> </v>
      </c>
      <c r="CI157" s="55"/>
      <c r="CJ157" s="32"/>
      <c r="CK157" s="32"/>
      <c r="CL157" s="55"/>
      <c r="CM157" s="32"/>
    </row>
    <row r="158" spans="1:91">
      <c r="A158" s="5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1"/>
      <c r="P158" s="31"/>
      <c r="Q158" s="54"/>
      <c r="R158" s="21" t="str">
        <f>IFERROR(VLOOKUP(August[[#This Row],[Drug Name]],'Data Options'!$R$1:$S$100,2,FALSE), " ")</f>
        <v xml:space="preserve"> </v>
      </c>
      <c r="S158" s="55"/>
      <c r="T158" s="32"/>
      <c r="U158" s="32"/>
      <c r="V158" s="55"/>
      <c r="W158" s="32"/>
      <c r="X158" s="54"/>
      <c r="Y158" s="21" t="str">
        <f>IFERROR(VLOOKUP(August[[#This Row],[Drug Name2]],'Data Options'!$R$1:$S$100,2,FALSE), " ")</f>
        <v xml:space="preserve"> </v>
      </c>
      <c r="Z158" s="55"/>
      <c r="AA158" s="32"/>
      <c r="AB158" s="32"/>
      <c r="AC158" s="55"/>
      <c r="AD158" s="32"/>
      <c r="AE158" s="54"/>
      <c r="AF158" s="21" t="str">
        <f>IFERROR(VLOOKUP(August[[#This Row],[Drug Name3]],'Data Options'!$R$1:$S$100,2,FALSE), " ")</f>
        <v xml:space="preserve"> </v>
      </c>
      <c r="AG158" s="55"/>
      <c r="AH158" s="32"/>
      <c r="AI158" s="32"/>
      <c r="AJ158" s="55"/>
      <c r="AK158" s="32"/>
      <c r="AL158" s="32"/>
      <c r="AM158" s="32"/>
      <c r="AN158" s="32"/>
      <c r="AO158" s="32"/>
      <c r="AP158" s="31"/>
      <c r="AQ158" s="31"/>
      <c r="AR158" s="54"/>
      <c r="AS158" s="21" t="str">
        <f>IFERROR(VLOOKUP(August[[#This Row],[Drug Name4]],'Data Options'!$R$1:$S$100,2,FALSE), " ")</f>
        <v xml:space="preserve"> </v>
      </c>
      <c r="AT158" s="55"/>
      <c r="AU158" s="32"/>
      <c r="AV158" s="32"/>
      <c r="AW158" s="55"/>
      <c r="AX158" s="32"/>
      <c r="AY158" s="54"/>
      <c r="AZ158" s="21" t="str">
        <f>IFERROR(VLOOKUP(August[[#This Row],[Drug Name5]],'Data Options'!$R$1:$S$100,2,FALSE), " ")</f>
        <v xml:space="preserve"> </v>
      </c>
      <c r="BA158" s="55"/>
      <c r="BB158" s="32"/>
      <c r="BC158" s="32"/>
      <c r="BD158" s="55"/>
      <c r="BE158" s="32"/>
      <c r="BF158" s="54"/>
      <c r="BG158" s="21" t="str">
        <f>IFERROR(VLOOKUP(August[[#This Row],[Drug Name6]],'Data Options'!$R$1:$S$100,2,FALSE), " ")</f>
        <v xml:space="preserve"> </v>
      </c>
      <c r="BH158" s="55"/>
      <c r="BI158" s="32"/>
      <c r="BJ158" s="32"/>
      <c r="BK158" s="55"/>
      <c r="BL158" s="32"/>
      <c r="BM158" s="32"/>
      <c r="BN158" s="32"/>
      <c r="BO158" s="32"/>
      <c r="BP158" s="32"/>
      <c r="BQ158" s="31"/>
      <c r="BR158" s="31"/>
      <c r="BS158" s="54"/>
      <c r="BT158" s="21" t="str">
        <f>IFERROR(VLOOKUP(August[[#This Row],[Drug Name7]],'Data Options'!$R$1:$S$100,2,FALSE), " ")</f>
        <v xml:space="preserve"> </v>
      </c>
      <c r="BU158" s="55"/>
      <c r="BV158" s="32"/>
      <c r="BW158" s="32"/>
      <c r="BX158" s="55"/>
      <c r="BY158" s="32"/>
      <c r="BZ158" s="54"/>
      <c r="CA158" s="21" t="str">
        <f>IFERROR(VLOOKUP(August[[#This Row],[Drug Name8]],'Data Options'!$R$1:$S$100,2,FALSE), " ")</f>
        <v xml:space="preserve"> </v>
      </c>
      <c r="CB158" s="55"/>
      <c r="CC158" s="32"/>
      <c r="CD158" s="32"/>
      <c r="CE158" s="55"/>
      <c r="CF158" s="32"/>
      <c r="CG158" s="54"/>
      <c r="CH158" s="21" t="str">
        <f>IFERROR(VLOOKUP(August[[#This Row],[Drug Name9]],'Data Options'!$R$1:$S$100,2,FALSE), " ")</f>
        <v xml:space="preserve"> </v>
      </c>
      <c r="CI158" s="55"/>
      <c r="CJ158" s="32"/>
      <c r="CK158" s="32"/>
      <c r="CL158" s="55"/>
      <c r="CM158" s="32"/>
    </row>
    <row r="159" spans="1:91">
      <c r="A159" s="5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1"/>
      <c r="P159" s="31"/>
      <c r="Q159" s="54"/>
      <c r="R159" s="21" t="str">
        <f>IFERROR(VLOOKUP(August[[#This Row],[Drug Name]],'Data Options'!$R$1:$S$100,2,FALSE), " ")</f>
        <v xml:space="preserve"> </v>
      </c>
      <c r="S159" s="55"/>
      <c r="T159" s="32"/>
      <c r="U159" s="32"/>
      <c r="V159" s="55"/>
      <c r="W159" s="32"/>
      <c r="X159" s="54"/>
      <c r="Y159" s="21" t="str">
        <f>IFERROR(VLOOKUP(August[[#This Row],[Drug Name2]],'Data Options'!$R$1:$S$100,2,FALSE), " ")</f>
        <v xml:space="preserve"> </v>
      </c>
      <c r="Z159" s="55"/>
      <c r="AA159" s="32"/>
      <c r="AB159" s="32"/>
      <c r="AC159" s="55"/>
      <c r="AD159" s="32"/>
      <c r="AE159" s="54"/>
      <c r="AF159" s="21" t="str">
        <f>IFERROR(VLOOKUP(August[[#This Row],[Drug Name3]],'Data Options'!$R$1:$S$100,2,FALSE), " ")</f>
        <v xml:space="preserve"> </v>
      </c>
      <c r="AG159" s="55"/>
      <c r="AH159" s="32"/>
      <c r="AI159" s="32"/>
      <c r="AJ159" s="55"/>
      <c r="AK159" s="32"/>
      <c r="AL159" s="32"/>
      <c r="AM159" s="32"/>
      <c r="AN159" s="32"/>
      <c r="AO159" s="32"/>
      <c r="AP159" s="31"/>
      <c r="AQ159" s="31"/>
      <c r="AR159" s="54"/>
      <c r="AS159" s="21" t="str">
        <f>IFERROR(VLOOKUP(August[[#This Row],[Drug Name4]],'Data Options'!$R$1:$S$100,2,FALSE), " ")</f>
        <v xml:space="preserve"> </v>
      </c>
      <c r="AT159" s="55"/>
      <c r="AU159" s="32"/>
      <c r="AV159" s="32"/>
      <c r="AW159" s="55"/>
      <c r="AX159" s="32"/>
      <c r="AY159" s="54"/>
      <c r="AZ159" s="21" t="str">
        <f>IFERROR(VLOOKUP(August[[#This Row],[Drug Name5]],'Data Options'!$R$1:$S$100,2,FALSE), " ")</f>
        <v xml:space="preserve"> </v>
      </c>
      <c r="BA159" s="55"/>
      <c r="BB159" s="32"/>
      <c r="BC159" s="32"/>
      <c r="BD159" s="55"/>
      <c r="BE159" s="32"/>
      <c r="BF159" s="54"/>
      <c r="BG159" s="21" t="str">
        <f>IFERROR(VLOOKUP(August[[#This Row],[Drug Name6]],'Data Options'!$R$1:$S$100,2,FALSE), " ")</f>
        <v xml:space="preserve"> </v>
      </c>
      <c r="BH159" s="55"/>
      <c r="BI159" s="32"/>
      <c r="BJ159" s="32"/>
      <c r="BK159" s="55"/>
      <c r="BL159" s="32"/>
      <c r="BM159" s="32"/>
      <c r="BN159" s="32"/>
      <c r="BO159" s="32"/>
      <c r="BP159" s="32"/>
      <c r="BQ159" s="31"/>
      <c r="BR159" s="31"/>
      <c r="BS159" s="54"/>
      <c r="BT159" s="21" t="str">
        <f>IFERROR(VLOOKUP(August[[#This Row],[Drug Name7]],'Data Options'!$R$1:$S$100,2,FALSE), " ")</f>
        <v xml:space="preserve"> </v>
      </c>
      <c r="BU159" s="55"/>
      <c r="BV159" s="32"/>
      <c r="BW159" s="32"/>
      <c r="BX159" s="55"/>
      <c r="BY159" s="32"/>
      <c r="BZ159" s="54"/>
      <c r="CA159" s="21" t="str">
        <f>IFERROR(VLOOKUP(August[[#This Row],[Drug Name8]],'Data Options'!$R$1:$S$100,2,FALSE), " ")</f>
        <v xml:space="preserve"> </v>
      </c>
      <c r="CB159" s="55"/>
      <c r="CC159" s="32"/>
      <c r="CD159" s="32"/>
      <c r="CE159" s="55"/>
      <c r="CF159" s="32"/>
      <c r="CG159" s="54"/>
      <c r="CH159" s="21" t="str">
        <f>IFERROR(VLOOKUP(August[[#This Row],[Drug Name9]],'Data Options'!$R$1:$S$100,2,FALSE), " ")</f>
        <v xml:space="preserve"> </v>
      </c>
      <c r="CI159" s="55"/>
      <c r="CJ159" s="32"/>
      <c r="CK159" s="32"/>
      <c r="CL159" s="55"/>
      <c r="CM159" s="32"/>
    </row>
    <row r="160" spans="1:91">
      <c r="A160" s="5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1"/>
      <c r="P160" s="31"/>
      <c r="Q160" s="54"/>
      <c r="R160" s="21" t="str">
        <f>IFERROR(VLOOKUP(August[[#This Row],[Drug Name]],'Data Options'!$R$1:$S$100,2,FALSE), " ")</f>
        <v xml:space="preserve"> </v>
      </c>
      <c r="S160" s="55"/>
      <c r="T160" s="32"/>
      <c r="U160" s="32"/>
      <c r="V160" s="55"/>
      <c r="W160" s="32"/>
      <c r="X160" s="54"/>
      <c r="Y160" s="21" t="str">
        <f>IFERROR(VLOOKUP(August[[#This Row],[Drug Name2]],'Data Options'!$R$1:$S$100,2,FALSE), " ")</f>
        <v xml:space="preserve"> </v>
      </c>
      <c r="Z160" s="55"/>
      <c r="AA160" s="32"/>
      <c r="AB160" s="32"/>
      <c r="AC160" s="55"/>
      <c r="AD160" s="32"/>
      <c r="AE160" s="54"/>
      <c r="AF160" s="21" t="str">
        <f>IFERROR(VLOOKUP(August[[#This Row],[Drug Name3]],'Data Options'!$R$1:$S$100,2,FALSE), " ")</f>
        <v xml:space="preserve"> </v>
      </c>
      <c r="AG160" s="55"/>
      <c r="AH160" s="32"/>
      <c r="AI160" s="32"/>
      <c r="AJ160" s="55"/>
      <c r="AK160" s="32"/>
      <c r="AL160" s="32"/>
      <c r="AM160" s="32"/>
      <c r="AN160" s="32"/>
      <c r="AO160" s="32"/>
      <c r="AP160" s="31"/>
      <c r="AQ160" s="31"/>
      <c r="AR160" s="54"/>
      <c r="AS160" s="21" t="str">
        <f>IFERROR(VLOOKUP(August[[#This Row],[Drug Name4]],'Data Options'!$R$1:$S$100,2,FALSE), " ")</f>
        <v xml:space="preserve"> </v>
      </c>
      <c r="AT160" s="55"/>
      <c r="AU160" s="32"/>
      <c r="AV160" s="32"/>
      <c r="AW160" s="55"/>
      <c r="AX160" s="32"/>
      <c r="AY160" s="54"/>
      <c r="AZ160" s="21" t="str">
        <f>IFERROR(VLOOKUP(August[[#This Row],[Drug Name5]],'Data Options'!$R$1:$S$100,2,FALSE), " ")</f>
        <v xml:space="preserve"> </v>
      </c>
      <c r="BA160" s="55"/>
      <c r="BB160" s="32"/>
      <c r="BC160" s="32"/>
      <c r="BD160" s="55"/>
      <c r="BE160" s="32"/>
      <c r="BF160" s="54"/>
      <c r="BG160" s="21" t="str">
        <f>IFERROR(VLOOKUP(August[[#This Row],[Drug Name6]],'Data Options'!$R$1:$S$100,2,FALSE), " ")</f>
        <v xml:space="preserve"> </v>
      </c>
      <c r="BH160" s="55"/>
      <c r="BI160" s="32"/>
      <c r="BJ160" s="32"/>
      <c r="BK160" s="55"/>
      <c r="BL160" s="32"/>
      <c r="BM160" s="32"/>
      <c r="BN160" s="32"/>
      <c r="BO160" s="32"/>
      <c r="BP160" s="32"/>
      <c r="BQ160" s="31"/>
      <c r="BR160" s="31"/>
      <c r="BS160" s="54"/>
      <c r="BT160" s="21" t="str">
        <f>IFERROR(VLOOKUP(August[[#This Row],[Drug Name7]],'Data Options'!$R$1:$S$100,2,FALSE), " ")</f>
        <v xml:space="preserve"> </v>
      </c>
      <c r="BU160" s="55"/>
      <c r="BV160" s="32"/>
      <c r="BW160" s="32"/>
      <c r="BX160" s="55"/>
      <c r="BY160" s="32"/>
      <c r="BZ160" s="54"/>
      <c r="CA160" s="21" t="str">
        <f>IFERROR(VLOOKUP(August[[#This Row],[Drug Name8]],'Data Options'!$R$1:$S$100,2,FALSE), " ")</f>
        <v xml:space="preserve"> </v>
      </c>
      <c r="CB160" s="55"/>
      <c r="CC160" s="32"/>
      <c r="CD160" s="32"/>
      <c r="CE160" s="55"/>
      <c r="CF160" s="32"/>
      <c r="CG160" s="54"/>
      <c r="CH160" s="21" t="str">
        <f>IFERROR(VLOOKUP(August[[#This Row],[Drug Name9]],'Data Options'!$R$1:$S$100,2,FALSE), " ")</f>
        <v xml:space="preserve"> </v>
      </c>
      <c r="CI160" s="55"/>
      <c r="CJ160" s="32"/>
      <c r="CK160" s="32"/>
      <c r="CL160" s="55"/>
      <c r="CM160" s="32"/>
    </row>
    <row r="161" spans="1:91">
      <c r="A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1"/>
      <c r="P161" s="31"/>
      <c r="Q161" s="54"/>
      <c r="R161" s="21" t="str">
        <f>IFERROR(VLOOKUP(August[[#This Row],[Drug Name]],'Data Options'!$R$1:$S$100,2,FALSE), " ")</f>
        <v xml:space="preserve"> </v>
      </c>
      <c r="S161" s="55"/>
      <c r="T161" s="32"/>
      <c r="U161" s="32"/>
      <c r="V161" s="55"/>
      <c r="W161" s="32"/>
      <c r="X161" s="54"/>
      <c r="Y161" s="21" t="str">
        <f>IFERROR(VLOOKUP(August[[#This Row],[Drug Name2]],'Data Options'!$R$1:$S$100,2,FALSE), " ")</f>
        <v xml:space="preserve"> </v>
      </c>
      <c r="Z161" s="55"/>
      <c r="AA161" s="32"/>
      <c r="AB161" s="32"/>
      <c r="AC161" s="55"/>
      <c r="AD161" s="32"/>
      <c r="AE161" s="54"/>
      <c r="AF161" s="21" t="str">
        <f>IFERROR(VLOOKUP(August[[#This Row],[Drug Name3]],'Data Options'!$R$1:$S$100,2,FALSE), " ")</f>
        <v xml:space="preserve"> </v>
      </c>
      <c r="AG161" s="55"/>
      <c r="AH161" s="32"/>
      <c r="AI161" s="32"/>
      <c r="AJ161" s="55"/>
      <c r="AK161" s="32"/>
      <c r="AL161" s="32"/>
      <c r="AM161" s="32"/>
      <c r="AN161" s="32"/>
      <c r="AO161" s="32"/>
      <c r="AP161" s="31"/>
      <c r="AQ161" s="31"/>
      <c r="AR161" s="54"/>
      <c r="AS161" s="21" t="str">
        <f>IFERROR(VLOOKUP(August[[#This Row],[Drug Name4]],'Data Options'!$R$1:$S$100,2,FALSE), " ")</f>
        <v xml:space="preserve"> </v>
      </c>
      <c r="AT161" s="55"/>
      <c r="AU161" s="32"/>
      <c r="AV161" s="32"/>
      <c r="AW161" s="55"/>
      <c r="AX161" s="32"/>
      <c r="AY161" s="54"/>
      <c r="AZ161" s="21" t="str">
        <f>IFERROR(VLOOKUP(August[[#This Row],[Drug Name5]],'Data Options'!$R$1:$S$100,2,FALSE), " ")</f>
        <v xml:space="preserve"> </v>
      </c>
      <c r="BA161" s="55"/>
      <c r="BB161" s="32"/>
      <c r="BC161" s="32"/>
      <c r="BD161" s="55"/>
      <c r="BE161" s="32"/>
      <c r="BF161" s="54"/>
      <c r="BG161" s="21" t="str">
        <f>IFERROR(VLOOKUP(August[[#This Row],[Drug Name6]],'Data Options'!$R$1:$S$100,2,FALSE), " ")</f>
        <v xml:space="preserve"> </v>
      </c>
      <c r="BH161" s="55"/>
      <c r="BI161" s="32"/>
      <c r="BJ161" s="32"/>
      <c r="BK161" s="55"/>
      <c r="BL161" s="32"/>
      <c r="BM161" s="32"/>
      <c r="BN161" s="32"/>
      <c r="BO161" s="32"/>
      <c r="BP161" s="32"/>
      <c r="BQ161" s="31"/>
      <c r="BR161" s="31"/>
      <c r="BS161" s="54"/>
      <c r="BT161" s="21" t="str">
        <f>IFERROR(VLOOKUP(August[[#This Row],[Drug Name7]],'Data Options'!$R$1:$S$100,2,FALSE), " ")</f>
        <v xml:space="preserve"> </v>
      </c>
      <c r="BU161" s="55"/>
      <c r="BV161" s="32"/>
      <c r="BW161" s="32"/>
      <c r="BX161" s="55"/>
      <c r="BY161" s="32"/>
      <c r="BZ161" s="54"/>
      <c r="CA161" s="21" t="str">
        <f>IFERROR(VLOOKUP(August[[#This Row],[Drug Name8]],'Data Options'!$R$1:$S$100,2,FALSE), " ")</f>
        <v xml:space="preserve"> </v>
      </c>
      <c r="CB161" s="55"/>
      <c r="CC161" s="32"/>
      <c r="CD161" s="32"/>
      <c r="CE161" s="55"/>
      <c r="CF161" s="32"/>
      <c r="CG161" s="54"/>
      <c r="CH161" s="21" t="str">
        <f>IFERROR(VLOOKUP(August[[#This Row],[Drug Name9]],'Data Options'!$R$1:$S$100,2,FALSE), " ")</f>
        <v xml:space="preserve"> </v>
      </c>
      <c r="CI161" s="55"/>
      <c r="CJ161" s="32"/>
      <c r="CK161" s="32"/>
      <c r="CL161" s="55"/>
      <c r="CM161" s="32"/>
    </row>
    <row r="162" spans="1:91">
      <c r="A162" s="5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1"/>
      <c r="P162" s="31"/>
      <c r="Q162" s="54"/>
      <c r="R162" s="21" t="str">
        <f>IFERROR(VLOOKUP(August[[#This Row],[Drug Name]],'Data Options'!$R$1:$S$100,2,FALSE), " ")</f>
        <v xml:space="preserve"> </v>
      </c>
      <c r="S162" s="55"/>
      <c r="T162" s="32"/>
      <c r="U162" s="32"/>
      <c r="V162" s="55"/>
      <c r="W162" s="32"/>
      <c r="X162" s="54"/>
      <c r="Y162" s="21" t="str">
        <f>IFERROR(VLOOKUP(August[[#This Row],[Drug Name2]],'Data Options'!$R$1:$S$100,2,FALSE), " ")</f>
        <v xml:space="preserve"> </v>
      </c>
      <c r="Z162" s="55"/>
      <c r="AA162" s="32"/>
      <c r="AB162" s="32"/>
      <c r="AC162" s="55"/>
      <c r="AD162" s="32"/>
      <c r="AE162" s="54"/>
      <c r="AF162" s="21" t="str">
        <f>IFERROR(VLOOKUP(August[[#This Row],[Drug Name3]],'Data Options'!$R$1:$S$100,2,FALSE), " ")</f>
        <v xml:space="preserve"> </v>
      </c>
      <c r="AG162" s="55"/>
      <c r="AH162" s="32"/>
      <c r="AI162" s="32"/>
      <c r="AJ162" s="55"/>
      <c r="AK162" s="32"/>
      <c r="AL162" s="32"/>
      <c r="AM162" s="32"/>
      <c r="AN162" s="32"/>
      <c r="AO162" s="32"/>
      <c r="AP162" s="31"/>
      <c r="AQ162" s="31"/>
      <c r="AR162" s="54"/>
      <c r="AS162" s="21" t="str">
        <f>IFERROR(VLOOKUP(August[[#This Row],[Drug Name4]],'Data Options'!$R$1:$S$100,2,FALSE), " ")</f>
        <v xml:space="preserve"> </v>
      </c>
      <c r="AT162" s="55"/>
      <c r="AU162" s="32"/>
      <c r="AV162" s="32"/>
      <c r="AW162" s="55"/>
      <c r="AX162" s="32"/>
      <c r="AY162" s="54"/>
      <c r="AZ162" s="21" t="str">
        <f>IFERROR(VLOOKUP(August[[#This Row],[Drug Name5]],'Data Options'!$R$1:$S$100,2,FALSE), " ")</f>
        <v xml:space="preserve"> </v>
      </c>
      <c r="BA162" s="55"/>
      <c r="BB162" s="32"/>
      <c r="BC162" s="32"/>
      <c r="BD162" s="55"/>
      <c r="BE162" s="32"/>
      <c r="BF162" s="54"/>
      <c r="BG162" s="21" t="str">
        <f>IFERROR(VLOOKUP(August[[#This Row],[Drug Name6]],'Data Options'!$R$1:$S$100,2,FALSE), " ")</f>
        <v xml:space="preserve"> </v>
      </c>
      <c r="BH162" s="55"/>
      <c r="BI162" s="32"/>
      <c r="BJ162" s="32"/>
      <c r="BK162" s="55"/>
      <c r="BL162" s="32"/>
      <c r="BM162" s="32"/>
      <c r="BN162" s="32"/>
      <c r="BO162" s="32"/>
      <c r="BP162" s="32"/>
      <c r="BQ162" s="31"/>
      <c r="BR162" s="31"/>
      <c r="BS162" s="54"/>
      <c r="BT162" s="21" t="str">
        <f>IFERROR(VLOOKUP(August[[#This Row],[Drug Name7]],'Data Options'!$R$1:$S$100,2,FALSE), " ")</f>
        <v xml:space="preserve"> </v>
      </c>
      <c r="BU162" s="55"/>
      <c r="BV162" s="32"/>
      <c r="BW162" s="32"/>
      <c r="BX162" s="55"/>
      <c r="BY162" s="32"/>
      <c r="BZ162" s="54"/>
      <c r="CA162" s="21" t="str">
        <f>IFERROR(VLOOKUP(August[[#This Row],[Drug Name8]],'Data Options'!$R$1:$S$100,2,FALSE), " ")</f>
        <v xml:space="preserve"> </v>
      </c>
      <c r="CB162" s="55"/>
      <c r="CC162" s="32"/>
      <c r="CD162" s="32"/>
      <c r="CE162" s="55"/>
      <c r="CF162" s="32"/>
      <c r="CG162" s="54"/>
      <c r="CH162" s="21" t="str">
        <f>IFERROR(VLOOKUP(August[[#This Row],[Drug Name9]],'Data Options'!$R$1:$S$100,2,FALSE), " ")</f>
        <v xml:space="preserve"> </v>
      </c>
      <c r="CI162" s="55"/>
      <c r="CJ162" s="32"/>
      <c r="CK162" s="32"/>
      <c r="CL162" s="55"/>
      <c r="CM162" s="32"/>
    </row>
    <row r="163" spans="1:91">
      <c r="A163" s="5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1"/>
      <c r="P163" s="31"/>
      <c r="Q163" s="54"/>
      <c r="R163" s="21" t="str">
        <f>IFERROR(VLOOKUP(August[[#This Row],[Drug Name]],'Data Options'!$R$1:$S$100,2,FALSE), " ")</f>
        <v xml:space="preserve"> </v>
      </c>
      <c r="S163" s="55"/>
      <c r="T163" s="32"/>
      <c r="U163" s="32"/>
      <c r="V163" s="55"/>
      <c r="W163" s="32"/>
      <c r="X163" s="54"/>
      <c r="Y163" s="21" t="str">
        <f>IFERROR(VLOOKUP(August[[#This Row],[Drug Name2]],'Data Options'!$R$1:$S$100,2,FALSE), " ")</f>
        <v xml:space="preserve"> </v>
      </c>
      <c r="Z163" s="55"/>
      <c r="AA163" s="32"/>
      <c r="AB163" s="32"/>
      <c r="AC163" s="55"/>
      <c r="AD163" s="32"/>
      <c r="AE163" s="54"/>
      <c r="AF163" s="21" t="str">
        <f>IFERROR(VLOOKUP(August[[#This Row],[Drug Name3]],'Data Options'!$R$1:$S$100,2,FALSE), " ")</f>
        <v xml:space="preserve"> </v>
      </c>
      <c r="AG163" s="55"/>
      <c r="AH163" s="32"/>
      <c r="AI163" s="32"/>
      <c r="AJ163" s="55"/>
      <c r="AK163" s="32"/>
      <c r="AL163" s="32"/>
      <c r="AM163" s="32"/>
      <c r="AN163" s="32"/>
      <c r="AO163" s="32"/>
      <c r="AP163" s="31"/>
      <c r="AQ163" s="31"/>
      <c r="AR163" s="54"/>
      <c r="AS163" s="21" t="str">
        <f>IFERROR(VLOOKUP(August[[#This Row],[Drug Name4]],'Data Options'!$R$1:$S$100,2,FALSE), " ")</f>
        <v xml:space="preserve"> </v>
      </c>
      <c r="AT163" s="55"/>
      <c r="AU163" s="32"/>
      <c r="AV163" s="32"/>
      <c r="AW163" s="55"/>
      <c r="AX163" s="32"/>
      <c r="AY163" s="54"/>
      <c r="AZ163" s="21" t="str">
        <f>IFERROR(VLOOKUP(August[[#This Row],[Drug Name5]],'Data Options'!$R$1:$S$100,2,FALSE), " ")</f>
        <v xml:space="preserve"> </v>
      </c>
      <c r="BA163" s="55"/>
      <c r="BB163" s="32"/>
      <c r="BC163" s="32"/>
      <c r="BD163" s="55"/>
      <c r="BE163" s="32"/>
      <c r="BF163" s="54"/>
      <c r="BG163" s="21" t="str">
        <f>IFERROR(VLOOKUP(August[[#This Row],[Drug Name6]],'Data Options'!$R$1:$S$100,2,FALSE), " ")</f>
        <v xml:space="preserve"> </v>
      </c>
      <c r="BH163" s="55"/>
      <c r="BI163" s="32"/>
      <c r="BJ163" s="32"/>
      <c r="BK163" s="55"/>
      <c r="BL163" s="32"/>
      <c r="BM163" s="32"/>
      <c r="BN163" s="32"/>
      <c r="BO163" s="32"/>
      <c r="BP163" s="32"/>
      <c r="BQ163" s="31"/>
      <c r="BR163" s="31"/>
      <c r="BS163" s="54"/>
      <c r="BT163" s="21" t="str">
        <f>IFERROR(VLOOKUP(August[[#This Row],[Drug Name7]],'Data Options'!$R$1:$S$100,2,FALSE), " ")</f>
        <v xml:space="preserve"> </v>
      </c>
      <c r="BU163" s="55"/>
      <c r="BV163" s="32"/>
      <c r="BW163" s="32"/>
      <c r="BX163" s="55"/>
      <c r="BY163" s="32"/>
      <c r="BZ163" s="54"/>
      <c r="CA163" s="21" t="str">
        <f>IFERROR(VLOOKUP(August[[#This Row],[Drug Name8]],'Data Options'!$R$1:$S$100,2,FALSE), " ")</f>
        <v xml:space="preserve"> </v>
      </c>
      <c r="CB163" s="55"/>
      <c r="CC163" s="32"/>
      <c r="CD163" s="32"/>
      <c r="CE163" s="55"/>
      <c r="CF163" s="32"/>
      <c r="CG163" s="54"/>
      <c r="CH163" s="21" t="str">
        <f>IFERROR(VLOOKUP(August[[#This Row],[Drug Name9]],'Data Options'!$R$1:$S$100,2,FALSE), " ")</f>
        <v xml:space="preserve"> </v>
      </c>
      <c r="CI163" s="55"/>
      <c r="CJ163" s="32"/>
      <c r="CK163" s="32"/>
      <c r="CL163" s="55"/>
      <c r="CM163" s="32"/>
    </row>
    <row r="164" spans="1:91">
      <c r="A164" s="5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1"/>
      <c r="P164" s="31"/>
      <c r="Q164" s="54"/>
      <c r="R164" s="21" t="str">
        <f>IFERROR(VLOOKUP(August[[#This Row],[Drug Name]],'Data Options'!$R$1:$S$100,2,FALSE), " ")</f>
        <v xml:space="preserve"> </v>
      </c>
      <c r="S164" s="55"/>
      <c r="T164" s="32"/>
      <c r="U164" s="32"/>
      <c r="V164" s="55"/>
      <c r="W164" s="32"/>
      <c r="X164" s="54"/>
      <c r="Y164" s="21" t="str">
        <f>IFERROR(VLOOKUP(August[[#This Row],[Drug Name2]],'Data Options'!$R$1:$S$100,2,FALSE), " ")</f>
        <v xml:space="preserve"> </v>
      </c>
      <c r="Z164" s="55"/>
      <c r="AA164" s="32"/>
      <c r="AB164" s="32"/>
      <c r="AC164" s="55"/>
      <c r="AD164" s="32"/>
      <c r="AE164" s="54"/>
      <c r="AF164" s="21" t="str">
        <f>IFERROR(VLOOKUP(August[[#This Row],[Drug Name3]],'Data Options'!$R$1:$S$100,2,FALSE), " ")</f>
        <v xml:space="preserve"> </v>
      </c>
      <c r="AG164" s="55"/>
      <c r="AH164" s="32"/>
      <c r="AI164" s="32"/>
      <c r="AJ164" s="55"/>
      <c r="AK164" s="32"/>
      <c r="AL164" s="32"/>
      <c r="AM164" s="32"/>
      <c r="AN164" s="32"/>
      <c r="AO164" s="32"/>
      <c r="AP164" s="31"/>
      <c r="AQ164" s="31"/>
      <c r="AR164" s="54"/>
      <c r="AS164" s="21" t="str">
        <f>IFERROR(VLOOKUP(August[[#This Row],[Drug Name4]],'Data Options'!$R$1:$S$100,2,FALSE), " ")</f>
        <v xml:space="preserve"> </v>
      </c>
      <c r="AT164" s="55"/>
      <c r="AU164" s="32"/>
      <c r="AV164" s="32"/>
      <c r="AW164" s="55"/>
      <c r="AX164" s="32"/>
      <c r="AY164" s="54"/>
      <c r="AZ164" s="21" t="str">
        <f>IFERROR(VLOOKUP(August[[#This Row],[Drug Name5]],'Data Options'!$R$1:$S$100,2,FALSE), " ")</f>
        <v xml:space="preserve"> </v>
      </c>
      <c r="BA164" s="55"/>
      <c r="BB164" s="32"/>
      <c r="BC164" s="32"/>
      <c r="BD164" s="55"/>
      <c r="BE164" s="32"/>
      <c r="BF164" s="54"/>
      <c r="BG164" s="21" t="str">
        <f>IFERROR(VLOOKUP(August[[#This Row],[Drug Name6]],'Data Options'!$R$1:$S$100,2,FALSE), " ")</f>
        <v xml:space="preserve"> </v>
      </c>
      <c r="BH164" s="55"/>
      <c r="BI164" s="32"/>
      <c r="BJ164" s="32"/>
      <c r="BK164" s="55"/>
      <c r="BL164" s="32"/>
      <c r="BM164" s="32"/>
      <c r="BN164" s="32"/>
      <c r="BO164" s="32"/>
      <c r="BP164" s="32"/>
      <c r="BQ164" s="31"/>
      <c r="BR164" s="31"/>
      <c r="BS164" s="54"/>
      <c r="BT164" s="21" t="str">
        <f>IFERROR(VLOOKUP(August[[#This Row],[Drug Name7]],'Data Options'!$R$1:$S$100,2,FALSE), " ")</f>
        <v xml:space="preserve"> </v>
      </c>
      <c r="BU164" s="55"/>
      <c r="BV164" s="32"/>
      <c r="BW164" s="32"/>
      <c r="BX164" s="55"/>
      <c r="BY164" s="32"/>
      <c r="BZ164" s="54"/>
      <c r="CA164" s="21" t="str">
        <f>IFERROR(VLOOKUP(August[[#This Row],[Drug Name8]],'Data Options'!$R$1:$S$100,2,FALSE), " ")</f>
        <v xml:space="preserve"> </v>
      </c>
      <c r="CB164" s="55"/>
      <c r="CC164" s="32"/>
      <c r="CD164" s="32"/>
      <c r="CE164" s="55"/>
      <c r="CF164" s="32"/>
      <c r="CG164" s="54"/>
      <c r="CH164" s="21" t="str">
        <f>IFERROR(VLOOKUP(August[[#This Row],[Drug Name9]],'Data Options'!$R$1:$S$100,2,FALSE), " ")</f>
        <v xml:space="preserve"> </v>
      </c>
      <c r="CI164" s="55"/>
      <c r="CJ164" s="32"/>
      <c r="CK164" s="32"/>
      <c r="CL164" s="55"/>
      <c r="CM164" s="32"/>
    </row>
    <row r="165" spans="1:91">
      <c r="A165" s="5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1"/>
      <c r="P165" s="31"/>
      <c r="Q165" s="54"/>
      <c r="R165" s="21" t="str">
        <f>IFERROR(VLOOKUP(August[[#This Row],[Drug Name]],'Data Options'!$R$1:$S$100,2,FALSE), " ")</f>
        <v xml:space="preserve"> </v>
      </c>
      <c r="S165" s="55"/>
      <c r="T165" s="32"/>
      <c r="U165" s="32"/>
      <c r="V165" s="55"/>
      <c r="W165" s="32"/>
      <c r="X165" s="54"/>
      <c r="Y165" s="21" t="str">
        <f>IFERROR(VLOOKUP(August[[#This Row],[Drug Name2]],'Data Options'!$R$1:$S$100,2,FALSE), " ")</f>
        <v xml:space="preserve"> </v>
      </c>
      <c r="Z165" s="55"/>
      <c r="AA165" s="32"/>
      <c r="AB165" s="32"/>
      <c r="AC165" s="55"/>
      <c r="AD165" s="32"/>
      <c r="AE165" s="54"/>
      <c r="AF165" s="21" t="str">
        <f>IFERROR(VLOOKUP(August[[#This Row],[Drug Name3]],'Data Options'!$R$1:$S$100,2,FALSE), " ")</f>
        <v xml:space="preserve"> </v>
      </c>
      <c r="AG165" s="55"/>
      <c r="AH165" s="32"/>
      <c r="AI165" s="32"/>
      <c r="AJ165" s="55"/>
      <c r="AK165" s="32"/>
      <c r="AL165" s="32"/>
      <c r="AM165" s="32"/>
      <c r="AN165" s="32"/>
      <c r="AO165" s="32"/>
      <c r="AP165" s="31"/>
      <c r="AQ165" s="31"/>
      <c r="AR165" s="54"/>
      <c r="AS165" s="21" t="str">
        <f>IFERROR(VLOOKUP(August[[#This Row],[Drug Name4]],'Data Options'!$R$1:$S$100,2,FALSE), " ")</f>
        <v xml:space="preserve"> </v>
      </c>
      <c r="AT165" s="55"/>
      <c r="AU165" s="32"/>
      <c r="AV165" s="32"/>
      <c r="AW165" s="55"/>
      <c r="AX165" s="32"/>
      <c r="AY165" s="54"/>
      <c r="AZ165" s="21" t="str">
        <f>IFERROR(VLOOKUP(August[[#This Row],[Drug Name5]],'Data Options'!$R$1:$S$100,2,FALSE), " ")</f>
        <v xml:space="preserve"> </v>
      </c>
      <c r="BA165" s="55"/>
      <c r="BB165" s="32"/>
      <c r="BC165" s="32"/>
      <c r="BD165" s="55"/>
      <c r="BE165" s="32"/>
      <c r="BF165" s="54"/>
      <c r="BG165" s="21" t="str">
        <f>IFERROR(VLOOKUP(August[[#This Row],[Drug Name6]],'Data Options'!$R$1:$S$100,2,FALSE), " ")</f>
        <v xml:space="preserve"> </v>
      </c>
      <c r="BH165" s="55"/>
      <c r="BI165" s="32"/>
      <c r="BJ165" s="32"/>
      <c r="BK165" s="55"/>
      <c r="BL165" s="32"/>
      <c r="BM165" s="32"/>
      <c r="BN165" s="32"/>
      <c r="BO165" s="32"/>
      <c r="BP165" s="32"/>
      <c r="BQ165" s="31"/>
      <c r="BR165" s="31"/>
      <c r="BS165" s="54"/>
      <c r="BT165" s="21" t="str">
        <f>IFERROR(VLOOKUP(August[[#This Row],[Drug Name7]],'Data Options'!$R$1:$S$100,2,FALSE), " ")</f>
        <v xml:space="preserve"> </v>
      </c>
      <c r="BU165" s="55"/>
      <c r="BV165" s="32"/>
      <c r="BW165" s="32"/>
      <c r="BX165" s="55"/>
      <c r="BY165" s="32"/>
      <c r="BZ165" s="54"/>
      <c r="CA165" s="21" t="str">
        <f>IFERROR(VLOOKUP(August[[#This Row],[Drug Name8]],'Data Options'!$R$1:$S$100,2,FALSE), " ")</f>
        <v xml:space="preserve"> </v>
      </c>
      <c r="CB165" s="55"/>
      <c r="CC165" s="32"/>
      <c r="CD165" s="32"/>
      <c r="CE165" s="55"/>
      <c r="CF165" s="32"/>
      <c r="CG165" s="54"/>
      <c r="CH165" s="21" t="str">
        <f>IFERROR(VLOOKUP(August[[#This Row],[Drug Name9]],'Data Options'!$R$1:$S$100,2,FALSE), " ")</f>
        <v xml:space="preserve"> </v>
      </c>
      <c r="CI165" s="55"/>
      <c r="CJ165" s="32"/>
      <c r="CK165" s="32"/>
      <c r="CL165" s="55"/>
      <c r="CM165" s="32"/>
    </row>
    <row r="166" spans="1:91">
      <c r="A166" s="5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1"/>
      <c r="P166" s="31"/>
      <c r="Q166" s="54"/>
      <c r="R166" s="21" t="str">
        <f>IFERROR(VLOOKUP(August[[#This Row],[Drug Name]],'Data Options'!$R$1:$S$100,2,FALSE), " ")</f>
        <v xml:space="preserve"> </v>
      </c>
      <c r="S166" s="55"/>
      <c r="T166" s="32"/>
      <c r="U166" s="32"/>
      <c r="V166" s="55"/>
      <c r="W166" s="32"/>
      <c r="X166" s="54"/>
      <c r="Y166" s="21" t="str">
        <f>IFERROR(VLOOKUP(August[[#This Row],[Drug Name2]],'Data Options'!$R$1:$S$100,2,FALSE), " ")</f>
        <v xml:space="preserve"> </v>
      </c>
      <c r="Z166" s="55"/>
      <c r="AA166" s="32"/>
      <c r="AB166" s="32"/>
      <c r="AC166" s="55"/>
      <c r="AD166" s="32"/>
      <c r="AE166" s="54"/>
      <c r="AF166" s="21" t="str">
        <f>IFERROR(VLOOKUP(August[[#This Row],[Drug Name3]],'Data Options'!$R$1:$S$100,2,FALSE), " ")</f>
        <v xml:space="preserve"> </v>
      </c>
      <c r="AG166" s="55"/>
      <c r="AH166" s="32"/>
      <c r="AI166" s="32"/>
      <c r="AJ166" s="55"/>
      <c r="AK166" s="32"/>
      <c r="AL166" s="32"/>
      <c r="AM166" s="32"/>
      <c r="AN166" s="32"/>
      <c r="AO166" s="32"/>
      <c r="AP166" s="31"/>
      <c r="AQ166" s="31"/>
      <c r="AR166" s="54"/>
      <c r="AS166" s="21" t="str">
        <f>IFERROR(VLOOKUP(August[[#This Row],[Drug Name4]],'Data Options'!$R$1:$S$100,2,FALSE), " ")</f>
        <v xml:space="preserve"> </v>
      </c>
      <c r="AT166" s="55"/>
      <c r="AU166" s="32"/>
      <c r="AV166" s="32"/>
      <c r="AW166" s="55"/>
      <c r="AX166" s="32"/>
      <c r="AY166" s="54"/>
      <c r="AZ166" s="21" t="str">
        <f>IFERROR(VLOOKUP(August[[#This Row],[Drug Name5]],'Data Options'!$R$1:$S$100,2,FALSE), " ")</f>
        <v xml:space="preserve"> </v>
      </c>
      <c r="BA166" s="55"/>
      <c r="BB166" s="32"/>
      <c r="BC166" s="32"/>
      <c r="BD166" s="55"/>
      <c r="BE166" s="32"/>
      <c r="BF166" s="54"/>
      <c r="BG166" s="21" t="str">
        <f>IFERROR(VLOOKUP(August[[#This Row],[Drug Name6]],'Data Options'!$R$1:$S$100,2,FALSE), " ")</f>
        <v xml:space="preserve"> </v>
      </c>
      <c r="BH166" s="55"/>
      <c r="BI166" s="32"/>
      <c r="BJ166" s="32"/>
      <c r="BK166" s="55"/>
      <c r="BL166" s="32"/>
      <c r="BM166" s="32"/>
      <c r="BN166" s="32"/>
      <c r="BO166" s="32"/>
      <c r="BP166" s="32"/>
      <c r="BQ166" s="31"/>
      <c r="BR166" s="31"/>
      <c r="BS166" s="54"/>
      <c r="BT166" s="21" t="str">
        <f>IFERROR(VLOOKUP(August[[#This Row],[Drug Name7]],'Data Options'!$R$1:$S$100,2,FALSE), " ")</f>
        <v xml:space="preserve"> </v>
      </c>
      <c r="BU166" s="55"/>
      <c r="BV166" s="32"/>
      <c r="BW166" s="32"/>
      <c r="BX166" s="55"/>
      <c r="BY166" s="32"/>
      <c r="BZ166" s="54"/>
      <c r="CA166" s="21" t="str">
        <f>IFERROR(VLOOKUP(August[[#This Row],[Drug Name8]],'Data Options'!$R$1:$S$100,2,FALSE), " ")</f>
        <v xml:space="preserve"> </v>
      </c>
      <c r="CB166" s="55"/>
      <c r="CC166" s="32"/>
      <c r="CD166" s="32"/>
      <c r="CE166" s="55"/>
      <c r="CF166" s="32"/>
      <c r="CG166" s="54"/>
      <c r="CH166" s="21" t="str">
        <f>IFERROR(VLOOKUP(August[[#This Row],[Drug Name9]],'Data Options'!$R$1:$S$100,2,FALSE), " ")</f>
        <v xml:space="preserve"> </v>
      </c>
      <c r="CI166" s="55"/>
      <c r="CJ166" s="32"/>
      <c r="CK166" s="32"/>
      <c r="CL166" s="55"/>
      <c r="CM166" s="32"/>
    </row>
    <row r="167" spans="1:91">
      <c r="A167" s="5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1"/>
      <c r="P167" s="31"/>
      <c r="Q167" s="54"/>
      <c r="R167" s="21" t="str">
        <f>IFERROR(VLOOKUP(August[[#This Row],[Drug Name]],'Data Options'!$R$1:$S$100,2,FALSE), " ")</f>
        <v xml:space="preserve"> </v>
      </c>
      <c r="S167" s="55"/>
      <c r="T167" s="32"/>
      <c r="U167" s="32"/>
      <c r="V167" s="55"/>
      <c r="W167" s="32"/>
      <c r="X167" s="54"/>
      <c r="Y167" s="21" t="str">
        <f>IFERROR(VLOOKUP(August[[#This Row],[Drug Name2]],'Data Options'!$R$1:$S$100,2,FALSE), " ")</f>
        <v xml:space="preserve"> </v>
      </c>
      <c r="Z167" s="55"/>
      <c r="AA167" s="32"/>
      <c r="AB167" s="32"/>
      <c r="AC167" s="55"/>
      <c r="AD167" s="32"/>
      <c r="AE167" s="54"/>
      <c r="AF167" s="21" t="str">
        <f>IFERROR(VLOOKUP(August[[#This Row],[Drug Name3]],'Data Options'!$R$1:$S$100,2,FALSE), " ")</f>
        <v xml:space="preserve"> </v>
      </c>
      <c r="AG167" s="55"/>
      <c r="AH167" s="32"/>
      <c r="AI167" s="32"/>
      <c r="AJ167" s="55"/>
      <c r="AK167" s="32"/>
      <c r="AL167" s="32"/>
      <c r="AM167" s="32"/>
      <c r="AN167" s="32"/>
      <c r="AO167" s="32"/>
      <c r="AP167" s="31"/>
      <c r="AQ167" s="31"/>
      <c r="AR167" s="54"/>
      <c r="AS167" s="21" t="str">
        <f>IFERROR(VLOOKUP(August[[#This Row],[Drug Name4]],'Data Options'!$R$1:$S$100,2,FALSE), " ")</f>
        <v xml:space="preserve"> </v>
      </c>
      <c r="AT167" s="55"/>
      <c r="AU167" s="32"/>
      <c r="AV167" s="32"/>
      <c r="AW167" s="55"/>
      <c r="AX167" s="32"/>
      <c r="AY167" s="54"/>
      <c r="AZ167" s="21" t="str">
        <f>IFERROR(VLOOKUP(August[[#This Row],[Drug Name5]],'Data Options'!$R$1:$S$100,2,FALSE), " ")</f>
        <v xml:space="preserve"> </v>
      </c>
      <c r="BA167" s="55"/>
      <c r="BB167" s="32"/>
      <c r="BC167" s="32"/>
      <c r="BD167" s="55"/>
      <c r="BE167" s="32"/>
      <c r="BF167" s="54"/>
      <c r="BG167" s="21" t="str">
        <f>IFERROR(VLOOKUP(August[[#This Row],[Drug Name6]],'Data Options'!$R$1:$S$100,2,FALSE), " ")</f>
        <v xml:space="preserve"> </v>
      </c>
      <c r="BH167" s="55"/>
      <c r="BI167" s="32"/>
      <c r="BJ167" s="32"/>
      <c r="BK167" s="55"/>
      <c r="BL167" s="32"/>
      <c r="BM167" s="32"/>
      <c r="BN167" s="32"/>
      <c r="BO167" s="32"/>
      <c r="BP167" s="32"/>
      <c r="BQ167" s="31"/>
      <c r="BR167" s="31"/>
      <c r="BS167" s="54"/>
      <c r="BT167" s="21" t="str">
        <f>IFERROR(VLOOKUP(August[[#This Row],[Drug Name7]],'Data Options'!$R$1:$S$100,2,FALSE), " ")</f>
        <v xml:space="preserve"> </v>
      </c>
      <c r="BU167" s="55"/>
      <c r="BV167" s="32"/>
      <c r="BW167" s="32"/>
      <c r="BX167" s="55"/>
      <c r="BY167" s="32"/>
      <c r="BZ167" s="54"/>
      <c r="CA167" s="21" t="str">
        <f>IFERROR(VLOOKUP(August[[#This Row],[Drug Name8]],'Data Options'!$R$1:$S$100,2,FALSE), " ")</f>
        <v xml:space="preserve"> </v>
      </c>
      <c r="CB167" s="55"/>
      <c r="CC167" s="32"/>
      <c r="CD167" s="32"/>
      <c r="CE167" s="55"/>
      <c r="CF167" s="32"/>
      <c r="CG167" s="54"/>
      <c r="CH167" s="21" t="str">
        <f>IFERROR(VLOOKUP(August[[#This Row],[Drug Name9]],'Data Options'!$R$1:$S$100,2,FALSE), " ")</f>
        <v xml:space="preserve"> </v>
      </c>
      <c r="CI167" s="55"/>
      <c r="CJ167" s="32"/>
      <c r="CK167" s="32"/>
      <c r="CL167" s="55"/>
      <c r="CM167" s="32"/>
    </row>
    <row r="168" spans="1:91">
      <c r="A168" s="5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1"/>
      <c r="P168" s="31"/>
      <c r="Q168" s="54"/>
      <c r="R168" s="21" t="str">
        <f>IFERROR(VLOOKUP(August[[#This Row],[Drug Name]],'Data Options'!$R$1:$S$100,2,FALSE), " ")</f>
        <v xml:space="preserve"> </v>
      </c>
      <c r="S168" s="55"/>
      <c r="T168" s="32"/>
      <c r="U168" s="32"/>
      <c r="V168" s="55"/>
      <c r="W168" s="32"/>
      <c r="X168" s="54"/>
      <c r="Y168" s="21" t="str">
        <f>IFERROR(VLOOKUP(August[[#This Row],[Drug Name2]],'Data Options'!$R$1:$S$100,2,FALSE), " ")</f>
        <v xml:space="preserve"> </v>
      </c>
      <c r="Z168" s="55"/>
      <c r="AA168" s="32"/>
      <c r="AB168" s="32"/>
      <c r="AC168" s="55"/>
      <c r="AD168" s="32"/>
      <c r="AE168" s="54"/>
      <c r="AF168" s="21" t="str">
        <f>IFERROR(VLOOKUP(August[[#This Row],[Drug Name3]],'Data Options'!$R$1:$S$100,2,FALSE), " ")</f>
        <v xml:space="preserve"> </v>
      </c>
      <c r="AG168" s="55"/>
      <c r="AH168" s="32"/>
      <c r="AI168" s="32"/>
      <c r="AJ168" s="55"/>
      <c r="AK168" s="32"/>
      <c r="AL168" s="32"/>
      <c r="AM168" s="32"/>
      <c r="AN168" s="32"/>
      <c r="AO168" s="32"/>
      <c r="AP168" s="31"/>
      <c r="AQ168" s="31"/>
      <c r="AR168" s="54"/>
      <c r="AS168" s="21" t="str">
        <f>IFERROR(VLOOKUP(August[[#This Row],[Drug Name4]],'Data Options'!$R$1:$S$100,2,FALSE), " ")</f>
        <v xml:space="preserve"> </v>
      </c>
      <c r="AT168" s="55"/>
      <c r="AU168" s="32"/>
      <c r="AV168" s="32"/>
      <c r="AW168" s="55"/>
      <c r="AX168" s="32"/>
      <c r="AY168" s="54"/>
      <c r="AZ168" s="21" t="str">
        <f>IFERROR(VLOOKUP(August[[#This Row],[Drug Name5]],'Data Options'!$R$1:$S$100,2,FALSE), " ")</f>
        <v xml:space="preserve"> </v>
      </c>
      <c r="BA168" s="55"/>
      <c r="BB168" s="32"/>
      <c r="BC168" s="32"/>
      <c r="BD168" s="55"/>
      <c r="BE168" s="32"/>
      <c r="BF168" s="54"/>
      <c r="BG168" s="21" t="str">
        <f>IFERROR(VLOOKUP(August[[#This Row],[Drug Name6]],'Data Options'!$R$1:$S$100,2,FALSE), " ")</f>
        <v xml:space="preserve"> </v>
      </c>
      <c r="BH168" s="55"/>
      <c r="BI168" s="32"/>
      <c r="BJ168" s="32"/>
      <c r="BK168" s="55"/>
      <c r="BL168" s="32"/>
      <c r="BM168" s="32"/>
      <c r="BN168" s="32"/>
      <c r="BO168" s="32"/>
      <c r="BP168" s="32"/>
      <c r="BQ168" s="31"/>
      <c r="BR168" s="31"/>
      <c r="BS168" s="54"/>
      <c r="BT168" s="21" t="str">
        <f>IFERROR(VLOOKUP(August[[#This Row],[Drug Name7]],'Data Options'!$R$1:$S$100,2,FALSE), " ")</f>
        <v xml:space="preserve"> </v>
      </c>
      <c r="BU168" s="55"/>
      <c r="BV168" s="32"/>
      <c r="BW168" s="32"/>
      <c r="BX168" s="55"/>
      <c r="BY168" s="32"/>
      <c r="BZ168" s="54"/>
      <c r="CA168" s="21" t="str">
        <f>IFERROR(VLOOKUP(August[[#This Row],[Drug Name8]],'Data Options'!$R$1:$S$100,2,FALSE), " ")</f>
        <v xml:space="preserve"> </v>
      </c>
      <c r="CB168" s="55"/>
      <c r="CC168" s="32"/>
      <c r="CD168" s="32"/>
      <c r="CE168" s="55"/>
      <c r="CF168" s="32"/>
      <c r="CG168" s="54"/>
      <c r="CH168" s="21" t="str">
        <f>IFERROR(VLOOKUP(August[[#This Row],[Drug Name9]],'Data Options'!$R$1:$S$100,2,FALSE), " ")</f>
        <v xml:space="preserve"> </v>
      </c>
      <c r="CI168" s="55"/>
      <c r="CJ168" s="32"/>
      <c r="CK168" s="32"/>
      <c r="CL168" s="55"/>
      <c r="CM168" s="32"/>
    </row>
    <row r="169" spans="1:91">
      <c r="A169" s="5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1"/>
      <c r="P169" s="31"/>
      <c r="Q169" s="54"/>
      <c r="R169" s="21" t="str">
        <f>IFERROR(VLOOKUP(August[[#This Row],[Drug Name]],'Data Options'!$R$1:$S$100,2,FALSE), " ")</f>
        <v xml:space="preserve"> </v>
      </c>
      <c r="S169" s="55"/>
      <c r="T169" s="32"/>
      <c r="U169" s="32"/>
      <c r="V169" s="55"/>
      <c r="W169" s="32"/>
      <c r="X169" s="54"/>
      <c r="Y169" s="21" t="str">
        <f>IFERROR(VLOOKUP(August[[#This Row],[Drug Name2]],'Data Options'!$R$1:$S$100,2,FALSE), " ")</f>
        <v xml:space="preserve"> </v>
      </c>
      <c r="Z169" s="55"/>
      <c r="AA169" s="32"/>
      <c r="AB169" s="32"/>
      <c r="AC169" s="55"/>
      <c r="AD169" s="32"/>
      <c r="AE169" s="54"/>
      <c r="AF169" s="21" t="str">
        <f>IFERROR(VLOOKUP(August[[#This Row],[Drug Name3]],'Data Options'!$R$1:$S$100,2,FALSE), " ")</f>
        <v xml:space="preserve"> </v>
      </c>
      <c r="AG169" s="55"/>
      <c r="AH169" s="32"/>
      <c r="AI169" s="32"/>
      <c r="AJ169" s="55"/>
      <c r="AK169" s="32"/>
      <c r="AL169" s="32"/>
      <c r="AM169" s="32"/>
      <c r="AN169" s="32"/>
      <c r="AO169" s="32"/>
      <c r="AP169" s="31"/>
      <c r="AQ169" s="31"/>
      <c r="AR169" s="54"/>
      <c r="AS169" s="21" t="str">
        <f>IFERROR(VLOOKUP(August[[#This Row],[Drug Name4]],'Data Options'!$R$1:$S$100,2,FALSE), " ")</f>
        <v xml:space="preserve"> </v>
      </c>
      <c r="AT169" s="55"/>
      <c r="AU169" s="32"/>
      <c r="AV169" s="32"/>
      <c r="AW169" s="55"/>
      <c r="AX169" s="32"/>
      <c r="AY169" s="54"/>
      <c r="AZ169" s="21" t="str">
        <f>IFERROR(VLOOKUP(August[[#This Row],[Drug Name5]],'Data Options'!$R$1:$S$100,2,FALSE), " ")</f>
        <v xml:space="preserve"> </v>
      </c>
      <c r="BA169" s="55"/>
      <c r="BB169" s="32"/>
      <c r="BC169" s="32"/>
      <c r="BD169" s="55"/>
      <c r="BE169" s="32"/>
      <c r="BF169" s="54"/>
      <c r="BG169" s="21" t="str">
        <f>IFERROR(VLOOKUP(August[[#This Row],[Drug Name6]],'Data Options'!$R$1:$S$100,2,FALSE), " ")</f>
        <v xml:space="preserve"> </v>
      </c>
      <c r="BH169" s="55"/>
      <c r="BI169" s="32"/>
      <c r="BJ169" s="32"/>
      <c r="BK169" s="55"/>
      <c r="BL169" s="32"/>
      <c r="BM169" s="32"/>
      <c r="BN169" s="32"/>
      <c r="BO169" s="32"/>
      <c r="BP169" s="32"/>
      <c r="BQ169" s="31"/>
      <c r="BR169" s="31"/>
      <c r="BS169" s="54"/>
      <c r="BT169" s="21" t="str">
        <f>IFERROR(VLOOKUP(August[[#This Row],[Drug Name7]],'Data Options'!$R$1:$S$100,2,FALSE), " ")</f>
        <v xml:space="preserve"> </v>
      </c>
      <c r="BU169" s="55"/>
      <c r="BV169" s="32"/>
      <c r="BW169" s="32"/>
      <c r="BX169" s="55"/>
      <c r="BY169" s="32"/>
      <c r="BZ169" s="54"/>
      <c r="CA169" s="21" t="str">
        <f>IFERROR(VLOOKUP(August[[#This Row],[Drug Name8]],'Data Options'!$R$1:$S$100,2,FALSE), " ")</f>
        <v xml:space="preserve"> </v>
      </c>
      <c r="CB169" s="55"/>
      <c r="CC169" s="32"/>
      <c r="CD169" s="32"/>
      <c r="CE169" s="55"/>
      <c r="CF169" s="32"/>
      <c r="CG169" s="54"/>
      <c r="CH169" s="21" t="str">
        <f>IFERROR(VLOOKUP(August[[#This Row],[Drug Name9]],'Data Options'!$R$1:$S$100,2,FALSE), " ")</f>
        <v xml:space="preserve"> </v>
      </c>
      <c r="CI169" s="55"/>
      <c r="CJ169" s="32"/>
      <c r="CK169" s="32"/>
      <c r="CL169" s="55"/>
      <c r="CM169" s="32"/>
    </row>
    <row r="170" spans="1:91">
      <c r="A170" s="5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1"/>
      <c r="P170" s="31"/>
      <c r="Q170" s="54"/>
      <c r="R170" s="21" t="str">
        <f>IFERROR(VLOOKUP(August[[#This Row],[Drug Name]],'Data Options'!$R$1:$S$100,2,FALSE), " ")</f>
        <v xml:space="preserve"> </v>
      </c>
      <c r="S170" s="55"/>
      <c r="T170" s="32"/>
      <c r="U170" s="32"/>
      <c r="V170" s="55"/>
      <c r="W170" s="32"/>
      <c r="X170" s="54"/>
      <c r="Y170" s="21" t="str">
        <f>IFERROR(VLOOKUP(August[[#This Row],[Drug Name2]],'Data Options'!$R$1:$S$100,2,FALSE), " ")</f>
        <v xml:space="preserve"> </v>
      </c>
      <c r="Z170" s="55"/>
      <c r="AA170" s="32"/>
      <c r="AB170" s="32"/>
      <c r="AC170" s="55"/>
      <c r="AD170" s="32"/>
      <c r="AE170" s="54"/>
      <c r="AF170" s="21" t="str">
        <f>IFERROR(VLOOKUP(August[[#This Row],[Drug Name3]],'Data Options'!$R$1:$S$100,2,FALSE), " ")</f>
        <v xml:space="preserve"> </v>
      </c>
      <c r="AG170" s="55"/>
      <c r="AH170" s="32"/>
      <c r="AI170" s="32"/>
      <c r="AJ170" s="55"/>
      <c r="AK170" s="32"/>
      <c r="AL170" s="32"/>
      <c r="AM170" s="32"/>
      <c r="AN170" s="32"/>
      <c r="AO170" s="32"/>
      <c r="AP170" s="31"/>
      <c r="AQ170" s="31"/>
      <c r="AR170" s="54"/>
      <c r="AS170" s="21" t="str">
        <f>IFERROR(VLOOKUP(August[[#This Row],[Drug Name4]],'Data Options'!$R$1:$S$100,2,FALSE), " ")</f>
        <v xml:space="preserve"> </v>
      </c>
      <c r="AT170" s="55"/>
      <c r="AU170" s="32"/>
      <c r="AV170" s="32"/>
      <c r="AW170" s="55"/>
      <c r="AX170" s="32"/>
      <c r="AY170" s="54"/>
      <c r="AZ170" s="21" t="str">
        <f>IFERROR(VLOOKUP(August[[#This Row],[Drug Name5]],'Data Options'!$R$1:$S$100,2,FALSE), " ")</f>
        <v xml:space="preserve"> </v>
      </c>
      <c r="BA170" s="55"/>
      <c r="BB170" s="32"/>
      <c r="BC170" s="32"/>
      <c r="BD170" s="55"/>
      <c r="BE170" s="32"/>
      <c r="BF170" s="54"/>
      <c r="BG170" s="21" t="str">
        <f>IFERROR(VLOOKUP(August[[#This Row],[Drug Name6]],'Data Options'!$R$1:$S$100,2,FALSE), " ")</f>
        <v xml:space="preserve"> </v>
      </c>
      <c r="BH170" s="55"/>
      <c r="BI170" s="32"/>
      <c r="BJ170" s="32"/>
      <c r="BK170" s="55"/>
      <c r="BL170" s="32"/>
      <c r="BM170" s="32"/>
      <c r="BN170" s="32"/>
      <c r="BO170" s="32"/>
      <c r="BP170" s="32"/>
      <c r="BQ170" s="31"/>
      <c r="BR170" s="31"/>
      <c r="BS170" s="54"/>
      <c r="BT170" s="21" t="str">
        <f>IFERROR(VLOOKUP(August[[#This Row],[Drug Name7]],'Data Options'!$R$1:$S$100,2,FALSE), " ")</f>
        <v xml:space="preserve"> </v>
      </c>
      <c r="BU170" s="55"/>
      <c r="BV170" s="32"/>
      <c r="BW170" s="32"/>
      <c r="BX170" s="55"/>
      <c r="BY170" s="32"/>
      <c r="BZ170" s="54"/>
      <c r="CA170" s="21" t="str">
        <f>IFERROR(VLOOKUP(August[[#This Row],[Drug Name8]],'Data Options'!$R$1:$S$100,2,FALSE), " ")</f>
        <v xml:space="preserve"> </v>
      </c>
      <c r="CB170" s="55"/>
      <c r="CC170" s="32"/>
      <c r="CD170" s="32"/>
      <c r="CE170" s="55"/>
      <c r="CF170" s="32"/>
      <c r="CG170" s="54"/>
      <c r="CH170" s="21" t="str">
        <f>IFERROR(VLOOKUP(August[[#This Row],[Drug Name9]],'Data Options'!$R$1:$S$100,2,FALSE), " ")</f>
        <v xml:space="preserve"> </v>
      </c>
      <c r="CI170" s="55"/>
      <c r="CJ170" s="32"/>
      <c r="CK170" s="32"/>
      <c r="CL170" s="55"/>
      <c r="CM170" s="32"/>
    </row>
    <row r="171" spans="1:91">
      <c r="A171" s="5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1"/>
      <c r="P171" s="31"/>
      <c r="Q171" s="54"/>
      <c r="R171" s="21" t="str">
        <f>IFERROR(VLOOKUP(August[[#This Row],[Drug Name]],'Data Options'!$R$1:$S$100,2,FALSE), " ")</f>
        <v xml:space="preserve"> </v>
      </c>
      <c r="S171" s="55"/>
      <c r="T171" s="32"/>
      <c r="U171" s="32"/>
      <c r="V171" s="55"/>
      <c r="W171" s="32"/>
      <c r="X171" s="54"/>
      <c r="Y171" s="21" t="str">
        <f>IFERROR(VLOOKUP(August[[#This Row],[Drug Name2]],'Data Options'!$R$1:$S$100,2,FALSE), " ")</f>
        <v xml:space="preserve"> </v>
      </c>
      <c r="Z171" s="55"/>
      <c r="AA171" s="32"/>
      <c r="AB171" s="32"/>
      <c r="AC171" s="55"/>
      <c r="AD171" s="32"/>
      <c r="AE171" s="54"/>
      <c r="AF171" s="21" t="str">
        <f>IFERROR(VLOOKUP(August[[#This Row],[Drug Name3]],'Data Options'!$R$1:$S$100,2,FALSE), " ")</f>
        <v xml:space="preserve"> </v>
      </c>
      <c r="AG171" s="55"/>
      <c r="AH171" s="32"/>
      <c r="AI171" s="32"/>
      <c r="AJ171" s="55"/>
      <c r="AK171" s="32"/>
      <c r="AL171" s="32"/>
      <c r="AM171" s="32"/>
      <c r="AN171" s="32"/>
      <c r="AO171" s="32"/>
      <c r="AP171" s="31"/>
      <c r="AQ171" s="31"/>
      <c r="AR171" s="54"/>
      <c r="AS171" s="21" t="str">
        <f>IFERROR(VLOOKUP(August[[#This Row],[Drug Name4]],'Data Options'!$R$1:$S$100,2,FALSE), " ")</f>
        <v xml:space="preserve"> </v>
      </c>
      <c r="AT171" s="55"/>
      <c r="AU171" s="32"/>
      <c r="AV171" s="32"/>
      <c r="AW171" s="55"/>
      <c r="AX171" s="32"/>
      <c r="AY171" s="54"/>
      <c r="AZ171" s="21" t="str">
        <f>IFERROR(VLOOKUP(August[[#This Row],[Drug Name5]],'Data Options'!$R$1:$S$100,2,FALSE), " ")</f>
        <v xml:space="preserve"> </v>
      </c>
      <c r="BA171" s="55"/>
      <c r="BB171" s="32"/>
      <c r="BC171" s="32"/>
      <c r="BD171" s="55"/>
      <c r="BE171" s="32"/>
      <c r="BF171" s="54"/>
      <c r="BG171" s="21" t="str">
        <f>IFERROR(VLOOKUP(August[[#This Row],[Drug Name6]],'Data Options'!$R$1:$S$100,2,FALSE), " ")</f>
        <v xml:space="preserve"> </v>
      </c>
      <c r="BH171" s="55"/>
      <c r="BI171" s="32"/>
      <c r="BJ171" s="32"/>
      <c r="BK171" s="55"/>
      <c r="BL171" s="32"/>
      <c r="BM171" s="32"/>
      <c r="BN171" s="32"/>
      <c r="BO171" s="32"/>
      <c r="BP171" s="32"/>
      <c r="BQ171" s="31"/>
      <c r="BR171" s="31"/>
      <c r="BS171" s="54"/>
      <c r="BT171" s="21" t="str">
        <f>IFERROR(VLOOKUP(August[[#This Row],[Drug Name7]],'Data Options'!$R$1:$S$100,2,FALSE), " ")</f>
        <v xml:space="preserve"> </v>
      </c>
      <c r="BU171" s="55"/>
      <c r="BV171" s="32"/>
      <c r="BW171" s="32"/>
      <c r="BX171" s="55"/>
      <c r="BY171" s="32"/>
      <c r="BZ171" s="54"/>
      <c r="CA171" s="21" t="str">
        <f>IFERROR(VLOOKUP(August[[#This Row],[Drug Name8]],'Data Options'!$R$1:$S$100,2,FALSE), " ")</f>
        <v xml:space="preserve"> </v>
      </c>
      <c r="CB171" s="55"/>
      <c r="CC171" s="32"/>
      <c r="CD171" s="32"/>
      <c r="CE171" s="55"/>
      <c r="CF171" s="32"/>
      <c r="CG171" s="54"/>
      <c r="CH171" s="21" t="str">
        <f>IFERROR(VLOOKUP(August[[#This Row],[Drug Name9]],'Data Options'!$R$1:$S$100,2,FALSE), " ")</f>
        <v xml:space="preserve"> </v>
      </c>
      <c r="CI171" s="55"/>
      <c r="CJ171" s="32"/>
      <c r="CK171" s="32"/>
      <c r="CL171" s="55"/>
      <c r="CM171" s="32"/>
    </row>
    <row r="172" spans="1:91">
      <c r="A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1"/>
      <c r="P172" s="31"/>
      <c r="Q172" s="54"/>
      <c r="R172" s="21" t="str">
        <f>IFERROR(VLOOKUP(August[[#This Row],[Drug Name]],'Data Options'!$R$1:$S$100,2,FALSE), " ")</f>
        <v xml:space="preserve"> </v>
      </c>
      <c r="S172" s="55"/>
      <c r="T172" s="32"/>
      <c r="U172" s="32"/>
      <c r="V172" s="55"/>
      <c r="W172" s="32"/>
      <c r="X172" s="54"/>
      <c r="Y172" s="21" t="str">
        <f>IFERROR(VLOOKUP(August[[#This Row],[Drug Name2]],'Data Options'!$R$1:$S$100,2,FALSE), " ")</f>
        <v xml:space="preserve"> </v>
      </c>
      <c r="Z172" s="55"/>
      <c r="AA172" s="32"/>
      <c r="AB172" s="32"/>
      <c r="AC172" s="55"/>
      <c r="AD172" s="32"/>
      <c r="AE172" s="54"/>
      <c r="AF172" s="21" t="str">
        <f>IFERROR(VLOOKUP(August[[#This Row],[Drug Name3]],'Data Options'!$R$1:$S$100,2,FALSE), " ")</f>
        <v xml:space="preserve"> </v>
      </c>
      <c r="AG172" s="55"/>
      <c r="AH172" s="32"/>
      <c r="AI172" s="32"/>
      <c r="AJ172" s="55"/>
      <c r="AK172" s="32"/>
      <c r="AL172" s="32"/>
      <c r="AM172" s="32"/>
      <c r="AN172" s="32"/>
      <c r="AO172" s="32"/>
      <c r="AP172" s="31"/>
      <c r="AQ172" s="31"/>
      <c r="AR172" s="54"/>
      <c r="AS172" s="21" t="str">
        <f>IFERROR(VLOOKUP(August[[#This Row],[Drug Name4]],'Data Options'!$R$1:$S$100,2,FALSE), " ")</f>
        <v xml:space="preserve"> </v>
      </c>
      <c r="AT172" s="55"/>
      <c r="AU172" s="32"/>
      <c r="AV172" s="32"/>
      <c r="AW172" s="55"/>
      <c r="AX172" s="32"/>
      <c r="AY172" s="54"/>
      <c r="AZ172" s="21" t="str">
        <f>IFERROR(VLOOKUP(August[[#This Row],[Drug Name5]],'Data Options'!$R$1:$S$100,2,FALSE), " ")</f>
        <v xml:space="preserve"> </v>
      </c>
      <c r="BA172" s="55"/>
      <c r="BB172" s="32"/>
      <c r="BC172" s="32"/>
      <c r="BD172" s="55"/>
      <c r="BE172" s="32"/>
      <c r="BF172" s="54"/>
      <c r="BG172" s="21" t="str">
        <f>IFERROR(VLOOKUP(August[[#This Row],[Drug Name6]],'Data Options'!$R$1:$S$100,2,FALSE), " ")</f>
        <v xml:space="preserve"> </v>
      </c>
      <c r="BH172" s="55"/>
      <c r="BI172" s="32"/>
      <c r="BJ172" s="32"/>
      <c r="BK172" s="55"/>
      <c r="BL172" s="32"/>
      <c r="BM172" s="32"/>
      <c r="BN172" s="32"/>
      <c r="BO172" s="32"/>
      <c r="BP172" s="32"/>
      <c r="BQ172" s="31"/>
      <c r="BR172" s="31"/>
      <c r="BS172" s="54"/>
      <c r="BT172" s="21" t="str">
        <f>IFERROR(VLOOKUP(August[[#This Row],[Drug Name7]],'Data Options'!$R$1:$S$100,2,FALSE), " ")</f>
        <v xml:space="preserve"> </v>
      </c>
      <c r="BU172" s="55"/>
      <c r="BV172" s="32"/>
      <c r="BW172" s="32"/>
      <c r="BX172" s="55"/>
      <c r="BY172" s="32"/>
      <c r="BZ172" s="54"/>
      <c r="CA172" s="21" t="str">
        <f>IFERROR(VLOOKUP(August[[#This Row],[Drug Name8]],'Data Options'!$R$1:$S$100,2,FALSE), " ")</f>
        <v xml:space="preserve"> </v>
      </c>
      <c r="CB172" s="55"/>
      <c r="CC172" s="32"/>
      <c r="CD172" s="32"/>
      <c r="CE172" s="55"/>
      <c r="CF172" s="32"/>
      <c r="CG172" s="54"/>
      <c r="CH172" s="21" t="str">
        <f>IFERROR(VLOOKUP(August[[#This Row],[Drug Name9]],'Data Options'!$R$1:$S$100,2,FALSE), " ")</f>
        <v xml:space="preserve"> </v>
      </c>
      <c r="CI172" s="55"/>
      <c r="CJ172" s="32"/>
      <c r="CK172" s="32"/>
      <c r="CL172" s="55"/>
      <c r="CM172" s="32"/>
    </row>
    <row r="173" spans="1:91">
      <c r="A173" s="5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1"/>
      <c r="P173" s="31"/>
      <c r="Q173" s="54"/>
      <c r="R173" s="21" t="str">
        <f>IFERROR(VLOOKUP(August[[#This Row],[Drug Name]],'Data Options'!$R$1:$S$100,2,FALSE), " ")</f>
        <v xml:space="preserve"> </v>
      </c>
      <c r="S173" s="55"/>
      <c r="T173" s="32"/>
      <c r="U173" s="32"/>
      <c r="V173" s="55"/>
      <c r="W173" s="32"/>
      <c r="X173" s="54"/>
      <c r="Y173" s="21" t="str">
        <f>IFERROR(VLOOKUP(August[[#This Row],[Drug Name2]],'Data Options'!$R$1:$S$100,2,FALSE), " ")</f>
        <v xml:space="preserve"> </v>
      </c>
      <c r="Z173" s="55"/>
      <c r="AA173" s="32"/>
      <c r="AB173" s="32"/>
      <c r="AC173" s="55"/>
      <c r="AD173" s="32"/>
      <c r="AE173" s="54"/>
      <c r="AF173" s="21" t="str">
        <f>IFERROR(VLOOKUP(August[[#This Row],[Drug Name3]],'Data Options'!$R$1:$S$100,2,FALSE), " ")</f>
        <v xml:space="preserve"> </v>
      </c>
      <c r="AG173" s="55"/>
      <c r="AH173" s="32"/>
      <c r="AI173" s="32"/>
      <c r="AJ173" s="55"/>
      <c r="AK173" s="32"/>
      <c r="AL173" s="32"/>
      <c r="AM173" s="32"/>
      <c r="AN173" s="32"/>
      <c r="AO173" s="32"/>
      <c r="AP173" s="31"/>
      <c r="AQ173" s="31"/>
      <c r="AR173" s="54"/>
      <c r="AS173" s="21" t="str">
        <f>IFERROR(VLOOKUP(August[[#This Row],[Drug Name4]],'Data Options'!$R$1:$S$100,2,FALSE), " ")</f>
        <v xml:space="preserve"> </v>
      </c>
      <c r="AT173" s="55"/>
      <c r="AU173" s="32"/>
      <c r="AV173" s="32"/>
      <c r="AW173" s="55"/>
      <c r="AX173" s="32"/>
      <c r="AY173" s="54"/>
      <c r="AZ173" s="21" t="str">
        <f>IFERROR(VLOOKUP(August[[#This Row],[Drug Name5]],'Data Options'!$R$1:$S$100,2,FALSE), " ")</f>
        <v xml:space="preserve"> </v>
      </c>
      <c r="BA173" s="55"/>
      <c r="BB173" s="32"/>
      <c r="BC173" s="32"/>
      <c r="BD173" s="55"/>
      <c r="BE173" s="32"/>
      <c r="BF173" s="54"/>
      <c r="BG173" s="21" t="str">
        <f>IFERROR(VLOOKUP(August[[#This Row],[Drug Name6]],'Data Options'!$R$1:$S$100,2,FALSE), " ")</f>
        <v xml:space="preserve"> </v>
      </c>
      <c r="BH173" s="55"/>
      <c r="BI173" s="32"/>
      <c r="BJ173" s="32"/>
      <c r="BK173" s="55"/>
      <c r="BL173" s="32"/>
      <c r="BM173" s="32"/>
      <c r="BN173" s="32"/>
      <c r="BO173" s="32"/>
      <c r="BP173" s="32"/>
      <c r="BQ173" s="31"/>
      <c r="BR173" s="31"/>
      <c r="BS173" s="54"/>
      <c r="BT173" s="21" t="str">
        <f>IFERROR(VLOOKUP(August[[#This Row],[Drug Name7]],'Data Options'!$R$1:$S$100,2,FALSE), " ")</f>
        <v xml:space="preserve"> </v>
      </c>
      <c r="BU173" s="55"/>
      <c r="BV173" s="32"/>
      <c r="BW173" s="32"/>
      <c r="BX173" s="55"/>
      <c r="BY173" s="32"/>
      <c r="BZ173" s="54"/>
      <c r="CA173" s="21" t="str">
        <f>IFERROR(VLOOKUP(August[[#This Row],[Drug Name8]],'Data Options'!$R$1:$S$100,2,FALSE), " ")</f>
        <v xml:space="preserve"> </v>
      </c>
      <c r="CB173" s="55"/>
      <c r="CC173" s="32"/>
      <c r="CD173" s="32"/>
      <c r="CE173" s="55"/>
      <c r="CF173" s="32"/>
      <c r="CG173" s="54"/>
      <c r="CH173" s="21" t="str">
        <f>IFERROR(VLOOKUP(August[[#This Row],[Drug Name9]],'Data Options'!$R$1:$S$100,2,FALSE), " ")</f>
        <v xml:space="preserve"> </v>
      </c>
      <c r="CI173" s="55"/>
      <c r="CJ173" s="32"/>
      <c r="CK173" s="32"/>
      <c r="CL173" s="55"/>
      <c r="CM173" s="32"/>
    </row>
    <row r="174" spans="1:91">
      <c r="A174" s="5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1"/>
      <c r="P174" s="31"/>
      <c r="Q174" s="54"/>
      <c r="R174" s="21" t="str">
        <f>IFERROR(VLOOKUP(August[[#This Row],[Drug Name]],'Data Options'!$R$1:$S$100,2,FALSE), " ")</f>
        <v xml:space="preserve"> </v>
      </c>
      <c r="S174" s="55"/>
      <c r="T174" s="32"/>
      <c r="U174" s="32"/>
      <c r="V174" s="55"/>
      <c r="W174" s="32"/>
      <c r="X174" s="54"/>
      <c r="Y174" s="21" t="str">
        <f>IFERROR(VLOOKUP(August[[#This Row],[Drug Name2]],'Data Options'!$R$1:$S$100,2,FALSE), " ")</f>
        <v xml:space="preserve"> </v>
      </c>
      <c r="Z174" s="55"/>
      <c r="AA174" s="32"/>
      <c r="AB174" s="32"/>
      <c r="AC174" s="55"/>
      <c r="AD174" s="32"/>
      <c r="AE174" s="54"/>
      <c r="AF174" s="21" t="str">
        <f>IFERROR(VLOOKUP(August[[#This Row],[Drug Name3]],'Data Options'!$R$1:$S$100,2,FALSE), " ")</f>
        <v xml:space="preserve"> </v>
      </c>
      <c r="AG174" s="55"/>
      <c r="AH174" s="32"/>
      <c r="AI174" s="32"/>
      <c r="AJ174" s="55"/>
      <c r="AK174" s="32"/>
      <c r="AL174" s="32"/>
      <c r="AM174" s="32"/>
      <c r="AN174" s="32"/>
      <c r="AO174" s="32"/>
      <c r="AP174" s="31"/>
      <c r="AQ174" s="31"/>
      <c r="AR174" s="54"/>
      <c r="AS174" s="21" t="str">
        <f>IFERROR(VLOOKUP(August[[#This Row],[Drug Name4]],'Data Options'!$R$1:$S$100,2,FALSE), " ")</f>
        <v xml:space="preserve"> </v>
      </c>
      <c r="AT174" s="55"/>
      <c r="AU174" s="32"/>
      <c r="AV174" s="32"/>
      <c r="AW174" s="55"/>
      <c r="AX174" s="32"/>
      <c r="AY174" s="54"/>
      <c r="AZ174" s="21" t="str">
        <f>IFERROR(VLOOKUP(August[[#This Row],[Drug Name5]],'Data Options'!$R$1:$S$100,2,FALSE), " ")</f>
        <v xml:space="preserve"> </v>
      </c>
      <c r="BA174" s="55"/>
      <c r="BB174" s="32"/>
      <c r="BC174" s="32"/>
      <c r="BD174" s="55"/>
      <c r="BE174" s="32"/>
      <c r="BF174" s="54"/>
      <c r="BG174" s="21" t="str">
        <f>IFERROR(VLOOKUP(August[[#This Row],[Drug Name6]],'Data Options'!$R$1:$S$100,2,FALSE), " ")</f>
        <v xml:space="preserve"> </v>
      </c>
      <c r="BH174" s="55"/>
      <c r="BI174" s="32"/>
      <c r="BJ174" s="32"/>
      <c r="BK174" s="55"/>
      <c r="BL174" s="32"/>
      <c r="BM174" s="32"/>
      <c r="BN174" s="32"/>
      <c r="BO174" s="32"/>
      <c r="BP174" s="32"/>
      <c r="BQ174" s="31"/>
      <c r="BR174" s="31"/>
      <c r="BS174" s="54"/>
      <c r="BT174" s="21" t="str">
        <f>IFERROR(VLOOKUP(August[[#This Row],[Drug Name7]],'Data Options'!$R$1:$S$100,2,FALSE), " ")</f>
        <v xml:space="preserve"> </v>
      </c>
      <c r="BU174" s="55"/>
      <c r="BV174" s="32"/>
      <c r="BW174" s="32"/>
      <c r="BX174" s="55"/>
      <c r="BY174" s="32"/>
      <c r="BZ174" s="54"/>
      <c r="CA174" s="21" t="str">
        <f>IFERROR(VLOOKUP(August[[#This Row],[Drug Name8]],'Data Options'!$R$1:$S$100,2,FALSE), " ")</f>
        <v xml:space="preserve"> </v>
      </c>
      <c r="CB174" s="55"/>
      <c r="CC174" s="32"/>
      <c r="CD174" s="32"/>
      <c r="CE174" s="55"/>
      <c r="CF174" s="32"/>
      <c r="CG174" s="54"/>
      <c r="CH174" s="21" t="str">
        <f>IFERROR(VLOOKUP(August[[#This Row],[Drug Name9]],'Data Options'!$R$1:$S$100,2,FALSE), " ")</f>
        <v xml:space="preserve"> </v>
      </c>
      <c r="CI174" s="55"/>
      <c r="CJ174" s="32"/>
      <c r="CK174" s="32"/>
      <c r="CL174" s="55"/>
      <c r="CM174" s="32"/>
    </row>
    <row r="175" spans="1:91">
      <c r="A175" s="5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1"/>
      <c r="P175" s="31"/>
      <c r="Q175" s="54"/>
      <c r="R175" s="21" t="str">
        <f>IFERROR(VLOOKUP(August[[#This Row],[Drug Name]],'Data Options'!$R$1:$S$100,2,FALSE), " ")</f>
        <v xml:space="preserve"> </v>
      </c>
      <c r="S175" s="55"/>
      <c r="T175" s="32"/>
      <c r="U175" s="32"/>
      <c r="V175" s="55"/>
      <c r="W175" s="32"/>
      <c r="X175" s="54"/>
      <c r="Y175" s="21" t="str">
        <f>IFERROR(VLOOKUP(August[[#This Row],[Drug Name2]],'Data Options'!$R$1:$S$100,2,FALSE), " ")</f>
        <v xml:space="preserve"> </v>
      </c>
      <c r="Z175" s="55"/>
      <c r="AA175" s="32"/>
      <c r="AB175" s="32"/>
      <c r="AC175" s="55"/>
      <c r="AD175" s="32"/>
      <c r="AE175" s="54"/>
      <c r="AF175" s="21" t="str">
        <f>IFERROR(VLOOKUP(August[[#This Row],[Drug Name3]],'Data Options'!$R$1:$S$100,2,FALSE), " ")</f>
        <v xml:space="preserve"> </v>
      </c>
      <c r="AG175" s="55"/>
      <c r="AH175" s="32"/>
      <c r="AI175" s="32"/>
      <c r="AJ175" s="55"/>
      <c r="AK175" s="32"/>
      <c r="AL175" s="32"/>
      <c r="AM175" s="32"/>
      <c r="AN175" s="32"/>
      <c r="AO175" s="32"/>
      <c r="AP175" s="31"/>
      <c r="AQ175" s="31"/>
      <c r="AR175" s="54"/>
      <c r="AS175" s="21" t="str">
        <f>IFERROR(VLOOKUP(August[[#This Row],[Drug Name4]],'Data Options'!$R$1:$S$100,2,FALSE), " ")</f>
        <v xml:space="preserve"> </v>
      </c>
      <c r="AT175" s="55"/>
      <c r="AU175" s="32"/>
      <c r="AV175" s="32"/>
      <c r="AW175" s="55"/>
      <c r="AX175" s="32"/>
      <c r="AY175" s="54"/>
      <c r="AZ175" s="21" t="str">
        <f>IFERROR(VLOOKUP(August[[#This Row],[Drug Name5]],'Data Options'!$R$1:$S$100,2,FALSE), " ")</f>
        <v xml:space="preserve"> </v>
      </c>
      <c r="BA175" s="55"/>
      <c r="BB175" s="32"/>
      <c r="BC175" s="32"/>
      <c r="BD175" s="55"/>
      <c r="BE175" s="32"/>
      <c r="BF175" s="54"/>
      <c r="BG175" s="21" t="str">
        <f>IFERROR(VLOOKUP(August[[#This Row],[Drug Name6]],'Data Options'!$R$1:$S$100,2,FALSE), " ")</f>
        <v xml:space="preserve"> </v>
      </c>
      <c r="BH175" s="55"/>
      <c r="BI175" s="32"/>
      <c r="BJ175" s="32"/>
      <c r="BK175" s="55"/>
      <c r="BL175" s="32"/>
      <c r="BM175" s="32"/>
      <c r="BN175" s="32"/>
      <c r="BO175" s="32"/>
      <c r="BP175" s="32"/>
      <c r="BQ175" s="31"/>
      <c r="BR175" s="31"/>
      <c r="BS175" s="54"/>
      <c r="BT175" s="21" t="str">
        <f>IFERROR(VLOOKUP(August[[#This Row],[Drug Name7]],'Data Options'!$R$1:$S$100,2,FALSE), " ")</f>
        <v xml:space="preserve"> </v>
      </c>
      <c r="BU175" s="55"/>
      <c r="BV175" s="32"/>
      <c r="BW175" s="32"/>
      <c r="BX175" s="55"/>
      <c r="BY175" s="32"/>
      <c r="BZ175" s="54"/>
      <c r="CA175" s="21" t="str">
        <f>IFERROR(VLOOKUP(August[[#This Row],[Drug Name8]],'Data Options'!$R$1:$S$100,2,FALSE), " ")</f>
        <v xml:space="preserve"> </v>
      </c>
      <c r="CB175" s="55"/>
      <c r="CC175" s="32"/>
      <c r="CD175" s="32"/>
      <c r="CE175" s="55"/>
      <c r="CF175" s="32"/>
      <c r="CG175" s="54"/>
      <c r="CH175" s="21" t="str">
        <f>IFERROR(VLOOKUP(August[[#This Row],[Drug Name9]],'Data Options'!$R$1:$S$100,2,FALSE), " ")</f>
        <v xml:space="preserve"> </v>
      </c>
      <c r="CI175" s="55"/>
      <c r="CJ175" s="32"/>
      <c r="CK175" s="32"/>
      <c r="CL175" s="55"/>
      <c r="CM175" s="32"/>
    </row>
    <row r="176" spans="1:91">
      <c r="A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1"/>
      <c r="P176" s="31"/>
      <c r="Q176" s="54"/>
      <c r="R176" s="21" t="str">
        <f>IFERROR(VLOOKUP(August[[#This Row],[Drug Name]],'Data Options'!$R$1:$S$100,2,FALSE), " ")</f>
        <v xml:space="preserve"> </v>
      </c>
      <c r="S176" s="55"/>
      <c r="T176" s="32"/>
      <c r="U176" s="32"/>
      <c r="V176" s="55"/>
      <c r="W176" s="32"/>
      <c r="X176" s="54"/>
      <c r="Y176" s="21" t="str">
        <f>IFERROR(VLOOKUP(August[[#This Row],[Drug Name2]],'Data Options'!$R$1:$S$100,2,FALSE), " ")</f>
        <v xml:space="preserve"> </v>
      </c>
      <c r="Z176" s="55"/>
      <c r="AA176" s="32"/>
      <c r="AB176" s="32"/>
      <c r="AC176" s="55"/>
      <c r="AD176" s="32"/>
      <c r="AE176" s="54"/>
      <c r="AF176" s="21" t="str">
        <f>IFERROR(VLOOKUP(August[[#This Row],[Drug Name3]],'Data Options'!$R$1:$S$100,2,FALSE), " ")</f>
        <v xml:space="preserve"> </v>
      </c>
      <c r="AG176" s="55"/>
      <c r="AH176" s="32"/>
      <c r="AI176" s="32"/>
      <c r="AJ176" s="55"/>
      <c r="AK176" s="32"/>
      <c r="AL176" s="32"/>
      <c r="AM176" s="32"/>
      <c r="AN176" s="32"/>
      <c r="AO176" s="32"/>
      <c r="AP176" s="31"/>
      <c r="AQ176" s="31"/>
      <c r="AR176" s="54"/>
      <c r="AS176" s="21" t="str">
        <f>IFERROR(VLOOKUP(August[[#This Row],[Drug Name4]],'Data Options'!$R$1:$S$100,2,FALSE), " ")</f>
        <v xml:space="preserve"> </v>
      </c>
      <c r="AT176" s="55"/>
      <c r="AU176" s="32"/>
      <c r="AV176" s="32"/>
      <c r="AW176" s="55"/>
      <c r="AX176" s="32"/>
      <c r="AY176" s="54"/>
      <c r="AZ176" s="21" t="str">
        <f>IFERROR(VLOOKUP(August[[#This Row],[Drug Name5]],'Data Options'!$R$1:$S$100,2,FALSE), " ")</f>
        <v xml:space="preserve"> </v>
      </c>
      <c r="BA176" s="55"/>
      <c r="BB176" s="32"/>
      <c r="BC176" s="32"/>
      <c r="BD176" s="55"/>
      <c r="BE176" s="32"/>
      <c r="BF176" s="54"/>
      <c r="BG176" s="21" t="str">
        <f>IFERROR(VLOOKUP(August[[#This Row],[Drug Name6]],'Data Options'!$R$1:$S$100,2,FALSE), " ")</f>
        <v xml:space="preserve"> </v>
      </c>
      <c r="BH176" s="55"/>
      <c r="BI176" s="32"/>
      <c r="BJ176" s="32"/>
      <c r="BK176" s="55"/>
      <c r="BL176" s="32"/>
      <c r="BM176" s="32"/>
      <c r="BN176" s="32"/>
      <c r="BO176" s="32"/>
      <c r="BP176" s="32"/>
      <c r="BQ176" s="31"/>
      <c r="BR176" s="31"/>
      <c r="BS176" s="54"/>
      <c r="BT176" s="21" t="str">
        <f>IFERROR(VLOOKUP(August[[#This Row],[Drug Name7]],'Data Options'!$R$1:$S$100,2,FALSE), " ")</f>
        <v xml:space="preserve"> </v>
      </c>
      <c r="BU176" s="55"/>
      <c r="BV176" s="32"/>
      <c r="BW176" s="32"/>
      <c r="BX176" s="55"/>
      <c r="BY176" s="32"/>
      <c r="BZ176" s="54"/>
      <c r="CA176" s="21" t="str">
        <f>IFERROR(VLOOKUP(August[[#This Row],[Drug Name8]],'Data Options'!$R$1:$S$100,2,FALSE), " ")</f>
        <v xml:space="preserve"> </v>
      </c>
      <c r="CB176" s="55"/>
      <c r="CC176" s="32"/>
      <c r="CD176" s="32"/>
      <c r="CE176" s="55"/>
      <c r="CF176" s="32"/>
      <c r="CG176" s="54"/>
      <c r="CH176" s="21" t="str">
        <f>IFERROR(VLOOKUP(August[[#This Row],[Drug Name9]],'Data Options'!$R$1:$S$100,2,FALSE), " ")</f>
        <v xml:space="preserve"> </v>
      </c>
      <c r="CI176" s="55"/>
      <c r="CJ176" s="32"/>
      <c r="CK176" s="32"/>
      <c r="CL176" s="55"/>
      <c r="CM176" s="32"/>
    </row>
    <row r="177" spans="1:91">
      <c r="A177" s="5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1"/>
      <c r="P177" s="31"/>
      <c r="Q177" s="54"/>
      <c r="R177" s="21" t="str">
        <f>IFERROR(VLOOKUP(August[[#This Row],[Drug Name]],'Data Options'!$R$1:$S$100,2,FALSE), " ")</f>
        <v xml:space="preserve"> </v>
      </c>
      <c r="S177" s="55"/>
      <c r="T177" s="32"/>
      <c r="U177" s="32"/>
      <c r="V177" s="55"/>
      <c r="W177" s="32"/>
      <c r="X177" s="54"/>
      <c r="Y177" s="21" t="str">
        <f>IFERROR(VLOOKUP(August[[#This Row],[Drug Name2]],'Data Options'!$R$1:$S$100,2,FALSE), " ")</f>
        <v xml:space="preserve"> </v>
      </c>
      <c r="Z177" s="55"/>
      <c r="AA177" s="32"/>
      <c r="AB177" s="32"/>
      <c r="AC177" s="55"/>
      <c r="AD177" s="32"/>
      <c r="AE177" s="54"/>
      <c r="AF177" s="21" t="str">
        <f>IFERROR(VLOOKUP(August[[#This Row],[Drug Name3]],'Data Options'!$R$1:$S$100,2,FALSE), " ")</f>
        <v xml:space="preserve"> </v>
      </c>
      <c r="AG177" s="55"/>
      <c r="AH177" s="32"/>
      <c r="AI177" s="32"/>
      <c r="AJ177" s="55"/>
      <c r="AK177" s="32"/>
      <c r="AL177" s="32"/>
      <c r="AM177" s="32"/>
      <c r="AN177" s="32"/>
      <c r="AO177" s="32"/>
      <c r="AP177" s="31"/>
      <c r="AQ177" s="31"/>
      <c r="AR177" s="54"/>
      <c r="AS177" s="21" t="str">
        <f>IFERROR(VLOOKUP(August[[#This Row],[Drug Name4]],'Data Options'!$R$1:$S$100,2,FALSE), " ")</f>
        <v xml:space="preserve"> </v>
      </c>
      <c r="AT177" s="55"/>
      <c r="AU177" s="32"/>
      <c r="AV177" s="32"/>
      <c r="AW177" s="55"/>
      <c r="AX177" s="32"/>
      <c r="AY177" s="54"/>
      <c r="AZ177" s="21" t="str">
        <f>IFERROR(VLOOKUP(August[[#This Row],[Drug Name5]],'Data Options'!$R$1:$S$100,2,FALSE), " ")</f>
        <v xml:space="preserve"> </v>
      </c>
      <c r="BA177" s="55"/>
      <c r="BB177" s="32"/>
      <c r="BC177" s="32"/>
      <c r="BD177" s="55"/>
      <c r="BE177" s="32"/>
      <c r="BF177" s="54"/>
      <c r="BG177" s="21" t="str">
        <f>IFERROR(VLOOKUP(August[[#This Row],[Drug Name6]],'Data Options'!$R$1:$S$100,2,FALSE), " ")</f>
        <v xml:space="preserve"> </v>
      </c>
      <c r="BH177" s="55"/>
      <c r="BI177" s="32"/>
      <c r="BJ177" s="32"/>
      <c r="BK177" s="55"/>
      <c r="BL177" s="32"/>
      <c r="BM177" s="32"/>
      <c r="BN177" s="32"/>
      <c r="BO177" s="32"/>
      <c r="BP177" s="32"/>
      <c r="BQ177" s="31"/>
      <c r="BR177" s="31"/>
      <c r="BS177" s="54"/>
      <c r="BT177" s="21" t="str">
        <f>IFERROR(VLOOKUP(August[[#This Row],[Drug Name7]],'Data Options'!$R$1:$S$100,2,FALSE), " ")</f>
        <v xml:space="preserve"> </v>
      </c>
      <c r="BU177" s="55"/>
      <c r="BV177" s="32"/>
      <c r="BW177" s="32"/>
      <c r="BX177" s="55"/>
      <c r="BY177" s="32"/>
      <c r="BZ177" s="54"/>
      <c r="CA177" s="21" t="str">
        <f>IFERROR(VLOOKUP(August[[#This Row],[Drug Name8]],'Data Options'!$R$1:$S$100,2,FALSE), " ")</f>
        <v xml:space="preserve"> </v>
      </c>
      <c r="CB177" s="55"/>
      <c r="CC177" s="32"/>
      <c r="CD177" s="32"/>
      <c r="CE177" s="55"/>
      <c r="CF177" s="32"/>
      <c r="CG177" s="54"/>
      <c r="CH177" s="21" t="str">
        <f>IFERROR(VLOOKUP(August[[#This Row],[Drug Name9]],'Data Options'!$R$1:$S$100,2,FALSE), " ")</f>
        <v xml:space="preserve"> </v>
      </c>
      <c r="CI177" s="55"/>
      <c r="CJ177" s="32"/>
      <c r="CK177" s="32"/>
      <c r="CL177" s="55"/>
      <c r="CM177" s="32"/>
    </row>
    <row r="178" spans="1:91">
      <c r="A178" s="5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1"/>
      <c r="P178" s="31"/>
      <c r="Q178" s="54"/>
      <c r="R178" s="21" t="str">
        <f>IFERROR(VLOOKUP(August[[#This Row],[Drug Name]],'Data Options'!$R$1:$S$100,2,FALSE), " ")</f>
        <v xml:space="preserve"> </v>
      </c>
      <c r="S178" s="55"/>
      <c r="T178" s="32"/>
      <c r="U178" s="32"/>
      <c r="V178" s="55"/>
      <c r="W178" s="32"/>
      <c r="X178" s="54"/>
      <c r="Y178" s="21" t="str">
        <f>IFERROR(VLOOKUP(August[[#This Row],[Drug Name2]],'Data Options'!$R$1:$S$100,2,FALSE), " ")</f>
        <v xml:space="preserve"> </v>
      </c>
      <c r="Z178" s="55"/>
      <c r="AA178" s="32"/>
      <c r="AB178" s="32"/>
      <c r="AC178" s="55"/>
      <c r="AD178" s="32"/>
      <c r="AE178" s="54"/>
      <c r="AF178" s="21" t="str">
        <f>IFERROR(VLOOKUP(August[[#This Row],[Drug Name3]],'Data Options'!$R$1:$S$100,2,FALSE), " ")</f>
        <v xml:space="preserve"> </v>
      </c>
      <c r="AG178" s="55"/>
      <c r="AH178" s="32"/>
      <c r="AI178" s="32"/>
      <c r="AJ178" s="55"/>
      <c r="AK178" s="32"/>
      <c r="AL178" s="32"/>
      <c r="AM178" s="32"/>
      <c r="AN178" s="32"/>
      <c r="AO178" s="32"/>
      <c r="AP178" s="31"/>
      <c r="AQ178" s="31"/>
      <c r="AR178" s="54"/>
      <c r="AS178" s="21" t="str">
        <f>IFERROR(VLOOKUP(August[[#This Row],[Drug Name4]],'Data Options'!$R$1:$S$100,2,FALSE), " ")</f>
        <v xml:space="preserve"> </v>
      </c>
      <c r="AT178" s="55"/>
      <c r="AU178" s="32"/>
      <c r="AV178" s="32"/>
      <c r="AW178" s="55"/>
      <c r="AX178" s="32"/>
      <c r="AY178" s="54"/>
      <c r="AZ178" s="21" t="str">
        <f>IFERROR(VLOOKUP(August[[#This Row],[Drug Name5]],'Data Options'!$R$1:$S$100,2,FALSE), " ")</f>
        <v xml:space="preserve"> </v>
      </c>
      <c r="BA178" s="55"/>
      <c r="BB178" s="32"/>
      <c r="BC178" s="32"/>
      <c r="BD178" s="55"/>
      <c r="BE178" s="32"/>
      <c r="BF178" s="54"/>
      <c r="BG178" s="21" t="str">
        <f>IFERROR(VLOOKUP(August[[#This Row],[Drug Name6]],'Data Options'!$R$1:$S$100,2,FALSE), " ")</f>
        <v xml:space="preserve"> </v>
      </c>
      <c r="BH178" s="55"/>
      <c r="BI178" s="32"/>
      <c r="BJ178" s="32"/>
      <c r="BK178" s="55"/>
      <c r="BL178" s="32"/>
      <c r="BM178" s="32"/>
      <c r="BN178" s="32"/>
      <c r="BO178" s="32"/>
      <c r="BP178" s="32"/>
      <c r="BQ178" s="31"/>
      <c r="BR178" s="31"/>
      <c r="BS178" s="54"/>
      <c r="BT178" s="21" t="str">
        <f>IFERROR(VLOOKUP(August[[#This Row],[Drug Name7]],'Data Options'!$R$1:$S$100,2,FALSE), " ")</f>
        <v xml:space="preserve"> </v>
      </c>
      <c r="BU178" s="55"/>
      <c r="BV178" s="32"/>
      <c r="BW178" s="32"/>
      <c r="BX178" s="55"/>
      <c r="BY178" s="32"/>
      <c r="BZ178" s="54"/>
      <c r="CA178" s="21" t="str">
        <f>IFERROR(VLOOKUP(August[[#This Row],[Drug Name8]],'Data Options'!$R$1:$S$100,2,FALSE), " ")</f>
        <v xml:space="preserve"> </v>
      </c>
      <c r="CB178" s="55"/>
      <c r="CC178" s="32"/>
      <c r="CD178" s="32"/>
      <c r="CE178" s="55"/>
      <c r="CF178" s="32"/>
      <c r="CG178" s="54"/>
      <c r="CH178" s="21" t="str">
        <f>IFERROR(VLOOKUP(August[[#This Row],[Drug Name9]],'Data Options'!$R$1:$S$100,2,FALSE), " ")</f>
        <v xml:space="preserve"> </v>
      </c>
      <c r="CI178" s="55"/>
      <c r="CJ178" s="32"/>
      <c r="CK178" s="32"/>
      <c r="CL178" s="55"/>
      <c r="CM178" s="32"/>
    </row>
    <row r="179" spans="1:91">
      <c r="A179" s="5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1"/>
      <c r="P179" s="31"/>
      <c r="Q179" s="54"/>
      <c r="R179" s="21" t="str">
        <f>IFERROR(VLOOKUP(August[[#This Row],[Drug Name]],'Data Options'!$R$1:$S$100,2,FALSE), " ")</f>
        <v xml:space="preserve"> </v>
      </c>
      <c r="S179" s="55"/>
      <c r="T179" s="32"/>
      <c r="U179" s="32"/>
      <c r="V179" s="55"/>
      <c r="W179" s="32"/>
      <c r="X179" s="54"/>
      <c r="Y179" s="21" t="str">
        <f>IFERROR(VLOOKUP(August[[#This Row],[Drug Name2]],'Data Options'!$R$1:$S$100,2,FALSE), " ")</f>
        <v xml:space="preserve"> </v>
      </c>
      <c r="Z179" s="55"/>
      <c r="AA179" s="32"/>
      <c r="AB179" s="32"/>
      <c r="AC179" s="55"/>
      <c r="AD179" s="32"/>
      <c r="AE179" s="54"/>
      <c r="AF179" s="21" t="str">
        <f>IFERROR(VLOOKUP(August[[#This Row],[Drug Name3]],'Data Options'!$R$1:$S$100,2,FALSE), " ")</f>
        <v xml:space="preserve"> </v>
      </c>
      <c r="AG179" s="55"/>
      <c r="AH179" s="32"/>
      <c r="AI179" s="32"/>
      <c r="AJ179" s="55"/>
      <c r="AK179" s="32"/>
      <c r="AL179" s="32"/>
      <c r="AM179" s="32"/>
      <c r="AN179" s="32"/>
      <c r="AO179" s="32"/>
      <c r="AP179" s="31"/>
      <c r="AQ179" s="31"/>
      <c r="AR179" s="54"/>
      <c r="AS179" s="21" t="str">
        <f>IFERROR(VLOOKUP(August[[#This Row],[Drug Name4]],'Data Options'!$R$1:$S$100,2,FALSE), " ")</f>
        <v xml:space="preserve"> </v>
      </c>
      <c r="AT179" s="55"/>
      <c r="AU179" s="32"/>
      <c r="AV179" s="32"/>
      <c r="AW179" s="55"/>
      <c r="AX179" s="32"/>
      <c r="AY179" s="54"/>
      <c r="AZ179" s="21" t="str">
        <f>IFERROR(VLOOKUP(August[[#This Row],[Drug Name5]],'Data Options'!$R$1:$S$100,2,FALSE), " ")</f>
        <v xml:space="preserve"> </v>
      </c>
      <c r="BA179" s="55"/>
      <c r="BB179" s="32"/>
      <c r="BC179" s="32"/>
      <c r="BD179" s="55"/>
      <c r="BE179" s="32"/>
      <c r="BF179" s="54"/>
      <c r="BG179" s="21" t="str">
        <f>IFERROR(VLOOKUP(August[[#This Row],[Drug Name6]],'Data Options'!$R$1:$S$100,2,FALSE), " ")</f>
        <v xml:space="preserve"> </v>
      </c>
      <c r="BH179" s="55"/>
      <c r="BI179" s="32"/>
      <c r="BJ179" s="32"/>
      <c r="BK179" s="55"/>
      <c r="BL179" s="32"/>
      <c r="BM179" s="32"/>
      <c r="BN179" s="32"/>
      <c r="BO179" s="32"/>
      <c r="BP179" s="32"/>
      <c r="BQ179" s="31"/>
      <c r="BR179" s="31"/>
      <c r="BS179" s="54"/>
      <c r="BT179" s="21" t="str">
        <f>IFERROR(VLOOKUP(August[[#This Row],[Drug Name7]],'Data Options'!$R$1:$S$100,2,FALSE), " ")</f>
        <v xml:space="preserve"> </v>
      </c>
      <c r="BU179" s="55"/>
      <c r="BV179" s="32"/>
      <c r="BW179" s="32"/>
      <c r="BX179" s="55"/>
      <c r="BY179" s="32"/>
      <c r="BZ179" s="54"/>
      <c r="CA179" s="21" t="str">
        <f>IFERROR(VLOOKUP(August[[#This Row],[Drug Name8]],'Data Options'!$R$1:$S$100,2,FALSE), " ")</f>
        <v xml:space="preserve"> </v>
      </c>
      <c r="CB179" s="55"/>
      <c r="CC179" s="32"/>
      <c r="CD179" s="32"/>
      <c r="CE179" s="55"/>
      <c r="CF179" s="32"/>
      <c r="CG179" s="54"/>
      <c r="CH179" s="21" t="str">
        <f>IFERROR(VLOOKUP(August[[#This Row],[Drug Name9]],'Data Options'!$R$1:$S$100,2,FALSE), " ")</f>
        <v xml:space="preserve"> </v>
      </c>
      <c r="CI179" s="55"/>
      <c r="CJ179" s="32"/>
      <c r="CK179" s="32"/>
      <c r="CL179" s="55"/>
      <c r="CM179" s="32"/>
    </row>
    <row r="180" spans="1:91">
      <c r="A180" s="5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1"/>
      <c r="P180" s="31"/>
      <c r="Q180" s="54"/>
      <c r="R180" s="21" t="str">
        <f>IFERROR(VLOOKUP(August[[#This Row],[Drug Name]],'Data Options'!$R$1:$S$100,2,FALSE), " ")</f>
        <v xml:space="preserve"> </v>
      </c>
      <c r="S180" s="55"/>
      <c r="T180" s="32"/>
      <c r="U180" s="32"/>
      <c r="V180" s="55"/>
      <c r="W180" s="32"/>
      <c r="X180" s="54"/>
      <c r="Y180" s="21" t="str">
        <f>IFERROR(VLOOKUP(August[[#This Row],[Drug Name2]],'Data Options'!$R$1:$S$100,2,FALSE), " ")</f>
        <v xml:space="preserve"> </v>
      </c>
      <c r="Z180" s="55"/>
      <c r="AA180" s="32"/>
      <c r="AB180" s="32"/>
      <c r="AC180" s="55"/>
      <c r="AD180" s="32"/>
      <c r="AE180" s="54"/>
      <c r="AF180" s="21" t="str">
        <f>IFERROR(VLOOKUP(August[[#This Row],[Drug Name3]],'Data Options'!$R$1:$S$100,2,FALSE), " ")</f>
        <v xml:space="preserve"> </v>
      </c>
      <c r="AG180" s="55"/>
      <c r="AH180" s="32"/>
      <c r="AI180" s="32"/>
      <c r="AJ180" s="55"/>
      <c r="AK180" s="32"/>
      <c r="AL180" s="32"/>
      <c r="AM180" s="32"/>
      <c r="AN180" s="32"/>
      <c r="AO180" s="32"/>
      <c r="AP180" s="31"/>
      <c r="AQ180" s="31"/>
      <c r="AR180" s="54"/>
      <c r="AS180" s="21" t="str">
        <f>IFERROR(VLOOKUP(August[[#This Row],[Drug Name4]],'Data Options'!$R$1:$S$100,2,FALSE), " ")</f>
        <v xml:space="preserve"> </v>
      </c>
      <c r="AT180" s="55"/>
      <c r="AU180" s="32"/>
      <c r="AV180" s="32"/>
      <c r="AW180" s="55"/>
      <c r="AX180" s="32"/>
      <c r="AY180" s="54"/>
      <c r="AZ180" s="21" t="str">
        <f>IFERROR(VLOOKUP(August[[#This Row],[Drug Name5]],'Data Options'!$R$1:$S$100,2,FALSE), " ")</f>
        <v xml:space="preserve"> </v>
      </c>
      <c r="BA180" s="55"/>
      <c r="BB180" s="32"/>
      <c r="BC180" s="32"/>
      <c r="BD180" s="55"/>
      <c r="BE180" s="32"/>
      <c r="BF180" s="54"/>
      <c r="BG180" s="21" t="str">
        <f>IFERROR(VLOOKUP(August[[#This Row],[Drug Name6]],'Data Options'!$R$1:$S$100,2,FALSE), " ")</f>
        <v xml:space="preserve"> </v>
      </c>
      <c r="BH180" s="55"/>
      <c r="BI180" s="32"/>
      <c r="BJ180" s="32"/>
      <c r="BK180" s="55"/>
      <c r="BL180" s="32"/>
      <c r="BM180" s="32"/>
      <c r="BN180" s="32"/>
      <c r="BO180" s="32"/>
      <c r="BP180" s="32"/>
      <c r="BQ180" s="31"/>
      <c r="BR180" s="31"/>
      <c r="BS180" s="54"/>
      <c r="BT180" s="21" t="str">
        <f>IFERROR(VLOOKUP(August[[#This Row],[Drug Name7]],'Data Options'!$R$1:$S$100,2,FALSE), " ")</f>
        <v xml:space="preserve"> </v>
      </c>
      <c r="BU180" s="55"/>
      <c r="BV180" s="32"/>
      <c r="BW180" s="32"/>
      <c r="BX180" s="55"/>
      <c r="BY180" s="32"/>
      <c r="BZ180" s="54"/>
      <c r="CA180" s="21" t="str">
        <f>IFERROR(VLOOKUP(August[[#This Row],[Drug Name8]],'Data Options'!$R$1:$S$100,2,FALSE), " ")</f>
        <v xml:space="preserve"> </v>
      </c>
      <c r="CB180" s="55"/>
      <c r="CC180" s="32"/>
      <c r="CD180" s="32"/>
      <c r="CE180" s="55"/>
      <c r="CF180" s="32"/>
      <c r="CG180" s="54"/>
      <c r="CH180" s="21" t="str">
        <f>IFERROR(VLOOKUP(August[[#This Row],[Drug Name9]],'Data Options'!$R$1:$S$100,2,FALSE), " ")</f>
        <v xml:space="preserve"> </v>
      </c>
      <c r="CI180" s="55"/>
      <c r="CJ180" s="32"/>
      <c r="CK180" s="32"/>
      <c r="CL180" s="55"/>
      <c r="CM180" s="32"/>
    </row>
    <row r="181" spans="1:91">
      <c r="A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1"/>
      <c r="P181" s="31"/>
      <c r="Q181" s="54"/>
      <c r="R181" s="21" t="str">
        <f>IFERROR(VLOOKUP(August[[#This Row],[Drug Name]],'Data Options'!$R$1:$S$100,2,FALSE), " ")</f>
        <v xml:space="preserve"> </v>
      </c>
      <c r="S181" s="55"/>
      <c r="T181" s="32"/>
      <c r="U181" s="32"/>
      <c r="V181" s="55"/>
      <c r="W181" s="32"/>
      <c r="X181" s="54"/>
      <c r="Y181" s="21" t="str">
        <f>IFERROR(VLOOKUP(August[[#This Row],[Drug Name2]],'Data Options'!$R$1:$S$100,2,FALSE), " ")</f>
        <v xml:space="preserve"> </v>
      </c>
      <c r="Z181" s="55"/>
      <c r="AA181" s="32"/>
      <c r="AB181" s="32"/>
      <c r="AC181" s="55"/>
      <c r="AD181" s="32"/>
      <c r="AE181" s="54"/>
      <c r="AF181" s="21" t="str">
        <f>IFERROR(VLOOKUP(August[[#This Row],[Drug Name3]],'Data Options'!$R$1:$S$100,2,FALSE), " ")</f>
        <v xml:space="preserve"> </v>
      </c>
      <c r="AG181" s="55"/>
      <c r="AH181" s="32"/>
      <c r="AI181" s="32"/>
      <c r="AJ181" s="55"/>
      <c r="AK181" s="32"/>
      <c r="AL181" s="32"/>
      <c r="AM181" s="32"/>
      <c r="AN181" s="32"/>
      <c r="AO181" s="32"/>
      <c r="AP181" s="31"/>
      <c r="AQ181" s="31"/>
      <c r="AR181" s="54"/>
      <c r="AS181" s="21" t="str">
        <f>IFERROR(VLOOKUP(August[[#This Row],[Drug Name4]],'Data Options'!$R$1:$S$100,2,FALSE), " ")</f>
        <v xml:space="preserve"> </v>
      </c>
      <c r="AT181" s="55"/>
      <c r="AU181" s="32"/>
      <c r="AV181" s="32"/>
      <c r="AW181" s="55"/>
      <c r="AX181" s="32"/>
      <c r="AY181" s="54"/>
      <c r="AZ181" s="21" t="str">
        <f>IFERROR(VLOOKUP(August[[#This Row],[Drug Name5]],'Data Options'!$R$1:$S$100,2,FALSE), " ")</f>
        <v xml:space="preserve"> </v>
      </c>
      <c r="BA181" s="55"/>
      <c r="BB181" s="32"/>
      <c r="BC181" s="32"/>
      <c r="BD181" s="55"/>
      <c r="BE181" s="32"/>
      <c r="BF181" s="54"/>
      <c r="BG181" s="21" t="str">
        <f>IFERROR(VLOOKUP(August[[#This Row],[Drug Name6]],'Data Options'!$R$1:$S$100,2,FALSE), " ")</f>
        <v xml:space="preserve"> </v>
      </c>
      <c r="BH181" s="55"/>
      <c r="BI181" s="32"/>
      <c r="BJ181" s="32"/>
      <c r="BK181" s="55"/>
      <c r="BL181" s="32"/>
      <c r="BM181" s="32"/>
      <c r="BN181" s="32"/>
      <c r="BO181" s="32"/>
      <c r="BP181" s="32"/>
      <c r="BQ181" s="31"/>
      <c r="BR181" s="31"/>
      <c r="BS181" s="54"/>
      <c r="BT181" s="21" t="str">
        <f>IFERROR(VLOOKUP(August[[#This Row],[Drug Name7]],'Data Options'!$R$1:$S$100,2,FALSE), " ")</f>
        <v xml:space="preserve"> </v>
      </c>
      <c r="BU181" s="55"/>
      <c r="BV181" s="32"/>
      <c r="BW181" s="32"/>
      <c r="BX181" s="55"/>
      <c r="BY181" s="32"/>
      <c r="BZ181" s="54"/>
      <c r="CA181" s="21" t="str">
        <f>IFERROR(VLOOKUP(August[[#This Row],[Drug Name8]],'Data Options'!$R$1:$S$100,2,FALSE), " ")</f>
        <v xml:space="preserve"> </v>
      </c>
      <c r="CB181" s="55"/>
      <c r="CC181" s="32"/>
      <c r="CD181" s="32"/>
      <c r="CE181" s="55"/>
      <c r="CF181" s="32"/>
      <c r="CG181" s="54"/>
      <c r="CH181" s="21" t="str">
        <f>IFERROR(VLOOKUP(August[[#This Row],[Drug Name9]],'Data Options'!$R$1:$S$100,2,FALSE), " ")</f>
        <v xml:space="preserve"> </v>
      </c>
      <c r="CI181" s="55"/>
      <c r="CJ181" s="32"/>
      <c r="CK181" s="32"/>
      <c r="CL181" s="55"/>
      <c r="CM181" s="32"/>
    </row>
    <row r="182" spans="1:91">
      <c r="A182" s="5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1"/>
      <c r="P182" s="31"/>
      <c r="Q182" s="54"/>
      <c r="R182" s="21" t="str">
        <f>IFERROR(VLOOKUP(August[[#This Row],[Drug Name]],'Data Options'!$R$1:$S$100,2,FALSE), " ")</f>
        <v xml:space="preserve"> </v>
      </c>
      <c r="S182" s="55"/>
      <c r="T182" s="32"/>
      <c r="U182" s="32"/>
      <c r="V182" s="55"/>
      <c r="W182" s="32"/>
      <c r="X182" s="54"/>
      <c r="Y182" s="21" t="str">
        <f>IFERROR(VLOOKUP(August[[#This Row],[Drug Name2]],'Data Options'!$R$1:$S$100,2,FALSE), " ")</f>
        <v xml:space="preserve"> </v>
      </c>
      <c r="Z182" s="55"/>
      <c r="AA182" s="32"/>
      <c r="AB182" s="32"/>
      <c r="AC182" s="55"/>
      <c r="AD182" s="32"/>
      <c r="AE182" s="54"/>
      <c r="AF182" s="21" t="str">
        <f>IFERROR(VLOOKUP(August[[#This Row],[Drug Name3]],'Data Options'!$R$1:$S$100,2,FALSE), " ")</f>
        <v xml:space="preserve"> </v>
      </c>
      <c r="AG182" s="55"/>
      <c r="AH182" s="32"/>
      <c r="AI182" s="32"/>
      <c r="AJ182" s="55"/>
      <c r="AK182" s="32"/>
      <c r="AL182" s="32"/>
      <c r="AM182" s="32"/>
      <c r="AN182" s="32"/>
      <c r="AO182" s="32"/>
      <c r="AP182" s="31"/>
      <c r="AQ182" s="31"/>
      <c r="AR182" s="54"/>
      <c r="AS182" s="21" t="str">
        <f>IFERROR(VLOOKUP(August[[#This Row],[Drug Name4]],'Data Options'!$R$1:$S$100,2,FALSE), " ")</f>
        <v xml:space="preserve"> </v>
      </c>
      <c r="AT182" s="55"/>
      <c r="AU182" s="32"/>
      <c r="AV182" s="32"/>
      <c r="AW182" s="55"/>
      <c r="AX182" s="32"/>
      <c r="AY182" s="54"/>
      <c r="AZ182" s="21" t="str">
        <f>IFERROR(VLOOKUP(August[[#This Row],[Drug Name5]],'Data Options'!$R$1:$S$100,2,FALSE), " ")</f>
        <v xml:space="preserve"> </v>
      </c>
      <c r="BA182" s="55"/>
      <c r="BB182" s="32"/>
      <c r="BC182" s="32"/>
      <c r="BD182" s="55"/>
      <c r="BE182" s="32"/>
      <c r="BF182" s="54"/>
      <c r="BG182" s="21" t="str">
        <f>IFERROR(VLOOKUP(August[[#This Row],[Drug Name6]],'Data Options'!$R$1:$S$100,2,FALSE), " ")</f>
        <v xml:space="preserve"> </v>
      </c>
      <c r="BH182" s="55"/>
      <c r="BI182" s="32"/>
      <c r="BJ182" s="32"/>
      <c r="BK182" s="55"/>
      <c r="BL182" s="32"/>
      <c r="BM182" s="32"/>
      <c r="BN182" s="32"/>
      <c r="BO182" s="32"/>
      <c r="BP182" s="32"/>
      <c r="BQ182" s="31"/>
      <c r="BR182" s="31"/>
      <c r="BS182" s="54"/>
      <c r="BT182" s="21" t="str">
        <f>IFERROR(VLOOKUP(August[[#This Row],[Drug Name7]],'Data Options'!$R$1:$S$100,2,FALSE), " ")</f>
        <v xml:space="preserve"> </v>
      </c>
      <c r="BU182" s="55"/>
      <c r="BV182" s="32"/>
      <c r="BW182" s="32"/>
      <c r="BX182" s="55"/>
      <c r="BY182" s="32"/>
      <c r="BZ182" s="54"/>
      <c r="CA182" s="21" t="str">
        <f>IFERROR(VLOOKUP(August[[#This Row],[Drug Name8]],'Data Options'!$R$1:$S$100,2,FALSE), " ")</f>
        <v xml:space="preserve"> </v>
      </c>
      <c r="CB182" s="55"/>
      <c r="CC182" s="32"/>
      <c r="CD182" s="32"/>
      <c r="CE182" s="55"/>
      <c r="CF182" s="32"/>
      <c r="CG182" s="54"/>
      <c r="CH182" s="21" t="str">
        <f>IFERROR(VLOOKUP(August[[#This Row],[Drug Name9]],'Data Options'!$R$1:$S$100,2,FALSE), " ")</f>
        <v xml:space="preserve"> </v>
      </c>
      <c r="CI182" s="55"/>
      <c r="CJ182" s="32"/>
      <c r="CK182" s="32"/>
      <c r="CL182" s="55"/>
      <c r="CM182" s="32"/>
    </row>
    <row r="183" spans="1:91">
      <c r="A183" s="5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1"/>
      <c r="P183" s="31"/>
      <c r="Q183" s="54"/>
      <c r="R183" s="21" t="str">
        <f>IFERROR(VLOOKUP(August[[#This Row],[Drug Name]],'Data Options'!$R$1:$S$100,2,FALSE), " ")</f>
        <v xml:space="preserve"> </v>
      </c>
      <c r="S183" s="55"/>
      <c r="T183" s="32"/>
      <c r="U183" s="32"/>
      <c r="V183" s="55"/>
      <c r="W183" s="32"/>
      <c r="X183" s="54"/>
      <c r="Y183" s="21" t="str">
        <f>IFERROR(VLOOKUP(August[[#This Row],[Drug Name2]],'Data Options'!$R$1:$S$100,2,FALSE), " ")</f>
        <v xml:space="preserve"> </v>
      </c>
      <c r="Z183" s="55"/>
      <c r="AA183" s="32"/>
      <c r="AB183" s="32"/>
      <c r="AC183" s="55"/>
      <c r="AD183" s="32"/>
      <c r="AE183" s="54"/>
      <c r="AF183" s="21" t="str">
        <f>IFERROR(VLOOKUP(August[[#This Row],[Drug Name3]],'Data Options'!$R$1:$S$100,2,FALSE), " ")</f>
        <v xml:space="preserve"> </v>
      </c>
      <c r="AG183" s="55"/>
      <c r="AH183" s="32"/>
      <c r="AI183" s="32"/>
      <c r="AJ183" s="55"/>
      <c r="AK183" s="32"/>
      <c r="AL183" s="32"/>
      <c r="AM183" s="32"/>
      <c r="AN183" s="32"/>
      <c r="AO183" s="32"/>
      <c r="AP183" s="31"/>
      <c r="AQ183" s="31"/>
      <c r="AR183" s="54"/>
      <c r="AS183" s="21" t="str">
        <f>IFERROR(VLOOKUP(August[[#This Row],[Drug Name4]],'Data Options'!$R$1:$S$100,2,FALSE), " ")</f>
        <v xml:space="preserve"> </v>
      </c>
      <c r="AT183" s="55"/>
      <c r="AU183" s="32"/>
      <c r="AV183" s="32"/>
      <c r="AW183" s="55"/>
      <c r="AX183" s="32"/>
      <c r="AY183" s="54"/>
      <c r="AZ183" s="21" t="str">
        <f>IFERROR(VLOOKUP(August[[#This Row],[Drug Name5]],'Data Options'!$R$1:$S$100,2,FALSE), " ")</f>
        <v xml:space="preserve"> </v>
      </c>
      <c r="BA183" s="55"/>
      <c r="BB183" s="32"/>
      <c r="BC183" s="32"/>
      <c r="BD183" s="55"/>
      <c r="BE183" s="32"/>
      <c r="BF183" s="54"/>
      <c r="BG183" s="21" t="str">
        <f>IFERROR(VLOOKUP(August[[#This Row],[Drug Name6]],'Data Options'!$R$1:$S$100,2,FALSE), " ")</f>
        <v xml:space="preserve"> </v>
      </c>
      <c r="BH183" s="55"/>
      <c r="BI183" s="32"/>
      <c r="BJ183" s="32"/>
      <c r="BK183" s="55"/>
      <c r="BL183" s="32"/>
      <c r="BM183" s="32"/>
      <c r="BN183" s="32"/>
      <c r="BO183" s="32"/>
      <c r="BP183" s="32"/>
      <c r="BQ183" s="31"/>
      <c r="BR183" s="31"/>
      <c r="BS183" s="54"/>
      <c r="BT183" s="21" t="str">
        <f>IFERROR(VLOOKUP(August[[#This Row],[Drug Name7]],'Data Options'!$R$1:$S$100,2,FALSE), " ")</f>
        <v xml:space="preserve"> </v>
      </c>
      <c r="BU183" s="55"/>
      <c r="BV183" s="32"/>
      <c r="BW183" s="32"/>
      <c r="BX183" s="55"/>
      <c r="BY183" s="32"/>
      <c r="BZ183" s="54"/>
      <c r="CA183" s="21" t="str">
        <f>IFERROR(VLOOKUP(August[[#This Row],[Drug Name8]],'Data Options'!$R$1:$S$100,2,FALSE), " ")</f>
        <v xml:space="preserve"> </v>
      </c>
      <c r="CB183" s="55"/>
      <c r="CC183" s="32"/>
      <c r="CD183" s="32"/>
      <c r="CE183" s="55"/>
      <c r="CF183" s="32"/>
      <c r="CG183" s="54"/>
      <c r="CH183" s="21" t="str">
        <f>IFERROR(VLOOKUP(August[[#This Row],[Drug Name9]],'Data Options'!$R$1:$S$100,2,FALSE), " ")</f>
        <v xml:space="preserve"> </v>
      </c>
      <c r="CI183" s="55"/>
      <c r="CJ183" s="32"/>
      <c r="CK183" s="32"/>
      <c r="CL183" s="55"/>
      <c r="CM183" s="32"/>
    </row>
    <row r="184" spans="1:91">
      <c r="A184" s="5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1"/>
      <c r="P184" s="31"/>
      <c r="Q184" s="54"/>
      <c r="R184" s="21" t="str">
        <f>IFERROR(VLOOKUP(August[[#This Row],[Drug Name]],'Data Options'!$R$1:$S$100,2,FALSE), " ")</f>
        <v xml:space="preserve"> </v>
      </c>
      <c r="S184" s="55"/>
      <c r="T184" s="32"/>
      <c r="U184" s="32"/>
      <c r="V184" s="55"/>
      <c r="W184" s="32"/>
      <c r="X184" s="54"/>
      <c r="Y184" s="21" t="str">
        <f>IFERROR(VLOOKUP(August[[#This Row],[Drug Name2]],'Data Options'!$R$1:$S$100,2,FALSE), " ")</f>
        <v xml:space="preserve"> </v>
      </c>
      <c r="Z184" s="55"/>
      <c r="AA184" s="32"/>
      <c r="AB184" s="32"/>
      <c r="AC184" s="55"/>
      <c r="AD184" s="32"/>
      <c r="AE184" s="54"/>
      <c r="AF184" s="21" t="str">
        <f>IFERROR(VLOOKUP(August[[#This Row],[Drug Name3]],'Data Options'!$R$1:$S$100,2,FALSE), " ")</f>
        <v xml:space="preserve"> </v>
      </c>
      <c r="AG184" s="55"/>
      <c r="AH184" s="32"/>
      <c r="AI184" s="32"/>
      <c r="AJ184" s="55"/>
      <c r="AK184" s="32"/>
      <c r="AL184" s="32"/>
      <c r="AM184" s="32"/>
      <c r="AN184" s="32"/>
      <c r="AO184" s="32"/>
      <c r="AP184" s="31"/>
      <c r="AQ184" s="31"/>
      <c r="AR184" s="54"/>
      <c r="AS184" s="21" t="str">
        <f>IFERROR(VLOOKUP(August[[#This Row],[Drug Name4]],'Data Options'!$R$1:$S$100,2,FALSE), " ")</f>
        <v xml:space="preserve"> </v>
      </c>
      <c r="AT184" s="55"/>
      <c r="AU184" s="32"/>
      <c r="AV184" s="32"/>
      <c r="AW184" s="55"/>
      <c r="AX184" s="32"/>
      <c r="AY184" s="54"/>
      <c r="AZ184" s="21" t="str">
        <f>IFERROR(VLOOKUP(August[[#This Row],[Drug Name5]],'Data Options'!$R$1:$S$100,2,FALSE), " ")</f>
        <v xml:space="preserve"> </v>
      </c>
      <c r="BA184" s="55"/>
      <c r="BB184" s="32"/>
      <c r="BC184" s="32"/>
      <c r="BD184" s="55"/>
      <c r="BE184" s="32"/>
      <c r="BF184" s="54"/>
      <c r="BG184" s="21" t="str">
        <f>IFERROR(VLOOKUP(August[[#This Row],[Drug Name6]],'Data Options'!$R$1:$S$100,2,FALSE), " ")</f>
        <v xml:space="preserve"> </v>
      </c>
      <c r="BH184" s="55"/>
      <c r="BI184" s="32"/>
      <c r="BJ184" s="32"/>
      <c r="BK184" s="55"/>
      <c r="BL184" s="32"/>
      <c r="BM184" s="32"/>
      <c r="BN184" s="32"/>
      <c r="BO184" s="32"/>
      <c r="BP184" s="32"/>
      <c r="BQ184" s="31"/>
      <c r="BR184" s="31"/>
      <c r="BS184" s="54"/>
      <c r="BT184" s="21" t="str">
        <f>IFERROR(VLOOKUP(August[[#This Row],[Drug Name7]],'Data Options'!$R$1:$S$100,2,FALSE), " ")</f>
        <v xml:space="preserve"> </v>
      </c>
      <c r="BU184" s="55"/>
      <c r="BV184" s="32"/>
      <c r="BW184" s="32"/>
      <c r="BX184" s="55"/>
      <c r="BY184" s="32"/>
      <c r="BZ184" s="54"/>
      <c r="CA184" s="21" t="str">
        <f>IFERROR(VLOOKUP(August[[#This Row],[Drug Name8]],'Data Options'!$R$1:$S$100,2,FALSE), " ")</f>
        <v xml:space="preserve"> </v>
      </c>
      <c r="CB184" s="55"/>
      <c r="CC184" s="32"/>
      <c r="CD184" s="32"/>
      <c r="CE184" s="55"/>
      <c r="CF184" s="32"/>
      <c r="CG184" s="54"/>
      <c r="CH184" s="21" t="str">
        <f>IFERROR(VLOOKUP(August[[#This Row],[Drug Name9]],'Data Options'!$R$1:$S$100,2,FALSE), " ")</f>
        <v xml:space="preserve"> </v>
      </c>
      <c r="CI184" s="55"/>
      <c r="CJ184" s="32"/>
      <c r="CK184" s="32"/>
      <c r="CL184" s="55"/>
      <c r="CM184" s="32"/>
    </row>
    <row r="185" spans="1:91">
      <c r="A185" s="5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1"/>
      <c r="P185" s="31"/>
      <c r="Q185" s="54"/>
      <c r="R185" s="21" t="str">
        <f>IFERROR(VLOOKUP(August[[#This Row],[Drug Name]],'Data Options'!$R$1:$S$100,2,FALSE), " ")</f>
        <v xml:space="preserve"> </v>
      </c>
      <c r="S185" s="55"/>
      <c r="T185" s="32"/>
      <c r="U185" s="32"/>
      <c r="V185" s="55"/>
      <c r="W185" s="32"/>
      <c r="X185" s="54"/>
      <c r="Y185" s="21" t="str">
        <f>IFERROR(VLOOKUP(August[[#This Row],[Drug Name2]],'Data Options'!$R$1:$S$100,2,FALSE), " ")</f>
        <v xml:space="preserve"> </v>
      </c>
      <c r="Z185" s="55"/>
      <c r="AA185" s="32"/>
      <c r="AB185" s="32"/>
      <c r="AC185" s="55"/>
      <c r="AD185" s="32"/>
      <c r="AE185" s="54"/>
      <c r="AF185" s="21" t="str">
        <f>IFERROR(VLOOKUP(August[[#This Row],[Drug Name3]],'Data Options'!$R$1:$S$100,2,FALSE), " ")</f>
        <v xml:space="preserve"> </v>
      </c>
      <c r="AG185" s="55"/>
      <c r="AH185" s="32"/>
      <c r="AI185" s="32"/>
      <c r="AJ185" s="55"/>
      <c r="AK185" s="32"/>
      <c r="AL185" s="32"/>
      <c r="AM185" s="32"/>
      <c r="AN185" s="32"/>
      <c r="AO185" s="32"/>
      <c r="AP185" s="31"/>
      <c r="AQ185" s="31"/>
      <c r="AR185" s="54"/>
      <c r="AS185" s="21" t="str">
        <f>IFERROR(VLOOKUP(August[[#This Row],[Drug Name4]],'Data Options'!$R$1:$S$100,2,FALSE), " ")</f>
        <v xml:space="preserve"> </v>
      </c>
      <c r="AT185" s="55"/>
      <c r="AU185" s="32"/>
      <c r="AV185" s="32"/>
      <c r="AW185" s="55"/>
      <c r="AX185" s="32"/>
      <c r="AY185" s="54"/>
      <c r="AZ185" s="21" t="str">
        <f>IFERROR(VLOOKUP(August[[#This Row],[Drug Name5]],'Data Options'!$R$1:$S$100,2,FALSE), " ")</f>
        <v xml:space="preserve"> </v>
      </c>
      <c r="BA185" s="55"/>
      <c r="BB185" s="32"/>
      <c r="BC185" s="32"/>
      <c r="BD185" s="55"/>
      <c r="BE185" s="32"/>
      <c r="BF185" s="54"/>
      <c r="BG185" s="21" t="str">
        <f>IFERROR(VLOOKUP(August[[#This Row],[Drug Name6]],'Data Options'!$R$1:$S$100,2,FALSE), " ")</f>
        <v xml:space="preserve"> </v>
      </c>
      <c r="BH185" s="55"/>
      <c r="BI185" s="32"/>
      <c r="BJ185" s="32"/>
      <c r="BK185" s="55"/>
      <c r="BL185" s="32"/>
      <c r="BM185" s="32"/>
      <c r="BN185" s="32"/>
      <c r="BO185" s="32"/>
      <c r="BP185" s="32"/>
      <c r="BQ185" s="31"/>
      <c r="BR185" s="31"/>
      <c r="BS185" s="54"/>
      <c r="BT185" s="21" t="str">
        <f>IFERROR(VLOOKUP(August[[#This Row],[Drug Name7]],'Data Options'!$R$1:$S$100,2,FALSE), " ")</f>
        <v xml:space="preserve"> </v>
      </c>
      <c r="BU185" s="55"/>
      <c r="BV185" s="32"/>
      <c r="BW185" s="32"/>
      <c r="BX185" s="55"/>
      <c r="BY185" s="32"/>
      <c r="BZ185" s="54"/>
      <c r="CA185" s="21" t="str">
        <f>IFERROR(VLOOKUP(August[[#This Row],[Drug Name8]],'Data Options'!$R$1:$S$100,2,FALSE), " ")</f>
        <v xml:space="preserve"> </v>
      </c>
      <c r="CB185" s="55"/>
      <c r="CC185" s="32"/>
      <c r="CD185" s="32"/>
      <c r="CE185" s="55"/>
      <c r="CF185" s="32"/>
      <c r="CG185" s="54"/>
      <c r="CH185" s="21" t="str">
        <f>IFERROR(VLOOKUP(August[[#This Row],[Drug Name9]],'Data Options'!$R$1:$S$100,2,FALSE), " ")</f>
        <v xml:space="preserve"> </v>
      </c>
      <c r="CI185" s="55"/>
      <c r="CJ185" s="32"/>
      <c r="CK185" s="32"/>
      <c r="CL185" s="55"/>
      <c r="CM185" s="32"/>
    </row>
    <row r="186" spans="1:91">
      <c r="A186" s="5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1"/>
      <c r="P186" s="31"/>
      <c r="Q186" s="54"/>
      <c r="R186" s="21" t="str">
        <f>IFERROR(VLOOKUP(August[[#This Row],[Drug Name]],'Data Options'!$R$1:$S$100,2,FALSE), " ")</f>
        <v xml:space="preserve"> </v>
      </c>
      <c r="S186" s="55"/>
      <c r="T186" s="32"/>
      <c r="U186" s="32"/>
      <c r="V186" s="55"/>
      <c r="W186" s="32"/>
      <c r="X186" s="54"/>
      <c r="Y186" s="21" t="str">
        <f>IFERROR(VLOOKUP(August[[#This Row],[Drug Name2]],'Data Options'!$R$1:$S$100,2,FALSE), " ")</f>
        <v xml:space="preserve"> </v>
      </c>
      <c r="Z186" s="55"/>
      <c r="AA186" s="32"/>
      <c r="AB186" s="32"/>
      <c r="AC186" s="55"/>
      <c r="AD186" s="32"/>
      <c r="AE186" s="54"/>
      <c r="AF186" s="21" t="str">
        <f>IFERROR(VLOOKUP(August[[#This Row],[Drug Name3]],'Data Options'!$R$1:$S$100,2,FALSE), " ")</f>
        <v xml:space="preserve"> </v>
      </c>
      <c r="AG186" s="55"/>
      <c r="AH186" s="32"/>
      <c r="AI186" s="32"/>
      <c r="AJ186" s="55"/>
      <c r="AK186" s="32"/>
      <c r="AL186" s="32"/>
      <c r="AM186" s="32"/>
      <c r="AN186" s="32"/>
      <c r="AO186" s="32"/>
      <c r="AP186" s="31"/>
      <c r="AQ186" s="31"/>
      <c r="AR186" s="54"/>
      <c r="AS186" s="21" t="str">
        <f>IFERROR(VLOOKUP(August[[#This Row],[Drug Name4]],'Data Options'!$R$1:$S$100,2,FALSE), " ")</f>
        <v xml:space="preserve"> </v>
      </c>
      <c r="AT186" s="55"/>
      <c r="AU186" s="32"/>
      <c r="AV186" s="32"/>
      <c r="AW186" s="55"/>
      <c r="AX186" s="32"/>
      <c r="AY186" s="54"/>
      <c r="AZ186" s="21" t="str">
        <f>IFERROR(VLOOKUP(August[[#This Row],[Drug Name5]],'Data Options'!$R$1:$S$100,2,FALSE), " ")</f>
        <v xml:space="preserve"> </v>
      </c>
      <c r="BA186" s="55"/>
      <c r="BB186" s="32"/>
      <c r="BC186" s="32"/>
      <c r="BD186" s="55"/>
      <c r="BE186" s="32"/>
      <c r="BF186" s="54"/>
      <c r="BG186" s="21" t="str">
        <f>IFERROR(VLOOKUP(August[[#This Row],[Drug Name6]],'Data Options'!$R$1:$S$100,2,FALSE), " ")</f>
        <v xml:space="preserve"> </v>
      </c>
      <c r="BH186" s="55"/>
      <c r="BI186" s="32"/>
      <c r="BJ186" s="32"/>
      <c r="BK186" s="55"/>
      <c r="BL186" s="32"/>
      <c r="BM186" s="32"/>
      <c r="BN186" s="32"/>
      <c r="BO186" s="32"/>
      <c r="BP186" s="32"/>
      <c r="BQ186" s="31"/>
      <c r="BR186" s="31"/>
      <c r="BS186" s="54"/>
      <c r="BT186" s="21" t="str">
        <f>IFERROR(VLOOKUP(August[[#This Row],[Drug Name7]],'Data Options'!$R$1:$S$100,2,FALSE), " ")</f>
        <v xml:space="preserve"> </v>
      </c>
      <c r="BU186" s="55"/>
      <c r="BV186" s="32"/>
      <c r="BW186" s="32"/>
      <c r="BX186" s="55"/>
      <c r="BY186" s="32"/>
      <c r="BZ186" s="54"/>
      <c r="CA186" s="21" t="str">
        <f>IFERROR(VLOOKUP(August[[#This Row],[Drug Name8]],'Data Options'!$R$1:$S$100,2,FALSE), " ")</f>
        <v xml:space="preserve"> </v>
      </c>
      <c r="CB186" s="55"/>
      <c r="CC186" s="32"/>
      <c r="CD186" s="32"/>
      <c r="CE186" s="55"/>
      <c r="CF186" s="32"/>
      <c r="CG186" s="54"/>
      <c r="CH186" s="21" t="str">
        <f>IFERROR(VLOOKUP(August[[#This Row],[Drug Name9]],'Data Options'!$R$1:$S$100,2,FALSE), " ")</f>
        <v xml:space="preserve"> </v>
      </c>
      <c r="CI186" s="55"/>
      <c r="CJ186" s="32"/>
      <c r="CK186" s="32"/>
      <c r="CL186" s="55"/>
      <c r="CM186" s="32"/>
    </row>
    <row r="187" spans="1:91">
      <c r="A187" s="5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1"/>
      <c r="P187" s="31"/>
      <c r="Q187" s="54"/>
      <c r="R187" s="21" t="str">
        <f>IFERROR(VLOOKUP(August[[#This Row],[Drug Name]],'Data Options'!$R$1:$S$100,2,FALSE), " ")</f>
        <v xml:space="preserve"> </v>
      </c>
      <c r="S187" s="55"/>
      <c r="T187" s="32"/>
      <c r="U187" s="32"/>
      <c r="V187" s="55"/>
      <c r="W187" s="32"/>
      <c r="X187" s="54"/>
      <c r="Y187" s="21" t="str">
        <f>IFERROR(VLOOKUP(August[[#This Row],[Drug Name2]],'Data Options'!$R$1:$S$100,2,FALSE), " ")</f>
        <v xml:space="preserve"> </v>
      </c>
      <c r="Z187" s="55"/>
      <c r="AA187" s="32"/>
      <c r="AB187" s="32"/>
      <c r="AC187" s="55"/>
      <c r="AD187" s="32"/>
      <c r="AE187" s="54"/>
      <c r="AF187" s="21" t="str">
        <f>IFERROR(VLOOKUP(August[[#This Row],[Drug Name3]],'Data Options'!$R$1:$S$100,2,FALSE), " ")</f>
        <v xml:space="preserve"> </v>
      </c>
      <c r="AG187" s="55"/>
      <c r="AH187" s="32"/>
      <c r="AI187" s="32"/>
      <c r="AJ187" s="55"/>
      <c r="AK187" s="32"/>
      <c r="AL187" s="32"/>
      <c r="AM187" s="32"/>
      <c r="AN187" s="32"/>
      <c r="AO187" s="32"/>
      <c r="AP187" s="31"/>
      <c r="AQ187" s="31"/>
      <c r="AR187" s="54"/>
      <c r="AS187" s="21" t="str">
        <f>IFERROR(VLOOKUP(August[[#This Row],[Drug Name4]],'Data Options'!$R$1:$S$100,2,FALSE), " ")</f>
        <v xml:space="preserve"> </v>
      </c>
      <c r="AT187" s="55"/>
      <c r="AU187" s="32"/>
      <c r="AV187" s="32"/>
      <c r="AW187" s="55"/>
      <c r="AX187" s="32"/>
      <c r="AY187" s="54"/>
      <c r="AZ187" s="21" t="str">
        <f>IFERROR(VLOOKUP(August[[#This Row],[Drug Name5]],'Data Options'!$R$1:$S$100,2,FALSE), " ")</f>
        <v xml:space="preserve"> </v>
      </c>
      <c r="BA187" s="55"/>
      <c r="BB187" s="32"/>
      <c r="BC187" s="32"/>
      <c r="BD187" s="55"/>
      <c r="BE187" s="32"/>
      <c r="BF187" s="54"/>
      <c r="BG187" s="21" t="str">
        <f>IFERROR(VLOOKUP(August[[#This Row],[Drug Name6]],'Data Options'!$R$1:$S$100,2,FALSE), " ")</f>
        <v xml:space="preserve"> </v>
      </c>
      <c r="BH187" s="55"/>
      <c r="BI187" s="32"/>
      <c r="BJ187" s="32"/>
      <c r="BK187" s="55"/>
      <c r="BL187" s="32"/>
      <c r="BM187" s="32"/>
      <c r="BN187" s="32"/>
      <c r="BO187" s="32"/>
      <c r="BP187" s="32"/>
      <c r="BQ187" s="31"/>
      <c r="BR187" s="31"/>
      <c r="BS187" s="54"/>
      <c r="BT187" s="21" t="str">
        <f>IFERROR(VLOOKUP(August[[#This Row],[Drug Name7]],'Data Options'!$R$1:$S$100,2,FALSE), " ")</f>
        <v xml:space="preserve"> </v>
      </c>
      <c r="BU187" s="55"/>
      <c r="BV187" s="32"/>
      <c r="BW187" s="32"/>
      <c r="BX187" s="55"/>
      <c r="BY187" s="32"/>
      <c r="BZ187" s="54"/>
      <c r="CA187" s="21" t="str">
        <f>IFERROR(VLOOKUP(August[[#This Row],[Drug Name8]],'Data Options'!$R$1:$S$100,2,FALSE), " ")</f>
        <v xml:space="preserve"> </v>
      </c>
      <c r="CB187" s="55"/>
      <c r="CC187" s="32"/>
      <c r="CD187" s="32"/>
      <c r="CE187" s="55"/>
      <c r="CF187" s="32"/>
      <c r="CG187" s="54"/>
      <c r="CH187" s="21" t="str">
        <f>IFERROR(VLOOKUP(August[[#This Row],[Drug Name9]],'Data Options'!$R$1:$S$100,2,FALSE), " ")</f>
        <v xml:space="preserve"> </v>
      </c>
      <c r="CI187" s="55"/>
      <c r="CJ187" s="32"/>
      <c r="CK187" s="32"/>
      <c r="CL187" s="55"/>
      <c r="CM187" s="32"/>
    </row>
    <row r="188" spans="1:91">
      <c r="A188" s="5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1"/>
      <c r="P188" s="31"/>
      <c r="Q188" s="54"/>
      <c r="R188" s="21" t="str">
        <f>IFERROR(VLOOKUP(August[[#This Row],[Drug Name]],'Data Options'!$R$1:$S$100,2,FALSE), " ")</f>
        <v xml:space="preserve"> </v>
      </c>
      <c r="S188" s="55"/>
      <c r="T188" s="32"/>
      <c r="U188" s="32"/>
      <c r="V188" s="55"/>
      <c r="W188" s="32"/>
      <c r="X188" s="54"/>
      <c r="Y188" s="21" t="str">
        <f>IFERROR(VLOOKUP(August[[#This Row],[Drug Name2]],'Data Options'!$R$1:$S$100,2,FALSE), " ")</f>
        <v xml:space="preserve"> </v>
      </c>
      <c r="Z188" s="55"/>
      <c r="AA188" s="32"/>
      <c r="AB188" s="32"/>
      <c r="AC188" s="55"/>
      <c r="AD188" s="32"/>
      <c r="AE188" s="54"/>
      <c r="AF188" s="21" t="str">
        <f>IFERROR(VLOOKUP(August[[#This Row],[Drug Name3]],'Data Options'!$R$1:$S$100,2,FALSE), " ")</f>
        <v xml:space="preserve"> </v>
      </c>
      <c r="AG188" s="55"/>
      <c r="AH188" s="32"/>
      <c r="AI188" s="32"/>
      <c r="AJ188" s="55"/>
      <c r="AK188" s="32"/>
      <c r="AL188" s="32"/>
      <c r="AM188" s="32"/>
      <c r="AN188" s="32"/>
      <c r="AO188" s="32"/>
      <c r="AP188" s="31"/>
      <c r="AQ188" s="31"/>
      <c r="AR188" s="54"/>
      <c r="AS188" s="21" t="str">
        <f>IFERROR(VLOOKUP(August[[#This Row],[Drug Name4]],'Data Options'!$R$1:$S$100,2,FALSE), " ")</f>
        <v xml:space="preserve"> </v>
      </c>
      <c r="AT188" s="55"/>
      <c r="AU188" s="32"/>
      <c r="AV188" s="32"/>
      <c r="AW188" s="55"/>
      <c r="AX188" s="32"/>
      <c r="AY188" s="54"/>
      <c r="AZ188" s="21" t="str">
        <f>IFERROR(VLOOKUP(August[[#This Row],[Drug Name5]],'Data Options'!$R$1:$S$100,2,FALSE), " ")</f>
        <v xml:space="preserve"> </v>
      </c>
      <c r="BA188" s="55"/>
      <c r="BB188" s="32"/>
      <c r="BC188" s="32"/>
      <c r="BD188" s="55"/>
      <c r="BE188" s="32"/>
      <c r="BF188" s="54"/>
      <c r="BG188" s="21" t="str">
        <f>IFERROR(VLOOKUP(August[[#This Row],[Drug Name6]],'Data Options'!$R$1:$S$100,2,FALSE), " ")</f>
        <v xml:space="preserve"> </v>
      </c>
      <c r="BH188" s="55"/>
      <c r="BI188" s="32"/>
      <c r="BJ188" s="32"/>
      <c r="BK188" s="55"/>
      <c r="BL188" s="32"/>
      <c r="BM188" s="32"/>
      <c r="BN188" s="32"/>
      <c r="BO188" s="32"/>
      <c r="BP188" s="32"/>
      <c r="BQ188" s="31"/>
      <c r="BR188" s="31"/>
      <c r="BS188" s="54"/>
      <c r="BT188" s="21" t="str">
        <f>IFERROR(VLOOKUP(August[[#This Row],[Drug Name7]],'Data Options'!$R$1:$S$100,2,FALSE), " ")</f>
        <v xml:space="preserve"> </v>
      </c>
      <c r="BU188" s="55"/>
      <c r="BV188" s="32"/>
      <c r="BW188" s="32"/>
      <c r="BX188" s="55"/>
      <c r="BY188" s="32"/>
      <c r="BZ188" s="54"/>
      <c r="CA188" s="21" t="str">
        <f>IFERROR(VLOOKUP(August[[#This Row],[Drug Name8]],'Data Options'!$R$1:$S$100,2,FALSE), " ")</f>
        <v xml:space="preserve"> </v>
      </c>
      <c r="CB188" s="55"/>
      <c r="CC188" s="32"/>
      <c r="CD188" s="32"/>
      <c r="CE188" s="55"/>
      <c r="CF188" s="32"/>
      <c r="CG188" s="54"/>
      <c r="CH188" s="21" t="str">
        <f>IFERROR(VLOOKUP(August[[#This Row],[Drug Name9]],'Data Options'!$R$1:$S$100,2,FALSE), " ")</f>
        <v xml:space="preserve"> </v>
      </c>
      <c r="CI188" s="55"/>
      <c r="CJ188" s="32"/>
      <c r="CK188" s="32"/>
      <c r="CL188" s="55"/>
      <c r="CM188" s="32"/>
    </row>
    <row r="189" spans="1:91">
      <c r="A189" s="5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/>
      <c r="P189" s="31"/>
      <c r="Q189" s="54"/>
      <c r="R189" s="21" t="str">
        <f>IFERROR(VLOOKUP(August[[#This Row],[Drug Name]],'Data Options'!$R$1:$S$100,2,FALSE), " ")</f>
        <v xml:space="preserve"> </v>
      </c>
      <c r="S189" s="55"/>
      <c r="T189" s="32"/>
      <c r="U189" s="32"/>
      <c r="V189" s="55"/>
      <c r="W189" s="32"/>
      <c r="X189" s="54"/>
      <c r="Y189" s="21" t="str">
        <f>IFERROR(VLOOKUP(August[[#This Row],[Drug Name2]],'Data Options'!$R$1:$S$100,2,FALSE), " ")</f>
        <v xml:space="preserve"> </v>
      </c>
      <c r="Z189" s="55"/>
      <c r="AA189" s="32"/>
      <c r="AB189" s="32"/>
      <c r="AC189" s="55"/>
      <c r="AD189" s="32"/>
      <c r="AE189" s="54"/>
      <c r="AF189" s="21" t="str">
        <f>IFERROR(VLOOKUP(August[[#This Row],[Drug Name3]],'Data Options'!$R$1:$S$100,2,FALSE), " ")</f>
        <v xml:space="preserve"> </v>
      </c>
      <c r="AG189" s="55"/>
      <c r="AH189" s="32"/>
      <c r="AI189" s="32"/>
      <c r="AJ189" s="55"/>
      <c r="AK189" s="32"/>
      <c r="AL189" s="32"/>
      <c r="AM189" s="32"/>
      <c r="AN189" s="32"/>
      <c r="AO189" s="32"/>
      <c r="AP189" s="31"/>
      <c r="AQ189" s="31"/>
      <c r="AR189" s="54"/>
      <c r="AS189" s="21" t="str">
        <f>IFERROR(VLOOKUP(August[[#This Row],[Drug Name4]],'Data Options'!$R$1:$S$100,2,FALSE), " ")</f>
        <v xml:space="preserve"> </v>
      </c>
      <c r="AT189" s="55"/>
      <c r="AU189" s="32"/>
      <c r="AV189" s="32"/>
      <c r="AW189" s="55"/>
      <c r="AX189" s="32"/>
      <c r="AY189" s="54"/>
      <c r="AZ189" s="21" t="str">
        <f>IFERROR(VLOOKUP(August[[#This Row],[Drug Name5]],'Data Options'!$R$1:$S$100,2,FALSE), " ")</f>
        <v xml:space="preserve"> </v>
      </c>
      <c r="BA189" s="55"/>
      <c r="BB189" s="32"/>
      <c r="BC189" s="32"/>
      <c r="BD189" s="55"/>
      <c r="BE189" s="32"/>
      <c r="BF189" s="54"/>
      <c r="BG189" s="21" t="str">
        <f>IFERROR(VLOOKUP(August[[#This Row],[Drug Name6]],'Data Options'!$R$1:$S$100,2,FALSE), " ")</f>
        <v xml:space="preserve"> </v>
      </c>
      <c r="BH189" s="55"/>
      <c r="BI189" s="32"/>
      <c r="BJ189" s="32"/>
      <c r="BK189" s="55"/>
      <c r="BL189" s="32"/>
      <c r="BM189" s="32"/>
      <c r="BN189" s="32"/>
      <c r="BO189" s="32"/>
      <c r="BP189" s="32"/>
      <c r="BQ189" s="31"/>
      <c r="BR189" s="31"/>
      <c r="BS189" s="54"/>
      <c r="BT189" s="21" t="str">
        <f>IFERROR(VLOOKUP(August[[#This Row],[Drug Name7]],'Data Options'!$R$1:$S$100,2,FALSE), " ")</f>
        <v xml:space="preserve"> </v>
      </c>
      <c r="BU189" s="55"/>
      <c r="BV189" s="32"/>
      <c r="BW189" s="32"/>
      <c r="BX189" s="55"/>
      <c r="BY189" s="32"/>
      <c r="BZ189" s="54"/>
      <c r="CA189" s="21" t="str">
        <f>IFERROR(VLOOKUP(August[[#This Row],[Drug Name8]],'Data Options'!$R$1:$S$100,2,FALSE), " ")</f>
        <v xml:space="preserve"> </v>
      </c>
      <c r="CB189" s="55"/>
      <c r="CC189" s="32"/>
      <c r="CD189" s="32"/>
      <c r="CE189" s="55"/>
      <c r="CF189" s="32"/>
      <c r="CG189" s="54"/>
      <c r="CH189" s="21" t="str">
        <f>IFERROR(VLOOKUP(August[[#This Row],[Drug Name9]],'Data Options'!$R$1:$S$100,2,FALSE), " ")</f>
        <v xml:space="preserve"> </v>
      </c>
      <c r="CI189" s="55"/>
      <c r="CJ189" s="32"/>
      <c r="CK189" s="32"/>
      <c r="CL189" s="55"/>
      <c r="CM189" s="32"/>
    </row>
    <row r="190" spans="1:91">
      <c r="A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54"/>
      <c r="R190" s="21" t="str">
        <f>IFERROR(VLOOKUP(August[[#This Row],[Drug Name]],'Data Options'!$R$1:$S$100,2,FALSE), " ")</f>
        <v xml:space="preserve"> </v>
      </c>
      <c r="S190" s="55"/>
      <c r="T190" s="32"/>
      <c r="U190" s="32"/>
      <c r="V190" s="55"/>
      <c r="W190" s="32"/>
      <c r="X190" s="54"/>
      <c r="Y190" s="21" t="str">
        <f>IFERROR(VLOOKUP(August[[#This Row],[Drug Name2]],'Data Options'!$R$1:$S$100,2,FALSE), " ")</f>
        <v xml:space="preserve"> </v>
      </c>
      <c r="Z190" s="55"/>
      <c r="AA190" s="32"/>
      <c r="AB190" s="32"/>
      <c r="AC190" s="55"/>
      <c r="AD190" s="32"/>
      <c r="AE190" s="54"/>
      <c r="AF190" s="21" t="str">
        <f>IFERROR(VLOOKUP(August[[#This Row],[Drug Name3]],'Data Options'!$R$1:$S$100,2,FALSE), " ")</f>
        <v xml:space="preserve"> </v>
      </c>
      <c r="AG190" s="55"/>
      <c r="AH190" s="32"/>
      <c r="AI190" s="32"/>
      <c r="AJ190" s="55"/>
      <c r="AK190" s="32"/>
      <c r="AL190" s="32"/>
      <c r="AM190" s="32"/>
      <c r="AN190" s="32"/>
      <c r="AO190" s="32"/>
      <c r="AP190" s="31"/>
      <c r="AQ190" s="31"/>
      <c r="AR190" s="54"/>
      <c r="AS190" s="21" t="str">
        <f>IFERROR(VLOOKUP(August[[#This Row],[Drug Name4]],'Data Options'!$R$1:$S$100,2,FALSE), " ")</f>
        <v xml:space="preserve"> </v>
      </c>
      <c r="AT190" s="55"/>
      <c r="AU190" s="32"/>
      <c r="AV190" s="32"/>
      <c r="AW190" s="55"/>
      <c r="AX190" s="32"/>
      <c r="AY190" s="54"/>
      <c r="AZ190" s="21" t="str">
        <f>IFERROR(VLOOKUP(August[[#This Row],[Drug Name5]],'Data Options'!$R$1:$S$100,2,FALSE), " ")</f>
        <v xml:space="preserve"> </v>
      </c>
      <c r="BA190" s="55"/>
      <c r="BB190" s="32"/>
      <c r="BC190" s="32"/>
      <c r="BD190" s="55"/>
      <c r="BE190" s="32"/>
      <c r="BF190" s="54"/>
      <c r="BG190" s="21" t="str">
        <f>IFERROR(VLOOKUP(August[[#This Row],[Drug Name6]],'Data Options'!$R$1:$S$100,2,FALSE), " ")</f>
        <v xml:space="preserve"> </v>
      </c>
      <c r="BH190" s="55"/>
      <c r="BI190" s="32"/>
      <c r="BJ190" s="32"/>
      <c r="BK190" s="55"/>
      <c r="BL190" s="32"/>
      <c r="BM190" s="32"/>
      <c r="BN190" s="32"/>
      <c r="BO190" s="32"/>
      <c r="BP190" s="32"/>
      <c r="BQ190" s="31"/>
      <c r="BR190" s="31"/>
      <c r="BS190" s="54"/>
      <c r="BT190" s="21" t="str">
        <f>IFERROR(VLOOKUP(August[[#This Row],[Drug Name7]],'Data Options'!$R$1:$S$100,2,FALSE), " ")</f>
        <v xml:space="preserve"> </v>
      </c>
      <c r="BU190" s="55"/>
      <c r="BV190" s="32"/>
      <c r="BW190" s="32"/>
      <c r="BX190" s="55"/>
      <c r="BY190" s="32"/>
      <c r="BZ190" s="54"/>
      <c r="CA190" s="21" t="str">
        <f>IFERROR(VLOOKUP(August[[#This Row],[Drug Name8]],'Data Options'!$R$1:$S$100,2,FALSE), " ")</f>
        <v xml:space="preserve"> </v>
      </c>
      <c r="CB190" s="55"/>
      <c r="CC190" s="32"/>
      <c r="CD190" s="32"/>
      <c r="CE190" s="55"/>
      <c r="CF190" s="32"/>
      <c r="CG190" s="54"/>
      <c r="CH190" s="21" t="str">
        <f>IFERROR(VLOOKUP(August[[#This Row],[Drug Name9]],'Data Options'!$R$1:$S$100,2,FALSE), " ")</f>
        <v xml:space="preserve"> </v>
      </c>
      <c r="CI190" s="55"/>
      <c r="CJ190" s="32"/>
      <c r="CK190" s="32"/>
      <c r="CL190" s="55"/>
      <c r="CM190" s="32"/>
    </row>
    <row r="191" spans="1:91">
      <c r="A191" s="5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1"/>
      <c r="P191" s="31"/>
      <c r="Q191" s="54"/>
      <c r="R191" s="21" t="str">
        <f>IFERROR(VLOOKUP(August[[#This Row],[Drug Name]],'Data Options'!$R$1:$S$100,2,FALSE), " ")</f>
        <v xml:space="preserve"> </v>
      </c>
      <c r="S191" s="55"/>
      <c r="T191" s="32"/>
      <c r="U191" s="32"/>
      <c r="V191" s="55"/>
      <c r="W191" s="32"/>
      <c r="X191" s="54"/>
      <c r="Y191" s="21" t="str">
        <f>IFERROR(VLOOKUP(August[[#This Row],[Drug Name2]],'Data Options'!$R$1:$S$100,2,FALSE), " ")</f>
        <v xml:space="preserve"> </v>
      </c>
      <c r="Z191" s="55"/>
      <c r="AA191" s="32"/>
      <c r="AB191" s="32"/>
      <c r="AC191" s="55"/>
      <c r="AD191" s="32"/>
      <c r="AE191" s="54"/>
      <c r="AF191" s="21" t="str">
        <f>IFERROR(VLOOKUP(August[[#This Row],[Drug Name3]],'Data Options'!$R$1:$S$100,2,FALSE), " ")</f>
        <v xml:space="preserve"> </v>
      </c>
      <c r="AG191" s="55"/>
      <c r="AH191" s="32"/>
      <c r="AI191" s="32"/>
      <c r="AJ191" s="55"/>
      <c r="AK191" s="32"/>
      <c r="AL191" s="32"/>
      <c r="AM191" s="32"/>
      <c r="AN191" s="32"/>
      <c r="AO191" s="32"/>
      <c r="AP191" s="31"/>
      <c r="AQ191" s="31"/>
      <c r="AR191" s="54"/>
      <c r="AS191" s="21" t="str">
        <f>IFERROR(VLOOKUP(August[[#This Row],[Drug Name4]],'Data Options'!$R$1:$S$100,2,FALSE), " ")</f>
        <v xml:space="preserve"> </v>
      </c>
      <c r="AT191" s="55"/>
      <c r="AU191" s="32"/>
      <c r="AV191" s="32"/>
      <c r="AW191" s="55"/>
      <c r="AX191" s="32"/>
      <c r="AY191" s="54"/>
      <c r="AZ191" s="21" t="str">
        <f>IFERROR(VLOOKUP(August[[#This Row],[Drug Name5]],'Data Options'!$R$1:$S$100,2,FALSE), " ")</f>
        <v xml:space="preserve"> </v>
      </c>
      <c r="BA191" s="55"/>
      <c r="BB191" s="32"/>
      <c r="BC191" s="32"/>
      <c r="BD191" s="55"/>
      <c r="BE191" s="32"/>
      <c r="BF191" s="54"/>
      <c r="BG191" s="21" t="str">
        <f>IFERROR(VLOOKUP(August[[#This Row],[Drug Name6]],'Data Options'!$R$1:$S$100,2,FALSE), " ")</f>
        <v xml:space="preserve"> </v>
      </c>
      <c r="BH191" s="55"/>
      <c r="BI191" s="32"/>
      <c r="BJ191" s="32"/>
      <c r="BK191" s="55"/>
      <c r="BL191" s="32"/>
      <c r="BM191" s="32"/>
      <c r="BN191" s="32"/>
      <c r="BO191" s="32"/>
      <c r="BP191" s="32"/>
      <c r="BQ191" s="31"/>
      <c r="BR191" s="31"/>
      <c r="BS191" s="54"/>
      <c r="BT191" s="21" t="str">
        <f>IFERROR(VLOOKUP(August[[#This Row],[Drug Name7]],'Data Options'!$R$1:$S$100,2,FALSE), " ")</f>
        <v xml:space="preserve"> </v>
      </c>
      <c r="BU191" s="55"/>
      <c r="BV191" s="32"/>
      <c r="BW191" s="32"/>
      <c r="BX191" s="55"/>
      <c r="BY191" s="32"/>
      <c r="BZ191" s="54"/>
      <c r="CA191" s="21" t="str">
        <f>IFERROR(VLOOKUP(August[[#This Row],[Drug Name8]],'Data Options'!$R$1:$S$100,2,FALSE), " ")</f>
        <v xml:space="preserve"> </v>
      </c>
      <c r="CB191" s="55"/>
      <c r="CC191" s="32"/>
      <c r="CD191" s="32"/>
      <c r="CE191" s="55"/>
      <c r="CF191" s="32"/>
      <c r="CG191" s="54"/>
      <c r="CH191" s="21" t="str">
        <f>IFERROR(VLOOKUP(August[[#This Row],[Drug Name9]],'Data Options'!$R$1:$S$100,2,FALSE), " ")</f>
        <v xml:space="preserve"> </v>
      </c>
      <c r="CI191" s="55"/>
      <c r="CJ191" s="32"/>
      <c r="CK191" s="32"/>
      <c r="CL191" s="55"/>
      <c r="CM191" s="32"/>
    </row>
    <row r="192" spans="1:91">
      <c r="A192" s="5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1"/>
      <c r="P192" s="31"/>
      <c r="Q192" s="54"/>
      <c r="R192" s="21" t="str">
        <f>IFERROR(VLOOKUP(August[[#This Row],[Drug Name]],'Data Options'!$R$1:$S$100,2,FALSE), " ")</f>
        <v xml:space="preserve"> </v>
      </c>
      <c r="S192" s="55"/>
      <c r="T192" s="32"/>
      <c r="U192" s="32"/>
      <c r="V192" s="55"/>
      <c r="W192" s="32"/>
      <c r="X192" s="54"/>
      <c r="Y192" s="21" t="str">
        <f>IFERROR(VLOOKUP(August[[#This Row],[Drug Name2]],'Data Options'!$R$1:$S$100,2,FALSE), " ")</f>
        <v xml:space="preserve"> </v>
      </c>
      <c r="Z192" s="55"/>
      <c r="AA192" s="32"/>
      <c r="AB192" s="32"/>
      <c r="AC192" s="55"/>
      <c r="AD192" s="32"/>
      <c r="AE192" s="54"/>
      <c r="AF192" s="21" t="str">
        <f>IFERROR(VLOOKUP(August[[#This Row],[Drug Name3]],'Data Options'!$R$1:$S$100,2,FALSE), " ")</f>
        <v xml:space="preserve"> </v>
      </c>
      <c r="AG192" s="55"/>
      <c r="AH192" s="32"/>
      <c r="AI192" s="32"/>
      <c r="AJ192" s="55"/>
      <c r="AK192" s="32"/>
      <c r="AL192" s="32"/>
      <c r="AM192" s="32"/>
      <c r="AN192" s="32"/>
      <c r="AO192" s="32"/>
      <c r="AP192" s="31"/>
      <c r="AQ192" s="31"/>
      <c r="AR192" s="54"/>
      <c r="AS192" s="21" t="str">
        <f>IFERROR(VLOOKUP(August[[#This Row],[Drug Name4]],'Data Options'!$R$1:$S$100,2,FALSE), " ")</f>
        <v xml:space="preserve"> </v>
      </c>
      <c r="AT192" s="55"/>
      <c r="AU192" s="32"/>
      <c r="AV192" s="32"/>
      <c r="AW192" s="55"/>
      <c r="AX192" s="32"/>
      <c r="AY192" s="54"/>
      <c r="AZ192" s="21" t="str">
        <f>IFERROR(VLOOKUP(August[[#This Row],[Drug Name5]],'Data Options'!$R$1:$S$100,2,FALSE), " ")</f>
        <v xml:space="preserve"> </v>
      </c>
      <c r="BA192" s="55"/>
      <c r="BB192" s="32"/>
      <c r="BC192" s="32"/>
      <c r="BD192" s="55"/>
      <c r="BE192" s="32"/>
      <c r="BF192" s="54"/>
      <c r="BG192" s="21" t="str">
        <f>IFERROR(VLOOKUP(August[[#This Row],[Drug Name6]],'Data Options'!$R$1:$S$100,2,FALSE), " ")</f>
        <v xml:space="preserve"> </v>
      </c>
      <c r="BH192" s="55"/>
      <c r="BI192" s="32"/>
      <c r="BJ192" s="32"/>
      <c r="BK192" s="55"/>
      <c r="BL192" s="32"/>
      <c r="BM192" s="32"/>
      <c r="BN192" s="32"/>
      <c r="BO192" s="32"/>
      <c r="BP192" s="32"/>
      <c r="BQ192" s="31"/>
      <c r="BR192" s="31"/>
      <c r="BS192" s="54"/>
      <c r="BT192" s="21" t="str">
        <f>IFERROR(VLOOKUP(August[[#This Row],[Drug Name7]],'Data Options'!$R$1:$S$100,2,FALSE), " ")</f>
        <v xml:space="preserve"> </v>
      </c>
      <c r="BU192" s="55"/>
      <c r="BV192" s="32"/>
      <c r="BW192" s="32"/>
      <c r="BX192" s="55"/>
      <c r="BY192" s="32"/>
      <c r="BZ192" s="54"/>
      <c r="CA192" s="21" t="str">
        <f>IFERROR(VLOOKUP(August[[#This Row],[Drug Name8]],'Data Options'!$R$1:$S$100,2,FALSE), " ")</f>
        <v xml:space="preserve"> </v>
      </c>
      <c r="CB192" s="55"/>
      <c r="CC192" s="32"/>
      <c r="CD192" s="32"/>
      <c r="CE192" s="55"/>
      <c r="CF192" s="32"/>
      <c r="CG192" s="54"/>
      <c r="CH192" s="21" t="str">
        <f>IFERROR(VLOOKUP(August[[#This Row],[Drug Name9]],'Data Options'!$R$1:$S$100,2,FALSE), " ")</f>
        <v xml:space="preserve"> </v>
      </c>
      <c r="CI192" s="55"/>
      <c r="CJ192" s="32"/>
      <c r="CK192" s="32"/>
      <c r="CL192" s="55"/>
      <c r="CM192" s="32"/>
    </row>
    <row r="193" spans="1:91">
      <c r="A193" s="5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1"/>
      <c r="P193" s="31"/>
      <c r="Q193" s="54"/>
      <c r="R193" s="21" t="str">
        <f>IFERROR(VLOOKUP(August[[#This Row],[Drug Name]],'Data Options'!$R$1:$S$100,2,FALSE), " ")</f>
        <v xml:space="preserve"> </v>
      </c>
      <c r="S193" s="55"/>
      <c r="T193" s="32"/>
      <c r="U193" s="32"/>
      <c r="V193" s="55"/>
      <c r="W193" s="32"/>
      <c r="X193" s="54"/>
      <c r="Y193" s="21" t="str">
        <f>IFERROR(VLOOKUP(August[[#This Row],[Drug Name2]],'Data Options'!$R$1:$S$100,2,FALSE), " ")</f>
        <v xml:space="preserve"> </v>
      </c>
      <c r="Z193" s="55"/>
      <c r="AA193" s="32"/>
      <c r="AB193" s="32"/>
      <c r="AC193" s="55"/>
      <c r="AD193" s="32"/>
      <c r="AE193" s="54"/>
      <c r="AF193" s="21" t="str">
        <f>IFERROR(VLOOKUP(August[[#This Row],[Drug Name3]],'Data Options'!$R$1:$S$100,2,FALSE), " ")</f>
        <v xml:space="preserve"> </v>
      </c>
      <c r="AG193" s="55"/>
      <c r="AH193" s="32"/>
      <c r="AI193" s="32"/>
      <c r="AJ193" s="55"/>
      <c r="AK193" s="32"/>
      <c r="AL193" s="32"/>
      <c r="AM193" s="32"/>
      <c r="AN193" s="32"/>
      <c r="AO193" s="32"/>
      <c r="AP193" s="31"/>
      <c r="AQ193" s="31"/>
      <c r="AR193" s="54"/>
      <c r="AS193" s="21" t="str">
        <f>IFERROR(VLOOKUP(August[[#This Row],[Drug Name4]],'Data Options'!$R$1:$S$100,2,FALSE), " ")</f>
        <v xml:space="preserve"> </v>
      </c>
      <c r="AT193" s="55"/>
      <c r="AU193" s="32"/>
      <c r="AV193" s="32"/>
      <c r="AW193" s="55"/>
      <c r="AX193" s="32"/>
      <c r="AY193" s="54"/>
      <c r="AZ193" s="21" t="str">
        <f>IFERROR(VLOOKUP(August[[#This Row],[Drug Name5]],'Data Options'!$R$1:$S$100,2,FALSE), " ")</f>
        <v xml:space="preserve"> </v>
      </c>
      <c r="BA193" s="55"/>
      <c r="BB193" s="32"/>
      <c r="BC193" s="32"/>
      <c r="BD193" s="55"/>
      <c r="BE193" s="32"/>
      <c r="BF193" s="54"/>
      <c r="BG193" s="21" t="str">
        <f>IFERROR(VLOOKUP(August[[#This Row],[Drug Name6]],'Data Options'!$R$1:$S$100,2,FALSE), " ")</f>
        <v xml:space="preserve"> </v>
      </c>
      <c r="BH193" s="55"/>
      <c r="BI193" s="32"/>
      <c r="BJ193" s="32"/>
      <c r="BK193" s="55"/>
      <c r="BL193" s="32"/>
      <c r="BM193" s="32"/>
      <c r="BN193" s="32"/>
      <c r="BO193" s="32"/>
      <c r="BP193" s="32"/>
      <c r="BQ193" s="31"/>
      <c r="BR193" s="31"/>
      <c r="BS193" s="54"/>
      <c r="BT193" s="21" t="str">
        <f>IFERROR(VLOOKUP(August[[#This Row],[Drug Name7]],'Data Options'!$R$1:$S$100,2,FALSE), " ")</f>
        <v xml:space="preserve"> </v>
      </c>
      <c r="BU193" s="55"/>
      <c r="BV193" s="32"/>
      <c r="BW193" s="32"/>
      <c r="BX193" s="55"/>
      <c r="BY193" s="32"/>
      <c r="BZ193" s="54"/>
      <c r="CA193" s="21" t="str">
        <f>IFERROR(VLOOKUP(August[[#This Row],[Drug Name8]],'Data Options'!$R$1:$S$100,2,FALSE), " ")</f>
        <v xml:space="preserve"> </v>
      </c>
      <c r="CB193" s="55"/>
      <c r="CC193" s="32"/>
      <c r="CD193" s="32"/>
      <c r="CE193" s="55"/>
      <c r="CF193" s="32"/>
      <c r="CG193" s="54"/>
      <c r="CH193" s="21" t="str">
        <f>IFERROR(VLOOKUP(August[[#This Row],[Drug Name9]],'Data Options'!$R$1:$S$100,2,FALSE), " ")</f>
        <v xml:space="preserve"> </v>
      </c>
      <c r="CI193" s="55"/>
      <c r="CJ193" s="32"/>
      <c r="CK193" s="32"/>
      <c r="CL193" s="55"/>
      <c r="CM193" s="32"/>
    </row>
    <row r="194" spans="1:91">
      <c r="A194" s="5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1"/>
      <c r="P194" s="31"/>
      <c r="Q194" s="54"/>
      <c r="R194" s="21" t="str">
        <f>IFERROR(VLOOKUP(August[[#This Row],[Drug Name]],'Data Options'!$R$1:$S$100,2,FALSE), " ")</f>
        <v xml:space="preserve"> </v>
      </c>
      <c r="S194" s="55"/>
      <c r="T194" s="32"/>
      <c r="U194" s="32"/>
      <c r="V194" s="55"/>
      <c r="W194" s="32"/>
      <c r="X194" s="54"/>
      <c r="Y194" s="21" t="str">
        <f>IFERROR(VLOOKUP(August[[#This Row],[Drug Name2]],'Data Options'!$R$1:$S$100,2,FALSE), " ")</f>
        <v xml:space="preserve"> </v>
      </c>
      <c r="Z194" s="55"/>
      <c r="AA194" s="32"/>
      <c r="AB194" s="32"/>
      <c r="AC194" s="55"/>
      <c r="AD194" s="32"/>
      <c r="AE194" s="54"/>
      <c r="AF194" s="21" t="str">
        <f>IFERROR(VLOOKUP(August[[#This Row],[Drug Name3]],'Data Options'!$R$1:$S$100,2,FALSE), " ")</f>
        <v xml:space="preserve"> </v>
      </c>
      <c r="AG194" s="55"/>
      <c r="AH194" s="32"/>
      <c r="AI194" s="32"/>
      <c r="AJ194" s="55"/>
      <c r="AK194" s="32"/>
      <c r="AL194" s="32"/>
      <c r="AM194" s="32"/>
      <c r="AN194" s="32"/>
      <c r="AO194" s="32"/>
      <c r="AP194" s="31"/>
      <c r="AQ194" s="31"/>
      <c r="AR194" s="54"/>
      <c r="AS194" s="21" t="str">
        <f>IFERROR(VLOOKUP(August[[#This Row],[Drug Name4]],'Data Options'!$R$1:$S$100,2,FALSE), " ")</f>
        <v xml:space="preserve"> </v>
      </c>
      <c r="AT194" s="55"/>
      <c r="AU194" s="32"/>
      <c r="AV194" s="32"/>
      <c r="AW194" s="55"/>
      <c r="AX194" s="32"/>
      <c r="AY194" s="54"/>
      <c r="AZ194" s="21" t="str">
        <f>IFERROR(VLOOKUP(August[[#This Row],[Drug Name5]],'Data Options'!$R$1:$S$100,2,FALSE), " ")</f>
        <v xml:space="preserve"> </v>
      </c>
      <c r="BA194" s="55"/>
      <c r="BB194" s="32"/>
      <c r="BC194" s="32"/>
      <c r="BD194" s="55"/>
      <c r="BE194" s="32"/>
      <c r="BF194" s="54"/>
      <c r="BG194" s="21" t="str">
        <f>IFERROR(VLOOKUP(August[[#This Row],[Drug Name6]],'Data Options'!$R$1:$S$100,2,FALSE), " ")</f>
        <v xml:space="preserve"> </v>
      </c>
      <c r="BH194" s="55"/>
      <c r="BI194" s="32"/>
      <c r="BJ194" s="32"/>
      <c r="BK194" s="55"/>
      <c r="BL194" s="32"/>
      <c r="BM194" s="32"/>
      <c r="BN194" s="32"/>
      <c r="BO194" s="32"/>
      <c r="BP194" s="32"/>
      <c r="BQ194" s="31"/>
      <c r="BR194" s="31"/>
      <c r="BS194" s="54"/>
      <c r="BT194" s="21" t="str">
        <f>IFERROR(VLOOKUP(August[[#This Row],[Drug Name7]],'Data Options'!$R$1:$S$100,2,FALSE), " ")</f>
        <v xml:space="preserve"> </v>
      </c>
      <c r="BU194" s="55"/>
      <c r="BV194" s="32"/>
      <c r="BW194" s="32"/>
      <c r="BX194" s="55"/>
      <c r="BY194" s="32"/>
      <c r="BZ194" s="54"/>
      <c r="CA194" s="21" t="str">
        <f>IFERROR(VLOOKUP(August[[#This Row],[Drug Name8]],'Data Options'!$R$1:$S$100,2,FALSE), " ")</f>
        <v xml:space="preserve"> </v>
      </c>
      <c r="CB194" s="55"/>
      <c r="CC194" s="32"/>
      <c r="CD194" s="32"/>
      <c r="CE194" s="55"/>
      <c r="CF194" s="32"/>
      <c r="CG194" s="54"/>
      <c r="CH194" s="21" t="str">
        <f>IFERROR(VLOOKUP(August[[#This Row],[Drug Name9]],'Data Options'!$R$1:$S$100,2,FALSE), " ")</f>
        <v xml:space="preserve"> </v>
      </c>
      <c r="CI194" s="55"/>
      <c r="CJ194" s="32"/>
      <c r="CK194" s="32"/>
      <c r="CL194" s="55"/>
      <c r="CM194" s="32"/>
    </row>
    <row r="195" spans="1:91">
      <c r="A195" s="5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1"/>
      <c r="P195" s="31"/>
      <c r="Q195" s="54"/>
      <c r="R195" s="21" t="str">
        <f>IFERROR(VLOOKUP(August[[#This Row],[Drug Name]],'Data Options'!$R$1:$S$100,2,FALSE), " ")</f>
        <v xml:space="preserve"> </v>
      </c>
      <c r="S195" s="55"/>
      <c r="T195" s="32"/>
      <c r="U195" s="32"/>
      <c r="V195" s="55"/>
      <c r="W195" s="32"/>
      <c r="X195" s="54"/>
      <c r="Y195" s="21" t="str">
        <f>IFERROR(VLOOKUP(August[[#This Row],[Drug Name2]],'Data Options'!$R$1:$S$100,2,FALSE), " ")</f>
        <v xml:space="preserve"> </v>
      </c>
      <c r="Z195" s="55"/>
      <c r="AA195" s="32"/>
      <c r="AB195" s="32"/>
      <c r="AC195" s="55"/>
      <c r="AD195" s="32"/>
      <c r="AE195" s="54"/>
      <c r="AF195" s="21" t="str">
        <f>IFERROR(VLOOKUP(August[[#This Row],[Drug Name3]],'Data Options'!$R$1:$S$100,2,FALSE), " ")</f>
        <v xml:space="preserve"> </v>
      </c>
      <c r="AG195" s="55"/>
      <c r="AH195" s="32"/>
      <c r="AI195" s="32"/>
      <c r="AJ195" s="55"/>
      <c r="AK195" s="32"/>
      <c r="AL195" s="32"/>
      <c r="AM195" s="32"/>
      <c r="AN195" s="32"/>
      <c r="AO195" s="32"/>
      <c r="AP195" s="31"/>
      <c r="AQ195" s="31"/>
      <c r="AR195" s="54"/>
      <c r="AS195" s="21" t="str">
        <f>IFERROR(VLOOKUP(August[[#This Row],[Drug Name4]],'Data Options'!$R$1:$S$100,2,FALSE), " ")</f>
        <v xml:space="preserve"> </v>
      </c>
      <c r="AT195" s="55"/>
      <c r="AU195" s="32"/>
      <c r="AV195" s="32"/>
      <c r="AW195" s="55"/>
      <c r="AX195" s="32"/>
      <c r="AY195" s="54"/>
      <c r="AZ195" s="21" t="str">
        <f>IFERROR(VLOOKUP(August[[#This Row],[Drug Name5]],'Data Options'!$R$1:$S$100,2,FALSE), " ")</f>
        <v xml:space="preserve"> </v>
      </c>
      <c r="BA195" s="55"/>
      <c r="BB195" s="32"/>
      <c r="BC195" s="32"/>
      <c r="BD195" s="55"/>
      <c r="BE195" s="32"/>
      <c r="BF195" s="54"/>
      <c r="BG195" s="21" t="str">
        <f>IFERROR(VLOOKUP(August[[#This Row],[Drug Name6]],'Data Options'!$R$1:$S$100,2,FALSE), " ")</f>
        <v xml:space="preserve"> </v>
      </c>
      <c r="BH195" s="55"/>
      <c r="BI195" s="32"/>
      <c r="BJ195" s="32"/>
      <c r="BK195" s="55"/>
      <c r="BL195" s="32"/>
      <c r="BM195" s="32"/>
      <c r="BN195" s="32"/>
      <c r="BO195" s="32"/>
      <c r="BP195" s="32"/>
      <c r="BQ195" s="31"/>
      <c r="BR195" s="31"/>
      <c r="BS195" s="54"/>
      <c r="BT195" s="21" t="str">
        <f>IFERROR(VLOOKUP(August[[#This Row],[Drug Name7]],'Data Options'!$R$1:$S$100,2,FALSE), " ")</f>
        <v xml:space="preserve"> </v>
      </c>
      <c r="BU195" s="55"/>
      <c r="BV195" s="32"/>
      <c r="BW195" s="32"/>
      <c r="BX195" s="55"/>
      <c r="BY195" s="32"/>
      <c r="BZ195" s="54"/>
      <c r="CA195" s="21" t="str">
        <f>IFERROR(VLOOKUP(August[[#This Row],[Drug Name8]],'Data Options'!$R$1:$S$100,2,FALSE), " ")</f>
        <v xml:space="preserve"> </v>
      </c>
      <c r="CB195" s="55"/>
      <c r="CC195" s="32"/>
      <c r="CD195" s="32"/>
      <c r="CE195" s="55"/>
      <c r="CF195" s="32"/>
      <c r="CG195" s="54"/>
      <c r="CH195" s="21" t="str">
        <f>IFERROR(VLOOKUP(August[[#This Row],[Drug Name9]],'Data Options'!$R$1:$S$100,2,FALSE), " ")</f>
        <v xml:space="preserve"> </v>
      </c>
      <c r="CI195" s="55"/>
      <c r="CJ195" s="32"/>
      <c r="CK195" s="32"/>
      <c r="CL195" s="55"/>
      <c r="CM195" s="32"/>
    </row>
    <row r="196" spans="1:91">
      <c r="A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1"/>
      <c r="P196" s="31"/>
      <c r="Q196" s="54"/>
      <c r="R196" s="21" t="str">
        <f>IFERROR(VLOOKUP(August[[#This Row],[Drug Name]],'Data Options'!$R$1:$S$100,2,FALSE), " ")</f>
        <v xml:space="preserve"> </v>
      </c>
      <c r="S196" s="55"/>
      <c r="T196" s="32"/>
      <c r="U196" s="32"/>
      <c r="V196" s="55"/>
      <c r="W196" s="32"/>
      <c r="X196" s="54"/>
      <c r="Y196" s="21" t="str">
        <f>IFERROR(VLOOKUP(August[[#This Row],[Drug Name2]],'Data Options'!$R$1:$S$100,2,FALSE), " ")</f>
        <v xml:space="preserve"> </v>
      </c>
      <c r="Z196" s="55"/>
      <c r="AA196" s="32"/>
      <c r="AB196" s="32"/>
      <c r="AC196" s="55"/>
      <c r="AD196" s="32"/>
      <c r="AE196" s="54"/>
      <c r="AF196" s="21" t="str">
        <f>IFERROR(VLOOKUP(August[[#This Row],[Drug Name3]],'Data Options'!$R$1:$S$100,2,FALSE), " ")</f>
        <v xml:space="preserve"> </v>
      </c>
      <c r="AG196" s="55"/>
      <c r="AH196" s="32"/>
      <c r="AI196" s="32"/>
      <c r="AJ196" s="55"/>
      <c r="AK196" s="32"/>
      <c r="AL196" s="32"/>
      <c r="AM196" s="32"/>
      <c r="AN196" s="32"/>
      <c r="AO196" s="32"/>
      <c r="AP196" s="31"/>
      <c r="AQ196" s="31"/>
      <c r="AR196" s="54"/>
      <c r="AS196" s="21" t="str">
        <f>IFERROR(VLOOKUP(August[[#This Row],[Drug Name4]],'Data Options'!$R$1:$S$100,2,FALSE), " ")</f>
        <v xml:space="preserve"> </v>
      </c>
      <c r="AT196" s="55"/>
      <c r="AU196" s="32"/>
      <c r="AV196" s="32"/>
      <c r="AW196" s="55"/>
      <c r="AX196" s="32"/>
      <c r="AY196" s="54"/>
      <c r="AZ196" s="21" t="str">
        <f>IFERROR(VLOOKUP(August[[#This Row],[Drug Name5]],'Data Options'!$R$1:$S$100,2,FALSE), " ")</f>
        <v xml:space="preserve"> </v>
      </c>
      <c r="BA196" s="55"/>
      <c r="BB196" s="32"/>
      <c r="BC196" s="32"/>
      <c r="BD196" s="55"/>
      <c r="BE196" s="32"/>
      <c r="BF196" s="54"/>
      <c r="BG196" s="21" t="str">
        <f>IFERROR(VLOOKUP(August[[#This Row],[Drug Name6]],'Data Options'!$R$1:$S$100,2,FALSE), " ")</f>
        <v xml:space="preserve"> </v>
      </c>
      <c r="BH196" s="55"/>
      <c r="BI196" s="32"/>
      <c r="BJ196" s="32"/>
      <c r="BK196" s="55"/>
      <c r="BL196" s="32"/>
      <c r="BM196" s="32"/>
      <c r="BN196" s="32"/>
      <c r="BO196" s="32"/>
      <c r="BP196" s="32"/>
      <c r="BQ196" s="31"/>
      <c r="BR196" s="31"/>
      <c r="BS196" s="54"/>
      <c r="BT196" s="21" t="str">
        <f>IFERROR(VLOOKUP(August[[#This Row],[Drug Name7]],'Data Options'!$R$1:$S$100,2,FALSE), " ")</f>
        <v xml:space="preserve"> </v>
      </c>
      <c r="BU196" s="55"/>
      <c r="BV196" s="32"/>
      <c r="BW196" s="32"/>
      <c r="BX196" s="55"/>
      <c r="BY196" s="32"/>
      <c r="BZ196" s="54"/>
      <c r="CA196" s="21" t="str">
        <f>IFERROR(VLOOKUP(August[[#This Row],[Drug Name8]],'Data Options'!$R$1:$S$100,2,FALSE), " ")</f>
        <v xml:space="preserve"> </v>
      </c>
      <c r="CB196" s="55"/>
      <c r="CC196" s="32"/>
      <c r="CD196" s="32"/>
      <c r="CE196" s="55"/>
      <c r="CF196" s="32"/>
      <c r="CG196" s="54"/>
      <c r="CH196" s="21" t="str">
        <f>IFERROR(VLOOKUP(August[[#This Row],[Drug Name9]],'Data Options'!$R$1:$S$100,2,FALSE), " ")</f>
        <v xml:space="preserve"> </v>
      </c>
      <c r="CI196" s="55"/>
      <c r="CJ196" s="32"/>
      <c r="CK196" s="32"/>
      <c r="CL196" s="55"/>
      <c r="CM196" s="32"/>
    </row>
    <row r="197" spans="1:91">
      <c r="A197" s="5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1"/>
      <c r="P197" s="31"/>
      <c r="Q197" s="54"/>
      <c r="R197" s="21" t="str">
        <f>IFERROR(VLOOKUP(August[[#This Row],[Drug Name]],'Data Options'!$R$1:$S$100,2,FALSE), " ")</f>
        <v xml:space="preserve"> </v>
      </c>
      <c r="S197" s="55"/>
      <c r="T197" s="32"/>
      <c r="U197" s="32"/>
      <c r="V197" s="55"/>
      <c r="W197" s="32"/>
      <c r="X197" s="54"/>
      <c r="Y197" s="21" t="str">
        <f>IFERROR(VLOOKUP(August[[#This Row],[Drug Name2]],'Data Options'!$R$1:$S$100,2,FALSE), " ")</f>
        <v xml:space="preserve"> </v>
      </c>
      <c r="Z197" s="55"/>
      <c r="AA197" s="32"/>
      <c r="AB197" s="32"/>
      <c r="AC197" s="55"/>
      <c r="AD197" s="32"/>
      <c r="AE197" s="54"/>
      <c r="AF197" s="21" t="str">
        <f>IFERROR(VLOOKUP(August[[#This Row],[Drug Name3]],'Data Options'!$R$1:$S$100,2,FALSE), " ")</f>
        <v xml:space="preserve"> </v>
      </c>
      <c r="AG197" s="55"/>
      <c r="AH197" s="32"/>
      <c r="AI197" s="32"/>
      <c r="AJ197" s="55"/>
      <c r="AK197" s="32"/>
      <c r="AL197" s="32"/>
      <c r="AM197" s="32"/>
      <c r="AN197" s="32"/>
      <c r="AO197" s="32"/>
      <c r="AP197" s="31"/>
      <c r="AQ197" s="31"/>
      <c r="AR197" s="54"/>
      <c r="AS197" s="21" t="str">
        <f>IFERROR(VLOOKUP(August[[#This Row],[Drug Name4]],'Data Options'!$R$1:$S$100,2,FALSE), " ")</f>
        <v xml:space="preserve"> </v>
      </c>
      <c r="AT197" s="55"/>
      <c r="AU197" s="32"/>
      <c r="AV197" s="32"/>
      <c r="AW197" s="55"/>
      <c r="AX197" s="32"/>
      <c r="AY197" s="54"/>
      <c r="AZ197" s="21" t="str">
        <f>IFERROR(VLOOKUP(August[[#This Row],[Drug Name5]],'Data Options'!$R$1:$S$100,2,FALSE), " ")</f>
        <v xml:space="preserve"> </v>
      </c>
      <c r="BA197" s="55"/>
      <c r="BB197" s="32"/>
      <c r="BC197" s="32"/>
      <c r="BD197" s="55"/>
      <c r="BE197" s="32"/>
      <c r="BF197" s="54"/>
      <c r="BG197" s="21" t="str">
        <f>IFERROR(VLOOKUP(August[[#This Row],[Drug Name6]],'Data Options'!$R$1:$S$100,2,FALSE), " ")</f>
        <v xml:space="preserve"> </v>
      </c>
      <c r="BH197" s="55"/>
      <c r="BI197" s="32"/>
      <c r="BJ197" s="32"/>
      <c r="BK197" s="55"/>
      <c r="BL197" s="32"/>
      <c r="BM197" s="32"/>
      <c r="BN197" s="32"/>
      <c r="BO197" s="32"/>
      <c r="BP197" s="32"/>
      <c r="BQ197" s="31"/>
      <c r="BR197" s="31"/>
      <c r="BS197" s="54"/>
      <c r="BT197" s="21" t="str">
        <f>IFERROR(VLOOKUP(August[[#This Row],[Drug Name7]],'Data Options'!$R$1:$S$100,2,FALSE), " ")</f>
        <v xml:space="preserve"> </v>
      </c>
      <c r="BU197" s="55"/>
      <c r="BV197" s="32"/>
      <c r="BW197" s="32"/>
      <c r="BX197" s="55"/>
      <c r="BY197" s="32"/>
      <c r="BZ197" s="54"/>
      <c r="CA197" s="21" t="str">
        <f>IFERROR(VLOOKUP(August[[#This Row],[Drug Name8]],'Data Options'!$R$1:$S$100,2,FALSE), " ")</f>
        <v xml:space="preserve"> </v>
      </c>
      <c r="CB197" s="55"/>
      <c r="CC197" s="32"/>
      <c r="CD197" s="32"/>
      <c r="CE197" s="55"/>
      <c r="CF197" s="32"/>
      <c r="CG197" s="54"/>
      <c r="CH197" s="21" t="str">
        <f>IFERROR(VLOOKUP(August[[#This Row],[Drug Name9]],'Data Options'!$R$1:$S$100,2,FALSE), " ")</f>
        <v xml:space="preserve"> </v>
      </c>
      <c r="CI197" s="55"/>
      <c r="CJ197" s="32"/>
      <c r="CK197" s="32"/>
      <c r="CL197" s="55"/>
      <c r="CM197" s="32"/>
    </row>
    <row r="198" spans="1:91">
      <c r="A198" s="5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1"/>
      <c r="P198" s="31"/>
      <c r="Q198" s="54"/>
      <c r="R198" s="21" t="str">
        <f>IFERROR(VLOOKUP(August[[#This Row],[Drug Name]],'Data Options'!$R$1:$S$100,2,FALSE), " ")</f>
        <v xml:space="preserve"> </v>
      </c>
      <c r="S198" s="55"/>
      <c r="T198" s="32"/>
      <c r="U198" s="32"/>
      <c r="V198" s="55"/>
      <c r="W198" s="32"/>
      <c r="X198" s="54"/>
      <c r="Y198" s="21" t="str">
        <f>IFERROR(VLOOKUP(August[[#This Row],[Drug Name2]],'Data Options'!$R$1:$S$100,2,FALSE), " ")</f>
        <v xml:space="preserve"> </v>
      </c>
      <c r="Z198" s="55"/>
      <c r="AA198" s="32"/>
      <c r="AB198" s="32"/>
      <c r="AC198" s="55"/>
      <c r="AD198" s="32"/>
      <c r="AE198" s="54"/>
      <c r="AF198" s="21" t="str">
        <f>IFERROR(VLOOKUP(August[[#This Row],[Drug Name3]],'Data Options'!$R$1:$S$100,2,FALSE), " ")</f>
        <v xml:space="preserve"> </v>
      </c>
      <c r="AG198" s="55"/>
      <c r="AH198" s="32"/>
      <c r="AI198" s="32"/>
      <c r="AJ198" s="55"/>
      <c r="AK198" s="32"/>
      <c r="AL198" s="32"/>
      <c r="AM198" s="32"/>
      <c r="AN198" s="32"/>
      <c r="AO198" s="32"/>
      <c r="AP198" s="31"/>
      <c r="AQ198" s="31"/>
      <c r="AR198" s="54"/>
      <c r="AS198" s="21" t="str">
        <f>IFERROR(VLOOKUP(August[[#This Row],[Drug Name4]],'Data Options'!$R$1:$S$100,2,FALSE), " ")</f>
        <v xml:space="preserve"> </v>
      </c>
      <c r="AT198" s="55"/>
      <c r="AU198" s="32"/>
      <c r="AV198" s="32"/>
      <c r="AW198" s="55"/>
      <c r="AX198" s="32"/>
      <c r="AY198" s="54"/>
      <c r="AZ198" s="21" t="str">
        <f>IFERROR(VLOOKUP(August[[#This Row],[Drug Name5]],'Data Options'!$R$1:$S$100,2,FALSE), " ")</f>
        <v xml:space="preserve"> </v>
      </c>
      <c r="BA198" s="55"/>
      <c r="BB198" s="32"/>
      <c r="BC198" s="32"/>
      <c r="BD198" s="55"/>
      <c r="BE198" s="32"/>
      <c r="BF198" s="54"/>
      <c r="BG198" s="21" t="str">
        <f>IFERROR(VLOOKUP(August[[#This Row],[Drug Name6]],'Data Options'!$R$1:$S$100,2,FALSE), " ")</f>
        <v xml:space="preserve"> </v>
      </c>
      <c r="BH198" s="55"/>
      <c r="BI198" s="32"/>
      <c r="BJ198" s="32"/>
      <c r="BK198" s="55"/>
      <c r="BL198" s="32"/>
      <c r="BM198" s="32"/>
      <c r="BN198" s="32"/>
      <c r="BO198" s="32"/>
      <c r="BP198" s="32"/>
      <c r="BQ198" s="31"/>
      <c r="BR198" s="31"/>
      <c r="BS198" s="54"/>
      <c r="BT198" s="21" t="str">
        <f>IFERROR(VLOOKUP(August[[#This Row],[Drug Name7]],'Data Options'!$R$1:$S$100,2,FALSE), " ")</f>
        <v xml:space="preserve"> </v>
      </c>
      <c r="BU198" s="55"/>
      <c r="BV198" s="32"/>
      <c r="BW198" s="32"/>
      <c r="BX198" s="55"/>
      <c r="BY198" s="32"/>
      <c r="BZ198" s="54"/>
      <c r="CA198" s="21" t="str">
        <f>IFERROR(VLOOKUP(August[[#This Row],[Drug Name8]],'Data Options'!$R$1:$S$100,2,FALSE), " ")</f>
        <v xml:space="preserve"> </v>
      </c>
      <c r="CB198" s="55"/>
      <c r="CC198" s="32"/>
      <c r="CD198" s="32"/>
      <c r="CE198" s="55"/>
      <c r="CF198" s="32"/>
      <c r="CG198" s="54"/>
      <c r="CH198" s="21" t="str">
        <f>IFERROR(VLOOKUP(August[[#This Row],[Drug Name9]],'Data Options'!$R$1:$S$100,2,FALSE), " ")</f>
        <v xml:space="preserve"> </v>
      </c>
      <c r="CI198" s="55"/>
      <c r="CJ198" s="32"/>
      <c r="CK198" s="32"/>
      <c r="CL198" s="55"/>
      <c r="CM198" s="32"/>
    </row>
    <row r="199" spans="1:91">
      <c r="A199" s="5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1"/>
      <c r="P199" s="31"/>
      <c r="Q199" s="54"/>
      <c r="R199" s="21" t="str">
        <f>IFERROR(VLOOKUP(August[[#This Row],[Drug Name]],'Data Options'!$R$1:$S$100,2,FALSE), " ")</f>
        <v xml:space="preserve"> </v>
      </c>
      <c r="S199" s="55"/>
      <c r="T199" s="32"/>
      <c r="U199" s="32"/>
      <c r="V199" s="55"/>
      <c r="W199" s="32"/>
      <c r="X199" s="54"/>
      <c r="Y199" s="21" t="str">
        <f>IFERROR(VLOOKUP(August[[#This Row],[Drug Name2]],'Data Options'!$R$1:$S$100,2,FALSE), " ")</f>
        <v xml:space="preserve"> </v>
      </c>
      <c r="Z199" s="55"/>
      <c r="AA199" s="32"/>
      <c r="AB199" s="32"/>
      <c r="AC199" s="55"/>
      <c r="AD199" s="32"/>
      <c r="AE199" s="54"/>
      <c r="AF199" s="21" t="str">
        <f>IFERROR(VLOOKUP(August[[#This Row],[Drug Name3]],'Data Options'!$R$1:$S$100,2,FALSE), " ")</f>
        <v xml:space="preserve"> </v>
      </c>
      <c r="AG199" s="55"/>
      <c r="AH199" s="32"/>
      <c r="AI199" s="32"/>
      <c r="AJ199" s="55"/>
      <c r="AK199" s="32"/>
      <c r="AL199" s="32"/>
      <c r="AM199" s="32"/>
      <c r="AN199" s="32"/>
      <c r="AO199" s="32"/>
      <c r="AP199" s="31"/>
      <c r="AQ199" s="31"/>
      <c r="AR199" s="54"/>
      <c r="AS199" s="21" t="str">
        <f>IFERROR(VLOOKUP(August[[#This Row],[Drug Name4]],'Data Options'!$R$1:$S$100,2,FALSE), " ")</f>
        <v xml:space="preserve"> </v>
      </c>
      <c r="AT199" s="55"/>
      <c r="AU199" s="32"/>
      <c r="AV199" s="32"/>
      <c r="AW199" s="55"/>
      <c r="AX199" s="32"/>
      <c r="AY199" s="54"/>
      <c r="AZ199" s="21" t="str">
        <f>IFERROR(VLOOKUP(August[[#This Row],[Drug Name5]],'Data Options'!$R$1:$S$100,2,FALSE), " ")</f>
        <v xml:space="preserve"> </v>
      </c>
      <c r="BA199" s="55"/>
      <c r="BB199" s="32"/>
      <c r="BC199" s="32"/>
      <c r="BD199" s="55"/>
      <c r="BE199" s="32"/>
      <c r="BF199" s="54"/>
      <c r="BG199" s="21" t="str">
        <f>IFERROR(VLOOKUP(August[[#This Row],[Drug Name6]],'Data Options'!$R$1:$S$100,2,FALSE), " ")</f>
        <v xml:space="preserve"> </v>
      </c>
      <c r="BH199" s="55"/>
      <c r="BI199" s="32"/>
      <c r="BJ199" s="32"/>
      <c r="BK199" s="55"/>
      <c r="BL199" s="32"/>
      <c r="BM199" s="32"/>
      <c r="BN199" s="32"/>
      <c r="BO199" s="32"/>
      <c r="BP199" s="32"/>
      <c r="BQ199" s="31"/>
      <c r="BR199" s="31"/>
      <c r="BS199" s="54"/>
      <c r="BT199" s="21" t="str">
        <f>IFERROR(VLOOKUP(August[[#This Row],[Drug Name7]],'Data Options'!$R$1:$S$100,2,FALSE), " ")</f>
        <v xml:space="preserve"> </v>
      </c>
      <c r="BU199" s="55"/>
      <c r="BV199" s="32"/>
      <c r="BW199" s="32"/>
      <c r="BX199" s="55"/>
      <c r="BY199" s="32"/>
      <c r="BZ199" s="54"/>
      <c r="CA199" s="21" t="str">
        <f>IFERROR(VLOOKUP(August[[#This Row],[Drug Name8]],'Data Options'!$R$1:$S$100,2,FALSE), " ")</f>
        <v xml:space="preserve"> </v>
      </c>
      <c r="CB199" s="55"/>
      <c r="CC199" s="32"/>
      <c r="CD199" s="32"/>
      <c r="CE199" s="55"/>
      <c r="CF199" s="32"/>
      <c r="CG199" s="54"/>
      <c r="CH199" s="21" t="str">
        <f>IFERROR(VLOOKUP(August[[#This Row],[Drug Name9]],'Data Options'!$R$1:$S$100,2,FALSE), " ")</f>
        <v xml:space="preserve"> </v>
      </c>
      <c r="CI199" s="55"/>
      <c r="CJ199" s="32"/>
      <c r="CK199" s="32"/>
      <c r="CL199" s="55"/>
      <c r="CM199" s="32"/>
    </row>
    <row r="200" spans="1:91">
      <c r="A200" s="5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1"/>
      <c r="P200" s="31"/>
      <c r="Q200" s="54"/>
      <c r="R200" s="21" t="str">
        <f>IFERROR(VLOOKUP(August[[#This Row],[Drug Name]],'Data Options'!$R$1:$S$100,2,FALSE), " ")</f>
        <v xml:space="preserve"> </v>
      </c>
      <c r="S200" s="55"/>
      <c r="T200" s="32"/>
      <c r="U200" s="32"/>
      <c r="V200" s="55"/>
      <c r="W200" s="32"/>
      <c r="X200" s="54"/>
      <c r="Y200" s="21" t="str">
        <f>IFERROR(VLOOKUP(August[[#This Row],[Drug Name2]],'Data Options'!$R$1:$S$100,2,FALSE), " ")</f>
        <v xml:space="preserve"> </v>
      </c>
      <c r="Z200" s="55"/>
      <c r="AA200" s="32"/>
      <c r="AB200" s="32"/>
      <c r="AC200" s="55"/>
      <c r="AD200" s="32"/>
      <c r="AE200" s="54"/>
      <c r="AF200" s="21" t="str">
        <f>IFERROR(VLOOKUP(August[[#This Row],[Drug Name3]],'Data Options'!$R$1:$S$100,2,FALSE), " ")</f>
        <v xml:space="preserve"> </v>
      </c>
      <c r="AG200" s="55"/>
      <c r="AH200" s="32"/>
      <c r="AI200" s="32"/>
      <c r="AJ200" s="55"/>
      <c r="AK200" s="32"/>
      <c r="AL200" s="32"/>
      <c r="AM200" s="32"/>
      <c r="AN200" s="32"/>
      <c r="AO200" s="32"/>
      <c r="AP200" s="31"/>
      <c r="AQ200" s="31"/>
      <c r="AR200" s="54"/>
      <c r="AS200" s="21" t="str">
        <f>IFERROR(VLOOKUP(August[[#This Row],[Drug Name4]],'Data Options'!$R$1:$S$100,2,FALSE), " ")</f>
        <v xml:space="preserve"> </v>
      </c>
      <c r="AT200" s="55"/>
      <c r="AU200" s="32"/>
      <c r="AV200" s="32"/>
      <c r="AW200" s="55"/>
      <c r="AX200" s="32"/>
      <c r="AY200" s="54"/>
      <c r="AZ200" s="21" t="str">
        <f>IFERROR(VLOOKUP(August[[#This Row],[Drug Name5]],'Data Options'!$R$1:$S$100,2,FALSE), " ")</f>
        <v xml:space="preserve"> </v>
      </c>
      <c r="BA200" s="55"/>
      <c r="BB200" s="32"/>
      <c r="BC200" s="32"/>
      <c r="BD200" s="55"/>
      <c r="BE200" s="32"/>
      <c r="BF200" s="54"/>
      <c r="BG200" s="21" t="str">
        <f>IFERROR(VLOOKUP(August[[#This Row],[Drug Name6]],'Data Options'!$R$1:$S$100,2,FALSE), " ")</f>
        <v xml:space="preserve"> </v>
      </c>
      <c r="BH200" s="55"/>
      <c r="BI200" s="32"/>
      <c r="BJ200" s="32"/>
      <c r="BK200" s="55"/>
      <c r="BL200" s="32"/>
      <c r="BM200" s="32"/>
      <c r="BN200" s="32"/>
      <c r="BO200" s="32"/>
      <c r="BP200" s="32"/>
      <c r="BQ200" s="31"/>
      <c r="BR200" s="31"/>
      <c r="BS200" s="54"/>
      <c r="BT200" s="21" t="str">
        <f>IFERROR(VLOOKUP(August[[#This Row],[Drug Name7]],'Data Options'!$R$1:$S$100,2,FALSE), " ")</f>
        <v xml:space="preserve"> </v>
      </c>
      <c r="BU200" s="55"/>
      <c r="BV200" s="32"/>
      <c r="BW200" s="32"/>
      <c r="BX200" s="55"/>
      <c r="BY200" s="32"/>
      <c r="BZ200" s="54"/>
      <c r="CA200" s="21" t="str">
        <f>IFERROR(VLOOKUP(August[[#This Row],[Drug Name8]],'Data Options'!$R$1:$S$100,2,FALSE), " ")</f>
        <v xml:space="preserve"> </v>
      </c>
      <c r="CB200" s="55"/>
      <c r="CC200" s="32"/>
      <c r="CD200" s="32"/>
      <c r="CE200" s="55"/>
      <c r="CF200" s="32"/>
      <c r="CG200" s="54"/>
      <c r="CH200" s="21" t="str">
        <f>IFERROR(VLOOKUP(August[[#This Row],[Drug Name9]],'Data Options'!$R$1:$S$100,2,FALSE), " ")</f>
        <v xml:space="preserve"> </v>
      </c>
      <c r="CI200" s="55"/>
      <c r="CJ200" s="32"/>
      <c r="CK200" s="32"/>
      <c r="CL200" s="55"/>
      <c r="CM200" s="32"/>
    </row>
    <row r="201" spans="1:91">
      <c r="A201" s="5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1"/>
      <c r="P201" s="31"/>
      <c r="Q201" s="54"/>
      <c r="R201" s="21" t="str">
        <f>IFERROR(VLOOKUP(August[[#This Row],[Drug Name]],'Data Options'!$R$1:$S$100,2,FALSE), " ")</f>
        <v xml:space="preserve"> </v>
      </c>
      <c r="S201" s="55"/>
      <c r="T201" s="32"/>
      <c r="U201" s="32"/>
      <c r="V201" s="55"/>
      <c r="W201" s="32"/>
      <c r="X201" s="54"/>
      <c r="Y201" s="21" t="str">
        <f>IFERROR(VLOOKUP(August[[#This Row],[Drug Name2]],'Data Options'!$R$1:$S$100,2,FALSE), " ")</f>
        <v xml:space="preserve"> </v>
      </c>
      <c r="Z201" s="55"/>
      <c r="AA201" s="32"/>
      <c r="AB201" s="32"/>
      <c r="AC201" s="55"/>
      <c r="AD201" s="32"/>
      <c r="AE201" s="54"/>
      <c r="AF201" s="21" t="str">
        <f>IFERROR(VLOOKUP(August[[#This Row],[Drug Name3]],'Data Options'!$R$1:$S$100,2,FALSE), " ")</f>
        <v xml:space="preserve"> </v>
      </c>
      <c r="AG201" s="55"/>
      <c r="AH201" s="32"/>
      <c r="AI201" s="32"/>
      <c r="AJ201" s="55"/>
      <c r="AK201" s="32"/>
      <c r="AL201" s="32"/>
      <c r="AM201" s="32"/>
      <c r="AN201" s="32"/>
      <c r="AO201" s="32"/>
      <c r="AP201" s="31"/>
      <c r="AQ201" s="31"/>
      <c r="AR201" s="54"/>
      <c r="AS201" s="21" t="str">
        <f>IFERROR(VLOOKUP(August[[#This Row],[Drug Name4]],'Data Options'!$R$1:$S$100,2,FALSE), " ")</f>
        <v xml:space="preserve"> </v>
      </c>
      <c r="AT201" s="55"/>
      <c r="AU201" s="32"/>
      <c r="AV201" s="32"/>
      <c r="AW201" s="55"/>
      <c r="AX201" s="32"/>
      <c r="AY201" s="54"/>
      <c r="AZ201" s="21" t="str">
        <f>IFERROR(VLOOKUP(August[[#This Row],[Drug Name5]],'Data Options'!$R$1:$S$100,2,FALSE), " ")</f>
        <v xml:space="preserve"> </v>
      </c>
      <c r="BA201" s="55"/>
      <c r="BB201" s="32"/>
      <c r="BC201" s="32"/>
      <c r="BD201" s="55"/>
      <c r="BE201" s="32"/>
      <c r="BF201" s="54"/>
      <c r="BG201" s="21" t="str">
        <f>IFERROR(VLOOKUP(August[[#This Row],[Drug Name6]],'Data Options'!$R$1:$S$100,2,FALSE), " ")</f>
        <v xml:space="preserve"> </v>
      </c>
      <c r="BH201" s="55"/>
      <c r="BI201" s="32"/>
      <c r="BJ201" s="32"/>
      <c r="BK201" s="55"/>
      <c r="BL201" s="32"/>
      <c r="BM201" s="32"/>
      <c r="BN201" s="32"/>
      <c r="BO201" s="32"/>
      <c r="BP201" s="32"/>
      <c r="BQ201" s="31"/>
      <c r="BR201" s="31"/>
      <c r="BS201" s="54"/>
      <c r="BT201" s="21" t="str">
        <f>IFERROR(VLOOKUP(August[[#This Row],[Drug Name7]],'Data Options'!$R$1:$S$100,2,FALSE), " ")</f>
        <v xml:space="preserve"> </v>
      </c>
      <c r="BU201" s="55"/>
      <c r="BV201" s="32"/>
      <c r="BW201" s="32"/>
      <c r="BX201" s="55"/>
      <c r="BY201" s="32"/>
      <c r="BZ201" s="54"/>
      <c r="CA201" s="21" t="str">
        <f>IFERROR(VLOOKUP(August[[#This Row],[Drug Name8]],'Data Options'!$R$1:$S$100,2,FALSE), " ")</f>
        <v xml:space="preserve"> </v>
      </c>
      <c r="CB201" s="55"/>
      <c r="CC201" s="32"/>
      <c r="CD201" s="32"/>
      <c r="CE201" s="55"/>
      <c r="CF201" s="32"/>
      <c r="CG201" s="54"/>
      <c r="CH201" s="21" t="str">
        <f>IFERROR(VLOOKUP(August[[#This Row],[Drug Name9]],'Data Options'!$R$1:$S$100,2,FALSE), " ")</f>
        <v xml:space="preserve"> </v>
      </c>
      <c r="CI201" s="55"/>
      <c r="CJ201" s="32"/>
      <c r="CK201" s="32"/>
      <c r="CL201" s="55"/>
      <c r="CM201" s="32"/>
    </row>
    <row r="202" spans="1:91">
      <c r="A202" s="24" t="s">
        <v>239</v>
      </c>
      <c r="X202" s="54"/>
      <c r="Z202" s="32"/>
      <c r="AA202" s="32"/>
      <c r="AB202" s="32"/>
      <c r="AC202" s="32"/>
      <c r="AD202" s="32"/>
      <c r="AE202" s="54"/>
      <c r="AG202" s="32"/>
      <c r="AH202" s="32"/>
      <c r="AI202" s="32"/>
      <c r="AJ202" s="32"/>
      <c r="AK202" s="32"/>
      <c r="AL202" s="32"/>
      <c r="AN202" s="32"/>
      <c r="AO202" s="32"/>
      <c r="AP202" s="31"/>
      <c r="AQ202" s="31"/>
      <c r="AR202" s="54"/>
      <c r="AT202" s="32"/>
      <c r="AU202" s="32"/>
      <c r="AV202" s="32"/>
      <c r="AW202" s="32"/>
      <c r="AX202" s="32"/>
      <c r="AY202" s="54"/>
      <c r="BA202" s="32"/>
      <c r="BB202" s="32"/>
      <c r="BC202" s="32"/>
      <c r="BD202" s="32"/>
      <c r="BE202" s="32"/>
      <c r="BF202" s="54"/>
      <c r="BH202" s="32"/>
      <c r="BI202" s="32"/>
      <c r="BJ202" s="32"/>
      <c r="BK202" s="32"/>
      <c r="BL202" s="32"/>
      <c r="BM202" s="32"/>
      <c r="BO202" s="32"/>
      <c r="BP202" s="32"/>
      <c r="BQ202" s="31"/>
      <c r="BR202" s="31"/>
      <c r="BS202" s="54"/>
      <c r="BU202" s="32"/>
      <c r="BV202" s="32"/>
      <c r="BW202" s="32"/>
      <c r="BX202" s="32"/>
      <c r="BY202" s="32"/>
      <c r="BZ202" s="54"/>
      <c r="CB202" s="32"/>
      <c r="CC202" s="32"/>
      <c r="CD202" s="32"/>
      <c r="CE202" s="32"/>
      <c r="CF202" s="32"/>
      <c r="CG202" s="54"/>
      <c r="CI202" s="32"/>
      <c r="CJ202" s="32"/>
      <c r="CK202" s="32"/>
      <c r="CL202" s="32"/>
      <c r="CM202" s="40">
        <f>SUBTOTAL(103,August[Location Filled9])</f>
        <v>0</v>
      </c>
    </row>
  </sheetData>
  <sheetProtection algorithmName="SHA-512" hashValue="0kRnhNIICCN34Yi2LXINAd5ghDKajSim1ZcomRz170H0oBklWlD75STibqyRlhCT2rpHZycfxiUlNSHAqAlfcg==" saltValue="eFMYA2r9XHJor5BrLTQfoA==" spinCount="100000" sheet="1" objects="1" scenarios="1"/>
  <mergeCells count="13">
    <mergeCell ref="AR2:AX2"/>
    <mergeCell ref="BS2:BY2"/>
    <mergeCell ref="BZ2:CF2"/>
    <mergeCell ref="CG2:CM2"/>
    <mergeCell ref="AL1:AQ2"/>
    <mergeCell ref="BM1:BR2"/>
    <mergeCell ref="BF2:BL2"/>
    <mergeCell ref="A1:J2"/>
    <mergeCell ref="K1:AF1"/>
    <mergeCell ref="K2:P2"/>
    <mergeCell ref="Q2:V2"/>
    <mergeCell ref="X2:AD2"/>
    <mergeCell ref="AE2:AK2"/>
  </mergeCells>
  <dataValidations count="19">
    <dataValidation type="list" allowBlank="1" showInputMessage="1" showErrorMessage="1" sqref="D4:D201">
      <formula1>INDIRECT("Species")</formula1>
    </dataValidation>
    <dataValidation type="list" allowBlank="1" showInputMessage="1" showErrorMessage="1" sqref="E4:E201">
      <formula1>INDIRECT("Sex")</formula1>
    </dataValidation>
    <dataValidation type="list" allowBlank="1" showInputMessage="1" showErrorMessage="1" sqref="F4:F201">
      <formula1>INDIRECT("Age")</formula1>
    </dataValidation>
    <dataValidation type="list" allowBlank="1" showInputMessage="1" showErrorMessage="1" sqref="G4:G201">
      <formula1>INDIRECT("Visit_Reason")</formula1>
    </dataValidation>
    <dataValidation type="list" allowBlank="1" showInputMessage="1" showErrorMessage="1" sqref="I4:I201">
      <formula1>INDIRECT("ABX_YN")</formula1>
    </dataValidation>
    <dataValidation type="list" allowBlank="1" showInputMessage="1" showErrorMessage="1" sqref="K4:K201 AL4:AL201 BM4:BM201">
      <formula1>INDIRECT("Disease_Type")</formula1>
    </dataValidation>
    <dataValidation type="list" allowBlank="1" showInputMessage="1" showErrorMessage="1" sqref="M4:M201 AN4:AN201 BO4:BO201">
      <formula1>INDIRECT("Disease_Descrip")</formula1>
    </dataValidation>
    <dataValidation type="list" allowBlank="1" showInputMessage="1" showErrorMessage="1" sqref="N4:N201 AO4:AO201 BP4:BP201">
      <formula1>INDIRECT("Dz_Abx_Num")</formula1>
    </dataValidation>
    <dataValidation type="list" allowBlank="1" showInputMessage="1" showErrorMessage="1" sqref="O4:O201 AP4:AP201 BQ4:BQ201">
      <formula1>INDIRECT("Diagnostics_Offer_YN")</formula1>
    </dataValidation>
    <dataValidation type="list" allowBlank="1" showInputMessage="1" showErrorMessage="1" sqref="P4:P201 AQ4:AQ201 BR4:BR201">
      <formula1>INDIRECT("Diagnostics_Performed_YN")</formula1>
    </dataValidation>
    <dataValidation type="list" allowBlank="1" showInputMessage="1" showErrorMessage="1" sqref="Q4:Q201 X4:X201 AE4:AE201 AR4:AR201 AY4:AY201 BF4:BF201 BS4:BS201 BZ4:BZ201 CG4:CG201">
      <formula1>INDIRECT("Drug_Name")</formula1>
    </dataValidation>
    <dataValidation type="list" allowBlank="1" showInputMessage="1" showErrorMessage="1" sqref="T4:T201 AA4:AA201 AH4:AH201 AU4:AU201 BB4:BB201 BI4:BI201 BV4:BV201 CC4:CC201 CJ4:CJ201">
      <formula1>INDIRECT("Abx_Freq")</formula1>
    </dataValidation>
    <dataValidation type="list" allowBlank="1" showInputMessage="1" showErrorMessage="1" sqref="U4:U201 AB4:AB201 AI4:AI201 AV4:AV201 BC4:BC201 BJ4:BJ201 BW4:BW201 CD4:CD201 CK4:CK201">
      <formula1>INDIRECT("Abx_Route")</formula1>
    </dataValidation>
    <dataValidation type="list" allowBlank="1" showInputMessage="1" showErrorMessage="1" sqref="W4:W201 AD4:AD201 AK4:AK201 AX4:AX201 BE4:BE201 BL4:BL201 BY4:BY201 CF4:CF201 CM4:CM201">
      <formula1>INDIRECT("Prescription_Type")</formula1>
    </dataValidation>
    <dataValidation allowBlank="1" showInputMessage="1" showErrorMessage="1" prompt="Only type here IF Reason for Visit is Other " sqref="H5:H201"/>
    <dataValidation type="whole" allowBlank="1" showInputMessage="1" showErrorMessage="1" promptTitle="Total Number of Antibiotics" prompt="This should include ALL antibiotics prescribed to this patient during this visit for ALL conditions. " sqref="J4:J201">
      <formula1>0</formula1>
      <formula2>9</formula2>
    </dataValidation>
    <dataValidation allowBlank="1" showInputMessage="1" showErrorMessage="1" prompt="Only type in this column IF Disease/Infection Type is Other" sqref="L4:L201 AM4:AM201 BN4:BN201"/>
    <dataValidation allowBlank="1" showInputMessage="1" showErrorMessage="1" prompt="Only type in this column IF Reason for Visit is Other " sqref="H4"/>
    <dataValidation type="decimal" allowBlank="1" showInputMessage="1" showErrorMessage="1" sqref="S4:S201 Z4:Z201 V4:V201 AC4:AC201 AG4:AG201 AJ4:AJ201 AT4:AT201 AW4:AW201 BD4:BD201 BA4:BA201 BH4:BH201 BK4:BK201 BU4:BU201 BX4:BX201 CB4:CB201 CE4:CE201 CI4:CI201 CL4:CL201">
      <formula1>0</formula1>
      <formula2>5000</formula2>
    </dataValidation>
  </dataValidation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02"/>
  <sheetViews>
    <sheetView workbookViewId="0">
      <pane ySplit="3" topLeftCell="A4" activePane="bottomLeft" state="frozen"/>
      <selection pane="bottomLeft" activeCell="A4" sqref="A4"/>
    </sheetView>
  </sheetViews>
  <sheetFormatPr defaultColWidth="10.83203125" defaultRowHeight="15.5"/>
  <cols>
    <col min="1" max="16384" width="10.83203125" style="24"/>
  </cols>
  <sheetData>
    <row r="1" spans="1:91" ht="21">
      <c r="A1" s="60" t="s">
        <v>103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43"/>
      <c r="AH1" s="43"/>
      <c r="AI1" s="43"/>
      <c r="AJ1" s="43"/>
      <c r="AK1" s="43"/>
      <c r="AL1" s="70" t="s">
        <v>154</v>
      </c>
      <c r="AM1" s="70"/>
      <c r="AN1" s="70"/>
      <c r="AO1" s="70"/>
      <c r="AP1" s="70"/>
      <c r="AQ1" s="70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5"/>
      <c r="BI1" s="45"/>
      <c r="BJ1" s="45"/>
      <c r="BK1" s="45"/>
      <c r="BL1" s="45"/>
      <c r="BM1" s="71" t="s">
        <v>156</v>
      </c>
      <c r="BN1" s="71"/>
      <c r="BO1" s="71"/>
      <c r="BP1" s="71"/>
      <c r="BQ1" s="71"/>
      <c r="BR1" s="71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7"/>
      <c r="CJ1" s="47"/>
      <c r="CK1" s="47"/>
      <c r="CL1" s="47"/>
      <c r="CM1" s="47"/>
    </row>
    <row r="2" spans="1:91" ht="21">
      <c r="A2" s="60"/>
      <c r="B2" s="60"/>
      <c r="C2" s="60"/>
      <c r="D2" s="60"/>
      <c r="E2" s="60"/>
      <c r="F2" s="60"/>
      <c r="G2" s="60"/>
      <c r="H2" s="60"/>
      <c r="I2" s="60"/>
      <c r="J2" s="60"/>
      <c r="K2" s="62" t="s">
        <v>153</v>
      </c>
      <c r="L2" s="62"/>
      <c r="M2" s="62"/>
      <c r="N2" s="62"/>
      <c r="O2" s="62"/>
      <c r="P2" s="62"/>
      <c r="Q2" s="63" t="s">
        <v>104</v>
      </c>
      <c r="R2" s="63"/>
      <c r="S2" s="63"/>
      <c r="T2" s="63"/>
      <c r="U2" s="63"/>
      <c r="V2" s="63"/>
      <c r="W2" s="48"/>
      <c r="X2" s="64" t="s">
        <v>105</v>
      </c>
      <c r="Y2" s="64"/>
      <c r="Z2" s="64"/>
      <c r="AA2" s="64"/>
      <c r="AB2" s="64"/>
      <c r="AC2" s="64"/>
      <c r="AD2" s="64"/>
      <c r="AE2" s="65" t="s">
        <v>106</v>
      </c>
      <c r="AF2" s="65"/>
      <c r="AG2" s="65"/>
      <c r="AH2" s="65"/>
      <c r="AI2" s="65"/>
      <c r="AJ2" s="65"/>
      <c r="AK2" s="65"/>
      <c r="AL2" s="70"/>
      <c r="AM2" s="70"/>
      <c r="AN2" s="70"/>
      <c r="AO2" s="70"/>
      <c r="AP2" s="70"/>
      <c r="AQ2" s="70"/>
      <c r="AR2" s="66" t="s">
        <v>107</v>
      </c>
      <c r="AS2" s="66"/>
      <c r="AT2" s="66"/>
      <c r="AU2" s="66"/>
      <c r="AV2" s="66"/>
      <c r="AW2" s="66"/>
      <c r="AX2" s="66"/>
      <c r="AY2" s="49" t="s">
        <v>216</v>
      </c>
      <c r="AZ2" s="49"/>
      <c r="BA2" s="49"/>
      <c r="BB2" s="49"/>
      <c r="BC2" s="49"/>
      <c r="BD2" s="49"/>
      <c r="BE2" s="49"/>
      <c r="BF2" s="69" t="s">
        <v>155</v>
      </c>
      <c r="BG2" s="69"/>
      <c r="BH2" s="69"/>
      <c r="BI2" s="69"/>
      <c r="BJ2" s="69"/>
      <c r="BK2" s="69"/>
      <c r="BL2" s="69"/>
      <c r="BM2" s="71"/>
      <c r="BN2" s="71"/>
      <c r="BO2" s="71"/>
      <c r="BP2" s="71"/>
      <c r="BQ2" s="71"/>
      <c r="BR2" s="71"/>
      <c r="BS2" s="67" t="s">
        <v>109</v>
      </c>
      <c r="BT2" s="67"/>
      <c r="BU2" s="67"/>
      <c r="BV2" s="67"/>
      <c r="BW2" s="67"/>
      <c r="BX2" s="67"/>
      <c r="BY2" s="67"/>
      <c r="BZ2" s="68" t="s">
        <v>110</v>
      </c>
      <c r="CA2" s="68"/>
      <c r="CB2" s="68"/>
      <c r="CC2" s="68"/>
      <c r="CD2" s="68"/>
      <c r="CE2" s="68"/>
      <c r="CF2" s="68"/>
      <c r="CG2" s="69" t="s">
        <v>108</v>
      </c>
      <c r="CH2" s="69"/>
      <c r="CI2" s="69"/>
      <c r="CJ2" s="69"/>
      <c r="CK2" s="69"/>
      <c r="CL2" s="69"/>
      <c r="CM2" s="69"/>
    </row>
    <row r="3" spans="1:91" ht="93.5" thickBot="1">
      <c r="A3" s="50" t="s">
        <v>4</v>
      </c>
      <c r="B3" s="50" t="s">
        <v>217</v>
      </c>
      <c r="C3" s="50" t="s">
        <v>5</v>
      </c>
      <c r="D3" s="50" t="s">
        <v>6</v>
      </c>
      <c r="E3" s="50" t="s">
        <v>0</v>
      </c>
      <c r="F3" s="50" t="s">
        <v>111</v>
      </c>
      <c r="G3" s="50" t="s">
        <v>1</v>
      </c>
      <c r="H3" s="50" t="s">
        <v>150</v>
      </c>
      <c r="I3" s="50" t="s">
        <v>218</v>
      </c>
      <c r="J3" s="50" t="s">
        <v>214</v>
      </c>
      <c r="K3" s="50" t="s">
        <v>82</v>
      </c>
      <c r="L3" s="50" t="s">
        <v>215</v>
      </c>
      <c r="M3" s="50" t="s">
        <v>83</v>
      </c>
      <c r="N3" s="50" t="s">
        <v>211</v>
      </c>
      <c r="O3" s="50" t="s">
        <v>212</v>
      </c>
      <c r="P3" s="50" t="s">
        <v>213</v>
      </c>
      <c r="Q3" s="51" t="s">
        <v>8</v>
      </c>
      <c r="R3" s="51" t="s">
        <v>3</v>
      </c>
      <c r="S3" s="50" t="s">
        <v>84</v>
      </c>
      <c r="T3" s="50" t="s">
        <v>65</v>
      </c>
      <c r="U3" s="50" t="s">
        <v>85</v>
      </c>
      <c r="V3" s="50" t="s">
        <v>9</v>
      </c>
      <c r="W3" s="50" t="s">
        <v>219</v>
      </c>
      <c r="X3" s="51" t="s">
        <v>157</v>
      </c>
      <c r="Y3" s="51" t="s">
        <v>164</v>
      </c>
      <c r="Z3" s="50" t="s">
        <v>163</v>
      </c>
      <c r="AA3" s="50" t="s">
        <v>166</v>
      </c>
      <c r="AB3" s="50" t="s">
        <v>167</v>
      </c>
      <c r="AC3" s="50" t="s">
        <v>171</v>
      </c>
      <c r="AD3" s="50" t="s">
        <v>220</v>
      </c>
      <c r="AE3" s="51" t="s">
        <v>168</v>
      </c>
      <c r="AF3" s="51" t="s">
        <v>158</v>
      </c>
      <c r="AG3" s="50" t="s">
        <v>169</v>
      </c>
      <c r="AH3" s="50" t="s">
        <v>165</v>
      </c>
      <c r="AI3" s="50" t="s">
        <v>170</v>
      </c>
      <c r="AJ3" s="50" t="s">
        <v>172</v>
      </c>
      <c r="AK3" s="50" t="s">
        <v>221</v>
      </c>
      <c r="AL3" s="50" t="s">
        <v>173</v>
      </c>
      <c r="AM3" s="50" t="s">
        <v>222</v>
      </c>
      <c r="AN3" s="50" t="s">
        <v>174</v>
      </c>
      <c r="AO3" s="50" t="s">
        <v>175</v>
      </c>
      <c r="AP3" s="50" t="s">
        <v>223</v>
      </c>
      <c r="AQ3" s="50" t="s">
        <v>224</v>
      </c>
      <c r="AR3" s="51" t="s">
        <v>176</v>
      </c>
      <c r="AS3" s="51" t="s">
        <v>177</v>
      </c>
      <c r="AT3" s="50" t="s">
        <v>159</v>
      </c>
      <c r="AU3" s="50" t="s">
        <v>178</v>
      </c>
      <c r="AV3" s="50" t="s">
        <v>179</v>
      </c>
      <c r="AW3" s="50" t="s">
        <v>180</v>
      </c>
      <c r="AX3" s="50" t="s">
        <v>225</v>
      </c>
      <c r="AY3" s="51" t="s">
        <v>181</v>
      </c>
      <c r="AZ3" s="51" t="s">
        <v>182</v>
      </c>
      <c r="BA3" s="50" t="s">
        <v>183</v>
      </c>
      <c r="BB3" s="50" t="s">
        <v>160</v>
      </c>
      <c r="BC3" s="50" t="s">
        <v>184</v>
      </c>
      <c r="BD3" s="50" t="s">
        <v>185</v>
      </c>
      <c r="BE3" s="50" t="s">
        <v>226</v>
      </c>
      <c r="BF3" s="51" t="s">
        <v>186</v>
      </c>
      <c r="BG3" s="51" t="s">
        <v>187</v>
      </c>
      <c r="BH3" s="50" t="s">
        <v>188</v>
      </c>
      <c r="BI3" s="50" t="s">
        <v>189</v>
      </c>
      <c r="BJ3" s="50" t="s">
        <v>161</v>
      </c>
      <c r="BK3" s="50" t="s">
        <v>190</v>
      </c>
      <c r="BL3" s="50" t="s">
        <v>227</v>
      </c>
      <c r="BM3" s="50" t="s">
        <v>191</v>
      </c>
      <c r="BN3" s="50" t="s">
        <v>233</v>
      </c>
      <c r="BO3" s="50" t="s">
        <v>192</v>
      </c>
      <c r="BP3" s="50" t="s">
        <v>193</v>
      </c>
      <c r="BQ3" s="50" t="s">
        <v>228</v>
      </c>
      <c r="BR3" s="50" t="s">
        <v>229</v>
      </c>
      <c r="BS3" s="50" t="s">
        <v>194</v>
      </c>
      <c r="BT3" s="50" t="s">
        <v>195</v>
      </c>
      <c r="BU3" s="50" t="s">
        <v>196</v>
      </c>
      <c r="BV3" s="50" t="s">
        <v>197</v>
      </c>
      <c r="BW3" s="50" t="s">
        <v>198</v>
      </c>
      <c r="BX3" s="50" t="s">
        <v>162</v>
      </c>
      <c r="BY3" s="50" t="s">
        <v>230</v>
      </c>
      <c r="BZ3" s="50" t="s">
        <v>199</v>
      </c>
      <c r="CA3" s="50" t="s">
        <v>200</v>
      </c>
      <c r="CB3" s="50" t="s">
        <v>201</v>
      </c>
      <c r="CC3" s="50" t="s">
        <v>202</v>
      </c>
      <c r="CD3" s="50" t="s">
        <v>203</v>
      </c>
      <c r="CE3" s="50" t="s">
        <v>204</v>
      </c>
      <c r="CF3" s="50" t="s">
        <v>231</v>
      </c>
      <c r="CG3" s="50" t="s">
        <v>205</v>
      </c>
      <c r="CH3" s="50" t="s">
        <v>206</v>
      </c>
      <c r="CI3" s="50" t="s">
        <v>207</v>
      </c>
      <c r="CJ3" s="50" t="s">
        <v>208</v>
      </c>
      <c r="CK3" s="50" t="s">
        <v>209</v>
      </c>
      <c r="CL3" s="50" t="s">
        <v>210</v>
      </c>
      <c r="CM3" s="50" t="s">
        <v>232</v>
      </c>
    </row>
    <row r="4" spans="1:91">
      <c r="A4" s="52"/>
      <c r="B4" s="5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1"/>
      <c r="P4" s="31"/>
      <c r="Q4" s="54"/>
      <c r="R4" s="21" t="str">
        <f>IFERROR(VLOOKUP(September[[#This Row],[Drug Name]],'Data Options'!$R$1:$S$100,2,FALSE), " ")</f>
        <v xml:space="preserve"> </v>
      </c>
      <c r="S4" s="55"/>
      <c r="T4" s="32"/>
      <c r="U4" s="32"/>
      <c r="V4" s="55"/>
      <c r="W4" s="32"/>
      <c r="X4" s="54"/>
      <c r="Y4" s="21" t="str">
        <f>IFERROR(VLOOKUP(September[[#This Row],[Drug Name2]],'Data Options'!$R$1:$S$100,2,FALSE), " ")</f>
        <v xml:space="preserve"> </v>
      </c>
      <c r="Z4" s="55"/>
      <c r="AA4" s="32"/>
      <c r="AB4" s="32"/>
      <c r="AC4" s="55"/>
      <c r="AD4" s="32"/>
      <c r="AE4" s="54"/>
      <c r="AF4" s="21" t="str">
        <f>IFERROR(VLOOKUP(September[[#This Row],[Drug Name3]],'Data Options'!$R$1:$S$100,2,FALSE), " ")</f>
        <v xml:space="preserve"> </v>
      </c>
      <c r="AG4" s="55"/>
      <c r="AH4" s="32"/>
      <c r="AI4" s="32"/>
      <c r="AJ4" s="55"/>
      <c r="AK4" s="32"/>
      <c r="AL4" s="32"/>
      <c r="AM4" s="32"/>
      <c r="AN4" s="32"/>
      <c r="AO4" s="32"/>
      <c r="AP4" s="31"/>
      <c r="AQ4" s="31"/>
      <c r="AR4" s="54"/>
      <c r="AS4" s="21" t="str">
        <f>IFERROR(VLOOKUP(September[[#This Row],[Drug Name4]],'Data Options'!$R$1:$S$100,2,FALSE), " ")</f>
        <v xml:space="preserve"> </v>
      </c>
      <c r="AT4" s="55"/>
      <c r="AU4" s="32"/>
      <c r="AV4" s="32"/>
      <c r="AW4" s="55"/>
      <c r="AX4" s="32"/>
      <c r="AY4" s="54"/>
      <c r="AZ4" s="21" t="str">
        <f>IFERROR(VLOOKUP(September[[#This Row],[Drug Name5]],'Data Options'!$R$1:$S$100,2,FALSE), " ")</f>
        <v xml:space="preserve"> </v>
      </c>
      <c r="BA4" s="55"/>
      <c r="BB4" s="32"/>
      <c r="BC4" s="32"/>
      <c r="BD4" s="55"/>
      <c r="BE4" s="32"/>
      <c r="BF4" s="54"/>
      <c r="BG4" s="21" t="str">
        <f>IFERROR(VLOOKUP(September[[#This Row],[Drug Name6]],'Data Options'!$R$1:$S$100,2,FALSE), " ")</f>
        <v xml:space="preserve"> </v>
      </c>
      <c r="BH4" s="55"/>
      <c r="BI4" s="32"/>
      <c r="BJ4" s="32"/>
      <c r="BK4" s="55"/>
      <c r="BL4" s="32"/>
      <c r="BM4" s="32"/>
      <c r="BN4" s="32"/>
      <c r="BO4" s="32"/>
      <c r="BP4" s="32"/>
      <c r="BQ4" s="31"/>
      <c r="BR4" s="31"/>
      <c r="BS4" s="54"/>
      <c r="BT4" s="21" t="str">
        <f>IFERROR(VLOOKUP(September[[#This Row],[Drug Name7]],'Data Options'!$R$1:$S$100,2,FALSE), " ")</f>
        <v xml:space="preserve"> </v>
      </c>
      <c r="BU4" s="55"/>
      <c r="BV4" s="32"/>
      <c r="BW4" s="32"/>
      <c r="BX4" s="55"/>
      <c r="BY4" s="32"/>
      <c r="BZ4" s="54"/>
      <c r="CA4" s="21" t="str">
        <f>IFERROR(VLOOKUP(September[[#This Row],[Drug Name8]],'Data Options'!$R$1:$S$100,2,FALSE), " ")</f>
        <v xml:space="preserve"> </v>
      </c>
      <c r="CB4" s="55"/>
      <c r="CC4" s="32"/>
      <c r="CD4" s="32"/>
      <c r="CE4" s="55"/>
      <c r="CF4" s="32"/>
      <c r="CG4" s="54"/>
      <c r="CH4" s="21" t="str">
        <f>IFERROR(VLOOKUP(September[[#This Row],[Drug Name9]],'Data Options'!$R$1:$S$100,2,FALSE), " ")</f>
        <v xml:space="preserve"> </v>
      </c>
      <c r="CI4" s="55"/>
      <c r="CJ4" s="32"/>
      <c r="CK4" s="32"/>
      <c r="CL4" s="55"/>
      <c r="CM4" s="32"/>
    </row>
    <row r="5" spans="1:91">
      <c r="A5" s="5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1"/>
      <c r="P5" s="31"/>
      <c r="Q5" s="54"/>
      <c r="R5" s="21" t="str">
        <f>IFERROR(VLOOKUP(September[[#This Row],[Drug Name]],'Data Options'!$R$1:$S$100,2,FALSE), " ")</f>
        <v xml:space="preserve"> </v>
      </c>
      <c r="S5" s="55"/>
      <c r="T5" s="32"/>
      <c r="U5" s="32"/>
      <c r="V5" s="55"/>
      <c r="W5" s="32"/>
      <c r="X5" s="54"/>
      <c r="Y5" s="21" t="str">
        <f>IFERROR(VLOOKUP(September[[#This Row],[Drug Name2]],'Data Options'!$R$1:$S$100,2,FALSE), " ")</f>
        <v xml:space="preserve"> </v>
      </c>
      <c r="Z5" s="55"/>
      <c r="AA5" s="32"/>
      <c r="AB5" s="32"/>
      <c r="AC5" s="55"/>
      <c r="AD5" s="32"/>
      <c r="AE5" s="54"/>
      <c r="AF5" s="21" t="str">
        <f>IFERROR(VLOOKUP(September[[#This Row],[Drug Name3]],'Data Options'!$R$1:$S$100,2,FALSE), " ")</f>
        <v xml:space="preserve"> </v>
      </c>
      <c r="AG5" s="55"/>
      <c r="AH5" s="32"/>
      <c r="AI5" s="32"/>
      <c r="AJ5" s="55"/>
      <c r="AK5" s="32"/>
      <c r="AL5" s="32"/>
      <c r="AM5" s="32"/>
      <c r="AN5" s="32"/>
      <c r="AO5" s="32"/>
      <c r="AP5" s="31"/>
      <c r="AQ5" s="31"/>
      <c r="AR5" s="54"/>
      <c r="AS5" s="21" t="str">
        <f>IFERROR(VLOOKUP(September[[#This Row],[Drug Name4]],'Data Options'!$R$1:$S$100,2,FALSE), " ")</f>
        <v xml:space="preserve"> </v>
      </c>
      <c r="AT5" s="55"/>
      <c r="AU5" s="32"/>
      <c r="AV5" s="32"/>
      <c r="AW5" s="55"/>
      <c r="AX5" s="32"/>
      <c r="AY5" s="54"/>
      <c r="AZ5" s="21" t="str">
        <f>IFERROR(VLOOKUP(September[[#This Row],[Drug Name5]],'Data Options'!$R$1:$S$100,2,FALSE), " ")</f>
        <v xml:space="preserve"> </v>
      </c>
      <c r="BA5" s="55"/>
      <c r="BB5" s="32"/>
      <c r="BC5" s="32"/>
      <c r="BD5" s="55"/>
      <c r="BE5" s="32"/>
      <c r="BF5" s="54"/>
      <c r="BG5" s="21" t="str">
        <f>IFERROR(VLOOKUP(September[[#This Row],[Drug Name6]],'Data Options'!$R$1:$S$100,2,FALSE), " ")</f>
        <v xml:space="preserve"> </v>
      </c>
      <c r="BH5" s="55"/>
      <c r="BI5" s="32"/>
      <c r="BJ5" s="32"/>
      <c r="BK5" s="55"/>
      <c r="BL5" s="32"/>
      <c r="BM5" s="32"/>
      <c r="BN5" s="32"/>
      <c r="BO5" s="32"/>
      <c r="BP5" s="32"/>
      <c r="BQ5" s="31"/>
      <c r="BR5" s="31"/>
      <c r="BS5" s="54"/>
      <c r="BT5" s="21" t="str">
        <f>IFERROR(VLOOKUP(September[[#This Row],[Drug Name7]],'Data Options'!$R$1:$S$100,2,FALSE), " ")</f>
        <v xml:space="preserve"> </v>
      </c>
      <c r="BU5" s="55"/>
      <c r="BV5" s="32"/>
      <c r="BW5" s="32"/>
      <c r="BX5" s="55"/>
      <c r="BY5" s="32"/>
      <c r="BZ5" s="54"/>
      <c r="CA5" s="21" t="str">
        <f>IFERROR(VLOOKUP(September[[#This Row],[Drug Name8]],'Data Options'!$R$1:$S$100,2,FALSE), " ")</f>
        <v xml:space="preserve"> </v>
      </c>
      <c r="CB5" s="55"/>
      <c r="CC5" s="32"/>
      <c r="CD5" s="32"/>
      <c r="CE5" s="55"/>
      <c r="CF5" s="32"/>
      <c r="CG5" s="54"/>
      <c r="CH5" s="21" t="str">
        <f>IFERROR(VLOOKUP(September[[#This Row],[Drug Name9]],'Data Options'!$R$1:$S$100,2,FALSE), " ")</f>
        <v xml:space="preserve"> </v>
      </c>
      <c r="CI5" s="55"/>
      <c r="CJ5" s="32"/>
      <c r="CK5" s="32"/>
      <c r="CL5" s="55"/>
      <c r="CM5" s="32"/>
    </row>
    <row r="6" spans="1:91">
      <c r="A6" s="5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1"/>
      <c r="P6" s="31"/>
      <c r="Q6" s="54"/>
      <c r="R6" s="21" t="str">
        <f>IFERROR(VLOOKUP(September[[#This Row],[Drug Name]],'Data Options'!$R$1:$S$100,2,FALSE), " ")</f>
        <v xml:space="preserve"> </v>
      </c>
      <c r="S6" s="55"/>
      <c r="T6" s="32"/>
      <c r="U6" s="32"/>
      <c r="V6" s="55"/>
      <c r="W6" s="32"/>
      <c r="X6" s="54"/>
      <c r="Y6" s="21" t="str">
        <f>IFERROR(VLOOKUP(September[[#This Row],[Drug Name2]],'Data Options'!$R$1:$S$100,2,FALSE), " ")</f>
        <v xml:space="preserve"> </v>
      </c>
      <c r="Z6" s="55"/>
      <c r="AA6" s="32"/>
      <c r="AB6" s="32"/>
      <c r="AC6" s="55"/>
      <c r="AD6" s="32"/>
      <c r="AE6" s="54"/>
      <c r="AF6" s="21" t="str">
        <f>IFERROR(VLOOKUP(September[[#This Row],[Drug Name3]],'Data Options'!$R$1:$S$100,2,FALSE), " ")</f>
        <v xml:space="preserve"> </v>
      </c>
      <c r="AG6" s="55"/>
      <c r="AH6" s="32"/>
      <c r="AI6" s="32"/>
      <c r="AJ6" s="55"/>
      <c r="AK6" s="32"/>
      <c r="AL6" s="32"/>
      <c r="AM6" s="32"/>
      <c r="AN6" s="32"/>
      <c r="AO6" s="32"/>
      <c r="AP6" s="31"/>
      <c r="AQ6" s="31"/>
      <c r="AR6" s="54"/>
      <c r="AS6" s="21" t="str">
        <f>IFERROR(VLOOKUP(September[[#This Row],[Drug Name4]],'Data Options'!$R$1:$S$100,2,FALSE), " ")</f>
        <v xml:space="preserve"> </v>
      </c>
      <c r="AT6" s="55"/>
      <c r="AU6" s="32"/>
      <c r="AV6" s="32"/>
      <c r="AW6" s="55"/>
      <c r="AX6" s="32"/>
      <c r="AY6" s="54"/>
      <c r="AZ6" s="21" t="str">
        <f>IFERROR(VLOOKUP(September[[#This Row],[Drug Name5]],'Data Options'!$R$1:$S$100,2,FALSE), " ")</f>
        <v xml:space="preserve"> </v>
      </c>
      <c r="BA6" s="55"/>
      <c r="BB6" s="32"/>
      <c r="BC6" s="32"/>
      <c r="BD6" s="55"/>
      <c r="BE6" s="32"/>
      <c r="BF6" s="54"/>
      <c r="BG6" s="21" t="str">
        <f>IFERROR(VLOOKUP(September[[#This Row],[Drug Name6]],'Data Options'!$R$1:$S$100,2,FALSE), " ")</f>
        <v xml:space="preserve"> </v>
      </c>
      <c r="BH6" s="55"/>
      <c r="BI6" s="32"/>
      <c r="BJ6" s="32"/>
      <c r="BK6" s="55"/>
      <c r="BL6" s="32"/>
      <c r="BM6" s="32"/>
      <c r="BN6" s="32"/>
      <c r="BO6" s="32"/>
      <c r="BP6" s="32"/>
      <c r="BQ6" s="31"/>
      <c r="BR6" s="31"/>
      <c r="BS6" s="54"/>
      <c r="BT6" s="21" t="str">
        <f>IFERROR(VLOOKUP(September[[#This Row],[Drug Name7]],'Data Options'!$R$1:$S$100,2,FALSE), " ")</f>
        <v xml:space="preserve"> </v>
      </c>
      <c r="BU6" s="55"/>
      <c r="BV6" s="32"/>
      <c r="BW6" s="32"/>
      <c r="BX6" s="55"/>
      <c r="BY6" s="32"/>
      <c r="BZ6" s="54"/>
      <c r="CA6" s="21" t="str">
        <f>IFERROR(VLOOKUP(September[[#This Row],[Drug Name8]],'Data Options'!$R$1:$S$100,2,FALSE), " ")</f>
        <v xml:space="preserve"> </v>
      </c>
      <c r="CB6" s="55"/>
      <c r="CC6" s="32"/>
      <c r="CD6" s="32"/>
      <c r="CE6" s="55"/>
      <c r="CF6" s="32"/>
      <c r="CG6" s="54"/>
      <c r="CH6" s="21" t="str">
        <f>IFERROR(VLOOKUP(September[[#This Row],[Drug Name9]],'Data Options'!$R$1:$S$100,2,FALSE), " ")</f>
        <v xml:space="preserve"> </v>
      </c>
      <c r="CI6" s="55"/>
      <c r="CJ6" s="32"/>
      <c r="CK6" s="32"/>
      <c r="CL6" s="55"/>
      <c r="CM6" s="32"/>
    </row>
    <row r="7" spans="1:91">
      <c r="A7" s="5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1"/>
      <c r="P7" s="31"/>
      <c r="Q7" s="54"/>
      <c r="R7" s="21" t="str">
        <f>IFERROR(VLOOKUP(September[[#This Row],[Drug Name]],'Data Options'!$R$1:$S$100,2,FALSE), " ")</f>
        <v xml:space="preserve"> </v>
      </c>
      <c r="S7" s="55"/>
      <c r="T7" s="32"/>
      <c r="U7" s="32"/>
      <c r="V7" s="55"/>
      <c r="W7" s="32"/>
      <c r="X7" s="54"/>
      <c r="Y7" s="21" t="str">
        <f>IFERROR(VLOOKUP(September[[#This Row],[Drug Name2]],'Data Options'!$R$1:$S$100,2,FALSE), " ")</f>
        <v xml:space="preserve"> </v>
      </c>
      <c r="Z7" s="55"/>
      <c r="AA7" s="32"/>
      <c r="AB7" s="32"/>
      <c r="AC7" s="55"/>
      <c r="AD7" s="32"/>
      <c r="AE7" s="54"/>
      <c r="AF7" s="21" t="str">
        <f>IFERROR(VLOOKUP(September[[#This Row],[Drug Name3]],'Data Options'!$R$1:$S$100,2,FALSE), " ")</f>
        <v xml:space="preserve"> </v>
      </c>
      <c r="AG7" s="55"/>
      <c r="AH7" s="32"/>
      <c r="AI7" s="32"/>
      <c r="AJ7" s="55"/>
      <c r="AK7" s="32"/>
      <c r="AL7" s="32"/>
      <c r="AM7" s="32"/>
      <c r="AN7" s="32"/>
      <c r="AO7" s="32"/>
      <c r="AP7" s="31"/>
      <c r="AQ7" s="31"/>
      <c r="AR7" s="54"/>
      <c r="AS7" s="21" t="str">
        <f>IFERROR(VLOOKUP(September[[#This Row],[Drug Name4]],'Data Options'!$R$1:$S$100,2,FALSE), " ")</f>
        <v xml:space="preserve"> </v>
      </c>
      <c r="AT7" s="55"/>
      <c r="AU7" s="32"/>
      <c r="AV7" s="32"/>
      <c r="AW7" s="55"/>
      <c r="AX7" s="32"/>
      <c r="AY7" s="54"/>
      <c r="AZ7" s="21" t="str">
        <f>IFERROR(VLOOKUP(September[[#This Row],[Drug Name5]],'Data Options'!$R$1:$S$100,2,FALSE), " ")</f>
        <v xml:space="preserve"> </v>
      </c>
      <c r="BA7" s="55"/>
      <c r="BB7" s="32"/>
      <c r="BC7" s="32"/>
      <c r="BD7" s="55"/>
      <c r="BE7" s="32"/>
      <c r="BF7" s="54"/>
      <c r="BG7" s="21" t="str">
        <f>IFERROR(VLOOKUP(September[[#This Row],[Drug Name6]],'Data Options'!$R$1:$S$100,2,FALSE), " ")</f>
        <v xml:space="preserve"> </v>
      </c>
      <c r="BH7" s="55"/>
      <c r="BI7" s="32"/>
      <c r="BJ7" s="32"/>
      <c r="BK7" s="55"/>
      <c r="BL7" s="32"/>
      <c r="BM7" s="32"/>
      <c r="BN7" s="32"/>
      <c r="BO7" s="32"/>
      <c r="BP7" s="32"/>
      <c r="BQ7" s="31"/>
      <c r="BR7" s="31"/>
      <c r="BS7" s="54"/>
      <c r="BT7" s="21" t="str">
        <f>IFERROR(VLOOKUP(September[[#This Row],[Drug Name7]],'Data Options'!$R$1:$S$100,2,FALSE), " ")</f>
        <v xml:space="preserve"> </v>
      </c>
      <c r="BU7" s="55"/>
      <c r="BV7" s="32"/>
      <c r="BW7" s="32"/>
      <c r="BX7" s="55"/>
      <c r="BY7" s="32"/>
      <c r="BZ7" s="54"/>
      <c r="CA7" s="21" t="str">
        <f>IFERROR(VLOOKUP(September[[#This Row],[Drug Name8]],'Data Options'!$R$1:$S$100,2,FALSE), " ")</f>
        <v xml:space="preserve"> </v>
      </c>
      <c r="CB7" s="55"/>
      <c r="CC7" s="32"/>
      <c r="CD7" s="32"/>
      <c r="CE7" s="55"/>
      <c r="CF7" s="32"/>
      <c r="CG7" s="54"/>
      <c r="CH7" s="21" t="str">
        <f>IFERROR(VLOOKUP(September[[#This Row],[Drug Name9]],'Data Options'!$R$1:$S$100,2,FALSE), " ")</f>
        <v xml:space="preserve"> </v>
      </c>
      <c r="CI7" s="55"/>
      <c r="CJ7" s="32"/>
      <c r="CK7" s="32"/>
      <c r="CL7" s="55"/>
      <c r="CM7" s="32"/>
    </row>
    <row r="8" spans="1:91">
      <c r="A8" s="5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1"/>
      <c r="P8" s="31"/>
      <c r="Q8" s="54"/>
      <c r="R8" s="21" t="str">
        <f>IFERROR(VLOOKUP(September[[#This Row],[Drug Name]],'Data Options'!$R$1:$S$100,2,FALSE), " ")</f>
        <v xml:space="preserve"> </v>
      </c>
      <c r="S8" s="55"/>
      <c r="T8" s="32"/>
      <c r="U8" s="32"/>
      <c r="V8" s="55"/>
      <c r="W8" s="32"/>
      <c r="X8" s="54"/>
      <c r="Y8" s="21" t="str">
        <f>IFERROR(VLOOKUP(September[[#This Row],[Drug Name2]],'Data Options'!$R$1:$S$100,2,FALSE), " ")</f>
        <v xml:space="preserve"> </v>
      </c>
      <c r="Z8" s="55"/>
      <c r="AA8" s="32"/>
      <c r="AB8" s="32"/>
      <c r="AC8" s="55"/>
      <c r="AD8" s="32"/>
      <c r="AE8" s="54"/>
      <c r="AF8" s="21" t="str">
        <f>IFERROR(VLOOKUP(September[[#This Row],[Drug Name3]],'Data Options'!$R$1:$S$100,2,FALSE), " ")</f>
        <v xml:space="preserve"> </v>
      </c>
      <c r="AG8" s="55"/>
      <c r="AH8" s="32"/>
      <c r="AI8" s="32"/>
      <c r="AJ8" s="55"/>
      <c r="AK8" s="32"/>
      <c r="AL8" s="32"/>
      <c r="AM8" s="32"/>
      <c r="AN8" s="32"/>
      <c r="AO8" s="32"/>
      <c r="AP8" s="31"/>
      <c r="AQ8" s="31"/>
      <c r="AR8" s="54"/>
      <c r="AS8" s="21" t="str">
        <f>IFERROR(VLOOKUP(September[[#This Row],[Drug Name4]],'Data Options'!$R$1:$S$100,2,FALSE), " ")</f>
        <v xml:space="preserve"> </v>
      </c>
      <c r="AT8" s="55"/>
      <c r="AU8" s="32"/>
      <c r="AV8" s="32"/>
      <c r="AW8" s="55"/>
      <c r="AX8" s="32"/>
      <c r="AY8" s="54"/>
      <c r="AZ8" s="21" t="str">
        <f>IFERROR(VLOOKUP(September[[#This Row],[Drug Name5]],'Data Options'!$R$1:$S$100,2,FALSE), " ")</f>
        <v xml:space="preserve"> </v>
      </c>
      <c r="BA8" s="55"/>
      <c r="BB8" s="32"/>
      <c r="BC8" s="32"/>
      <c r="BD8" s="55"/>
      <c r="BE8" s="32"/>
      <c r="BF8" s="54"/>
      <c r="BG8" s="21" t="str">
        <f>IFERROR(VLOOKUP(September[[#This Row],[Drug Name6]],'Data Options'!$R$1:$S$100,2,FALSE), " ")</f>
        <v xml:space="preserve"> </v>
      </c>
      <c r="BH8" s="55"/>
      <c r="BI8" s="32"/>
      <c r="BJ8" s="32"/>
      <c r="BK8" s="55"/>
      <c r="BL8" s="32"/>
      <c r="BM8" s="32"/>
      <c r="BN8" s="32"/>
      <c r="BO8" s="32"/>
      <c r="BP8" s="32"/>
      <c r="BQ8" s="31"/>
      <c r="BR8" s="31"/>
      <c r="BS8" s="54"/>
      <c r="BT8" s="21" t="str">
        <f>IFERROR(VLOOKUP(September[[#This Row],[Drug Name7]],'Data Options'!$R$1:$S$100,2,FALSE), " ")</f>
        <v xml:space="preserve"> </v>
      </c>
      <c r="BU8" s="55"/>
      <c r="BV8" s="32"/>
      <c r="BW8" s="32"/>
      <c r="BX8" s="55"/>
      <c r="BY8" s="32"/>
      <c r="BZ8" s="54"/>
      <c r="CA8" s="21" t="str">
        <f>IFERROR(VLOOKUP(September[[#This Row],[Drug Name8]],'Data Options'!$R$1:$S$100,2,FALSE), " ")</f>
        <v xml:space="preserve"> </v>
      </c>
      <c r="CB8" s="55"/>
      <c r="CC8" s="32"/>
      <c r="CD8" s="32"/>
      <c r="CE8" s="55"/>
      <c r="CF8" s="32"/>
      <c r="CG8" s="54"/>
      <c r="CH8" s="21" t="str">
        <f>IFERROR(VLOOKUP(September[[#This Row],[Drug Name9]],'Data Options'!$R$1:$S$100,2,FALSE), " ")</f>
        <v xml:space="preserve"> </v>
      </c>
      <c r="CI8" s="55"/>
      <c r="CJ8" s="32"/>
      <c r="CK8" s="32"/>
      <c r="CL8" s="55"/>
      <c r="CM8" s="32"/>
    </row>
    <row r="9" spans="1:91">
      <c r="A9" s="5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1"/>
      <c r="P9" s="31"/>
      <c r="Q9" s="54"/>
      <c r="R9" s="21" t="str">
        <f>IFERROR(VLOOKUP(September[[#This Row],[Drug Name]],'Data Options'!$R$1:$S$100,2,FALSE), " ")</f>
        <v xml:space="preserve"> </v>
      </c>
      <c r="S9" s="55"/>
      <c r="T9" s="32"/>
      <c r="U9" s="32"/>
      <c r="V9" s="55"/>
      <c r="W9" s="32"/>
      <c r="X9" s="54"/>
      <c r="Y9" s="21" t="str">
        <f>IFERROR(VLOOKUP(September[[#This Row],[Drug Name2]],'Data Options'!$R$1:$S$100,2,FALSE), " ")</f>
        <v xml:space="preserve"> </v>
      </c>
      <c r="Z9" s="55"/>
      <c r="AA9" s="32"/>
      <c r="AB9" s="32"/>
      <c r="AC9" s="55"/>
      <c r="AD9" s="32"/>
      <c r="AE9" s="54"/>
      <c r="AF9" s="21" t="str">
        <f>IFERROR(VLOOKUP(September[[#This Row],[Drug Name3]],'Data Options'!$R$1:$S$100,2,FALSE), " ")</f>
        <v xml:space="preserve"> </v>
      </c>
      <c r="AG9" s="55"/>
      <c r="AH9" s="32"/>
      <c r="AI9" s="32"/>
      <c r="AJ9" s="55"/>
      <c r="AK9" s="32"/>
      <c r="AL9" s="32"/>
      <c r="AM9" s="32"/>
      <c r="AN9" s="32"/>
      <c r="AO9" s="32"/>
      <c r="AP9" s="31"/>
      <c r="AQ9" s="31"/>
      <c r="AR9" s="54"/>
      <c r="AS9" s="21" t="str">
        <f>IFERROR(VLOOKUP(September[[#This Row],[Drug Name4]],'Data Options'!$R$1:$S$100,2,FALSE), " ")</f>
        <v xml:space="preserve"> </v>
      </c>
      <c r="AT9" s="55"/>
      <c r="AU9" s="32"/>
      <c r="AV9" s="32"/>
      <c r="AW9" s="55"/>
      <c r="AX9" s="32"/>
      <c r="AY9" s="54"/>
      <c r="AZ9" s="21" t="str">
        <f>IFERROR(VLOOKUP(September[[#This Row],[Drug Name5]],'Data Options'!$R$1:$S$100,2,FALSE), " ")</f>
        <v xml:space="preserve"> </v>
      </c>
      <c r="BA9" s="55"/>
      <c r="BB9" s="32"/>
      <c r="BC9" s="32"/>
      <c r="BD9" s="55"/>
      <c r="BE9" s="32"/>
      <c r="BF9" s="54"/>
      <c r="BG9" s="21" t="str">
        <f>IFERROR(VLOOKUP(September[[#This Row],[Drug Name6]],'Data Options'!$R$1:$S$100,2,FALSE), " ")</f>
        <v xml:space="preserve"> </v>
      </c>
      <c r="BH9" s="55"/>
      <c r="BI9" s="32"/>
      <c r="BJ9" s="32"/>
      <c r="BK9" s="55"/>
      <c r="BL9" s="32"/>
      <c r="BM9" s="32"/>
      <c r="BN9" s="32"/>
      <c r="BO9" s="32"/>
      <c r="BP9" s="32"/>
      <c r="BQ9" s="31"/>
      <c r="BR9" s="31"/>
      <c r="BS9" s="54"/>
      <c r="BT9" s="21" t="str">
        <f>IFERROR(VLOOKUP(September[[#This Row],[Drug Name7]],'Data Options'!$R$1:$S$100,2,FALSE), " ")</f>
        <v xml:space="preserve"> </v>
      </c>
      <c r="BU9" s="55"/>
      <c r="BV9" s="32"/>
      <c r="BW9" s="32"/>
      <c r="BX9" s="55"/>
      <c r="BY9" s="32"/>
      <c r="BZ9" s="54"/>
      <c r="CA9" s="21" t="str">
        <f>IFERROR(VLOOKUP(September[[#This Row],[Drug Name8]],'Data Options'!$R$1:$S$100,2,FALSE), " ")</f>
        <v xml:space="preserve"> </v>
      </c>
      <c r="CB9" s="55"/>
      <c r="CC9" s="32"/>
      <c r="CD9" s="32"/>
      <c r="CE9" s="55"/>
      <c r="CF9" s="32"/>
      <c r="CG9" s="54"/>
      <c r="CH9" s="21" t="str">
        <f>IFERROR(VLOOKUP(September[[#This Row],[Drug Name9]],'Data Options'!$R$1:$S$100,2,FALSE), " ")</f>
        <v xml:space="preserve"> </v>
      </c>
      <c r="CI9" s="55"/>
      <c r="CJ9" s="32"/>
      <c r="CK9" s="32"/>
      <c r="CL9" s="55"/>
      <c r="CM9" s="32"/>
    </row>
    <row r="10" spans="1:91">
      <c r="A10" s="5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1"/>
      <c r="P10" s="31"/>
      <c r="Q10" s="54"/>
      <c r="R10" s="21" t="str">
        <f>IFERROR(VLOOKUP(September[[#This Row],[Drug Name]],'Data Options'!$R$1:$S$100,2,FALSE), " ")</f>
        <v xml:space="preserve"> </v>
      </c>
      <c r="S10" s="55"/>
      <c r="T10" s="32"/>
      <c r="U10" s="32"/>
      <c r="V10" s="55"/>
      <c r="W10" s="32"/>
      <c r="X10" s="54"/>
      <c r="Y10" s="21" t="str">
        <f>IFERROR(VLOOKUP(September[[#This Row],[Drug Name2]],'Data Options'!$R$1:$S$100,2,FALSE), " ")</f>
        <v xml:space="preserve"> </v>
      </c>
      <c r="Z10" s="55"/>
      <c r="AA10" s="32"/>
      <c r="AB10" s="32"/>
      <c r="AC10" s="55"/>
      <c r="AD10" s="32"/>
      <c r="AE10" s="54"/>
      <c r="AF10" s="21" t="str">
        <f>IFERROR(VLOOKUP(September[[#This Row],[Drug Name3]],'Data Options'!$R$1:$S$100,2,FALSE), " ")</f>
        <v xml:space="preserve"> </v>
      </c>
      <c r="AG10" s="55"/>
      <c r="AH10" s="32"/>
      <c r="AI10" s="32"/>
      <c r="AJ10" s="55"/>
      <c r="AK10" s="32"/>
      <c r="AL10" s="32"/>
      <c r="AM10" s="32"/>
      <c r="AN10" s="32"/>
      <c r="AO10" s="32"/>
      <c r="AP10" s="31"/>
      <c r="AQ10" s="31"/>
      <c r="AR10" s="54"/>
      <c r="AS10" s="21" t="str">
        <f>IFERROR(VLOOKUP(September[[#This Row],[Drug Name4]],'Data Options'!$R$1:$S$100,2,FALSE), " ")</f>
        <v xml:space="preserve"> </v>
      </c>
      <c r="AT10" s="55"/>
      <c r="AU10" s="32"/>
      <c r="AV10" s="32"/>
      <c r="AW10" s="55"/>
      <c r="AX10" s="32"/>
      <c r="AY10" s="54"/>
      <c r="AZ10" s="21" t="str">
        <f>IFERROR(VLOOKUP(September[[#This Row],[Drug Name5]],'Data Options'!$R$1:$S$100,2,FALSE), " ")</f>
        <v xml:space="preserve"> </v>
      </c>
      <c r="BA10" s="55"/>
      <c r="BB10" s="32"/>
      <c r="BC10" s="32"/>
      <c r="BD10" s="55"/>
      <c r="BE10" s="32"/>
      <c r="BF10" s="54"/>
      <c r="BG10" s="21" t="str">
        <f>IFERROR(VLOOKUP(September[[#This Row],[Drug Name6]],'Data Options'!$R$1:$S$100,2,FALSE), " ")</f>
        <v xml:space="preserve"> </v>
      </c>
      <c r="BH10" s="55"/>
      <c r="BI10" s="32"/>
      <c r="BJ10" s="32"/>
      <c r="BK10" s="55"/>
      <c r="BL10" s="32"/>
      <c r="BM10" s="32"/>
      <c r="BN10" s="32"/>
      <c r="BO10" s="32"/>
      <c r="BP10" s="32"/>
      <c r="BQ10" s="31"/>
      <c r="BR10" s="31"/>
      <c r="BS10" s="54"/>
      <c r="BT10" s="21" t="str">
        <f>IFERROR(VLOOKUP(September[[#This Row],[Drug Name7]],'Data Options'!$R$1:$S$100,2,FALSE), " ")</f>
        <v xml:space="preserve"> </v>
      </c>
      <c r="BU10" s="55"/>
      <c r="BV10" s="32"/>
      <c r="BW10" s="32"/>
      <c r="BX10" s="55"/>
      <c r="BY10" s="32"/>
      <c r="BZ10" s="54"/>
      <c r="CA10" s="21" t="str">
        <f>IFERROR(VLOOKUP(September[[#This Row],[Drug Name8]],'Data Options'!$R$1:$S$100,2,FALSE), " ")</f>
        <v xml:space="preserve"> </v>
      </c>
      <c r="CB10" s="55"/>
      <c r="CC10" s="32"/>
      <c r="CD10" s="32"/>
      <c r="CE10" s="55"/>
      <c r="CF10" s="32"/>
      <c r="CG10" s="54"/>
      <c r="CH10" s="21" t="str">
        <f>IFERROR(VLOOKUP(September[[#This Row],[Drug Name9]],'Data Options'!$R$1:$S$100,2,FALSE), " ")</f>
        <v xml:space="preserve"> </v>
      </c>
      <c r="CI10" s="55"/>
      <c r="CJ10" s="32"/>
      <c r="CK10" s="32"/>
      <c r="CL10" s="55"/>
      <c r="CM10" s="32"/>
    </row>
    <row r="11" spans="1:91">
      <c r="A11" s="5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1"/>
      <c r="P11" s="31"/>
      <c r="Q11" s="54"/>
      <c r="R11" s="21" t="str">
        <f>IFERROR(VLOOKUP(September[[#This Row],[Drug Name]],'Data Options'!$R$1:$S$100,2,FALSE), " ")</f>
        <v xml:space="preserve"> </v>
      </c>
      <c r="S11" s="55"/>
      <c r="T11" s="32"/>
      <c r="U11" s="32"/>
      <c r="V11" s="55"/>
      <c r="W11" s="32"/>
      <c r="X11" s="54"/>
      <c r="Y11" s="21" t="str">
        <f>IFERROR(VLOOKUP(September[[#This Row],[Drug Name2]],'Data Options'!$R$1:$S$100,2,FALSE), " ")</f>
        <v xml:space="preserve"> </v>
      </c>
      <c r="Z11" s="55"/>
      <c r="AA11" s="32"/>
      <c r="AB11" s="32"/>
      <c r="AC11" s="55"/>
      <c r="AD11" s="32"/>
      <c r="AE11" s="54"/>
      <c r="AF11" s="21" t="str">
        <f>IFERROR(VLOOKUP(September[[#This Row],[Drug Name3]],'Data Options'!$R$1:$S$100,2,FALSE), " ")</f>
        <v xml:space="preserve"> </v>
      </c>
      <c r="AG11" s="55"/>
      <c r="AH11" s="32"/>
      <c r="AI11" s="32"/>
      <c r="AJ11" s="55"/>
      <c r="AK11" s="32"/>
      <c r="AL11" s="32"/>
      <c r="AM11" s="32"/>
      <c r="AN11" s="32"/>
      <c r="AO11" s="32"/>
      <c r="AP11" s="31"/>
      <c r="AQ11" s="31"/>
      <c r="AR11" s="54"/>
      <c r="AS11" s="21" t="str">
        <f>IFERROR(VLOOKUP(September[[#This Row],[Drug Name4]],'Data Options'!$R$1:$S$100,2,FALSE), " ")</f>
        <v xml:space="preserve"> </v>
      </c>
      <c r="AT11" s="55"/>
      <c r="AU11" s="32"/>
      <c r="AV11" s="32"/>
      <c r="AW11" s="55"/>
      <c r="AX11" s="32"/>
      <c r="AY11" s="54"/>
      <c r="AZ11" s="21" t="str">
        <f>IFERROR(VLOOKUP(September[[#This Row],[Drug Name5]],'Data Options'!$R$1:$S$100,2,FALSE), " ")</f>
        <v xml:space="preserve"> </v>
      </c>
      <c r="BA11" s="55"/>
      <c r="BB11" s="32"/>
      <c r="BC11" s="32"/>
      <c r="BD11" s="55"/>
      <c r="BE11" s="32"/>
      <c r="BF11" s="54"/>
      <c r="BG11" s="21" t="str">
        <f>IFERROR(VLOOKUP(September[[#This Row],[Drug Name6]],'Data Options'!$R$1:$S$100,2,FALSE), " ")</f>
        <v xml:space="preserve"> </v>
      </c>
      <c r="BH11" s="55"/>
      <c r="BI11" s="32"/>
      <c r="BJ11" s="32"/>
      <c r="BK11" s="55"/>
      <c r="BL11" s="32"/>
      <c r="BM11" s="32"/>
      <c r="BN11" s="32"/>
      <c r="BO11" s="32"/>
      <c r="BP11" s="32"/>
      <c r="BQ11" s="31"/>
      <c r="BR11" s="31"/>
      <c r="BS11" s="54"/>
      <c r="BT11" s="21" t="str">
        <f>IFERROR(VLOOKUP(September[[#This Row],[Drug Name7]],'Data Options'!$R$1:$S$100,2,FALSE), " ")</f>
        <v xml:space="preserve"> </v>
      </c>
      <c r="BU11" s="55"/>
      <c r="BV11" s="32"/>
      <c r="BW11" s="32"/>
      <c r="BX11" s="55"/>
      <c r="BY11" s="32"/>
      <c r="BZ11" s="54"/>
      <c r="CA11" s="21" t="str">
        <f>IFERROR(VLOOKUP(September[[#This Row],[Drug Name8]],'Data Options'!$R$1:$S$100,2,FALSE), " ")</f>
        <v xml:space="preserve"> </v>
      </c>
      <c r="CB11" s="55"/>
      <c r="CC11" s="32"/>
      <c r="CD11" s="32"/>
      <c r="CE11" s="55"/>
      <c r="CF11" s="32"/>
      <c r="CG11" s="54"/>
      <c r="CH11" s="21" t="str">
        <f>IFERROR(VLOOKUP(September[[#This Row],[Drug Name9]],'Data Options'!$R$1:$S$100,2,FALSE), " ")</f>
        <v xml:space="preserve"> </v>
      </c>
      <c r="CI11" s="55"/>
      <c r="CJ11" s="32"/>
      <c r="CK11" s="32"/>
      <c r="CL11" s="55"/>
      <c r="CM11" s="32"/>
    </row>
    <row r="12" spans="1:91">
      <c r="A12" s="5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1"/>
      <c r="P12" s="31"/>
      <c r="Q12" s="54"/>
      <c r="R12" s="21" t="str">
        <f>IFERROR(VLOOKUP(September[[#This Row],[Drug Name]],'Data Options'!$R$1:$S$100,2,FALSE), " ")</f>
        <v xml:space="preserve"> </v>
      </c>
      <c r="S12" s="55"/>
      <c r="T12" s="32"/>
      <c r="U12" s="32"/>
      <c r="V12" s="55"/>
      <c r="W12" s="32"/>
      <c r="X12" s="54"/>
      <c r="Y12" s="21" t="str">
        <f>IFERROR(VLOOKUP(September[[#This Row],[Drug Name2]],'Data Options'!$R$1:$S$100,2,FALSE), " ")</f>
        <v xml:space="preserve"> </v>
      </c>
      <c r="Z12" s="55"/>
      <c r="AA12" s="32"/>
      <c r="AB12" s="32"/>
      <c r="AC12" s="55"/>
      <c r="AD12" s="32"/>
      <c r="AE12" s="54"/>
      <c r="AF12" s="21" t="str">
        <f>IFERROR(VLOOKUP(September[[#This Row],[Drug Name3]],'Data Options'!$R$1:$S$100,2,FALSE), " ")</f>
        <v xml:space="preserve"> </v>
      </c>
      <c r="AG12" s="55"/>
      <c r="AH12" s="32"/>
      <c r="AI12" s="32"/>
      <c r="AJ12" s="55"/>
      <c r="AK12" s="32"/>
      <c r="AL12" s="32"/>
      <c r="AM12" s="32"/>
      <c r="AN12" s="32"/>
      <c r="AO12" s="32"/>
      <c r="AP12" s="31"/>
      <c r="AQ12" s="31"/>
      <c r="AR12" s="54"/>
      <c r="AS12" s="21" t="str">
        <f>IFERROR(VLOOKUP(September[[#This Row],[Drug Name4]],'Data Options'!$R$1:$S$100,2,FALSE), " ")</f>
        <v xml:space="preserve"> </v>
      </c>
      <c r="AT12" s="55"/>
      <c r="AU12" s="32"/>
      <c r="AV12" s="32"/>
      <c r="AW12" s="55"/>
      <c r="AX12" s="32"/>
      <c r="AY12" s="54"/>
      <c r="AZ12" s="21" t="str">
        <f>IFERROR(VLOOKUP(September[[#This Row],[Drug Name5]],'Data Options'!$R$1:$S$100,2,FALSE), " ")</f>
        <v xml:space="preserve"> </v>
      </c>
      <c r="BA12" s="55"/>
      <c r="BB12" s="32"/>
      <c r="BC12" s="32"/>
      <c r="BD12" s="55"/>
      <c r="BE12" s="32"/>
      <c r="BF12" s="54"/>
      <c r="BG12" s="21" t="str">
        <f>IFERROR(VLOOKUP(September[[#This Row],[Drug Name6]],'Data Options'!$R$1:$S$100,2,FALSE), " ")</f>
        <v xml:space="preserve"> </v>
      </c>
      <c r="BH12" s="55"/>
      <c r="BI12" s="32"/>
      <c r="BJ12" s="32"/>
      <c r="BK12" s="55"/>
      <c r="BL12" s="32"/>
      <c r="BM12" s="32"/>
      <c r="BN12" s="32"/>
      <c r="BO12" s="32"/>
      <c r="BP12" s="32"/>
      <c r="BQ12" s="31"/>
      <c r="BR12" s="31"/>
      <c r="BS12" s="54"/>
      <c r="BT12" s="21" t="str">
        <f>IFERROR(VLOOKUP(September[[#This Row],[Drug Name7]],'Data Options'!$R$1:$S$100,2,FALSE), " ")</f>
        <v xml:space="preserve"> </v>
      </c>
      <c r="BU12" s="55"/>
      <c r="BV12" s="32"/>
      <c r="BW12" s="32"/>
      <c r="BX12" s="55"/>
      <c r="BY12" s="32"/>
      <c r="BZ12" s="54"/>
      <c r="CA12" s="21" t="str">
        <f>IFERROR(VLOOKUP(September[[#This Row],[Drug Name8]],'Data Options'!$R$1:$S$100,2,FALSE), " ")</f>
        <v xml:space="preserve"> </v>
      </c>
      <c r="CB12" s="55"/>
      <c r="CC12" s="32"/>
      <c r="CD12" s="32"/>
      <c r="CE12" s="55"/>
      <c r="CF12" s="32"/>
      <c r="CG12" s="54"/>
      <c r="CH12" s="21" t="str">
        <f>IFERROR(VLOOKUP(September[[#This Row],[Drug Name9]],'Data Options'!$R$1:$S$100,2,FALSE), " ")</f>
        <v xml:space="preserve"> </v>
      </c>
      <c r="CI12" s="55"/>
      <c r="CJ12" s="32"/>
      <c r="CK12" s="32"/>
      <c r="CL12" s="55"/>
      <c r="CM12" s="32"/>
    </row>
    <row r="13" spans="1:91">
      <c r="A13" s="5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1"/>
      <c r="P13" s="31"/>
      <c r="Q13" s="54"/>
      <c r="R13" s="21" t="str">
        <f>IFERROR(VLOOKUP(September[[#This Row],[Drug Name]],'Data Options'!$R$1:$S$100,2,FALSE), " ")</f>
        <v xml:space="preserve"> </v>
      </c>
      <c r="S13" s="55"/>
      <c r="T13" s="32"/>
      <c r="U13" s="32"/>
      <c r="V13" s="55"/>
      <c r="W13" s="32"/>
      <c r="X13" s="54"/>
      <c r="Y13" s="21" t="str">
        <f>IFERROR(VLOOKUP(September[[#This Row],[Drug Name2]],'Data Options'!$R$1:$S$100,2,FALSE), " ")</f>
        <v xml:space="preserve"> </v>
      </c>
      <c r="Z13" s="55"/>
      <c r="AA13" s="32"/>
      <c r="AB13" s="32"/>
      <c r="AC13" s="55"/>
      <c r="AD13" s="32"/>
      <c r="AE13" s="54"/>
      <c r="AF13" s="21" t="str">
        <f>IFERROR(VLOOKUP(September[[#This Row],[Drug Name3]],'Data Options'!$R$1:$S$100,2,FALSE), " ")</f>
        <v xml:space="preserve"> </v>
      </c>
      <c r="AG13" s="55"/>
      <c r="AH13" s="32"/>
      <c r="AI13" s="32"/>
      <c r="AJ13" s="55"/>
      <c r="AK13" s="32"/>
      <c r="AL13" s="32"/>
      <c r="AM13" s="32"/>
      <c r="AN13" s="32"/>
      <c r="AO13" s="32"/>
      <c r="AP13" s="31"/>
      <c r="AQ13" s="31"/>
      <c r="AR13" s="54"/>
      <c r="AS13" s="21" t="str">
        <f>IFERROR(VLOOKUP(September[[#This Row],[Drug Name4]],'Data Options'!$R$1:$S$100,2,FALSE), " ")</f>
        <v xml:space="preserve"> </v>
      </c>
      <c r="AT13" s="55"/>
      <c r="AU13" s="32"/>
      <c r="AV13" s="32"/>
      <c r="AW13" s="55"/>
      <c r="AX13" s="32"/>
      <c r="AY13" s="54"/>
      <c r="AZ13" s="21" t="str">
        <f>IFERROR(VLOOKUP(September[[#This Row],[Drug Name5]],'Data Options'!$R$1:$S$100,2,FALSE), " ")</f>
        <v xml:space="preserve"> </v>
      </c>
      <c r="BA13" s="55"/>
      <c r="BB13" s="32"/>
      <c r="BC13" s="32"/>
      <c r="BD13" s="55"/>
      <c r="BE13" s="32"/>
      <c r="BF13" s="54"/>
      <c r="BG13" s="21" t="str">
        <f>IFERROR(VLOOKUP(September[[#This Row],[Drug Name6]],'Data Options'!$R$1:$S$100,2,FALSE), " ")</f>
        <v xml:space="preserve"> </v>
      </c>
      <c r="BH13" s="55"/>
      <c r="BI13" s="32"/>
      <c r="BJ13" s="32"/>
      <c r="BK13" s="55"/>
      <c r="BL13" s="32"/>
      <c r="BM13" s="32"/>
      <c r="BN13" s="32"/>
      <c r="BO13" s="32"/>
      <c r="BP13" s="32"/>
      <c r="BQ13" s="31"/>
      <c r="BR13" s="31"/>
      <c r="BS13" s="54"/>
      <c r="BT13" s="21" t="str">
        <f>IFERROR(VLOOKUP(September[[#This Row],[Drug Name7]],'Data Options'!$R$1:$S$100,2,FALSE), " ")</f>
        <v xml:space="preserve"> </v>
      </c>
      <c r="BU13" s="55"/>
      <c r="BV13" s="32"/>
      <c r="BW13" s="32"/>
      <c r="BX13" s="55"/>
      <c r="BY13" s="32"/>
      <c r="BZ13" s="54"/>
      <c r="CA13" s="21" t="str">
        <f>IFERROR(VLOOKUP(September[[#This Row],[Drug Name8]],'Data Options'!$R$1:$S$100,2,FALSE), " ")</f>
        <v xml:space="preserve"> </v>
      </c>
      <c r="CB13" s="55"/>
      <c r="CC13" s="32"/>
      <c r="CD13" s="32"/>
      <c r="CE13" s="55"/>
      <c r="CF13" s="32"/>
      <c r="CG13" s="54"/>
      <c r="CH13" s="21" t="str">
        <f>IFERROR(VLOOKUP(September[[#This Row],[Drug Name9]],'Data Options'!$R$1:$S$100,2,FALSE), " ")</f>
        <v xml:space="preserve"> </v>
      </c>
      <c r="CI13" s="55"/>
      <c r="CJ13" s="32"/>
      <c r="CK13" s="32"/>
      <c r="CL13" s="55"/>
      <c r="CM13" s="32"/>
    </row>
    <row r="14" spans="1:91">
      <c r="A14" s="5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54"/>
      <c r="R14" s="21" t="str">
        <f>IFERROR(VLOOKUP(September[[#This Row],[Drug Name]],'Data Options'!$R$1:$S$100,2,FALSE), " ")</f>
        <v xml:space="preserve"> </v>
      </c>
      <c r="S14" s="55"/>
      <c r="T14" s="32"/>
      <c r="U14" s="32"/>
      <c r="V14" s="55"/>
      <c r="W14" s="32"/>
      <c r="X14" s="54"/>
      <c r="Y14" s="21" t="str">
        <f>IFERROR(VLOOKUP(September[[#This Row],[Drug Name2]],'Data Options'!$R$1:$S$100,2,FALSE), " ")</f>
        <v xml:space="preserve"> </v>
      </c>
      <c r="Z14" s="55"/>
      <c r="AA14" s="32"/>
      <c r="AB14" s="32"/>
      <c r="AC14" s="55"/>
      <c r="AD14" s="32"/>
      <c r="AE14" s="54"/>
      <c r="AF14" s="21" t="str">
        <f>IFERROR(VLOOKUP(September[[#This Row],[Drug Name3]],'Data Options'!$R$1:$S$100,2,FALSE), " ")</f>
        <v xml:space="preserve"> </v>
      </c>
      <c r="AG14" s="55"/>
      <c r="AH14" s="32"/>
      <c r="AI14" s="32"/>
      <c r="AJ14" s="55"/>
      <c r="AK14" s="32"/>
      <c r="AL14" s="32"/>
      <c r="AM14" s="32"/>
      <c r="AN14" s="32"/>
      <c r="AO14" s="32"/>
      <c r="AP14" s="31"/>
      <c r="AQ14" s="31"/>
      <c r="AR14" s="54"/>
      <c r="AS14" s="21" t="str">
        <f>IFERROR(VLOOKUP(September[[#This Row],[Drug Name4]],'Data Options'!$R$1:$S$100,2,FALSE), " ")</f>
        <v xml:space="preserve"> </v>
      </c>
      <c r="AT14" s="55"/>
      <c r="AU14" s="32"/>
      <c r="AV14" s="32"/>
      <c r="AW14" s="55"/>
      <c r="AX14" s="32"/>
      <c r="AY14" s="54"/>
      <c r="AZ14" s="21" t="str">
        <f>IFERROR(VLOOKUP(September[[#This Row],[Drug Name5]],'Data Options'!$R$1:$S$100,2,FALSE), " ")</f>
        <v xml:space="preserve"> </v>
      </c>
      <c r="BA14" s="55"/>
      <c r="BB14" s="32"/>
      <c r="BC14" s="32"/>
      <c r="BD14" s="55"/>
      <c r="BE14" s="32"/>
      <c r="BF14" s="54"/>
      <c r="BG14" s="21" t="str">
        <f>IFERROR(VLOOKUP(September[[#This Row],[Drug Name6]],'Data Options'!$R$1:$S$100,2,FALSE), " ")</f>
        <v xml:space="preserve"> </v>
      </c>
      <c r="BH14" s="55"/>
      <c r="BI14" s="32"/>
      <c r="BJ14" s="32"/>
      <c r="BK14" s="55"/>
      <c r="BL14" s="32"/>
      <c r="BM14" s="32"/>
      <c r="BN14" s="32"/>
      <c r="BO14" s="32"/>
      <c r="BP14" s="32"/>
      <c r="BQ14" s="31"/>
      <c r="BR14" s="31"/>
      <c r="BS14" s="54"/>
      <c r="BT14" s="21" t="str">
        <f>IFERROR(VLOOKUP(September[[#This Row],[Drug Name7]],'Data Options'!$R$1:$S$100,2,FALSE), " ")</f>
        <v xml:space="preserve"> </v>
      </c>
      <c r="BU14" s="55"/>
      <c r="BV14" s="32"/>
      <c r="BW14" s="32"/>
      <c r="BX14" s="55"/>
      <c r="BY14" s="32"/>
      <c r="BZ14" s="54"/>
      <c r="CA14" s="21" t="str">
        <f>IFERROR(VLOOKUP(September[[#This Row],[Drug Name8]],'Data Options'!$R$1:$S$100,2,FALSE), " ")</f>
        <v xml:space="preserve"> </v>
      </c>
      <c r="CB14" s="55"/>
      <c r="CC14" s="32"/>
      <c r="CD14" s="32"/>
      <c r="CE14" s="55"/>
      <c r="CF14" s="32"/>
      <c r="CG14" s="54"/>
      <c r="CH14" s="21" t="str">
        <f>IFERROR(VLOOKUP(September[[#This Row],[Drug Name9]],'Data Options'!$R$1:$S$100,2,FALSE), " ")</f>
        <v xml:space="preserve"> </v>
      </c>
      <c r="CI14" s="55"/>
      <c r="CJ14" s="32"/>
      <c r="CK14" s="32"/>
      <c r="CL14" s="55"/>
      <c r="CM14" s="32"/>
    </row>
    <row r="15" spans="1:91">
      <c r="A15" s="5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54"/>
      <c r="R15" s="21" t="str">
        <f>IFERROR(VLOOKUP(September[[#This Row],[Drug Name]],'Data Options'!$R$1:$S$100,2,FALSE), " ")</f>
        <v xml:space="preserve"> </v>
      </c>
      <c r="S15" s="55"/>
      <c r="T15" s="32"/>
      <c r="U15" s="32"/>
      <c r="V15" s="55"/>
      <c r="W15" s="32"/>
      <c r="X15" s="54"/>
      <c r="Y15" s="21" t="str">
        <f>IFERROR(VLOOKUP(September[[#This Row],[Drug Name2]],'Data Options'!$R$1:$S$100,2,FALSE), " ")</f>
        <v xml:space="preserve"> </v>
      </c>
      <c r="Z15" s="55"/>
      <c r="AA15" s="32"/>
      <c r="AB15" s="32"/>
      <c r="AC15" s="55"/>
      <c r="AD15" s="32"/>
      <c r="AE15" s="54"/>
      <c r="AF15" s="21" t="str">
        <f>IFERROR(VLOOKUP(September[[#This Row],[Drug Name3]],'Data Options'!$R$1:$S$100,2,FALSE), " ")</f>
        <v xml:space="preserve"> </v>
      </c>
      <c r="AG15" s="55"/>
      <c r="AH15" s="32"/>
      <c r="AI15" s="32"/>
      <c r="AJ15" s="55"/>
      <c r="AK15" s="32"/>
      <c r="AL15" s="32"/>
      <c r="AM15" s="32"/>
      <c r="AN15" s="32"/>
      <c r="AO15" s="32"/>
      <c r="AP15" s="31"/>
      <c r="AQ15" s="31"/>
      <c r="AR15" s="54"/>
      <c r="AS15" s="21" t="str">
        <f>IFERROR(VLOOKUP(September[[#This Row],[Drug Name4]],'Data Options'!$R$1:$S$100,2,FALSE), " ")</f>
        <v xml:space="preserve"> </v>
      </c>
      <c r="AT15" s="55"/>
      <c r="AU15" s="32"/>
      <c r="AV15" s="32"/>
      <c r="AW15" s="55"/>
      <c r="AX15" s="32"/>
      <c r="AY15" s="54"/>
      <c r="AZ15" s="21" t="str">
        <f>IFERROR(VLOOKUP(September[[#This Row],[Drug Name5]],'Data Options'!$R$1:$S$100,2,FALSE), " ")</f>
        <v xml:space="preserve"> </v>
      </c>
      <c r="BA15" s="55"/>
      <c r="BB15" s="32"/>
      <c r="BC15" s="32"/>
      <c r="BD15" s="55"/>
      <c r="BE15" s="32"/>
      <c r="BF15" s="54"/>
      <c r="BG15" s="21" t="str">
        <f>IFERROR(VLOOKUP(September[[#This Row],[Drug Name6]],'Data Options'!$R$1:$S$100,2,FALSE), " ")</f>
        <v xml:space="preserve"> </v>
      </c>
      <c r="BH15" s="55"/>
      <c r="BI15" s="32"/>
      <c r="BJ15" s="32"/>
      <c r="BK15" s="55"/>
      <c r="BL15" s="32"/>
      <c r="BM15" s="32"/>
      <c r="BN15" s="32"/>
      <c r="BO15" s="32"/>
      <c r="BP15" s="32"/>
      <c r="BQ15" s="31"/>
      <c r="BR15" s="31"/>
      <c r="BS15" s="54"/>
      <c r="BT15" s="21" t="str">
        <f>IFERROR(VLOOKUP(September[[#This Row],[Drug Name7]],'Data Options'!$R$1:$S$100,2,FALSE), " ")</f>
        <v xml:space="preserve"> </v>
      </c>
      <c r="BU15" s="55"/>
      <c r="BV15" s="32"/>
      <c r="BW15" s="32"/>
      <c r="BX15" s="55"/>
      <c r="BY15" s="32"/>
      <c r="BZ15" s="54"/>
      <c r="CA15" s="21" t="str">
        <f>IFERROR(VLOOKUP(September[[#This Row],[Drug Name8]],'Data Options'!$R$1:$S$100,2,FALSE), " ")</f>
        <v xml:space="preserve"> </v>
      </c>
      <c r="CB15" s="55"/>
      <c r="CC15" s="32"/>
      <c r="CD15" s="32"/>
      <c r="CE15" s="55"/>
      <c r="CF15" s="32"/>
      <c r="CG15" s="54"/>
      <c r="CH15" s="21" t="str">
        <f>IFERROR(VLOOKUP(September[[#This Row],[Drug Name9]],'Data Options'!$R$1:$S$100,2,FALSE), " ")</f>
        <v xml:space="preserve"> </v>
      </c>
      <c r="CI15" s="55"/>
      <c r="CJ15" s="32"/>
      <c r="CK15" s="32"/>
      <c r="CL15" s="55"/>
      <c r="CM15" s="32"/>
    </row>
    <row r="16" spans="1:91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1"/>
      <c r="Q16" s="54"/>
      <c r="R16" s="21" t="str">
        <f>IFERROR(VLOOKUP(September[[#This Row],[Drug Name]],'Data Options'!$R$1:$S$100,2,FALSE), " ")</f>
        <v xml:space="preserve"> </v>
      </c>
      <c r="S16" s="55"/>
      <c r="T16" s="32"/>
      <c r="U16" s="32"/>
      <c r="V16" s="55"/>
      <c r="W16" s="32"/>
      <c r="X16" s="54"/>
      <c r="Y16" s="21" t="str">
        <f>IFERROR(VLOOKUP(September[[#This Row],[Drug Name2]],'Data Options'!$R$1:$S$100,2,FALSE), " ")</f>
        <v xml:space="preserve"> </v>
      </c>
      <c r="Z16" s="55"/>
      <c r="AA16" s="32"/>
      <c r="AB16" s="32"/>
      <c r="AC16" s="55"/>
      <c r="AD16" s="32"/>
      <c r="AE16" s="54"/>
      <c r="AF16" s="21" t="str">
        <f>IFERROR(VLOOKUP(September[[#This Row],[Drug Name3]],'Data Options'!$R$1:$S$100,2,FALSE), " ")</f>
        <v xml:space="preserve"> </v>
      </c>
      <c r="AG16" s="55"/>
      <c r="AH16" s="32"/>
      <c r="AI16" s="32"/>
      <c r="AJ16" s="55"/>
      <c r="AK16" s="32"/>
      <c r="AL16" s="32"/>
      <c r="AM16" s="32"/>
      <c r="AN16" s="32"/>
      <c r="AO16" s="32"/>
      <c r="AP16" s="31"/>
      <c r="AQ16" s="31"/>
      <c r="AR16" s="54"/>
      <c r="AS16" s="21" t="str">
        <f>IFERROR(VLOOKUP(September[[#This Row],[Drug Name4]],'Data Options'!$R$1:$S$100,2,FALSE), " ")</f>
        <v xml:space="preserve"> </v>
      </c>
      <c r="AT16" s="55"/>
      <c r="AU16" s="32"/>
      <c r="AV16" s="32"/>
      <c r="AW16" s="55"/>
      <c r="AX16" s="32"/>
      <c r="AY16" s="54"/>
      <c r="AZ16" s="21" t="str">
        <f>IFERROR(VLOOKUP(September[[#This Row],[Drug Name5]],'Data Options'!$R$1:$S$100,2,FALSE), " ")</f>
        <v xml:space="preserve"> </v>
      </c>
      <c r="BA16" s="55"/>
      <c r="BB16" s="32"/>
      <c r="BC16" s="32"/>
      <c r="BD16" s="55"/>
      <c r="BE16" s="32"/>
      <c r="BF16" s="54"/>
      <c r="BG16" s="21" t="str">
        <f>IFERROR(VLOOKUP(September[[#This Row],[Drug Name6]],'Data Options'!$R$1:$S$100,2,FALSE), " ")</f>
        <v xml:space="preserve"> </v>
      </c>
      <c r="BH16" s="55"/>
      <c r="BI16" s="32"/>
      <c r="BJ16" s="32"/>
      <c r="BK16" s="55"/>
      <c r="BL16" s="32"/>
      <c r="BM16" s="32"/>
      <c r="BN16" s="32"/>
      <c r="BO16" s="32"/>
      <c r="BP16" s="32"/>
      <c r="BQ16" s="31"/>
      <c r="BR16" s="31"/>
      <c r="BS16" s="54"/>
      <c r="BT16" s="21" t="str">
        <f>IFERROR(VLOOKUP(September[[#This Row],[Drug Name7]],'Data Options'!$R$1:$S$100,2,FALSE), " ")</f>
        <v xml:space="preserve"> </v>
      </c>
      <c r="BU16" s="55"/>
      <c r="BV16" s="32"/>
      <c r="BW16" s="32"/>
      <c r="BX16" s="55"/>
      <c r="BY16" s="32"/>
      <c r="BZ16" s="54"/>
      <c r="CA16" s="21" t="str">
        <f>IFERROR(VLOOKUP(September[[#This Row],[Drug Name8]],'Data Options'!$R$1:$S$100,2,FALSE), " ")</f>
        <v xml:space="preserve"> </v>
      </c>
      <c r="CB16" s="55"/>
      <c r="CC16" s="32"/>
      <c r="CD16" s="32"/>
      <c r="CE16" s="55"/>
      <c r="CF16" s="32"/>
      <c r="CG16" s="54"/>
      <c r="CH16" s="21" t="str">
        <f>IFERROR(VLOOKUP(September[[#This Row],[Drug Name9]],'Data Options'!$R$1:$S$100,2,FALSE), " ")</f>
        <v xml:space="preserve"> </v>
      </c>
      <c r="CI16" s="55"/>
      <c r="CJ16" s="32"/>
      <c r="CK16" s="32"/>
      <c r="CL16" s="55"/>
      <c r="CM16" s="32"/>
    </row>
    <row r="17" spans="1:91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1"/>
      <c r="Q17" s="54"/>
      <c r="R17" s="21" t="str">
        <f>IFERROR(VLOOKUP(September[[#This Row],[Drug Name]],'Data Options'!$R$1:$S$100,2,FALSE), " ")</f>
        <v xml:space="preserve"> </v>
      </c>
      <c r="S17" s="55"/>
      <c r="T17" s="32"/>
      <c r="U17" s="32"/>
      <c r="V17" s="55"/>
      <c r="W17" s="32"/>
      <c r="X17" s="54"/>
      <c r="Y17" s="21" t="str">
        <f>IFERROR(VLOOKUP(September[[#This Row],[Drug Name2]],'Data Options'!$R$1:$S$100,2,FALSE), " ")</f>
        <v xml:space="preserve"> </v>
      </c>
      <c r="Z17" s="55"/>
      <c r="AA17" s="32"/>
      <c r="AB17" s="32"/>
      <c r="AC17" s="55"/>
      <c r="AD17" s="32"/>
      <c r="AE17" s="54"/>
      <c r="AF17" s="21" t="str">
        <f>IFERROR(VLOOKUP(September[[#This Row],[Drug Name3]],'Data Options'!$R$1:$S$100,2,FALSE), " ")</f>
        <v xml:space="preserve"> </v>
      </c>
      <c r="AG17" s="55"/>
      <c r="AH17" s="32"/>
      <c r="AI17" s="32"/>
      <c r="AJ17" s="55"/>
      <c r="AK17" s="32"/>
      <c r="AL17" s="32"/>
      <c r="AM17" s="32"/>
      <c r="AN17" s="32"/>
      <c r="AO17" s="32"/>
      <c r="AP17" s="31"/>
      <c r="AQ17" s="31"/>
      <c r="AR17" s="54"/>
      <c r="AS17" s="21" t="str">
        <f>IFERROR(VLOOKUP(September[[#This Row],[Drug Name4]],'Data Options'!$R$1:$S$100,2,FALSE), " ")</f>
        <v xml:space="preserve"> </v>
      </c>
      <c r="AT17" s="55"/>
      <c r="AU17" s="32"/>
      <c r="AV17" s="32"/>
      <c r="AW17" s="55"/>
      <c r="AX17" s="32"/>
      <c r="AY17" s="54"/>
      <c r="AZ17" s="21" t="str">
        <f>IFERROR(VLOOKUP(September[[#This Row],[Drug Name5]],'Data Options'!$R$1:$S$100,2,FALSE), " ")</f>
        <v xml:space="preserve"> </v>
      </c>
      <c r="BA17" s="55"/>
      <c r="BB17" s="32"/>
      <c r="BC17" s="32"/>
      <c r="BD17" s="55"/>
      <c r="BE17" s="32"/>
      <c r="BF17" s="54"/>
      <c r="BG17" s="21" t="str">
        <f>IFERROR(VLOOKUP(September[[#This Row],[Drug Name6]],'Data Options'!$R$1:$S$100,2,FALSE), " ")</f>
        <v xml:space="preserve"> </v>
      </c>
      <c r="BH17" s="55"/>
      <c r="BI17" s="32"/>
      <c r="BJ17" s="32"/>
      <c r="BK17" s="55"/>
      <c r="BL17" s="32"/>
      <c r="BM17" s="32"/>
      <c r="BN17" s="32"/>
      <c r="BO17" s="32"/>
      <c r="BP17" s="32"/>
      <c r="BQ17" s="31"/>
      <c r="BR17" s="31"/>
      <c r="BS17" s="54"/>
      <c r="BT17" s="21" t="str">
        <f>IFERROR(VLOOKUP(September[[#This Row],[Drug Name7]],'Data Options'!$R$1:$S$100,2,FALSE), " ")</f>
        <v xml:space="preserve"> </v>
      </c>
      <c r="BU17" s="55"/>
      <c r="BV17" s="32"/>
      <c r="BW17" s="32"/>
      <c r="BX17" s="55"/>
      <c r="BY17" s="32"/>
      <c r="BZ17" s="54"/>
      <c r="CA17" s="21" t="str">
        <f>IFERROR(VLOOKUP(September[[#This Row],[Drug Name8]],'Data Options'!$R$1:$S$100,2,FALSE), " ")</f>
        <v xml:space="preserve"> </v>
      </c>
      <c r="CB17" s="55"/>
      <c r="CC17" s="32"/>
      <c r="CD17" s="32"/>
      <c r="CE17" s="55"/>
      <c r="CF17" s="32"/>
      <c r="CG17" s="54"/>
      <c r="CH17" s="21" t="str">
        <f>IFERROR(VLOOKUP(September[[#This Row],[Drug Name9]],'Data Options'!$R$1:$S$100,2,FALSE), " ")</f>
        <v xml:space="preserve"> </v>
      </c>
      <c r="CI17" s="55"/>
      <c r="CJ17" s="32"/>
      <c r="CK17" s="32"/>
      <c r="CL17" s="55"/>
      <c r="CM17" s="32"/>
    </row>
    <row r="18" spans="1:9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1"/>
      <c r="Q18" s="54"/>
      <c r="R18" s="21" t="str">
        <f>IFERROR(VLOOKUP(September[[#This Row],[Drug Name]],'Data Options'!$R$1:$S$100,2,FALSE), " ")</f>
        <v xml:space="preserve"> </v>
      </c>
      <c r="S18" s="55"/>
      <c r="T18" s="32"/>
      <c r="U18" s="32"/>
      <c r="V18" s="55"/>
      <c r="W18" s="32"/>
      <c r="X18" s="54"/>
      <c r="Y18" s="21" t="str">
        <f>IFERROR(VLOOKUP(September[[#This Row],[Drug Name2]],'Data Options'!$R$1:$S$100,2,FALSE), " ")</f>
        <v xml:space="preserve"> </v>
      </c>
      <c r="Z18" s="55"/>
      <c r="AA18" s="32"/>
      <c r="AB18" s="32"/>
      <c r="AC18" s="55"/>
      <c r="AD18" s="32"/>
      <c r="AE18" s="54"/>
      <c r="AF18" s="21" t="str">
        <f>IFERROR(VLOOKUP(September[[#This Row],[Drug Name3]],'Data Options'!$R$1:$S$100,2,FALSE), " ")</f>
        <v xml:space="preserve"> </v>
      </c>
      <c r="AG18" s="55"/>
      <c r="AH18" s="32"/>
      <c r="AI18" s="32"/>
      <c r="AJ18" s="55"/>
      <c r="AK18" s="32"/>
      <c r="AL18" s="32"/>
      <c r="AM18" s="32"/>
      <c r="AN18" s="32"/>
      <c r="AO18" s="32"/>
      <c r="AP18" s="31"/>
      <c r="AQ18" s="31"/>
      <c r="AR18" s="54"/>
      <c r="AS18" s="21" t="str">
        <f>IFERROR(VLOOKUP(September[[#This Row],[Drug Name4]],'Data Options'!$R$1:$S$100,2,FALSE), " ")</f>
        <v xml:space="preserve"> </v>
      </c>
      <c r="AT18" s="55"/>
      <c r="AU18" s="32"/>
      <c r="AV18" s="32"/>
      <c r="AW18" s="55"/>
      <c r="AX18" s="32"/>
      <c r="AY18" s="54"/>
      <c r="AZ18" s="21" t="str">
        <f>IFERROR(VLOOKUP(September[[#This Row],[Drug Name5]],'Data Options'!$R$1:$S$100,2,FALSE), " ")</f>
        <v xml:space="preserve"> </v>
      </c>
      <c r="BA18" s="55"/>
      <c r="BB18" s="32"/>
      <c r="BC18" s="32"/>
      <c r="BD18" s="55"/>
      <c r="BE18" s="32"/>
      <c r="BF18" s="54"/>
      <c r="BG18" s="21" t="str">
        <f>IFERROR(VLOOKUP(September[[#This Row],[Drug Name6]],'Data Options'!$R$1:$S$100,2,FALSE), " ")</f>
        <v xml:space="preserve"> </v>
      </c>
      <c r="BH18" s="55"/>
      <c r="BI18" s="32"/>
      <c r="BJ18" s="32"/>
      <c r="BK18" s="55"/>
      <c r="BL18" s="32"/>
      <c r="BM18" s="32"/>
      <c r="BN18" s="32"/>
      <c r="BO18" s="32"/>
      <c r="BP18" s="32"/>
      <c r="BQ18" s="31"/>
      <c r="BR18" s="31"/>
      <c r="BS18" s="54"/>
      <c r="BT18" s="21" t="str">
        <f>IFERROR(VLOOKUP(September[[#This Row],[Drug Name7]],'Data Options'!$R$1:$S$100,2,FALSE), " ")</f>
        <v xml:space="preserve"> </v>
      </c>
      <c r="BU18" s="55"/>
      <c r="BV18" s="32"/>
      <c r="BW18" s="32"/>
      <c r="BX18" s="55"/>
      <c r="BY18" s="32"/>
      <c r="BZ18" s="54"/>
      <c r="CA18" s="21" t="str">
        <f>IFERROR(VLOOKUP(September[[#This Row],[Drug Name8]],'Data Options'!$R$1:$S$100,2,FALSE), " ")</f>
        <v xml:space="preserve"> </v>
      </c>
      <c r="CB18" s="55"/>
      <c r="CC18" s="32"/>
      <c r="CD18" s="32"/>
      <c r="CE18" s="55"/>
      <c r="CF18" s="32"/>
      <c r="CG18" s="54"/>
      <c r="CH18" s="21" t="str">
        <f>IFERROR(VLOOKUP(September[[#This Row],[Drug Name9]],'Data Options'!$R$1:$S$100,2,FALSE), " ")</f>
        <v xml:space="preserve"> </v>
      </c>
      <c r="CI18" s="55"/>
      <c r="CJ18" s="32"/>
      <c r="CK18" s="32"/>
      <c r="CL18" s="55"/>
      <c r="CM18" s="32"/>
    </row>
    <row r="19" spans="1:9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54"/>
      <c r="R19" s="21" t="str">
        <f>IFERROR(VLOOKUP(September[[#This Row],[Drug Name]],'Data Options'!$R$1:$S$100,2,FALSE), " ")</f>
        <v xml:space="preserve"> </v>
      </c>
      <c r="S19" s="55"/>
      <c r="T19" s="32"/>
      <c r="U19" s="32"/>
      <c r="V19" s="55"/>
      <c r="W19" s="32"/>
      <c r="X19" s="54"/>
      <c r="Y19" s="21" t="str">
        <f>IFERROR(VLOOKUP(September[[#This Row],[Drug Name2]],'Data Options'!$R$1:$S$100,2,FALSE), " ")</f>
        <v xml:space="preserve"> </v>
      </c>
      <c r="Z19" s="55"/>
      <c r="AA19" s="32"/>
      <c r="AB19" s="32"/>
      <c r="AC19" s="55"/>
      <c r="AD19" s="32"/>
      <c r="AE19" s="54"/>
      <c r="AF19" s="21" t="str">
        <f>IFERROR(VLOOKUP(September[[#This Row],[Drug Name3]],'Data Options'!$R$1:$S$100,2,FALSE), " ")</f>
        <v xml:space="preserve"> </v>
      </c>
      <c r="AG19" s="55"/>
      <c r="AH19" s="32"/>
      <c r="AI19" s="32"/>
      <c r="AJ19" s="55"/>
      <c r="AK19" s="32"/>
      <c r="AL19" s="32"/>
      <c r="AM19" s="32"/>
      <c r="AN19" s="32"/>
      <c r="AO19" s="32"/>
      <c r="AP19" s="31"/>
      <c r="AQ19" s="31"/>
      <c r="AR19" s="54"/>
      <c r="AS19" s="21" t="str">
        <f>IFERROR(VLOOKUP(September[[#This Row],[Drug Name4]],'Data Options'!$R$1:$S$100,2,FALSE), " ")</f>
        <v xml:space="preserve"> </v>
      </c>
      <c r="AT19" s="55"/>
      <c r="AU19" s="32"/>
      <c r="AV19" s="32"/>
      <c r="AW19" s="55"/>
      <c r="AX19" s="32"/>
      <c r="AY19" s="54"/>
      <c r="AZ19" s="21" t="str">
        <f>IFERROR(VLOOKUP(September[[#This Row],[Drug Name5]],'Data Options'!$R$1:$S$100,2,FALSE), " ")</f>
        <v xml:space="preserve"> </v>
      </c>
      <c r="BA19" s="55"/>
      <c r="BB19" s="32"/>
      <c r="BC19" s="32"/>
      <c r="BD19" s="55"/>
      <c r="BE19" s="32"/>
      <c r="BF19" s="54"/>
      <c r="BG19" s="21" t="str">
        <f>IFERROR(VLOOKUP(September[[#This Row],[Drug Name6]],'Data Options'!$R$1:$S$100,2,FALSE), " ")</f>
        <v xml:space="preserve"> </v>
      </c>
      <c r="BH19" s="55"/>
      <c r="BI19" s="32"/>
      <c r="BJ19" s="32"/>
      <c r="BK19" s="55"/>
      <c r="BL19" s="32"/>
      <c r="BM19" s="32"/>
      <c r="BN19" s="32"/>
      <c r="BO19" s="32"/>
      <c r="BP19" s="32"/>
      <c r="BQ19" s="31"/>
      <c r="BR19" s="31"/>
      <c r="BS19" s="54"/>
      <c r="BT19" s="21" t="str">
        <f>IFERROR(VLOOKUP(September[[#This Row],[Drug Name7]],'Data Options'!$R$1:$S$100,2,FALSE), " ")</f>
        <v xml:space="preserve"> </v>
      </c>
      <c r="BU19" s="55"/>
      <c r="BV19" s="32"/>
      <c r="BW19" s="32"/>
      <c r="BX19" s="55"/>
      <c r="BY19" s="32"/>
      <c r="BZ19" s="54"/>
      <c r="CA19" s="21" t="str">
        <f>IFERROR(VLOOKUP(September[[#This Row],[Drug Name8]],'Data Options'!$R$1:$S$100,2,FALSE), " ")</f>
        <v xml:space="preserve"> </v>
      </c>
      <c r="CB19" s="55"/>
      <c r="CC19" s="32"/>
      <c r="CD19" s="32"/>
      <c r="CE19" s="55"/>
      <c r="CF19" s="32"/>
      <c r="CG19" s="54"/>
      <c r="CH19" s="21" t="str">
        <f>IFERROR(VLOOKUP(September[[#This Row],[Drug Name9]],'Data Options'!$R$1:$S$100,2,FALSE), " ")</f>
        <v xml:space="preserve"> </v>
      </c>
      <c r="CI19" s="55"/>
      <c r="CJ19" s="32"/>
      <c r="CK19" s="32"/>
      <c r="CL19" s="55"/>
      <c r="CM19" s="32"/>
    </row>
    <row r="20" spans="1:9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1"/>
      <c r="Q20" s="54"/>
      <c r="R20" s="21" t="str">
        <f>IFERROR(VLOOKUP(September[[#This Row],[Drug Name]],'Data Options'!$R$1:$S$100,2,FALSE), " ")</f>
        <v xml:space="preserve"> </v>
      </c>
      <c r="S20" s="55"/>
      <c r="T20" s="32"/>
      <c r="U20" s="32"/>
      <c r="V20" s="55"/>
      <c r="W20" s="32"/>
      <c r="X20" s="54"/>
      <c r="Y20" s="21" t="str">
        <f>IFERROR(VLOOKUP(September[[#This Row],[Drug Name2]],'Data Options'!$R$1:$S$100,2,FALSE), " ")</f>
        <v xml:space="preserve"> </v>
      </c>
      <c r="Z20" s="55"/>
      <c r="AA20" s="32"/>
      <c r="AB20" s="32"/>
      <c r="AC20" s="55"/>
      <c r="AD20" s="32"/>
      <c r="AE20" s="54"/>
      <c r="AF20" s="21" t="str">
        <f>IFERROR(VLOOKUP(September[[#This Row],[Drug Name3]],'Data Options'!$R$1:$S$100,2,FALSE), " ")</f>
        <v xml:space="preserve"> </v>
      </c>
      <c r="AG20" s="55"/>
      <c r="AH20" s="32"/>
      <c r="AI20" s="32"/>
      <c r="AJ20" s="55"/>
      <c r="AK20" s="32"/>
      <c r="AL20" s="32"/>
      <c r="AM20" s="32"/>
      <c r="AN20" s="32"/>
      <c r="AO20" s="32"/>
      <c r="AP20" s="31"/>
      <c r="AQ20" s="31"/>
      <c r="AR20" s="54"/>
      <c r="AS20" s="21" t="str">
        <f>IFERROR(VLOOKUP(September[[#This Row],[Drug Name4]],'Data Options'!$R$1:$S$100,2,FALSE), " ")</f>
        <v xml:space="preserve"> </v>
      </c>
      <c r="AT20" s="55"/>
      <c r="AU20" s="32"/>
      <c r="AV20" s="32"/>
      <c r="AW20" s="55"/>
      <c r="AX20" s="32"/>
      <c r="AY20" s="54"/>
      <c r="AZ20" s="21" t="str">
        <f>IFERROR(VLOOKUP(September[[#This Row],[Drug Name5]],'Data Options'!$R$1:$S$100,2,FALSE), " ")</f>
        <v xml:space="preserve"> </v>
      </c>
      <c r="BA20" s="55"/>
      <c r="BB20" s="32"/>
      <c r="BC20" s="32"/>
      <c r="BD20" s="55"/>
      <c r="BE20" s="32"/>
      <c r="BF20" s="54"/>
      <c r="BG20" s="21" t="str">
        <f>IFERROR(VLOOKUP(September[[#This Row],[Drug Name6]],'Data Options'!$R$1:$S$100,2,FALSE), " ")</f>
        <v xml:space="preserve"> </v>
      </c>
      <c r="BH20" s="55"/>
      <c r="BI20" s="32"/>
      <c r="BJ20" s="32"/>
      <c r="BK20" s="55"/>
      <c r="BL20" s="32"/>
      <c r="BM20" s="32"/>
      <c r="BN20" s="32"/>
      <c r="BO20" s="32"/>
      <c r="BP20" s="32"/>
      <c r="BQ20" s="31"/>
      <c r="BR20" s="31"/>
      <c r="BS20" s="54"/>
      <c r="BT20" s="21" t="str">
        <f>IFERROR(VLOOKUP(September[[#This Row],[Drug Name7]],'Data Options'!$R$1:$S$100,2,FALSE), " ")</f>
        <v xml:space="preserve"> </v>
      </c>
      <c r="BU20" s="55"/>
      <c r="BV20" s="32"/>
      <c r="BW20" s="32"/>
      <c r="BX20" s="55"/>
      <c r="BY20" s="32"/>
      <c r="BZ20" s="54"/>
      <c r="CA20" s="21" t="str">
        <f>IFERROR(VLOOKUP(September[[#This Row],[Drug Name8]],'Data Options'!$R$1:$S$100,2,FALSE), " ")</f>
        <v xml:space="preserve"> </v>
      </c>
      <c r="CB20" s="55"/>
      <c r="CC20" s="32"/>
      <c r="CD20" s="32"/>
      <c r="CE20" s="55"/>
      <c r="CF20" s="32"/>
      <c r="CG20" s="54"/>
      <c r="CH20" s="21" t="str">
        <f>IFERROR(VLOOKUP(September[[#This Row],[Drug Name9]],'Data Options'!$R$1:$S$100,2,FALSE), " ")</f>
        <v xml:space="preserve"> </v>
      </c>
      <c r="CI20" s="55"/>
      <c r="CJ20" s="32"/>
      <c r="CK20" s="32"/>
      <c r="CL20" s="55"/>
      <c r="CM20" s="32"/>
    </row>
    <row r="21" spans="1:91">
      <c r="A21" s="5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1"/>
      <c r="Q21" s="54"/>
      <c r="R21" s="21" t="str">
        <f>IFERROR(VLOOKUP(September[[#This Row],[Drug Name]],'Data Options'!$R$1:$S$100,2,FALSE), " ")</f>
        <v xml:space="preserve"> </v>
      </c>
      <c r="S21" s="55"/>
      <c r="T21" s="32"/>
      <c r="U21" s="32"/>
      <c r="V21" s="55"/>
      <c r="W21" s="32"/>
      <c r="X21" s="54"/>
      <c r="Y21" s="21" t="str">
        <f>IFERROR(VLOOKUP(September[[#This Row],[Drug Name2]],'Data Options'!$R$1:$S$100,2,FALSE), " ")</f>
        <v xml:space="preserve"> </v>
      </c>
      <c r="Z21" s="55"/>
      <c r="AA21" s="32"/>
      <c r="AB21" s="32"/>
      <c r="AC21" s="55"/>
      <c r="AD21" s="32"/>
      <c r="AE21" s="54"/>
      <c r="AF21" s="21" t="str">
        <f>IFERROR(VLOOKUP(September[[#This Row],[Drug Name3]],'Data Options'!$R$1:$S$100,2,FALSE), " ")</f>
        <v xml:space="preserve"> </v>
      </c>
      <c r="AG21" s="55"/>
      <c r="AH21" s="32"/>
      <c r="AI21" s="32"/>
      <c r="AJ21" s="55"/>
      <c r="AK21" s="32"/>
      <c r="AL21" s="32"/>
      <c r="AM21" s="32"/>
      <c r="AN21" s="32"/>
      <c r="AO21" s="32"/>
      <c r="AP21" s="31"/>
      <c r="AQ21" s="31"/>
      <c r="AR21" s="54"/>
      <c r="AS21" s="21" t="str">
        <f>IFERROR(VLOOKUP(September[[#This Row],[Drug Name4]],'Data Options'!$R$1:$S$100,2,FALSE), " ")</f>
        <v xml:space="preserve"> </v>
      </c>
      <c r="AT21" s="55"/>
      <c r="AU21" s="32"/>
      <c r="AV21" s="32"/>
      <c r="AW21" s="55"/>
      <c r="AX21" s="32"/>
      <c r="AY21" s="54"/>
      <c r="AZ21" s="21" t="str">
        <f>IFERROR(VLOOKUP(September[[#This Row],[Drug Name5]],'Data Options'!$R$1:$S$100,2,FALSE), " ")</f>
        <v xml:space="preserve"> </v>
      </c>
      <c r="BA21" s="55"/>
      <c r="BB21" s="32"/>
      <c r="BC21" s="32"/>
      <c r="BD21" s="55"/>
      <c r="BE21" s="32"/>
      <c r="BF21" s="54"/>
      <c r="BG21" s="21" t="str">
        <f>IFERROR(VLOOKUP(September[[#This Row],[Drug Name6]],'Data Options'!$R$1:$S$100,2,FALSE), " ")</f>
        <v xml:space="preserve"> </v>
      </c>
      <c r="BH21" s="55"/>
      <c r="BI21" s="32"/>
      <c r="BJ21" s="32"/>
      <c r="BK21" s="55"/>
      <c r="BL21" s="32"/>
      <c r="BM21" s="32"/>
      <c r="BN21" s="32"/>
      <c r="BO21" s="32"/>
      <c r="BP21" s="32"/>
      <c r="BQ21" s="31"/>
      <c r="BR21" s="31"/>
      <c r="BS21" s="54"/>
      <c r="BT21" s="21" t="str">
        <f>IFERROR(VLOOKUP(September[[#This Row],[Drug Name7]],'Data Options'!$R$1:$S$100,2,FALSE), " ")</f>
        <v xml:space="preserve"> </v>
      </c>
      <c r="BU21" s="55"/>
      <c r="BV21" s="32"/>
      <c r="BW21" s="32"/>
      <c r="BX21" s="55"/>
      <c r="BY21" s="32"/>
      <c r="BZ21" s="54"/>
      <c r="CA21" s="21" t="str">
        <f>IFERROR(VLOOKUP(September[[#This Row],[Drug Name8]],'Data Options'!$R$1:$S$100,2,FALSE), " ")</f>
        <v xml:space="preserve"> </v>
      </c>
      <c r="CB21" s="55"/>
      <c r="CC21" s="32"/>
      <c r="CD21" s="32"/>
      <c r="CE21" s="55"/>
      <c r="CF21" s="32"/>
      <c r="CG21" s="54"/>
      <c r="CH21" s="21" t="str">
        <f>IFERROR(VLOOKUP(September[[#This Row],[Drug Name9]],'Data Options'!$R$1:$S$100,2,FALSE), " ")</f>
        <v xml:space="preserve"> </v>
      </c>
      <c r="CI21" s="55"/>
      <c r="CJ21" s="32"/>
      <c r="CK21" s="32"/>
      <c r="CL21" s="55"/>
      <c r="CM21" s="32"/>
    </row>
    <row r="22" spans="1:91">
      <c r="A22" s="5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1"/>
      <c r="Q22" s="54"/>
      <c r="R22" s="21" t="str">
        <f>IFERROR(VLOOKUP(September[[#This Row],[Drug Name]],'Data Options'!$R$1:$S$100,2,FALSE), " ")</f>
        <v xml:space="preserve"> </v>
      </c>
      <c r="S22" s="55"/>
      <c r="T22" s="32"/>
      <c r="U22" s="32"/>
      <c r="V22" s="55"/>
      <c r="W22" s="32"/>
      <c r="X22" s="54"/>
      <c r="Y22" s="21" t="str">
        <f>IFERROR(VLOOKUP(September[[#This Row],[Drug Name2]],'Data Options'!$R$1:$S$100,2,FALSE), " ")</f>
        <v xml:space="preserve"> </v>
      </c>
      <c r="Z22" s="55"/>
      <c r="AA22" s="32"/>
      <c r="AB22" s="32"/>
      <c r="AC22" s="55"/>
      <c r="AD22" s="32"/>
      <c r="AE22" s="54"/>
      <c r="AF22" s="21" t="str">
        <f>IFERROR(VLOOKUP(September[[#This Row],[Drug Name3]],'Data Options'!$R$1:$S$100,2,FALSE), " ")</f>
        <v xml:space="preserve"> </v>
      </c>
      <c r="AG22" s="55"/>
      <c r="AH22" s="32"/>
      <c r="AI22" s="32"/>
      <c r="AJ22" s="55"/>
      <c r="AK22" s="32"/>
      <c r="AL22" s="32"/>
      <c r="AM22" s="32"/>
      <c r="AN22" s="32"/>
      <c r="AO22" s="32"/>
      <c r="AP22" s="31"/>
      <c r="AQ22" s="31"/>
      <c r="AR22" s="54"/>
      <c r="AS22" s="21" t="str">
        <f>IFERROR(VLOOKUP(September[[#This Row],[Drug Name4]],'Data Options'!$R$1:$S$100,2,FALSE), " ")</f>
        <v xml:space="preserve"> </v>
      </c>
      <c r="AT22" s="55"/>
      <c r="AU22" s="32"/>
      <c r="AV22" s="32"/>
      <c r="AW22" s="55"/>
      <c r="AX22" s="32"/>
      <c r="AY22" s="54"/>
      <c r="AZ22" s="21" t="str">
        <f>IFERROR(VLOOKUP(September[[#This Row],[Drug Name5]],'Data Options'!$R$1:$S$100,2,FALSE), " ")</f>
        <v xml:space="preserve"> </v>
      </c>
      <c r="BA22" s="55"/>
      <c r="BB22" s="32"/>
      <c r="BC22" s="32"/>
      <c r="BD22" s="55"/>
      <c r="BE22" s="32"/>
      <c r="BF22" s="54"/>
      <c r="BG22" s="21" t="str">
        <f>IFERROR(VLOOKUP(September[[#This Row],[Drug Name6]],'Data Options'!$R$1:$S$100,2,FALSE), " ")</f>
        <v xml:space="preserve"> </v>
      </c>
      <c r="BH22" s="55"/>
      <c r="BI22" s="32"/>
      <c r="BJ22" s="32"/>
      <c r="BK22" s="55"/>
      <c r="BL22" s="32"/>
      <c r="BM22" s="32"/>
      <c r="BN22" s="32"/>
      <c r="BO22" s="32"/>
      <c r="BP22" s="32"/>
      <c r="BQ22" s="31"/>
      <c r="BR22" s="31"/>
      <c r="BS22" s="54"/>
      <c r="BT22" s="21" t="str">
        <f>IFERROR(VLOOKUP(September[[#This Row],[Drug Name7]],'Data Options'!$R$1:$S$100,2,FALSE), " ")</f>
        <v xml:space="preserve"> </v>
      </c>
      <c r="BU22" s="55"/>
      <c r="BV22" s="32"/>
      <c r="BW22" s="32"/>
      <c r="BX22" s="55"/>
      <c r="BY22" s="32"/>
      <c r="BZ22" s="54"/>
      <c r="CA22" s="21" t="str">
        <f>IFERROR(VLOOKUP(September[[#This Row],[Drug Name8]],'Data Options'!$R$1:$S$100,2,FALSE), " ")</f>
        <v xml:space="preserve"> </v>
      </c>
      <c r="CB22" s="55"/>
      <c r="CC22" s="32"/>
      <c r="CD22" s="32"/>
      <c r="CE22" s="55"/>
      <c r="CF22" s="32"/>
      <c r="CG22" s="54"/>
      <c r="CH22" s="21" t="str">
        <f>IFERROR(VLOOKUP(September[[#This Row],[Drug Name9]],'Data Options'!$R$1:$S$100,2,FALSE), " ")</f>
        <v xml:space="preserve"> </v>
      </c>
      <c r="CI22" s="55"/>
      <c r="CJ22" s="32"/>
      <c r="CK22" s="32"/>
      <c r="CL22" s="55"/>
      <c r="CM22" s="32"/>
    </row>
    <row r="23" spans="1:9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54"/>
      <c r="R23" s="21" t="str">
        <f>IFERROR(VLOOKUP(September[[#This Row],[Drug Name]],'Data Options'!$R$1:$S$100,2,FALSE), " ")</f>
        <v xml:space="preserve"> </v>
      </c>
      <c r="S23" s="55"/>
      <c r="T23" s="32"/>
      <c r="U23" s="32"/>
      <c r="V23" s="55"/>
      <c r="W23" s="32"/>
      <c r="X23" s="54"/>
      <c r="Y23" s="21" t="str">
        <f>IFERROR(VLOOKUP(September[[#This Row],[Drug Name2]],'Data Options'!$R$1:$S$100,2,FALSE), " ")</f>
        <v xml:space="preserve"> </v>
      </c>
      <c r="Z23" s="55"/>
      <c r="AA23" s="32"/>
      <c r="AB23" s="32"/>
      <c r="AC23" s="55"/>
      <c r="AD23" s="32"/>
      <c r="AE23" s="54"/>
      <c r="AF23" s="21" t="str">
        <f>IFERROR(VLOOKUP(September[[#This Row],[Drug Name3]],'Data Options'!$R$1:$S$100,2,FALSE), " ")</f>
        <v xml:space="preserve"> </v>
      </c>
      <c r="AG23" s="55"/>
      <c r="AH23" s="32"/>
      <c r="AI23" s="32"/>
      <c r="AJ23" s="55"/>
      <c r="AK23" s="32"/>
      <c r="AL23" s="32"/>
      <c r="AM23" s="32"/>
      <c r="AN23" s="32"/>
      <c r="AO23" s="32"/>
      <c r="AP23" s="31"/>
      <c r="AQ23" s="31"/>
      <c r="AR23" s="54"/>
      <c r="AS23" s="21" t="str">
        <f>IFERROR(VLOOKUP(September[[#This Row],[Drug Name4]],'Data Options'!$R$1:$S$100,2,FALSE), " ")</f>
        <v xml:space="preserve"> </v>
      </c>
      <c r="AT23" s="55"/>
      <c r="AU23" s="32"/>
      <c r="AV23" s="32"/>
      <c r="AW23" s="55"/>
      <c r="AX23" s="32"/>
      <c r="AY23" s="54"/>
      <c r="AZ23" s="21" t="str">
        <f>IFERROR(VLOOKUP(September[[#This Row],[Drug Name5]],'Data Options'!$R$1:$S$100,2,FALSE), " ")</f>
        <v xml:space="preserve"> </v>
      </c>
      <c r="BA23" s="55"/>
      <c r="BB23" s="32"/>
      <c r="BC23" s="32"/>
      <c r="BD23" s="55"/>
      <c r="BE23" s="32"/>
      <c r="BF23" s="54"/>
      <c r="BG23" s="21" t="str">
        <f>IFERROR(VLOOKUP(September[[#This Row],[Drug Name6]],'Data Options'!$R$1:$S$100,2,FALSE), " ")</f>
        <v xml:space="preserve"> </v>
      </c>
      <c r="BH23" s="55"/>
      <c r="BI23" s="32"/>
      <c r="BJ23" s="32"/>
      <c r="BK23" s="55"/>
      <c r="BL23" s="32"/>
      <c r="BM23" s="32"/>
      <c r="BN23" s="32"/>
      <c r="BO23" s="32"/>
      <c r="BP23" s="32"/>
      <c r="BQ23" s="31"/>
      <c r="BR23" s="31"/>
      <c r="BS23" s="54"/>
      <c r="BT23" s="21" t="str">
        <f>IFERROR(VLOOKUP(September[[#This Row],[Drug Name7]],'Data Options'!$R$1:$S$100,2,FALSE), " ")</f>
        <v xml:space="preserve"> </v>
      </c>
      <c r="BU23" s="55"/>
      <c r="BV23" s="32"/>
      <c r="BW23" s="32"/>
      <c r="BX23" s="55"/>
      <c r="BY23" s="32"/>
      <c r="BZ23" s="54"/>
      <c r="CA23" s="21" t="str">
        <f>IFERROR(VLOOKUP(September[[#This Row],[Drug Name8]],'Data Options'!$R$1:$S$100,2,FALSE), " ")</f>
        <v xml:space="preserve"> </v>
      </c>
      <c r="CB23" s="55"/>
      <c r="CC23" s="32"/>
      <c r="CD23" s="32"/>
      <c r="CE23" s="55"/>
      <c r="CF23" s="32"/>
      <c r="CG23" s="54"/>
      <c r="CH23" s="21" t="str">
        <f>IFERROR(VLOOKUP(September[[#This Row],[Drug Name9]],'Data Options'!$R$1:$S$100,2,FALSE), " ")</f>
        <v xml:space="preserve"> </v>
      </c>
      <c r="CI23" s="55"/>
      <c r="CJ23" s="32"/>
      <c r="CK23" s="32"/>
      <c r="CL23" s="55"/>
      <c r="CM23" s="32"/>
    </row>
    <row r="24" spans="1:91">
      <c r="A24" s="5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54"/>
      <c r="R24" s="21" t="str">
        <f>IFERROR(VLOOKUP(September[[#This Row],[Drug Name]],'Data Options'!$R$1:$S$100,2,FALSE), " ")</f>
        <v xml:space="preserve"> </v>
      </c>
      <c r="S24" s="55"/>
      <c r="T24" s="32"/>
      <c r="U24" s="32"/>
      <c r="V24" s="55"/>
      <c r="W24" s="32"/>
      <c r="X24" s="54"/>
      <c r="Y24" s="21" t="str">
        <f>IFERROR(VLOOKUP(September[[#This Row],[Drug Name2]],'Data Options'!$R$1:$S$100,2,FALSE), " ")</f>
        <v xml:space="preserve"> </v>
      </c>
      <c r="Z24" s="55"/>
      <c r="AA24" s="32"/>
      <c r="AB24" s="32"/>
      <c r="AC24" s="55"/>
      <c r="AD24" s="32"/>
      <c r="AE24" s="54"/>
      <c r="AF24" s="21" t="str">
        <f>IFERROR(VLOOKUP(September[[#This Row],[Drug Name3]],'Data Options'!$R$1:$S$100,2,FALSE), " ")</f>
        <v xml:space="preserve"> </v>
      </c>
      <c r="AG24" s="55"/>
      <c r="AH24" s="32"/>
      <c r="AI24" s="32"/>
      <c r="AJ24" s="55"/>
      <c r="AK24" s="32"/>
      <c r="AL24" s="32"/>
      <c r="AM24" s="32"/>
      <c r="AN24" s="32"/>
      <c r="AO24" s="32"/>
      <c r="AP24" s="31"/>
      <c r="AQ24" s="31"/>
      <c r="AR24" s="54"/>
      <c r="AS24" s="21" t="str">
        <f>IFERROR(VLOOKUP(September[[#This Row],[Drug Name4]],'Data Options'!$R$1:$S$100,2,FALSE), " ")</f>
        <v xml:space="preserve"> </v>
      </c>
      <c r="AT24" s="55"/>
      <c r="AU24" s="32"/>
      <c r="AV24" s="32"/>
      <c r="AW24" s="55"/>
      <c r="AX24" s="32"/>
      <c r="AY24" s="54"/>
      <c r="AZ24" s="21" t="str">
        <f>IFERROR(VLOOKUP(September[[#This Row],[Drug Name5]],'Data Options'!$R$1:$S$100,2,FALSE), " ")</f>
        <v xml:space="preserve"> </v>
      </c>
      <c r="BA24" s="55"/>
      <c r="BB24" s="32"/>
      <c r="BC24" s="32"/>
      <c r="BD24" s="55"/>
      <c r="BE24" s="32"/>
      <c r="BF24" s="54"/>
      <c r="BG24" s="21" t="str">
        <f>IFERROR(VLOOKUP(September[[#This Row],[Drug Name6]],'Data Options'!$R$1:$S$100,2,FALSE), " ")</f>
        <v xml:space="preserve"> </v>
      </c>
      <c r="BH24" s="55"/>
      <c r="BI24" s="32"/>
      <c r="BJ24" s="32"/>
      <c r="BK24" s="55"/>
      <c r="BL24" s="32"/>
      <c r="BM24" s="32"/>
      <c r="BN24" s="32"/>
      <c r="BO24" s="32"/>
      <c r="BP24" s="32"/>
      <c r="BQ24" s="31"/>
      <c r="BR24" s="31"/>
      <c r="BS24" s="54"/>
      <c r="BT24" s="21" t="str">
        <f>IFERROR(VLOOKUP(September[[#This Row],[Drug Name7]],'Data Options'!$R$1:$S$100,2,FALSE), " ")</f>
        <v xml:space="preserve"> </v>
      </c>
      <c r="BU24" s="55"/>
      <c r="BV24" s="32"/>
      <c r="BW24" s="32"/>
      <c r="BX24" s="55"/>
      <c r="BY24" s="32"/>
      <c r="BZ24" s="54"/>
      <c r="CA24" s="21" t="str">
        <f>IFERROR(VLOOKUP(September[[#This Row],[Drug Name8]],'Data Options'!$R$1:$S$100,2,FALSE), " ")</f>
        <v xml:space="preserve"> </v>
      </c>
      <c r="CB24" s="55"/>
      <c r="CC24" s="32"/>
      <c r="CD24" s="32"/>
      <c r="CE24" s="55"/>
      <c r="CF24" s="32"/>
      <c r="CG24" s="54"/>
      <c r="CH24" s="21" t="str">
        <f>IFERROR(VLOOKUP(September[[#This Row],[Drug Name9]],'Data Options'!$R$1:$S$100,2,FALSE), " ")</f>
        <v xml:space="preserve"> </v>
      </c>
      <c r="CI24" s="55"/>
      <c r="CJ24" s="32"/>
      <c r="CK24" s="32"/>
      <c r="CL24" s="55"/>
      <c r="CM24" s="32"/>
    </row>
    <row r="25" spans="1:9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54"/>
      <c r="R25" s="21" t="str">
        <f>IFERROR(VLOOKUP(September[[#This Row],[Drug Name]],'Data Options'!$R$1:$S$100,2,FALSE), " ")</f>
        <v xml:space="preserve"> </v>
      </c>
      <c r="S25" s="55"/>
      <c r="T25" s="32"/>
      <c r="U25" s="32"/>
      <c r="V25" s="55"/>
      <c r="W25" s="32"/>
      <c r="X25" s="54"/>
      <c r="Y25" s="21" t="str">
        <f>IFERROR(VLOOKUP(September[[#This Row],[Drug Name2]],'Data Options'!$R$1:$S$100,2,FALSE), " ")</f>
        <v xml:space="preserve"> </v>
      </c>
      <c r="Z25" s="55"/>
      <c r="AA25" s="32"/>
      <c r="AB25" s="32"/>
      <c r="AC25" s="55"/>
      <c r="AD25" s="32"/>
      <c r="AE25" s="54"/>
      <c r="AF25" s="21" t="str">
        <f>IFERROR(VLOOKUP(September[[#This Row],[Drug Name3]],'Data Options'!$R$1:$S$100,2,FALSE), " ")</f>
        <v xml:space="preserve"> </v>
      </c>
      <c r="AG25" s="55"/>
      <c r="AH25" s="32"/>
      <c r="AI25" s="32"/>
      <c r="AJ25" s="55"/>
      <c r="AK25" s="32"/>
      <c r="AL25" s="32"/>
      <c r="AM25" s="32"/>
      <c r="AN25" s="32"/>
      <c r="AO25" s="32"/>
      <c r="AP25" s="31"/>
      <c r="AQ25" s="31"/>
      <c r="AR25" s="54"/>
      <c r="AS25" s="21" t="str">
        <f>IFERROR(VLOOKUP(September[[#This Row],[Drug Name4]],'Data Options'!$R$1:$S$100,2,FALSE), " ")</f>
        <v xml:space="preserve"> </v>
      </c>
      <c r="AT25" s="55"/>
      <c r="AU25" s="32"/>
      <c r="AV25" s="32"/>
      <c r="AW25" s="55"/>
      <c r="AX25" s="32"/>
      <c r="AY25" s="54"/>
      <c r="AZ25" s="21" t="str">
        <f>IFERROR(VLOOKUP(September[[#This Row],[Drug Name5]],'Data Options'!$R$1:$S$100,2,FALSE), " ")</f>
        <v xml:space="preserve"> </v>
      </c>
      <c r="BA25" s="55"/>
      <c r="BB25" s="32"/>
      <c r="BC25" s="32"/>
      <c r="BD25" s="55"/>
      <c r="BE25" s="32"/>
      <c r="BF25" s="54"/>
      <c r="BG25" s="21" t="str">
        <f>IFERROR(VLOOKUP(September[[#This Row],[Drug Name6]],'Data Options'!$R$1:$S$100,2,FALSE), " ")</f>
        <v xml:space="preserve"> </v>
      </c>
      <c r="BH25" s="55"/>
      <c r="BI25" s="32"/>
      <c r="BJ25" s="32"/>
      <c r="BK25" s="55"/>
      <c r="BL25" s="32"/>
      <c r="BM25" s="32"/>
      <c r="BN25" s="32"/>
      <c r="BO25" s="32"/>
      <c r="BP25" s="32"/>
      <c r="BQ25" s="31"/>
      <c r="BR25" s="31"/>
      <c r="BS25" s="54"/>
      <c r="BT25" s="21" t="str">
        <f>IFERROR(VLOOKUP(September[[#This Row],[Drug Name7]],'Data Options'!$R$1:$S$100,2,FALSE), " ")</f>
        <v xml:space="preserve"> </v>
      </c>
      <c r="BU25" s="55"/>
      <c r="BV25" s="32"/>
      <c r="BW25" s="32"/>
      <c r="BX25" s="55"/>
      <c r="BY25" s="32"/>
      <c r="BZ25" s="54"/>
      <c r="CA25" s="21" t="str">
        <f>IFERROR(VLOOKUP(September[[#This Row],[Drug Name8]],'Data Options'!$R$1:$S$100,2,FALSE), " ")</f>
        <v xml:space="preserve"> </v>
      </c>
      <c r="CB25" s="55"/>
      <c r="CC25" s="32"/>
      <c r="CD25" s="32"/>
      <c r="CE25" s="55"/>
      <c r="CF25" s="32"/>
      <c r="CG25" s="54"/>
      <c r="CH25" s="21" t="str">
        <f>IFERROR(VLOOKUP(September[[#This Row],[Drug Name9]],'Data Options'!$R$1:$S$100,2,FALSE), " ")</f>
        <v xml:space="preserve"> </v>
      </c>
      <c r="CI25" s="55"/>
      <c r="CJ25" s="32"/>
      <c r="CK25" s="32"/>
      <c r="CL25" s="55"/>
      <c r="CM25" s="32"/>
    </row>
    <row r="26" spans="1:91">
      <c r="A26" s="5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54"/>
      <c r="R26" s="21" t="str">
        <f>IFERROR(VLOOKUP(September[[#This Row],[Drug Name]],'Data Options'!$R$1:$S$100,2,FALSE), " ")</f>
        <v xml:space="preserve"> </v>
      </c>
      <c r="S26" s="55"/>
      <c r="T26" s="32"/>
      <c r="U26" s="32"/>
      <c r="V26" s="55"/>
      <c r="W26" s="32"/>
      <c r="X26" s="54"/>
      <c r="Y26" s="21" t="str">
        <f>IFERROR(VLOOKUP(September[[#This Row],[Drug Name2]],'Data Options'!$R$1:$S$100,2,FALSE), " ")</f>
        <v xml:space="preserve"> </v>
      </c>
      <c r="Z26" s="55"/>
      <c r="AA26" s="32"/>
      <c r="AB26" s="32"/>
      <c r="AC26" s="55"/>
      <c r="AD26" s="32"/>
      <c r="AE26" s="54"/>
      <c r="AF26" s="21" t="str">
        <f>IFERROR(VLOOKUP(September[[#This Row],[Drug Name3]],'Data Options'!$R$1:$S$100,2,FALSE), " ")</f>
        <v xml:space="preserve"> </v>
      </c>
      <c r="AG26" s="55"/>
      <c r="AH26" s="32"/>
      <c r="AI26" s="32"/>
      <c r="AJ26" s="55"/>
      <c r="AK26" s="32"/>
      <c r="AL26" s="32"/>
      <c r="AM26" s="32"/>
      <c r="AN26" s="32"/>
      <c r="AO26" s="32"/>
      <c r="AP26" s="31"/>
      <c r="AQ26" s="31"/>
      <c r="AR26" s="54"/>
      <c r="AS26" s="21" t="str">
        <f>IFERROR(VLOOKUP(September[[#This Row],[Drug Name4]],'Data Options'!$R$1:$S$100,2,FALSE), " ")</f>
        <v xml:space="preserve"> </v>
      </c>
      <c r="AT26" s="55"/>
      <c r="AU26" s="32"/>
      <c r="AV26" s="32"/>
      <c r="AW26" s="55"/>
      <c r="AX26" s="32"/>
      <c r="AY26" s="54"/>
      <c r="AZ26" s="21" t="str">
        <f>IFERROR(VLOOKUP(September[[#This Row],[Drug Name5]],'Data Options'!$R$1:$S$100,2,FALSE), " ")</f>
        <v xml:space="preserve"> </v>
      </c>
      <c r="BA26" s="55"/>
      <c r="BB26" s="32"/>
      <c r="BC26" s="32"/>
      <c r="BD26" s="55"/>
      <c r="BE26" s="32"/>
      <c r="BF26" s="54"/>
      <c r="BG26" s="21" t="str">
        <f>IFERROR(VLOOKUP(September[[#This Row],[Drug Name6]],'Data Options'!$R$1:$S$100,2,FALSE), " ")</f>
        <v xml:space="preserve"> </v>
      </c>
      <c r="BH26" s="55"/>
      <c r="BI26" s="32"/>
      <c r="BJ26" s="32"/>
      <c r="BK26" s="55"/>
      <c r="BL26" s="32"/>
      <c r="BM26" s="32"/>
      <c r="BN26" s="32"/>
      <c r="BO26" s="32"/>
      <c r="BP26" s="32"/>
      <c r="BQ26" s="31"/>
      <c r="BR26" s="31"/>
      <c r="BS26" s="54"/>
      <c r="BT26" s="21" t="str">
        <f>IFERROR(VLOOKUP(September[[#This Row],[Drug Name7]],'Data Options'!$R$1:$S$100,2,FALSE), " ")</f>
        <v xml:space="preserve"> </v>
      </c>
      <c r="BU26" s="55"/>
      <c r="BV26" s="32"/>
      <c r="BW26" s="32"/>
      <c r="BX26" s="55"/>
      <c r="BY26" s="32"/>
      <c r="BZ26" s="54"/>
      <c r="CA26" s="21" t="str">
        <f>IFERROR(VLOOKUP(September[[#This Row],[Drug Name8]],'Data Options'!$R$1:$S$100,2,FALSE), " ")</f>
        <v xml:space="preserve"> </v>
      </c>
      <c r="CB26" s="55"/>
      <c r="CC26" s="32"/>
      <c r="CD26" s="32"/>
      <c r="CE26" s="55"/>
      <c r="CF26" s="32"/>
      <c r="CG26" s="54"/>
      <c r="CH26" s="21" t="str">
        <f>IFERROR(VLOOKUP(September[[#This Row],[Drug Name9]],'Data Options'!$R$1:$S$100,2,FALSE), " ")</f>
        <v xml:space="preserve"> </v>
      </c>
      <c r="CI26" s="55"/>
      <c r="CJ26" s="32"/>
      <c r="CK26" s="32"/>
      <c r="CL26" s="55"/>
      <c r="CM26" s="32"/>
    </row>
    <row r="27" spans="1:91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54"/>
      <c r="R27" s="21" t="str">
        <f>IFERROR(VLOOKUP(September[[#This Row],[Drug Name]],'Data Options'!$R$1:$S$100,2,FALSE), " ")</f>
        <v xml:space="preserve"> </v>
      </c>
      <c r="S27" s="55"/>
      <c r="T27" s="32"/>
      <c r="U27" s="32"/>
      <c r="V27" s="55"/>
      <c r="W27" s="32"/>
      <c r="X27" s="54"/>
      <c r="Y27" s="21" t="str">
        <f>IFERROR(VLOOKUP(September[[#This Row],[Drug Name2]],'Data Options'!$R$1:$S$100,2,FALSE), " ")</f>
        <v xml:space="preserve"> </v>
      </c>
      <c r="Z27" s="55"/>
      <c r="AA27" s="32"/>
      <c r="AB27" s="32"/>
      <c r="AC27" s="55"/>
      <c r="AD27" s="32"/>
      <c r="AE27" s="54"/>
      <c r="AF27" s="21" t="str">
        <f>IFERROR(VLOOKUP(September[[#This Row],[Drug Name3]],'Data Options'!$R$1:$S$100,2,FALSE), " ")</f>
        <v xml:space="preserve"> </v>
      </c>
      <c r="AG27" s="55"/>
      <c r="AH27" s="32"/>
      <c r="AI27" s="32"/>
      <c r="AJ27" s="55"/>
      <c r="AK27" s="32"/>
      <c r="AL27" s="32"/>
      <c r="AM27" s="32"/>
      <c r="AN27" s="32"/>
      <c r="AO27" s="32"/>
      <c r="AP27" s="31"/>
      <c r="AQ27" s="31"/>
      <c r="AR27" s="54"/>
      <c r="AS27" s="21" t="str">
        <f>IFERROR(VLOOKUP(September[[#This Row],[Drug Name4]],'Data Options'!$R$1:$S$100,2,FALSE), " ")</f>
        <v xml:space="preserve"> </v>
      </c>
      <c r="AT27" s="55"/>
      <c r="AU27" s="32"/>
      <c r="AV27" s="32"/>
      <c r="AW27" s="55"/>
      <c r="AX27" s="32"/>
      <c r="AY27" s="54"/>
      <c r="AZ27" s="21" t="str">
        <f>IFERROR(VLOOKUP(September[[#This Row],[Drug Name5]],'Data Options'!$R$1:$S$100,2,FALSE), " ")</f>
        <v xml:space="preserve"> </v>
      </c>
      <c r="BA27" s="55"/>
      <c r="BB27" s="32"/>
      <c r="BC27" s="32"/>
      <c r="BD27" s="55"/>
      <c r="BE27" s="32"/>
      <c r="BF27" s="54"/>
      <c r="BG27" s="21" t="str">
        <f>IFERROR(VLOOKUP(September[[#This Row],[Drug Name6]],'Data Options'!$R$1:$S$100,2,FALSE), " ")</f>
        <v xml:space="preserve"> </v>
      </c>
      <c r="BH27" s="55"/>
      <c r="BI27" s="32"/>
      <c r="BJ27" s="32"/>
      <c r="BK27" s="55"/>
      <c r="BL27" s="32"/>
      <c r="BM27" s="32"/>
      <c r="BN27" s="32"/>
      <c r="BO27" s="32"/>
      <c r="BP27" s="32"/>
      <c r="BQ27" s="31"/>
      <c r="BR27" s="31"/>
      <c r="BS27" s="54"/>
      <c r="BT27" s="21" t="str">
        <f>IFERROR(VLOOKUP(September[[#This Row],[Drug Name7]],'Data Options'!$R$1:$S$100,2,FALSE), " ")</f>
        <v xml:space="preserve"> </v>
      </c>
      <c r="BU27" s="55"/>
      <c r="BV27" s="32"/>
      <c r="BW27" s="32"/>
      <c r="BX27" s="55"/>
      <c r="BY27" s="32"/>
      <c r="BZ27" s="54"/>
      <c r="CA27" s="21" t="str">
        <f>IFERROR(VLOOKUP(September[[#This Row],[Drug Name8]],'Data Options'!$R$1:$S$100,2,FALSE), " ")</f>
        <v xml:space="preserve"> </v>
      </c>
      <c r="CB27" s="55"/>
      <c r="CC27" s="32"/>
      <c r="CD27" s="32"/>
      <c r="CE27" s="55"/>
      <c r="CF27" s="32"/>
      <c r="CG27" s="54"/>
      <c r="CH27" s="21" t="str">
        <f>IFERROR(VLOOKUP(September[[#This Row],[Drug Name9]],'Data Options'!$R$1:$S$100,2,FALSE), " ")</f>
        <v xml:space="preserve"> </v>
      </c>
      <c r="CI27" s="55"/>
      <c r="CJ27" s="32"/>
      <c r="CK27" s="32"/>
      <c r="CL27" s="55"/>
      <c r="CM27" s="32"/>
    </row>
    <row r="28" spans="1:91">
      <c r="A28" s="5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54"/>
      <c r="R28" s="21" t="str">
        <f>IFERROR(VLOOKUP(September[[#This Row],[Drug Name]],'Data Options'!$R$1:$S$100,2,FALSE), " ")</f>
        <v xml:space="preserve"> </v>
      </c>
      <c r="S28" s="55"/>
      <c r="T28" s="32"/>
      <c r="U28" s="32"/>
      <c r="V28" s="55"/>
      <c r="W28" s="32"/>
      <c r="X28" s="54"/>
      <c r="Y28" s="21" t="str">
        <f>IFERROR(VLOOKUP(September[[#This Row],[Drug Name2]],'Data Options'!$R$1:$S$100,2,FALSE), " ")</f>
        <v xml:space="preserve"> </v>
      </c>
      <c r="Z28" s="55"/>
      <c r="AA28" s="32"/>
      <c r="AB28" s="32"/>
      <c r="AC28" s="55"/>
      <c r="AD28" s="32"/>
      <c r="AE28" s="54"/>
      <c r="AF28" s="21" t="str">
        <f>IFERROR(VLOOKUP(September[[#This Row],[Drug Name3]],'Data Options'!$R$1:$S$100,2,FALSE), " ")</f>
        <v xml:space="preserve"> </v>
      </c>
      <c r="AG28" s="55"/>
      <c r="AH28" s="32"/>
      <c r="AI28" s="32"/>
      <c r="AJ28" s="55"/>
      <c r="AK28" s="32"/>
      <c r="AL28" s="32"/>
      <c r="AM28" s="32"/>
      <c r="AN28" s="32"/>
      <c r="AO28" s="32"/>
      <c r="AP28" s="31"/>
      <c r="AQ28" s="31"/>
      <c r="AR28" s="54"/>
      <c r="AS28" s="21" t="str">
        <f>IFERROR(VLOOKUP(September[[#This Row],[Drug Name4]],'Data Options'!$R$1:$S$100,2,FALSE), " ")</f>
        <v xml:space="preserve"> </v>
      </c>
      <c r="AT28" s="55"/>
      <c r="AU28" s="32"/>
      <c r="AV28" s="32"/>
      <c r="AW28" s="55"/>
      <c r="AX28" s="32"/>
      <c r="AY28" s="54"/>
      <c r="AZ28" s="21" t="str">
        <f>IFERROR(VLOOKUP(September[[#This Row],[Drug Name5]],'Data Options'!$R$1:$S$100,2,FALSE), " ")</f>
        <v xml:space="preserve"> </v>
      </c>
      <c r="BA28" s="55"/>
      <c r="BB28" s="32"/>
      <c r="BC28" s="32"/>
      <c r="BD28" s="55"/>
      <c r="BE28" s="32"/>
      <c r="BF28" s="54"/>
      <c r="BG28" s="21" t="str">
        <f>IFERROR(VLOOKUP(September[[#This Row],[Drug Name6]],'Data Options'!$R$1:$S$100,2,FALSE), " ")</f>
        <v xml:space="preserve"> </v>
      </c>
      <c r="BH28" s="55"/>
      <c r="BI28" s="32"/>
      <c r="BJ28" s="32"/>
      <c r="BK28" s="55"/>
      <c r="BL28" s="32"/>
      <c r="BM28" s="32"/>
      <c r="BN28" s="32"/>
      <c r="BO28" s="32"/>
      <c r="BP28" s="32"/>
      <c r="BQ28" s="31"/>
      <c r="BR28" s="31"/>
      <c r="BS28" s="54"/>
      <c r="BT28" s="21" t="str">
        <f>IFERROR(VLOOKUP(September[[#This Row],[Drug Name7]],'Data Options'!$R$1:$S$100,2,FALSE), " ")</f>
        <v xml:space="preserve"> </v>
      </c>
      <c r="BU28" s="55"/>
      <c r="BV28" s="32"/>
      <c r="BW28" s="32"/>
      <c r="BX28" s="55"/>
      <c r="BY28" s="32"/>
      <c r="BZ28" s="54"/>
      <c r="CA28" s="21" t="str">
        <f>IFERROR(VLOOKUP(September[[#This Row],[Drug Name8]],'Data Options'!$R$1:$S$100,2,FALSE), " ")</f>
        <v xml:space="preserve"> </v>
      </c>
      <c r="CB28" s="55"/>
      <c r="CC28" s="32"/>
      <c r="CD28" s="32"/>
      <c r="CE28" s="55"/>
      <c r="CF28" s="32"/>
      <c r="CG28" s="54"/>
      <c r="CH28" s="21" t="str">
        <f>IFERROR(VLOOKUP(September[[#This Row],[Drug Name9]],'Data Options'!$R$1:$S$100,2,FALSE), " ")</f>
        <v xml:space="preserve"> </v>
      </c>
      <c r="CI28" s="55"/>
      <c r="CJ28" s="32"/>
      <c r="CK28" s="32"/>
      <c r="CL28" s="55"/>
      <c r="CM28" s="32"/>
    </row>
    <row r="29" spans="1:91">
      <c r="A29" s="5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54"/>
      <c r="R29" s="21" t="str">
        <f>IFERROR(VLOOKUP(September[[#This Row],[Drug Name]],'Data Options'!$R$1:$S$100,2,FALSE), " ")</f>
        <v xml:space="preserve"> </v>
      </c>
      <c r="S29" s="55"/>
      <c r="T29" s="32"/>
      <c r="U29" s="32"/>
      <c r="V29" s="55"/>
      <c r="W29" s="32"/>
      <c r="X29" s="54"/>
      <c r="Y29" s="21" t="str">
        <f>IFERROR(VLOOKUP(September[[#This Row],[Drug Name2]],'Data Options'!$R$1:$S$100,2,FALSE), " ")</f>
        <v xml:space="preserve"> </v>
      </c>
      <c r="Z29" s="55"/>
      <c r="AA29" s="32"/>
      <c r="AB29" s="32"/>
      <c r="AC29" s="55"/>
      <c r="AD29" s="32"/>
      <c r="AE29" s="54"/>
      <c r="AF29" s="21" t="str">
        <f>IFERROR(VLOOKUP(September[[#This Row],[Drug Name3]],'Data Options'!$R$1:$S$100,2,FALSE), " ")</f>
        <v xml:space="preserve"> </v>
      </c>
      <c r="AG29" s="55"/>
      <c r="AH29" s="32"/>
      <c r="AI29" s="32"/>
      <c r="AJ29" s="55"/>
      <c r="AK29" s="32"/>
      <c r="AL29" s="32"/>
      <c r="AM29" s="32"/>
      <c r="AN29" s="32"/>
      <c r="AO29" s="32"/>
      <c r="AP29" s="31"/>
      <c r="AQ29" s="31"/>
      <c r="AR29" s="54"/>
      <c r="AS29" s="21" t="str">
        <f>IFERROR(VLOOKUP(September[[#This Row],[Drug Name4]],'Data Options'!$R$1:$S$100,2,FALSE), " ")</f>
        <v xml:space="preserve"> </v>
      </c>
      <c r="AT29" s="55"/>
      <c r="AU29" s="32"/>
      <c r="AV29" s="32"/>
      <c r="AW29" s="55"/>
      <c r="AX29" s="32"/>
      <c r="AY29" s="54"/>
      <c r="AZ29" s="21" t="str">
        <f>IFERROR(VLOOKUP(September[[#This Row],[Drug Name5]],'Data Options'!$R$1:$S$100,2,FALSE), " ")</f>
        <v xml:space="preserve"> </v>
      </c>
      <c r="BA29" s="55"/>
      <c r="BB29" s="32"/>
      <c r="BC29" s="32"/>
      <c r="BD29" s="55"/>
      <c r="BE29" s="32"/>
      <c r="BF29" s="54"/>
      <c r="BG29" s="21" t="str">
        <f>IFERROR(VLOOKUP(September[[#This Row],[Drug Name6]],'Data Options'!$R$1:$S$100,2,FALSE), " ")</f>
        <v xml:space="preserve"> </v>
      </c>
      <c r="BH29" s="55"/>
      <c r="BI29" s="32"/>
      <c r="BJ29" s="32"/>
      <c r="BK29" s="55"/>
      <c r="BL29" s="32"/>
      <c r="BM29" s="32"/>
      <c r="BN29" s="32"/>
      <c r="BO29" s="32"/>
      <c r="BP29" s="32"/>
      <c r="BQ29" s="31"/>
      <c r="BR29" s="31"/>
      <c r="BS29" s="54"/>
      <c r="BT29" s="21" t="str">
        <f>IFERROR(VLOOKUP(September[[#This Row],[Drug Name7]],'Data Options'!$R$1:$S$100,2,FALSE), " ")</f>
        <v xml:space="preserve"> </v>
      </c>
      <c r="BU29" s="55"/>
      <c r="BV29" s="32"/>
      <c r="BW29" s="32"/>
      <c r="BX29" s="55"/>
      <c r="BY29" s="32"/>
      <c r="BZ29" s="54"/>
      <c r="CA29" s="21" t="str">
        <f>IFERROR(VLOOKUP(September[[#This Row],[Drug Name8]],'Data Options'!$R$1:$S$100,2,FALSE), " ")</f>
        <v xml:space="preserve"> </v>
      </c>
      <c r="CB29" s="55"/>
      <c r="CC29" s="32"/>
      <c r="CD29" s="32"/>
      <c r="CE29" s="55"/>
      <c r="CF29" s="32"/>
      <c r="CG29" s="54"/>
      <c r="CH29" s="21" t="str">
        <f>IFERROR(VLOOKUP(September[[#This Row],[Drug Name9]],'Data Options'!$R$1:$S$100,2,FALSE), " ")</f>
        <v xml:space="preserve"> </v>
      </c>
      <c r="CI29" s="55"/>
      <c r="CJ29" s="32"/>
      <c r="CK29" s="32"/>
      <c r="CL29" s="55"/>
      <c r="CM29" s="32"/>
    </row>
    <row r="30" spans="1:91">
      <c r="A30" s="5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54"/>
      <c r="R30" s="21" t="str">
        <f>IFERROR(VLOOKUP(September[[#This Row],[Drug Name]],'Data Options'!$R$1:$S$100,2,FALSE), " ")</f>
        <v xml:space="preserve"> </v>
      </c>
      <c r="S30" s="55"/>
      <c r="T30" s="32"/>
      <c r="U30" s="32"/>
      <c r="V30" s="55"/>
      <c r="W30" s="32"/>
      <c r="X30" s="54"/>
      <c r="Y30" s="21" t="str">
        <f>IFERROR(VLOOKUP(September[[#This Row],[Drug Name2]],'Data Options'!$R$1:$S$100,2,FALSE), " ")</f>
        <v xml:space="preserve"> </v>
      </c>
      <c r="Z30" s="55"/>
      <c r="AA30" s="32"/>
      <c r="AB30" s="32"/>
      <c r="AC30" s="55"/>
      <c r="AD30" s="32"/>
      <c r="AE30" s="54"/>
      <c r="AF30" s="21" t="str">
        <f>IFERROR(VLOOKUP(September[[#This Row],[Drug Name3]],'Data Options'!$R$1:$S$100,2,FALSE), " ")</f>
        <v xml:space="preserve"> </v>
      </c>
      <c r="AG30" s="55"/>
      <c r="AH30" s="32"/>
      <c r="AI30" s="32"/>
      <c r="AJ30" s="55"/>
      <c r="AK30" s="32"/>
      <c r="AL30" s="32"/>
      <c r="AM30" s="32"/>
      <c r="AN30" s="32"/>
      <c r="AO30" s="32"/>
      <c r="AP30" s="31"/>
      <c r="AQ30" s="31"/>
      <c r="AR30" s="54"/>
      <c r="AS30" s="21" t="str">
        <f>IFERROR(VLOOKUP(September[[#This Row],[Drug Name4]],'Data Options'!$R$1:$S$100,2,FALSE), " ")</f>
        <v xml:space="preserve"> </v>
      </c>
      <c r="AT30" s="55"/>
      <c r="AU30" s="32"/>
      <c r="AV30" s="32"/>
      <c r="AW30" s="55"/>
      <c r="AX30" s="32"/>
      <c r="AY30" s="54"/>
      <c r="AZ30" s="21" t="str">
        <f>IFERROR(VLOOKUP(September[[#This Row],[Drug Name5]],'Data Options'!$R$1:$S$100,2,FALSE), " ")</f>
        <v xml:space="preserve"> </v>
      </c>
      <c r="BA30" s="55"/>
      <c r="BB30" s="32"/>
      <c r="BC30" s="32"/>
      <c r="BD30" s="55"/>
      <c r="BE30" s="32"/>
      <c r="BF30" s="54"/>
      <c r="BG30" s="21" t="str">
        <f>IFERROR(VLOOKUP(September[[#This Row],[Drug Name6]],'Data Options'!$R$1:$S$100,2,FALSE), " ")</f>
        <v xml:space="preserve"> </v>
      </c>
      <c r="BH30" s="55"/>
      <c r="BI30" s="32"/>
      <c r="BJ30" s="32"/>
      <c r="BK30" s="55"/>
      <c r="BL30" s="32"/>
      <c r="BM30" s="32"/>
      <c r="BN30" s="32"/>
      <c r="BO30" s="32"/>
      <c r="BP30" s="32"/>
      <c r="BQ30" s="31"/>
      <c r="BR30" s="31"/>
      <c r="BS30" s="54"/>
      <c r="BT30" s="21" t="str">
        <f>IFERROR(VLOOKUP(September[[#This Row],[Drug Name7]],'Data Options'!$R$1:$S$100,2,FALSE), " ")</f>
        <v xml:space="preserve"> </v>
      </c>
      <c r="BU30" s="55"/>
      <c r="BV30" s="32"/>
      <c r="BW30" s="32"/>
      <c r="BX30" s="55"/>
      <c r="BY30" s="32"/>
      <c r="BZ30" s="54"/>
      <c r="CA30" s="21" t="str">
        <f>IFERROR(VLOOKUP(September[[#This Row],[Drug Name8]],'Data Options'!$R$1:$S$100,2,FALSE), " ")</f>
        <v xml:space="preserve"> </v>
      </c>
      <c r="CB30" s="55"/>
      <c r="CC30" s="32"/>
      <c r="CD30" s="32"/>
      <c r="CE30" s="55"/>
      <c r="CF30" s="32"/>
      <c r="CG30" s="54"/>
      <c r="CH30" s="21" t="str">
        <f>IFERROR(VLOOKUP(September[[#This Row],[Drug Name9]],'Data Options'!$R$1:$S$100,2,FALSE), " ")</f>
        <v xml:space="preserve"> </v>
      </c>
      <c r="CI30" s="55"/>
      <c r="CJ30" s="32"/>
      <c r="CK30" s="32"/>
      <c r="CL30" s="55"/>
      <c r="CM30" s="32"/>
    </row>
    <row r="31" spans="1:9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54"/>
      <c r="R31" s="21" t="str">
        <f>IFERROR(VLOOKUP(September[[#This Row],[Drug Name]],'Data Options'!$R$1:$S$100,2,FALSE), " ")</f>
        <v xml:space="preserve"> </v>
      </c>
      <c r="S31" s="55"/>
      <c r="T31" s="32"/>
      <c r="U31" s="32"/>
      <c r="V31" s="55"/>
      <c r="W31" s="32"/>
      <c r="X31" s="54"/>
      <c r="Y31" s="21" t="str">
        <f>IFERROR(VLOOKUP(September[[#This Row],[Drug Name2]],'Data Options'!$R$1:$S$100,2,FALSE), " ")</f>
        <v xml:space="preserve"> </v>
      </c>
      <c r="Z31" s="55"/>
      <c r="AA31" s="32"/>
      <c r="AB31" s="32"/>
      <c r="AC31" s="55"/>
      <c r="AD31" s="32"/>
      <c r="AE31" s="54"/>
      <c r="AF31" s="21" t="str">
        <f>IFERROR(VLOOKUP(September[[#This Row],[Drug Name3]],'Data Options'!$R$1:$S$100,2,FALSE), " ")</f>
        <v xml:space="preserve"> </v>
      </c>
      <c r="AG31" s="55"/>
      <c r="AH31" s="32"/>
      <c r="AI31" s="32"/>
      <c r="AJ31" s="55"/>
      <c r="AK31" s="32"/>
      <c r="AL31" s="32"/>
      <c r="AM31" s="32"/>
      <c r="AN31" s="32"/>
      <c r="AO31" s="32"/>
      <c r="AP31" s="31"/>
      <c r="AQ31" s="31"/>
      <c r="AR31" s="54"/>
      <c r="AS31" s="21" t="str">
        <f>IFERROR(VLOOKUP(September[[#This Row],[Drug Name4]],'Data Options'!$R$1:$S$100,2,FALSE), " ")</f>
        <v xml:space="preserve"> </v>
      </c>
      <c r="AT31" s="55"/>
      <c r="AU31" s="32"/>
      <c r="AV31" s="32"/>
      <c r="AW31" s="55"/>
      <c r="AX31" s="32"/>
      <c r="AY31" s="54"/>
      <c r="AZ31" s="21" t="str">
        <f>IFERROR(VLOOKUP(September[[#This Row],[Drug Name5]],'Data Options'!$R$1:$S$100,2,FALSE), " ")</f>
        <v xml:space="preserve"> </v>
      </c>
      <c r="BA31" s="55"/>
      <c r="BB31" s="32"/>
      <c r="BC31" s="32"/>
      <c r="BD31" s="55"/>
      <c r="BE31" s="32"/>
      <c r="BF31" s="54"/>
      <c r="BG31" s="21" t="str">
        <f>IFERROR(VLOOKUP(September[[#This Row],[Drug Name6]],'Data Options'!$R$1:$S$100,2,FALSE), " ")</f>
        <v xml:space="preserve"> </v>
      </c>
      <c r="BH31" s="55"/>
      <c r="BI31" s="32"/>
      <c r="BJ31" s="32"/>
      <c r="BK31" s="55"/>
      <c r="BL31" s="32"/>
      <c r="BM31" s="32"/>
      <c r="BN31" s="32"/>
      <c r="BO31" s="32"/>
      <c r="BP31" s="32"/>
      <c r="BQ31" s="31"/>
      <c r="BR31" s="31"/>
      <c r="BS31" s="54"/>
      <c r="BT31" s="21" t="str">
        <f>IFERROR(VLOOKUP(September[[#This Row],[Drug Name7]],'Data Options'!$R$1:$S$100,2,FALSE), " ")</f>
        <v xml:space="preserve"> </v>
      </c>
      <c r="BU31" s="55"/>
      <c r="BV31" s="32"/>
      <c r="BW31" s="32"/>
      <c r="BX31" s="55"/>
      <c r="BY31" s="32"/>
      <c r="BZ31" s="54"/>
      <c r="CA31" s="21" t="str">
        <f>IFERROR(VLOOKUP(September[[#This Row],[Drug Name8]],'Data Options'!$R$1:$S$100,2,FALSE), " ")</f>
        <v xml:space="preserve"> </v>
      </c>
      <c r="CB31" s="55"/>
      <c r="CC31" s="32"/>
      <c r="CD31" s="32"/>
      <c r="CE31" s="55"/>
      <c r="CF31" s="32"/>
      <c r="CG31" s="54"/>
      <c r="CH31" s="21" t="str">
        <f>IFERROR(VLOOKUP(September[[#This Row],[Drug Name9]],'Data Options'!$R$1:$S$100,2,FALSE), " ")</f>
        <v xml:space="preserve"> </v>
      </c>
      <c r="CI31" s="55"/>
      <c r="CJ31" s="32"/>
      <c r="CK31" s="32"/>
      <c r="CL31" s="55"/>
      <c r="CM31" s="32"/>
    </row>
    <row r="32" spans="1:91">
      <c r="A32" s="5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54"/>
      <c r="R32" s="21" t="str">
        <f>IFERROR(VLOOKUP(September[[#This Row],[Drug Name]],'Data Options'!$R$1:$S$100,2,FALSE), " ")</f>
        <v xml:space="preserve"> </v>
      </c>
      <c r="S32" s="55"/>
      <c r="T32" s="32"/>
      <c r="U32" s="32"/>
      <c r="V32" s="55"/>
      <c r="W32" s="32"/>
      <c r="X32" s="54"/>
      <c r="Y32" s="21" t="str">
        <f>IFERROR(VLOOKUP(September[[#This Row],[Drug Name2]],'Data Options'!$R$1:$S$100,2,FALSE), " ")</f>
        <v xml:space="preserve"> </v>
      </c>
      <c r="Z32" s="55"/>
      <c r="AA32" s="32"/>
      <c r="AB32" s="32"/>
      <c r="AC32" s="55"/>
      <c r="AD32" s="32"/>
      <c r="AE32" s="54"/>
      <c r="AF32" s="21" t="str">
        <f>IFERROR(VLOOKUP(September[[#This Row],[Drug Name3]],'Data Options'!$R$1:$S$100,2,FALSE), " ")</f>
        <v xml:space="preserve"> </v>
      </c>
      <c r="AG32" s="55"/>
      <c r="AH32" s="32"/>
      <c r="AI32" s="32"/>
      <c r="AJ32" s="55"/>
      <c r="AK32" s="32"/>
      <c r="AL32" s="32"/>
      <c r="AM32" s="32"/>
      <c r="AN32" s="32"/>
      <c r="AO32" s="32"/>
      <c r="AP32" s="31"/>
      <c r="AQ32" s="31"/>
      <c r="AR32" s="54"/>
      <c r="AS32" s="21" t="str">
        <f>IFERROR(VLOOKUP(September[[#This Row],[Drug Name4]],'Data Options'!$R$1:$S$100,2,FALSE), " ")</f>
        <v xml:space="preserve"> </v>
      </c>
      <c r="AT32" s="55"/>
      <c r="AU32" s="32"/>
      <c r="AV32" s="32"/>
      <c r="AW32" s="55"/>
      <c r="AX32" s="32"/>
      <c r="AY32" s="54"/>
      <c r="AZ32" s="21" t="str">
        <f>IFERROR(VLOOKUP(September[[#This Row],[Drug Name5]],'Data Options'!$R$1:$S$100,2,FALSE), " ")</f>
        <v xml:space="preserve"> </v>
      </c>
      <c r="BA32" s="55"/>
      <c r="BB32" s="32"/>
      <c r="BC32" s="32"/>
      <c r="BD32" s="55"/>
      <c r="BE32" s="32"/>
      <c r="BF32" s="54"/>
      <c r="BG32" s="21" t="str">
        <f>IFERROR(VLOOKUP(September[[#This Row],[Drug Name6]],'Data Options'!$R$1:$S$100,2,FALSE), " ")</f>
        <v xml:space="preserve"> </v>
      </c>
      <c r="BH32" s="55"/>
      <c r="BI32" s="32"/>
      <c r="BJ32" s="32"/>
      <c r="BK32" s="55"/>
      <c r="BL32" s="32"/>
      <c r="BM32" s="32"/>
      <c r="BN32" s="32"/>
      <c r="BO32" s="32"/>
      <c r="BP32" s="32"/>
      <c r="BQ32" s="31"/>
      <c r="BR32" s="31"/>
      <c r="BS32" s="54"/>
      <c r="BT32" s="21" t="str">
        <f>IFERROR(VLOOKUP(September[[#This Row],[Drug Name7]],'Data Options'!$R$1:$S$100,2,FALSE), " ")</f>
        <v xml:space="preserve"> </v>
      </c>
      <c r="BU32" s="55"/>
      <c r="BV32" s="32"/>
      <c r="BW32" s="32"/>
      <c r="BX32" s="55"/>
      <c r="BY32" s="32"/>
      <c r="BZ32" s="54"/>
      <c r="CA32" s="21" t="str">
        <f>IFERROR(VLOOKUP(September[[#This Row],[Drug Name8]],'Data Options'!$R$1:$S$100,2,FALSE), " ")</f>
        <v xml:space="preserve"> </v>
      </c>
      <c r="CB32" s="55"/>
      <c r="CC32" s="32"/>
      <c r="CD32" s="32"/>
      <c r="CE32" s="55"/>
      <c r="CF32" s="32"/>
      <c r="CG32" s="54"/>
      <c r="CH32" s="21" t="str">
        <f>IFERROR(VLOOKUP(September[[#This Row],[Drug Name9]],'Data Options'!$R$1:$S$100,2,FALSE), " ")</f>
        <v xml:space="preserve"> </v>
      </c>
      <c r="CI32" s="55"/>
      <c r="CJ32" s="32"/>
      <c r="CK32" s="32"/>
      <c r="CL32" s="55"/>
      <c r="CM32" s="32"/>
    </row>
    <row r="33" spans="1:9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54"/>
      <c r="R33" s="21" t="str">
        <f>IFERROR(VLOOKUP(September[[#This Row],[Drug Name]],'Data Options'!$R$1:$S$100,2,FALSE), " ")</f>
        <v xml:space="preserve"> </v>
      </c>
      <c r="S33" s="55"/>
      <c r="T33" s="32"/>
      <c r="U33" s="32"/>
      <c r="V33" s="55"/>
      <c r="W33" s="32"/>
      <c r="X33" s="54"/>
      <c r="Y33" s="21" t="str">
        <f>IFERROR(VLOOKUP(September[[#This Row],[Drug Name2]],'Data Options'!$R$1:$S$100,2,FALSE), " ")</f>
        <v xml:space="preserve"> </v>
      </c>
      <c r="Z33" s="55"/>
      <c r="AA33" s="32"/>
      <c r="AB33" s="32"/>
      <c r="AC33" s="55"/>
      <c r="AD33" s="32"/>
      <c r="AE33" s="54"/>
      <c r="AF33" s="21" t="str">
        <f>IFERROR(VLOOKUP(September[[#This Row],[Drug Name3]],'Data Options'!$R$1:$S$100,2,FALSE), " ")</f>
        <v xml:space="preserve"> </v>
      </c>
      <c r="AG33" s="55"/>
      <c r="AH33" s="32"/>
      <c r="AI33" s="32"/>
      <c r="AJ33" s="55"/>
      <c r="AK33" s="32"/>
      <c r="AL33" s="32"/>
      <c r="AM33" s="32"/>
      <c r="AN33" s="32"/>
      <c r="AO33" s="32"/>
      <c r="AP33" s="31"/>
      <c r="AQ33" s="31"/>
      <c r="AR33" s="54"/>
      <c r="AS33" s="21" t="str">
        <f>IFERROR(VLOOKUP(September[[#This Row],[Drug Name4]],'Data Options'!$R$1:$S$100,2,FALSE), " ")</f>
        <v xml:space="preserve"> </v>
      </c>
      <c r="AT33" s="55"/>
      <c r="AU33" s="32"/>
      <c r="AV33" s="32"/>
      <c r="AW33" s="55"/>
      <c r="AX33" s="32"/>
      <c r="AY33" s="54"/>
      <c r="AZ33" s="21" t="str">
        <f>IFERROR(VLOOKUP(September[[#This Row],[Drug Name5]],'Data Options'!$R$1:$S$100,2,FALSE), " ")</f>
        <v xml:space="preserve"> </v>
      </c>
      <c r="BA33" s="55"/>
      <c r="BB33" s="32"/>
      <c r="BC33" s="32"/>
      <c r="BD33" s="55"/>
      <c r="BE33" s="32"/>
      <c r="BF33" s="54"/>
      <c r="BG33" s="21" t="str">
        <f>IFERROR(VLOOKUP(September[[#This Row],[Drug Name6]],'Data Options'!$R$1:$S$100,2,FALSE), " ")</f>
        <v xml:space="preserve"> </v>
      </c>
      <c r="BH33" s="55"/>
      <c r="BI33" s="32"/>
      <c r="BJ33" s="32"/>
      <c r="BK33" s="55"/>
      <c r="BL33" s="32"/>
      <c r="BM33" s="32"/>
      <c r="BN33" s="32"/>
      <c r="BO33" s="32"/>
      <c r="BP33" s="32"/>
      <c r="BQ33" s="31"/>
      <c r="BR33" s="31"/>
      <c r="BS33" s="54"/>
      <c r="BT33" s="21" t="str">
        <f>IFERROR(VLOOKUP(September[[#This Row],[Drug Name7]],'Data Options'!$R$1:$S$100,2,FALSE), " ")</f>
        <v xml:space="preserve"> </v>
      </c>
      <c r="BU33" s="55"/>
      <c r="BV33" s="32"/>
      <c r="BW33" s="32"/>
      <c r="BX33" s="55"/>
      <c r="BY33" s="32"/>
      <c r="BZ33" s="54"/>
      <c r="CA33" s="21" t="str">
        <f>IFERROR(VLOOKUP(September[[#This Row],[Drug Name8]],'Data Options'!$R$1:$S$100,2,FALSE), " ")</f>
        <v xml:space="preserve"> </v>
      </c>
      <c r="CB33" s="55"/>
      <c r="CC33" s="32"/>
      <c r="CD33" s="32"/>
      <c r="CE33" s="55"/>
      <c r="CF33" s="32"/>
      <c r="CG33" s="54"/>
      <c r="CH33" s="21" t="str">
        <f>IFERROR(VLOOKUP(September[[#This Row],[Drug Name9]],'Data Options'!$R$1:$S$100,2,FALSE), " ")</f>
        <v xml:space="preserve"> </v>
      </c>
      <c r="CI33" s="55"/>
      <c r="CJ33" s="32"/>
      <c r="CK33" s="32"/>
      <c r="CL33" s="55"/>
      <c r="CM33" s="32"/>
    </row>
    <row r="34" spans="1:9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54"/>
      <c r="R34" s="21" t="str">
        <f>IFERROR(VLOOKUP(September[[#This Row],[Drug Name]],'Data Options'!$R$1:$S$100,2,FALSE), " ")</f>
        <v xml:space="preserve"> </v>
      </c>
      <c r="S34" s="55"/>
      <c r="T34" s="32"/>
      <c r="U34" s="32"/>
      <c r="V34" s="55"/>
      <c r="W34" s="32"/>
      <c r="X34" s="54"/>
      <c r="Y34" s="21" t="str">
        <f>IFERROR(VLOOKUP(September[[#This Row],[Drug Name2]],'Data Options'!$R$1:$S$100,2,FALSE), " ")</f>
        <v xml:space="preserve"> </v>
      </c>
      <c r="Z34" s="55"/>
      <c r="AA34" s="32"/>
      <c r="AB34" s="32"/>
      <c r="AC34" s="55"/>
      <c r="AD34" s="32"/>
      <c r="AE34" s="54"/>
      <c r="AF34" s="21" t="str">
        <f>IFERROR(VLOOKUP(September[[#This Row],[Drug Name3]],'Data Options'!$R$1:$S$100,2,FALSE), " ")</f>
        <v xml:space="preserve"> </v>
      </c>
      <c r="AG34" s="55"/>
      <c r="AH34" s="32"/>
      <c r="AI34" s="32"/>
      <c r="AJ34" s="55"/>
      <c r="AK34" s="32"/>
      <c r="AL34" s="32"/>
      <c r="AM34" s="32"/>
      <c r="AN34" s="32"/>
      <c r="AO34" s="32"/>
      <c r="AP34" s="31"/>
      <c r="AQ34" s="31"/>
      <c r="AR34" s="54"/>
      <c r="AS34" s="21" t="str">
        <f>IFERROR(VLOOKUP(September[[#This Row],[Drug Name4]],'Data Options'!$R$1:$S$100,2,FALSE), " ")</f>
        <v xml:space="preserve"> </v>
      </c>
      <c r="AT34" s="55"/>
      <c r="AU34" s="32"/>
      <c r="AV34" s="32"/>
      <c r="AW34" s="55"/>
      <c r="AX34" s="32"/>
      <c r="AY34" s="54"/>
      <c r="AZ34" s="21" t="str">
        <f>IFERROR(VLOOKUP(September[[#This Row],[Drug Name5]],'Data Options'!$R$1:$S$100,2,FALSE), " ")</f>
        <v xml:space="preserve"> </v>
      </c>
      <c r="BA34" s="55"/>
      <c r="BB34" s="32"/>
      <c r="BC34" s="32"/>
      <c r="BD34" s="55"/>
      <c r="BE34" s="32"/>
      <c r="BF34" s="54"/>
      <c r="BG34" s="21" t="str">
        <f>IFERROR(VLOOKUP(September[[#This Row],[Drug Name6]],'Data Options'!$R$1:$S$100,2,FALSE), " ")</f>
        <v xml:space="preserve"> </v>
      </c>
      <c r="BH34" s="55"/>
      <c r="BI34" s="32"/>
      <c r="BJ34" s="32"/>
      <c r="BK34" s="55"/>
      <c r="BL34" s="32"/>
      <c r="BM34" s="32"/>
      <c r="BN34" s="32"/>
      <c r="BO34" s="32"/>
      <c r="BP34" s="32"/>
      <c r="BQ34" s="31"/>
      <c r="BR34" s="31"/>
      <c r="BS34" s="54"/>
      <c r="BT34" s="21" t="str">
        <f>IFERROR(VLOOKUP(September[[#This Row],[Drug Name7]],'Data Options'!$R$1:$S$100,2,FALSE), " ")</f>
        <v xml:space="preserve"> </v>
      </c>
      <c r="BU34" s="55"/>
      <c r="BV34" s="32"/>
      <c r="BW34" s="32"/>
      <c r="BX34" s="55"/>
      <c r="BY34" s="32"/>
      <c r="BZ34" s="54"/>
      <c r="CA34" s="21" t="str">
        <f>IFERROR(VLOOKUP(September[[#This Row],[Drug Name8]],'Data Options'!$R$1:$S$100,2,FALSE), " ")</f>
        <v xml:space="preserve"> </v>
      </c>
      <c r="CB34" s="55"/>
      <c r="CC34" s="32"/>
      <c r="CD34" s="32"/>
      <c r="CE34" s="55"/>
      <c r="CF34" s="32"/>
      <c r="CG34" s="54"/>
      <c r="CH34" s="21" t="str">
        <f>IFERROR(VLOOKUP(September[[#This Row],[Drug Name9]],'Data Options'!$R$1:$S$100,2,FALSE), " ")</f>
        <v xml:space="preserve"> </v>
      </c>
      <c r="CI34" s="55"/>
      <c r="CJ34" s="32"/>
      <c r="CK34" s="32"/>
      <c r="CL34" s="55"/>
      <c r="CM34" s="32"/>
    </row>
    <row r="35" spans="1:9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54"/>
      <c r="R35" s="21" t="str">
        <f>IFERROR(VLOOKUP(September[[#This Row],[Drug Name]],'Data Options'!$R$1:$S$100,2,FALSE), " ")</f>
        <v xml:space="preserve"> </v>
      </c>
      <c r="S35" s="55"/>
      <c r="T35" s="32"/>
      <c r="U35" s="32"/>
      <c r="V35" s="55"/>
      <c r="W35" s="32"/>
      <c r="X35" s="54"/>
      <c r="Y35" s="21" t="str">
        <f>IFERROR(VLOOKUP(September[[#This Row],[Drug Name2]],'Data Options'!$R$1:$S$100,2,FALSE), " ")</f>
        <v xml:space="preserve"> </v>
      </c>
      <c r="Z35" s="55"/>
      <c r="AA35" s="32"/>
      <c r="AB35" s="32"/>
      <c r="AC35" s="55"/>
      <c r="AD35" s="32"/>
      <c r="AE35" s="54"/>
      <c r="AF35" s="21" t="str">
        <f>IFERROR(VLOOKUP(September[[#This Row],[Drug Name3]],'Data Options'!$R$1:$S$100,2,FALSE), " ")</f>
        <v xml:space="preserve"> </v>
      </c>
      <c r="AG35" s="55"/>
      <c r="AH35" s="32"/>
      <c r="AI35" s="32"/>
      <c r="AJ35" s="55"/>
      <c r="AK35" s="32"/>
      <c r="AL35" s="32"/>
      <c r="AM35" s="32"/>
      <c r="AN35" s="32"/>
      <c r="AO35" s="32"/>
      <c r="AP35" s="31"/>
      <c r="AQ35" s="31"/>
      <c r="AR35" s="54"/>
      <c r="AS35" s="21" t="str">
        <f>IFERROR(VLOOKUP(September[[#This Row],[Drug Name4]],'Data Options'!$R$1:$S$100,2,FALSE), " ")</f>
        <v xml:space="preserve"> </v>
      </c>
      <c r="AT35" s="55"/>
      <c r="AU35" s="32"/>
      <c r="AV35" s="32"/>
      <c r="AW35" s="55"/>
      <c r="AX35" s="32"/>
      <c r="AY35" s="54"/>
      <c r="AZ35" s="21" t="str">
        <f>IFERROR(VLOOKUP(September[[#This Row],[Drug Name5]],'Data Options'!$R$1:$S$100,2,FALSE), " ")</f>
        <v xml:space="preserve"> </v>
      </c>
      <c r="BA35" s="55"/>
      <c r="BB35" s="32"/>
      <c r="BC35" s="32"/>
      <c r="BD35" s="55"/>
      <c r="BE35" s="32"/>
      <c r="BF35" s="54"/>
      <c r="BG35" s="21" t="str">
        <f>IFERROR(VLOOKUP(September[[#This Row],[Drug Name6]],'Data Options'!$R$1:$S$100,2,FALSE), " ")</f>
        <v xml:space="preserve"> </v>
      </c>
      <c r="BH35" s="55"/>
      <c r="BI35" s="32"/>
      <c r="BJ35" s="32"/>
      <c r="BK35" s="55"/>
      <c r="BL35" s="32"/>
      <c r="BM35" s="32"/>
      <c r="BN35" s="32"/>
      <c r="BO35" s="32"/>
      <c r="BP35" s="32"/>
      <c r="BQ35" s="31"/>
      <c r="BR35" s="31"/>
      <c r="BS35" s="54"/>
      <c r="BT35" s="21" t="str">
        <f>IFERROR(VLOOKUP(September[[#This Row],[Drug Name7]],'Data Options'!$R$1:$S$100,2,FALSE), " ")</f>
        <v xml:space="preserve"> </v>
      </c>
      <c r="BU35" s="55"/>
      <c r="BV35" s="32"/>
      <c r="BW35" s="32"/>
      <c r="BX35" s="55"/>
      <c r="BY35" s="32"/>
      <c r="BZ35" s="54"/>
      <c r="CA35" s="21" t="str">
        <f>IFERROR(VLOOKUP(September[[#This Row],[Drug Name8]],'Data Options'!$R$1:$S$100,2,FALSE), " ")</f>
        <v xml:space="preserve"> </v>
      </c>
      <c r="CB35" s="55"/>
      <c r="CC35" s="32"/>
      <c r="CD35" s="32"/>
      <c r="CE35" s="55"/>
      <c r="CF35" s="32"/>
      <c r="CG35" s="54"/>
      <c r="CH35" s="21" t="str">
        <f>IFERROR(VLOOKUP(September[[#This Row],[Drug Name9]],'Data Options'!$R$1:$S$100,2,FALSE), " ")</f>
        <v xml:space="preserve"> </v>
      </c>
      <c r="CI35" s="55"/>
      <c r="CJ35" s="32"/>
      <c r="CK35" s="32"/>
      <c r="CL35" s="55"/>
      <c r="CM35" s="32"/>
    </row>
    <row r="36" spans="1:91">
      <c r="A36" s="5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54"/>
      <c r="R36" s="21" t="str">
        <f>IFERROR(VLOOKUP(September[[#This Row],[Drug Name]],'Data Options'!$R$1:$S$100,2,FALSE), " ")</f>
        <v xml:space="preserve"> </v>
      </c>
      <c r="S36" s="55"/>
      <c r="T36" s="32"/>
      <c r="U36" s="32"/>
      <c r="V36" s="55"/>
      <c r="W36" s="32"/>
      <c r="X36" s="54"/>
      <c r="Y36" s="21" t="str">
        <f>IFERROR(VLOOKUP(September[[#This Row],[Drug Name2]],'Data Options'!$R$1:$S$100,2,FALSE), " ")</f>
        <v xml:space="preserve"> </v>
      </c>
      <c r="Z36" s="55"/>
      <c r="AA36" s="32"/>
      <c r="AB36" s="32"/>
      <c r="AC36" s="55"/>
      <c r="AD36" s="32"/>
      <c r="AE36" s="54"/>
      <c r="AF36" s="21" t="str">
        <f>IFERROR(VLOOKUP(September[[#This Row],[Drug Name3]],'Data Options'!$R$1:$S$100,2,FALSE), " ")</f>
        <v xml:space="preserve"> </v>
      </c>
      <c r="AG36" s="55"/>
      <c r="AH36" s="32"/>
      <c r="AI36" s="32"/>
      <c r="AJ36" s="55"/>
      <c r="AK36" s="32"/>
      <c r="AL36" s="32"/>
      <c r="AM36" s="32"/>
      <c r="AN36" s="32"/>
      <c r="AO36" s="32"/>
      <c r="AP36" s="31"/>
      <c r="AQ36" s="31"/>
      <c r="AR36" s="54"/>
      <c r="AS36" s="21" t="str">
        <f>IFERROR(VLOOKUP(September[[#This Row],[Drug Name4]],'Data Options'!$R$1:$S$100,2,FALSE), " ")</f>
        <v xml:space="preserve"> </v>
      </c>
      <c r="AT36" s="55"/>
      <c r="AU36" s="32"/>
      <c r="AV36" s="32"/>
      <c r="AW36" s="55"/>
      <c r="AX36" s="32"/>
      <c r="AY36" s="54"/>
      <c r="AZ36" s="21" t="str">
        <f>IFERROR(VLOOKUP(September[[#This Row],[Drug Name5]],'Data Options'!$R$1:$S$100,2,FALSE), " ")</f>
        <v xml:space="preserve"> </v>
      </c>
      <c r="BA36" s="55"/>
      <c r="BB36" s="32"/>
      <c r="BC36" s="32"/>
      <c r="BD36" s="55"/>
      <c r="BE36" s="32"/>
      <c r="BF36" s="54"/>
      <c r="BG36" s="21" t="str">
        <f>IFERROR(VLOOKUP(September[[#This Row],[Drug Name6]],'Data Options'!$R$1:$S$100,2,FALSE), " ")</f>
        <v xml:space="preserve"> </v>
      </c>
      <c r="BH36" s="55"/>
      <c r="BI36" s="32"/>
      <c r="BJ36" s="32"/>
      <c r="BK36" s="55"/>
      <c r="BL36" s="32"/>
      <c r="BM36" s="32"/>
      <c r="BN36" s="32"/>
      <c r="BO36" s="32"/>
      <c r="BP36" s="32"/>
      <c r="BQ36" s="31"/>
      <c r="BR36" s="31"/>
      <c r="BS36" s="54"/>
      <c r="BT36" s="21" t="str">
        <f>IFERROR(VLOOKUP(September[[#This Row],[Drug Name7]],'Data Options'!$R$1:$S$100,2,FALSE), " ")</f>
        <v xml:space="preserve"> </v>
      </c>
      <c r="BU36" s="55"/>
      <c r="BV36" s="32"/>
      <c r="BW36" s="32"/>
      <c r="BX36" s="55"/>
      <c r="BY36" s="32"/>
      <c r="BZ36" s="54"/>
      <c r="CA36" s="21" t="str">
        <f>IFERROR(VLOOKUP(September[[#This Row],[Drug Name8]],'Data Options'!$R$1:$S$100,2,FALSE), " ")</f>
        <v xml:space="preserve"> </v>
      </c>
      <c r="CB36" s="55"/>
      <c r="CC36" s="32"/>
      <c r="CD36" s="32"/>
      <c r="CE36" s="55"/>
      <c r="CF36" s="32"/>
      <c r="CG36" s="54"/>
      <c r="CH36" s="21" t="str">
        <f>IFERROR(VLOOKUP(September[[#This Row],[Drug Name9]],'Data Options'!$R$1:$S$100,2,FALSE), " ")</f>
        <v xml:space="preserve"> </v>
      </c>
      <c r="CI36" s="55"/>
      <c r="CJ36" s="32"/>
      <c r="CK36" s="32"/>
      <c r="CL36" s="55"/>
      <c r="CM36" s="32"/>
    </row>
    <row r="37" spans="1:9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54"/>
      <c r="R37" s="21" t="str">
        <f>IFERROR(VLOOKUP(September[[#This Row],[Drug Name]],'Data Options'!$R$1:$S$100,2,FALSE), " ")</f>
        <v xml:space="preserve"> </v>
      </c>
      <c r="S37" s="55"/>
      <c r="T37" s="32"/>
      <c r="U37" s="32"/>
      <c r="V37" s="55"/>
      <c r="W37" s="32"/>
      <c r="X37" s="54"/>
      <c r="Y37" s="21" t="str">
        <f>IFERROR(VLOOKUP(September[[#This Row],[Drug Name2]],'Data Options'!$R$1:$S$100,2,FALSE), " ")</f>
        <v xml:space="preserve"> </v>
      </c>
      <c r="Z37" s="55"/>
      <c r="AA37" s="32"/>
      <c r="AB37" s="32"/>
      <c r="AC37" s="55"/>
      <c r="AD37" s="32"/>
      <c r="AE37" s="54"/>
      <c r="AF37" s="21" t="str">
        <f>IFERROR(VLOOKUP(September[[#This Row],[Drug Name3]],'Data Options'!$R$1:$S$100,2,FALSE), " ")</f>
        <v xml:space="preserve"> </v>
      </c>
      <c r="AG37" s="55"/>
      <c r="AH37" s="32"/>
      <c r="AI37" s="32"/>
      <c r="AJ37" s="55"/>
      <c r="AK37" s="32"/>
      <c r="AL37" s="32"/>
      <c r="AM37" s="32"/>
      <c r="AN37" s="32"/>
      <c r="AO37" s="32"/>
      <c r="AP37" s="31"/>
      <c r="AQ37" s="31"/>
      <c r="AR37" s="54"/>
      <c r="AS37" s="21" t="str">
        <f>IFERROR(VLOOKUP(September[[#This Row],[Drug Name4]],'Data Options'!$R$1:$S$100,2,FALSE), " ")</f>
        <v xml:space="preserve"> </v>
      </c>
      <c r="AT37" s="55"/>
      <c r="AU37" s="32"/>
      <c r="AV37" s="32"/>
      <c r="AW37" s="55"/>
      <c r="AX37" s="32"/>
      <c r="AY37" s="54"/>
      <c r="AZ37" s="21" t="str">
        <f>IFERROR(VLOOKUP(September[[#This Row],[Drug Name5]],'Data Options'!$R$1:$S$100,2,FALSE), " ")</f>
        <v xml:space="preserve"> </v>
      </c>
      <c r="BA37" s="55"/>
      <c r="BB37" s="32"/>
      <c r="BC37" s="32"/>
      <c r="BD37" s="55"/>
      <c r="BE37" s="32"/>
      <c r="BF37" s="54"/>
      <c r="BG37" s="21" t="str">
        <f>IFERROR(VLOOKUP(September[[#This Row],[Drug Name6]],'Data Options'!$R$1:$S$100,2,FALSE), " ")</f>
        <v xml:space="preserve"> </v>
      </c>
      <c r="BH37" s="55"/>
      <c r="BI37" s="32"/>
      <c r="BJ37" s="32"/>
      <c r="BK37" s="55"/>
      <c r="BL37" s="32"/>
      <c r="BM37" s="32"/>
      <c r="BN37" s="32"/>
      <c r="BO37" s="32"/>
      <c r="BP37" s="32"/>
      <c r="BQ37" s="31"/>
      <c r="BR37" s="31"/>
      <c r="BS37" s="54"/>
      <c r="BT37" s="21" t="str">
        <f>IFERROR(VLOOKUP(September[[#This Row],[Drug Name7]],'Data Options'!$R$1:$S$100,2,FALSE), " ")</f>
        <v xml:space="preserve"> </v>
      </c>
      <c r="BU37" s="55"/>
      <c r="BV37" s="32"/>
      <c r="BW37" s="32"/>
      <c r="BX37" s="55"/>
      <c r="BY37" s="32"/>
      <c r="BZ37" s="54"/>
      <c r="CA37" s="21" t="str">
        <f>IFERROR(VLOOKUP(September[[#This Row],[Drug Name8]],'Data Options'!$R$1:$S$100,2,FALSE), " ")</f>
        <v xml:space="preserve"> </v>
      </c>
      <c r="CB37" s="55"/>
      <c r="CC37" s="32"/>
      <c r="CD37" s="32"/>
      <c r="CE37" s="55"/>
      <c r="CF37" s="32"/>
      <c r="CG37" s="54"/>
      <c r="CH37" s="21" t="str">
        <f>IFERROR(VLOOKUP(September[[#This Row],[Drug Name9]],'Data Options'!$R$1:$S$100,2,FALSE), " ")</f>
        <v xml:space="preserve"> </v>
      </c>
      <c r="CI37" s="55"/>
      <c r="CJ37" s="32"/>
      <c r="CK37" s="32"/>
      <c r="CL37" s="55"/>
      <c r="CM37" s="32"/>
    </row>
    <row r="38" spans="1:9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54"/>
      <c r="R38" s="21" t="str">
        <f>IFERROR(VLOOKUP(September[[#This Row],[Drug Name]],'Data Options'!$R$1:$S$100,2,FALSE), " ")</f>
        <v xml:space="preserve"> </v>
      </c>
      <c r="S38" s="55"/>
      <c r="T38" s="32"/>
      <c r="U38" s="32"/>
      <c r="V38" s="55"/>
      <c r="W38" s="32"/>
      <c r="X38" s="54"/>
      <c r="Y38" s="21" t="str">
        <f>IFERROR(VLOOKUP(September[[#This Row],[Drug Name2]],'Data Options'!$R$1:$S$100,2,FALSE), " ")</f>
        <v xml:space="preserve"> </v>
      </c>
      <c r="Z38" s="55"/>
      <c r="AA38" s="32"/>
      <c r="AB38" s="32"/>
      <c r="AC38" s="55"/>
      <c r="AD38" s="32"/>
      <c r="AE38" s="54"/>
      <c r="AF38" s="21" t="str">
        <f>IFERROR(VLOOKUP(September[[#This Row],[Drug Name3]],'Data Options'!$R$1:$S$100,2,FALSE), " ")</f>
        <v xml:space="preserve"> </v>
      </c>
      <c r="AG38" s="55"/>
      <c r="AH38" s="32"/>
      <c r="AI38" s="32"/>
      <c r="AJ38" s="55"/>
      <c r="AK38" s="32"/>
      <c r="AL38" s="32"/>
      <c r="AM38" s="32"/>
      <c r="AN38" s="32"/>
      <c r="AO38" s="32"/>
      <c r="AP38" s="31"/>
      <c r="AQ38" s="31"/>
      <c r="AR38" s="54"/>
      <c r="AS38" s="21" t="str">
        <f>IFERROR(VLOOKUP(September[[#This Row],[Drug Name4]],'Data Options'!$R$1:$S$100,2,FALSE), " ")</f>
        <v xml:space="preserve"> </v>
      </c>
      <c r="AT38" s="55"/>
      <c r="AU38" s="32"/>
      <c r="AV38" s="32"/>
      <c r="AW38" s="55"/>
      <c r="AX38" s="32"/>
      <c r="AY38" s="54"/>
      <c r="AZ38" s="21" t="str">
        <f>IFERROR(VLOOKUP(September[[#This Row],[Drug Name5]],'Data Options'!$R$1:$S$100,2,FALSE), " ")</f>
        <v xml:space="preserve"> </v>
      </c>
      <c r="BA38" s="55"/>
      <c r="BB38" s="32"/>
      <c r="BC38" s="32"/>
      <c r="BD38" s="55"/>
      <c r="BE38" s="32"/>
      <c r="BF38" s="54"/>
      <c r="BG38" s="21" t="str">
        <f>IFERROR(VLOOKUP(September[[#This Row],[Drug Name6]],'Data Options'!$R$1:$S$100,2,FALSE), " ")</f>
        <v xml:space="preserve"> </v>
      </c>
      <c r="BH38" s="55"/>
      <c r="BI38" s="32"/>
      <c r="BJ38" s="32"/>
      <c r="BK38" s="55"/>
      <c r="BL38" s="32"/>
      <c r="BM38" s="32"/>
      <c r="BN38" s="32"/>
      <c r="BO38" s="32"/>
      <c r="BP38" s="32"/>
      <c r="BQ38" s="31"/>
      <c r="BR38" s="31"/>
      <c r="BS38" s="54"/>
      <c r="BT38" s="21" t="str">
        <f>IFERROR(VLOOKUP(September[[#This Row],[Drug Name7]],'Data Options'!$R$1:$S$100,2,FALSE), " ")</f>
        <v xml:space="preserve"> </v>
      </c>
      <c r="BU38" s="55"/>
      <c r="BV38" s="32"/>
      <c r="BW38" s="32"/>
      <c r="BX38" s="55"/>
      <c r="BY38" s="32"/>
      <c r="BZ38" s="54"/>
      <c r="CA38" s="21" t="str">
        <f>IFERROR(VLOOKUP(September[[#This Row],[Drug Name8]],'Data Options'!$R$1:$S$100,2,FALSE), " ")</f>
        <v xml:space="preserve"> </v>
      </c>
      <c r="CB38" s="55"/>
      <c r="CC38" s="32"/>
      <c r="CD38" s="32"/>
      <c r="CE38" s="55"/>
      <c r="CF38" s="32"/>
      <c r="CG38" s="54"/>
      <c r="CH38" s="21" t="str">
        <f>IFERROR(VLOOKUP(September[[#This Row],[Drug Name9]],'Data Options'!$R$1:$S$100,2,FALSE), " ")</f>
        <v xml:space="preserve"> </v>
      </c>
      <c r="CI38" s="55"/>
      <c r="CJ38" s="32"/>
      <c r="CK38" s="32"/>
      <c r="CL38" s="55"/>
      <c r="CM38" s="32"/>
    </row>
    <row r="39" spans="1:9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54"/>
      <c r="R39" s="21" t="str">
        <f>IFERROR(VLOOKUP(September[[#This Row],[Drug Name]],'Data Options'!$R$1:$S$100,2,FALSE), " ")</f>
        <v xml:space="preserve"> </v>
      </c>
      <c r="S39" s="55"/>
      <c r="T39" s="32"/>
      <c r="U39" s="32"/>
      <c r="V39" s="55"/>
      <c r="W39" s="32"/>
      <c r="X39" s="54"/>
      <c r="Y39" s="21" t="str">
        <f>IFERROR(VLOOKUP(September[[#This Row],[Drug Name2]],'Data Options'!$R$1:$S$100,2,FALSE), " ")</f>
        <v xml:space="preserve"> </v>
      </c>
      <c r="Z39" s="55"/>
      <c r="AA39" s="32"/>
      <c r="AB39" s="32"/>
      <c r="AC39" s="55"/>
      <c r="AD39" s="32"/>
      <c r="AE39" s="54"/>
      <c r="AF39" s="21" t="str">
        <f>IFERROR(VLOOKUP(September[[#This Row],[Drug Name3]],'Data Options'!$R$1:$S$100,2,FALSE), " ")</f>
        <v xml:space="preserve"> </v>
      </c>
      <c r="AG39" s="55"/>
      <c r="AH39" s="32"/>
      <c r="AI39" s="32"/>
      <c r="AJ39" s="55"/>
      <c r="AK39" s="32"/>
      <c r="AL39" s="32"/>
      <c r="AM39" s="32"/>
      <c r="AN39" s="32"/>
      <c r="AO39" s="32"/>
      <c r="AP39" s="31"/>
      <c r="AQ39" s="31"/>
      <c r="AR39" s="54"/>
      <c r="AS39" s="21" t="str">
        <f>IFERROR(VLOOKUP(September[[#This Row],[Drug Name4]],'Data Options'!$R$1:$S$100,2,FALSE), " ")</f>
        <v xml:space="preserve"> </v>
      </c>
      <c r="AT39" s="55"/>
      <c r="AU39" s="32"/>
      <c r="AV39" s="32"/>
      <c r="AW39" s="55"/>
      <c r="AX39" s="32"/>
      <c r="AY39" s="54"/>
      <c r="AZ39" s="21" t="str">
        <f>IFERROR(VLOOKUP(September[[#This Row],[Drug Name5]],'Data Options'!$R$1:$S$100,2,FALSE), " ")</f>
        <v xml:space="preserve"> </v>
      </c>
      <c r="BA39" s="55"/>
      <c r="BB39" s="32"/>
      <c r="BC39" s="32"/>
      <c r="BD39" s="55"/>
      <c r="BE39" s="32"/>
      <c r="BF39" s="54"/>
      <c r="BG39" s="21" t="str">
        <f>IFERROR(VLOOKUP(September[[#This Row],[Drug Name6]],'Data Options'!$R$1:$S$100,2,FALSE), " ")</f>
        <v xml:space="preserve"> </v>
      </c>
      <c r="BH39" s="55"/>
      <c r="BI39" s="32"/>
      <c r="BJ39" s="32"/>
      <c r="BK39" s="55"/>
      <c r="BL39" s="32"/>
      <c r="BM39" s="32"/>
      <c r="BN39" s="32"/>
      <c r="BO39" s="32"/>
      <c r="BP39" s="32"/>
      <c r="BQ39" s="31"/>
      <c r="BR39" s="31"/>
      <c r="BS39" s="54"/>
      <c r="BT39" s="21" t="str">
        <f>IFERROR(VLOOKUP(September[[#This Row],[Drug Name7]],'Data Options'!$R$1:$S$100,2,FALSE), " ")</f>
        <v xml:space="preserve"> </v>
      </c>
      <c r="BU39" s="55"/>
      <c r="BV39" s="32"/>
      <c r="BW39" s="32"/>
      <c r="BX39" s="55"/>
      <c r="BY39" s="32"/>
      <c r="BZ39" s="54"/>
      <c r="CA39" s="21" t="str">
        <f>IFERROR(VLOOKUP(September[[#This Row],[Drug Name8]],'Data Options'!$R$1:$S$100,2,FALSE), " ")</f>
        <v xml:space="preserve"> </v>
      </c>
      <c r="CB39" s="55"/>
      <c r="CC39" s="32"/>
      <c r="CD39" s="32"/>
      <c r="CE39" s="55"/>
      <c r="CF39" s="32"/>
      <c r="CG39" s="54"/>
      <c r="CH39" s="21" t="str">
        <f>IFERROR(VLOOKUP(September[[#This Row],[Drug Name9]],'Data Options'!$R$1:$S$100,2,FALSE), " ")</f>
        <v xml:space="preserve"> </v>
      </c>
      <c r="CI39" s="55"/>
      <c r="CJ39" s="32"/>
      <c r="CK39" s="32"/>
      <c r="CL39" s="55"/>
      <c r="CM39" s="32"/>
    </row>
    <row r="40" spans="1:91">
      <c r="A40" s="5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54"/>
      <c r="R40" s="21" t="str">
        <f>IFERROR(VLOOKUP(September[[#This Row],[Drug Name]],'Data Options'!$R$1:$S$100,2,FALSE), " ")</f>
        <v xml:space="preserve"> </v>
      </c>
      <c r="S40" s="55"/>
      <c r="T40" s="32"/>
      <c r="U40" s="32"/>
      <c r="V40" s="55"/>
      <c r="W40" s="32"/>
      <c r="X40" s="54"/>
      <c r="Y40" s="21" t="str">
        <f>IFERROR(VLOOKUP(September[[#This Row],[Drug Name2]],'Data Options'!$R$1:$S$100,2,FALSE), " ")</f>
        <v xml:space="preserve"> </v>
      </c>
      <c r="Z40" s="55"/>
      <c r="AA40" s="32"/>
      <c r="AB40" s="32"/>
      <c r="AC40" s="55"/>
      <c r="AD40" s="32"/>
      <c r="AE40" s="54"/>
      <c r="AF40" s="21" t="str">
        <f>IFERROR(VLOOKUP(September[[#This Row],[Drug Name3]],'Data Options'!$R$1:$S$100,2,FALSE), " ")</f>
        <v xml:space="preserve"> </v>
      </c>
      <c r="AG40" s="55"/>
      <c r="AH40" s="32"/>
      <c r="AI40" s="32"/>
      <c r="AJ40" s="55"/>
      <c r="AK40" s="32"/>
      <c r="AL40" s="32"/>
      <c r="AM40" s="32"/>
      <c r="AN40" s="32"/>
      <c r="AO40" s="32"/>
      <c r="AP40" s="31"/>
      <c r="AQ40" s="31"/>
      <c r="AR40" s="54"/>
      <c r="AS40" s="21" t="str">
        <f>IFERROR(VLOOKUP(September[[#This Row],[Drug Name4]],'Data Options'!$R$1:$S$100,2,FALSE), " ")</f>
        <v xml:space="preserve"> </v>
      </c>
      <c r="AT40" s="55"/>
      <c r="AU40" s="32"/>
      <c r="AV40" s="32"/>
      <c r="AW40" s="55"/>
      <c r="AX40" s="32"/>
      <c r="AY40" s="54"/>
      <c r="AZ40" s="21" t="str">
        <f>IFERROR(VLOOKUP(September[[#This Row],[Drug Name5]],'Data Options'!$R$1:$S$100,2,FALSE), " ")</f>
        <v xml:space="preserve"> </v>
      </c>
      <c r="BA40" s="55"/>
      <c r="BB40" s="32"/>
      <c r="BC40" s="32"/>
      <c r="BD40" s="55"/>
      <c r="BE40" s="32"/>
      <c r="BF40" s="54"/>
      <c r="BG40" s="21" t="str">
        <f>IFERROR(VLOOKUP(September[[#This Row],[Drug Name6]],'Data Options'!$R$1:$S$100,2,FALSE), " ")</f>
        <v xml:space="preserve"> </v>
      </c>
      <c r="BH40" s="55"/>
      <c r="BI40" s="32"/>
      <c r="BJ40" s="32"/>
      <c r="BK40" s="55"/>
      <c r="BL40" s="32"/>
      <c r="BM40" s="32"/>
      <c r="BN40" s="32"/>
      <c r="BO40" s="32"/>
      <c r="BP40" s="32"/>
      <c r="BQ40" s="31"/>
      <c r="BR40" s="31"/>
      <c r="BS40" s="54"/>
      <c r="BT40" s="21" t="str">
        <f>IFERROR(VLOOKUP(September[[#This Row],[Drug Name7]],'Data Options'!$R$1:$S$100,2,FALSE), " ")</f>
        <v xml:space="preserve"> </v>
      </c>
      <c r="BU40" s="55"/>
      <c r="BV40" s="32"/>
      <c r="BW40" s="32"/>
      <c r="BX40" s="55"/>
      <c r="BY40" s="32"/>
      <c r="BZ40" s="54"/>
      <c r="CA40" s="21" t="str">
        <f>IFERROR(VLOOKUP(September[[#This Row],[Drug Name8]],'Data Options'!$R$1:$S$100,2,FALSE), " ")</f>
        <v xml:space="preserve"> </v>
      </c>
      <c r="CB40" s="55"/>
      <c r="CC40" s="32"/>
      <c r="CD40" s="32"/>
      <c r="CE40" s="55"/>
      <c r="CF40" s="32"/>
      <c r="CG40" s="54"/>
      <c r="CH40" s="21" t="str">
        <f>IFERROR(VLOOKUP(September[[#This Row],[Drug Name9]],'Data Options'!$R$1:$S$100,2,FALSE), " ")</f>
        <v xml:space="preserve"> </v>
      </c>
      <c r="CI40" s="55"/>
      <c r="CJ40" s="32"/>
      <c r="CK40" s="32"/>
      <c r="CL40" s="55"/>
      <c r="CM40" s="32"/>
    </row>
    <row r="41" spans="1:91">
      <c r="A41" s="5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54"/>
      <c r="R41" s="21" t="str">
        <f>IFERROR(VLOOKUP(September[[#This Row],[Drug Name]],'Data Options'!$R$1:$S$100,2,FALSE), " ")</f>
        <v xml:space="preserve"> </v>
      </c>
      <c r="S41" s="55"/>
      <c r="T41" s="32"/>
      <c r="U41" s="32"/>
      <c r="V41" s="55"/>
      <c r="W41" s="32"/>
      <c r="X41" s="54"/>
      <c r="Y41" s="21" t="str">
        <f>IFERROR(VLOOKUP(September[[#This Row],[Drug Name2]],'Data Options'!$R$1:$S$100,2,FALSE), " ")</f>
        <v xml:space="preserve"> </v>
      </c>
      <c r="Z41" s="55"/>
      <c r="AA41" s="32"/>
      <c r="AB41" s="32"/>
      <c r="AC41" s="55"/>
      <c r="AD41" s="32"/>
      <c r="AE41" s="54"/>
      <c r="AF41" s="21" t="str">
        <f>IFERROR(VLOOKUP(September[[#This Row],[Drug Name3]],'Data Options'!$R$1:$S$100,2,FALSE), " ")</f>
        <v xml:space="preserve"> </v>
      </c>
      <c r="AG41" s="55"/>
      <c r="AH41" s="32"/>
      <c r="AI41" s="32"/>
      <c r="AJ41" s="55"/>
      <c r="AK41" s="32"/>
      <c r="AL41" s="32"/>
      <c r="AM41" s="32"/>
      <c r="AN41" s="32"/>
      <c r="AO41" s="32"/>
      <c r="AP41" s="31"/>
      <c r="AQ41" s="31"/>
      <c r="AR41" s="54"/>
      <c r="AS41" s="21" t="str">
        <f>IFERROR(VLOOKUP(September[[#This Row],[Drug Name4]],'Data Options'!$R$1:$S$100,2,FALSE), " ")</f>
        <v xml:space="preserve"> </v>
      </c>
      <c r="AT41" s="55"/>
      <c r="AU41" s="32"/>
      <c r="AV41" s="32"/>
      <c r="AW41" s="55"/>
      <c r="AX41" s="32"/>
      <c r="AY41" s="54"/>
      <c r="AZ41" s="21" t="str">
        <f>IFERROR(VLOOKUP(September[[#This Row],[Drug Name5]],'Data Options'!$R$1:$S$100,2,FALSE), " ")</f>
        <v xml:space="preserve"> </v>
      </c>
      <c r="BA41" s="55"/>
      <c r="BB41" s="32"/>
      <c r="BC41" s="32"/>
      <c r="BD41" s="55"/>
      <c r="BE41" s="32"/>
      <c r="BF41" s="54"/>
      <c r="BG41" s="21" t="str">
        <f>IFERROR(VLOOKUP(September[[#This Row],[Drug Name6]],'Data Options'!$R$1:$S$100,2,FALSE), " ")</f>
        <v xml:space="preserve"> </v>
      </c>
      <c r="BH41" s="55"/>
      <c r="BI41" s="32"/>
      <c r="BJ41" s="32"/>
      <c r="BK41" s="55"/>
      <c r="BL41" s="32"/>
      <c r="BM41" s="32"/>
      <c r="BN41" s="32"/>
      <c r="BO41" s="32"/>
      <c r="BP41" s="32"/>
      <c r="BQ41" s="31"/>
      <c r="BR41" s="31"/>
      <c r="BS41" s="54"/>
      <c r="BT41" s="21" t="str">
        <f>IFERROR(VLOOKUP(September[[#This Row],[Drug Name7]],'Data Options'!$R$1:$S$100,2,FALSE), " ")</f>
        <v xml:space="preserve"> </v>
      </c>
      <c r="BU41" s="55"/>
      <c r="BV41" s="32"/>
      <c r="BW41" s="32"/>
      <c r="BX41" s="55"/>
      <c r="BY41" s="32"/>
      <c r="BZ41" s="54"/>
      <c r="CA41" s="21" t="str">
        <f>IFERROR(VLOOKUP(September[[#This Row],[Drug Name8]],'Data Options'!$R$1:$S$100,2,FALSE), " ")</f>
        <v xml:space="preserve"> </v>
      </c>
      <c r="CB41" s="55"/>
      <c r="CC41" s="32"/>
      <c r="CD41" s="32"/>
      <c r="CE41" s="55"/>
      <c r="CF41" s="32"/>
      <c r="CG41" s="54"/>
      <c r="CH41" s="21" t="str">
        <f>IFERROR(VLOOKUP(September[[#This Row],[Drug Name9]],'Data Options'!$R$1:$S$100,2,FALSE), " ")</f>
        <v xml:space="preserve"> </v>
      </c>
      <c r="CI41" s="55"/>
      <c r="CJ41" s="32"/>
      <c r="CK41" s="32"/>
      <c r="CL41" s="55"/>
      <c r="CM41" s="32"/>
    </row>
    <row r="42" spans="1:91">
      <c r="A42" s="5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54"/>
      <c r="R42" s="21" t="str">
        <f>IFERROR(VLOOKUP(September[[#This Row],[Drug Name]],'Data Options'!$R$1:$S$100,2,FALSE), " ")</f>
        <v xml:space="preserve"> </v>
      </c>
      <c r="S42" s="55"/>
      <c r="T42" s="32"/>
      <c r="U42" s="32"/>
      <c r="V42" s="55"/>
      <c r="W42" s="32"/>
      <c r="X42" s="54"/>
      <c r="Y42" s="21" t="str">
        <f>IFERROR(VLOOKUP(September[[#This Row],[Drug Name2]],'Data Options'!$R$1:$S$100,2,FALSE), " ")</f>
        <v xml:space="preserve"> </v>
      </c>
      <c r="Z42" s="55"/>
      <c r="AA42" s="32"/>
      <c r="AB42" s="32"/>
      <c r="AC42" s="55"/>
      <c r="AD42" s="32"/>
      <c r="AE42" s="54"/>
      <c r="AF42" s="21" t="str">
        <f>IFERROR(VLOOKUP(September[[#This Row],[Drug Name3]],'Data Options'!$R$1:$S$100,2,FALSE), " ")</f>
        <v xml:space="preserve"> </v>
      </c>
      <c r="AG42" s="55"/>
      <c r="AH42" s="32"/>
      <c r="AI42" s="32"/>
      <c r="AJ42" s="55"/>
      <c r="AK42" s="32"/>
      <c r="AL42" s="32"/>
      <c r="AM42" s="32"/>
      <c r="AN42" s="32"/>
      <c r="AO42" s="32"/>
      <c r="AP42" s="31"/>
      <c r="AQ42" s="31"/>
      <c r="AR42" s="54"/>
      <c r="AS42" s="21" t="str">
        <f>IFERROR(VLOOKUP(September[[#This Row],[Drug Name4]],'Data Options'!$R$1:$S$100,2,FALSE), " ")</f>
        <v xml:space="preserve"> </v>
      </c>
      <c r="AT42" s="55"/>
      <c r="AU42" s="32"/>
      <c r="AV42" s="32"/>
      <c r="AW42" s="55"/>
      <c r="AX42" s="32"/>
      <c r="AY42" s="54"/>
      <c r="AZ42" s="21" t="str">
        <f>IFERROR(VLOOKUP(September[[#This Row],[Drug Name5]],'Data Options'!$R$1:$S$100,2,FALSE), " ")</f>
        <v xml:space="preserve"> </v>
      </c>
      <c r="BA42" s="55"/>
      <c r="BB42" s="32"/>
      <c r="BC42" s="32"/>
      <c r="BD42" s="55"/>
      <c r="BE42" s="32"/>
      <c r="BF42" s="54"/>
      <c r="BG42" s="21" t="str">
        <f>IFERROR(VLOOKUP(September[[#This Row],[Drug Name6]],'Data Options'!$R$1:$S$100,2,FALSE), " ")</f>
        <v xml:space="preserve"> </v>
      </c>
      <c r="BH42" s="55"/>
      <c r="BI42" s="32"/>
      <c r="BJ42" s="32"/>
      <c r="BK42" s="55"/>
      <c r="BL42" s="32"/>
      <c r="BM42" s="32"/>
      <c r="BN42" s="32"/>
      <c r="BO42" s="32"/>
      <c r="BP42" s="32"/>
      <c r="BQ42" s="31"/>
      <c r="BR42" s="31"/>
      <c r="BS42" s="54"/>
      <c r="BT42" s="21" t="str">
        <f>IFERROR(VLOOKUP(September[[#This Row],[Drug Name7]],'Data Options'!$R$1:$S$100,2,FALSE), " ")</f>
        <v xml:space="preserve"> </v>
      </c>
      <c r="BU42" s="55"/>
      <c r="BV42" s="32"/>
      <c r="BW42" s="32"/>
      <c r="BX42" s="55"/>
      <c r="BY42" s="32"/>
      <c r="BZ42" s="54"/>
      <c r="CA42" s="21" t="str">
        <f>IFERROR(VLOOKUP(September[[#This Row],[Drug Name8]],'Data Options'!$R$1:$S$100,2,FALSE), " ")</f>
        <v xml:space="preserve"> </v>
      </c>
      <c r="CB42" s="55"/>
      <c r="CC42" s="32"/>
      <c r="CD42" s="32"/>
      <c r="CE42" s="55"/>
      <c r="CF42" s="32"/>
      <c r="CG42" s="54"/>
      <c r="CH42" s="21" t="str">
        <f>IFERROR(VLOOKUP(September[[#This Row],[Drug Name9]],'Data Options'!$R$1:$S$100,2,FALSE), " ")</f>
        <v xml:space="preserve"> </v>
      </c>
      <c r="CI42" s="55"/>
      <c r="CJ42" s="32"/>
      <c r="CK42" s="32"/>
      <c r="CL42" s="55"/>
      <c r="CM42" s="32"/>
    </row>
    <row r="43" spans="1:91">
      <c r="A43" s="5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54"/>
      <c r="R43" s="21" t="str">
        <f>IFERROR(VLOOKUP(September[[#This Row],[Drug Name]],'Data Options'!$R$1:$S$100,2,FALSE), " ")</f>
        <v xml:space="preserve"> </v>
      </c>
      <c r="S43" s="55"/>
      <c r="T43" s="32"/>
      <c r="U43" s="32"/>
      <c r="V43" s="55"/>
      <c r="W43" s="32"/>
      <c r="X43" s="54"/>
      <c r="Y43" s="21" t="str">
        <f>IFERROR(VLOOKUP(September[[#This Row],[Drug Name2]],'Data Options'!$R$1:$S$100,2,FALSE), " ")</f>
        <v xml:space="preserve"> </v>
      </c>
      <c r="Z43" s="55"/>
      <c r="AA43" s="32"/>
      <c r="AB43" s="32"/>
      <c r="AC43" s="55"/>
      <c r="AD43" s="32"/>
      <c r="AE43" s="54"/>
      <c r="AF43" s="21" t="str">
        <f>IFERROR(VLOOKUP(September[[#This Row],[Drug Name3]],'Data Options'!$R$1:$S$100,2,FALSE), " ")</f>
        <v xml:space="preserve"> </v>
      </c>
      <c r="AG43" s="55"/>
      <c r="AH43" s="32"/>
      <c r="AI43" s="32"/>
      <c r="AJ43" s="55"/>
      <c r="AK43" s="32"/>
      <c r="AL43" s="32"/>
      <c r="AM43" s="32"/>
      <c r="AN43" s="32"/>
      <c r="AO43" s="32"/>
      <c r="AP43" s="31"/>
      <c r="AQ43" s="31"/>
      <c r="AR43" s="54"/>
      <c r="AS43" s="21" t="str">
        <f>IFERROR(VLOOKUP(September[[#This Row],[Drug Name4]],'Data Options'!$R$1:$S$100,2,FALSE), " ")</f>
        <v xml:space="preserve"> </v>
      </c>
      <c r="AT43" s="55"/>
      <c r="AU43" s="32"/>
      <c r="AV43" s="32"/>
      <c r="AW43" s="55"/>
      <c r="AX43" s="32"/>
      <c r="AY43" s="54"/>
      <c r="AZ43" s="21" t="str">
        <f>IFERROR(VLOOKUP(September[[#This Row],[Drug Name5]],'Data Options'!$R$1:$S$100,2,FALSE), " ")</f>
        <v xml:space="preserve"> </v>
      </c>
      <c r="BA43" s="55"/>
      <c r="BB43" s="32"/>
      <c r="BC43" s="32"/>
      <c r="BD43" s="55"/>
      <c r="BE43" s="32"/>
      <c r="BF43" s="54"/>
      <c r="BG43" s="21" t="str">
        <f>IFERROR(VLOOKUP(September[[#This Row],[Drug Name6]],'Data Options'!$R$1:$S$100,2,FALSE), " ")</f>
        <v xml:space="preserve"> </v>
      </c>
      <c r="BH43" s="55"/>
      <c r="BI43" s="32"/>
      <c r="BJ43" s="32"/>
      <c r="BK43" s="55"/>
      <c r="BL43" s="32"/>
      <c r="BM43" s="32"/>
      <c r="BN43" s="32"/>
      <c r="BO43" s="32"/>
      <c r="BP43" s="32"/>
      <c r="BQ43" s="31"/>
      <c r="BR43" s="31"/>
      <c r="BS43" s="54"/>
      <c r="BT43" s="21" t="str">
        <f>IFERROR(VLOOKUP(September[[#This Row],[Drug Name7]],'Data Options'!$R$1:$S$100,2,FALSE), " ")</f>
        <v xml:space="preserve"> </v>
      </c>
      <c r="BU43" s="55"/>
      <c r="BV43" s="32"/>
      <c r="BW43" s="32"/>
      <c r="BX43" s="55"/>
      <c r="BY43" s="32"/>
      <c r="BZ43" s="54"/>
      <c r="CA43" s="21" t="str">
        <f>IFERROR(VLOOKUP(September[[#This Row],[Drug Name8]],'Data Options'!$R$1:$S$100,2,FALSE), " ")</f>
        <v xml:space="preserve"> </v>
      </c>
      <c r="CB43" s="55"/>
      <c r="CC43" s="32"/>
      <c r="CD43" s="32"/>
      <c r="CE43" s="55"/>
      <c r="CF43" s="32"/>
      <c r="CG43" s="54"/>
      <c r="CH43" s="21" t="str">
        <f>IFERROR(VLOOKUP(September[[#This Row],[Drug Name9]],'Data Options'!$R$1:$S$100,2,FALSE), " ")</f>
        <v xml:space="preserve"> </v>
      </c>
      <c r="CI43" s="55"/>
      <c r="CJ43" s="32"/>
      <c r="CK43" s="32"/>
      <c r="CL43" s="55"/>
      <c r="CM43" s="32"/>
    </row>
    <row r="44" spans="1:9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54"/>
      <c r="R44" s="21" t="str">
        <f>IFERROR(VLOOKUP(September[[#This Row],[Drug Name]],'Data Options'!$R$1:$S$100,2,FALSE), " ")</f>
        <v xml:space="preserve"> </v>
      </c>
      <c r="S44" s="55"/>
      <c r="T44" s="32"/>
      <c r="U44" s="32"/>
      <c r="V44" s="55"/>
      <c r="W44" s="32"/>
      <c r="X44" s="54"/>
      <c r="Y44" s="21" t="str">
        <f>IFERROR(VLOOKUP(September[[#This Row],[Drug Name2]],'Data Options'!$R$1:$S$100,2,FALSE), " ")</f>
        <v xml:space="preserve"> </v>
      </c>
      <c r="Z44" s="55"/>
      <c r="AA44" s="32"/>
      <c r="AB44" s="32"/>
      <c r="AC44" s="55"/>
      <c r="AD44" s="32"/>
      <c r="AE44" s="54"/>
      <c r="AF44" s="21" t="str">
        <f>IFERROR(VLOOKUP(September[[#This Row],[Drug Name3]],'Data Options'!$R$1:$S$100,2,FALSE), " ")</f>
        <v xml:space="preserve"> </v>
      </c>
      <c r="AG44" s="55"/>
      <c r="AH44" s="32"/>
      <c r="AI44" s="32"/>
      <c r="AJ44" s="55"/>
      <c r="AK44" s="32"/>
      <c r="AL44" s="32"/>
      <c r="AM44" s="32"/>
      <c r="AN44" s="32"/>
      <c r="AO44" s="32"/>
      <c r="AP44" s="31"/>
      <c r="AQ44" s="31"/>
      <c r="AR44" s="54"/>
      <c r="AS44" s="21" t="str">
        <f>IFERROR(VLOOKUP(September[[#This Row],[Drug Name4]],'Data Options'!$R$1:$S$100,2,FALSE), " ")</f>
        <v xml:space="preserve"> </v>
      </c>
      <c r="AT44" s="55"/>
      <c r="AU44" s="32"/>
      <c r="AV44" s="32"/>
      <c r="AW44" s="55"/>
      <c r="AX44" s="32"/>
      <c r="AY44" s="54"/>
      <c r="AZ44" s="21" t="str">
        <f>IFERROR(VLOOKUP(September[[#This Row],[Drug Name5]],'Data Options'!$R$1:$S$100,2,FALSE), " ")</f>
        <v xml:space="preserve"> </v>
      </c>
      <c r="BA44" s="55"/>
      <c r="BB44" s="32"/>
      <c r="BC44" s="32"/>
      <c r="BD44" s="55"/>
      <c r="BE44" s="32"/>
      <c r="BF44" s="54"/>
      <c r="BG44" s="21" t="str">
        <f>IFERROR(VLOOKUP(September[[#This Row],[Drug Name6]],'Data Options'!$R$1:$S$100,2,FALSE), " ")</f>
        <v xml:space="preserve"> </v>
      </c>
      <c r="BH44" s="55"/>
      <c r="BI44" s="32"/>
      <c r="BJ44" s="32"/>
      <c r="BK44" s="55"/>
      <c r="BL44" s="32"/>
      <c r="BM44" s="32"/>
      <c r="BN44" s="32"/>
      <c r="BO44" s="32"/>
      <c r="BP44" s="32"/>
      <c r="BQ44" s="31"/>
      <c r="BR44" s="31"/>
      <c r="BS44" s="54"/>
      <c r="BT44" s="21" t="str">
        <f>IFERROR(VLOOKUP(September[[#This Row],[Drug Name7]],'Data Options'!$R$1:$S$100,2,FALSE), " ")</f>
        <v xml:space="preserve"> </v>
      </c>
      <c r="BU44" s="55"/>
      <c r="BV44" s="32"/>
      <c r="BW44" s="32"/>
      <c r="BX44" s="55"/>
      <c r="BY44" s="32"/>
      <c r="BZ44" s="54"/>
      <c r="CA44" s="21" t="str">
        <f>IFERROR(VLOOKUP(September[[#This Row],[Drug Name8]],'Data Options'!$R$1:$S$100,2,FALSE), " ")</f>
        <v xml:space="preserve"> </v>
      </c>
      <c r="CB44" s="55"/>
      <c r="CC44" s="32"/>
      <c r="CD44" s="32"/>
      <c r="CE44" s="55"/>
      <c r="CF44" s="32"/>
      <c r="CG44" s="54"/>
      <c r="CH44" s="21" t="str">
        <f>IFERROR(VLOOKUP(September[[#This Row],[Drug Name9]],'Data Options'!$R$1:$S$100,2,FALSE), " ")</f>
        <v xml:space="preserve"> </v>
      </c>
      <c r="CI44" s="55"/>
      <c r="CJ44" s="32"/>
      <c r="CK44" s="32"/>
      <c r="CL44" s="55"/>
      <c r="CM44" s="32"/>
    </row>
    <row r="45" spans="1:91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54"/>
      <c r="R45" s="21" t="str">
        <f>IFERROR(VLOOKUP(September[[#This Row],[Drug Name]],'Data Options'!$R$1:$S$100,2,FALSE), " ")</f>
        <v xml:space="preserve"> </v>
      </c>
      <c r="S45" s="55"/>
      <c r="T45" s="32"/>
      <c r="U45" s="32"/>
      <c r="V45" s="55"/>
      <c r="W45" s="32"/>
      <c r="X45" s="54"/>
      <c r="Y45" s="21" t="str">
        <f>IFERROR(VLOOKUP(September[[#This Row],[Drug Name2]],'Data Options'!$R$1:$S$100,2,FALSE), " ")</f>
        <v xml:space="preserve"> </v>
      </c>
      <c r="Z45" s="55"/>
      <c r="AA45" s="32"/>
      <c r="AB45" s="32"/>
      <c r="AC45" s="55"/>
      <c r="AD45" s="32"/>
      <c r="AE45" s="54"/>
      <c r="AF45" s="21" t="str">
        <f>IFERROR(VLOOKUP(September[[#This Row],[Drug Name3]],'Data Options'!$R$1:$S$100,2,FALSE), " ")</f>
        <v xml:space="preserve"> </v>
      </c>
      <c r="AG45" s="55"/>
      <c r="AH45" s="32"/>
      <c r="AI45" s="32"/>
      <c r="AJ45" s="55"/>
      <c r="AK45" s="32"/>
      <c r="AL45" s="32"/>
      <c r="AM45" s="32"/>
      <c r="AN45" s="32"/>
      <c r="AO45" s="32"/>
      <c r="AP45" s="31"/>
      <c r="AQ45" s="31"/>
      <c r="AR45" s="54"/>
      <c r="AS45" s="21" t="str">
        <f>IFERROR(VLOOKUP(September[[#This Row],[Drug Name4]],'Data Options'!$R$1:$S$100,2,FALSE), " ")</f>
        <v xml:space="preserve"> </v>
      </c>
      <c r="AT45" s="55"/>
      <c r="AU45" s="32"/>
      <c r="AV45" s="32"/>
      <c r="AW45" s="55"/>
      <c r="AX45" s="32"/>
      <c r="AY45" s="54"/>
      <c r="AZ45" s="21" t="str">
        <f>IFERROR(VLOOKUP(September[[#This Row],[Drug Name5]],'Data Options'!$R$1:$S$100,2,FALSE), " ")</f>
        <v xml:space="preserve"> </v>
      </c>
      <c r="BA45" s="55"/>
      <c r="BB45" s="32"/>
      <c r="BC45" s="32"/>
      <c r="BD45" s="55"/>
      <c r="BE45" s="32"/>
      <c r="BF45" s="54"/>
      <c r="BG45" s="21" t="str">
        <f>IFERROR(VLOOKUP(September[[#This Row],[Drug Name6]],'Data Options'!$R$1:$S$100,2,FALSE), " ")</f>
        <v xml:space="preserve"> </v>
      </c>
      <c r="BH45" s="55"/>
      <c r="BI45" s="32"/>
      <c r="BJ45" s="32"/>
      <c r="BK45" s="55"/>
      <c r="BL45" s="32"/>
      <c r="BM45" s="32"/>
      <c r="BN45" s="32"/>
      <c r="BO45" s="32"/>
      <c r="BP45" s="32"/>
      <c r="BQ45" s="31"/>
      <c r="BR45" s="31"/>
      <c r="BS45" s="54"/>
      <c r="BT45" s="21" t="str">
        <f>IFERROR(VLOOKUP(September[[#This Row],[Drug Name7]],'Data Options'!$R$1:$S$100,2,FALSE), " ")</f>
        <v xml:space="preserve"> </v>
      </c>
      <c r="BU45" s="55"/>
      <c r="BV45" s="32"/>
      <c r="BW45" s="32"/>
      <c r="BX45" s="55"/>
      <c r="BY45" s="32"/>
      <c r="BZ45" s="54"/>
      <c r="CA45" s="21" t="str">
        <f>IFERROR(VLOOKUP(September[[#This Row],[Drug Name8]],'Data Options'!$R$1:$S$100,2,FALSE), " ")</f>
        <v xml:space="preserve"> </v>
      </c>
      <c r="CB45" s="55"/>
      <c r="CC45" s="32"/>
      <c r="CD45" s="32"/>
      <c r="CE45" s="55"/>
      <c r="CF45" s="32"/>
      <c r="CG45" s="54"/>
      <c r="CH45" s="21" t="str">
        <f>IFERROR(VLOOKUP(September[[#This Row],[Drug Name9]],'Data Options'!$R$1:$S$100,2,FALSE), " ")</f>
        <v xml:space="preserve"> </v>
      </c>
      <c r="CI45" s="55"/>
      <c r="CJ45" s="32"/>
      <c r="CK45" s="32"/>
      <c r="CL45" s="55"/>
      <c r="CM45" s="32"/>
    </row>
    <row r="46" spans="1:91">
      <c r="A46" s="5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54"/>
      <c r="R46" s="21" t="str">
        <f>IFERROR(VLOOKUP(September[[#This Row],[Drug Name]],'Data Options'!$R$1:$S$100,2,FALSE), " ")</f>
        <v xml:space="preserve"> </v>
      </c>
      <c r="S46" s="55"/>
      <c r="T46" s="32"/>
      <c r="U46" s="32"/>
      <c r="V46" s="55"/>
      <c r="W46" s="32"/>
      <c r="X46" s="54"/>
      <c r="Y46" s="21" t="str">
        <f>IFERROR(VLOOKUP(September[[#This Row],[Drug Name2]],'Data Options'!$R$1:$S$100,2,FALSE), " ")</f>
        <v xml:space="preserve"> </v>
      </c>
      <c r="Z46" s="55"/>
      <c r="AA46" s="32"/>
      <c r="AB46" s="32"/>
      <c r="AC46" s="55"/>
      <c r="AD46" s="32"/>
      <c r="AE46" s="54"/>
      <c r="AF46" s="21" t="str">
        <f>IFERROR(VLOOKUP(September[[#This Row],[Drug Name3]],'Data Options'!$R$1:$S$100,2,FALSE), " ")</f>
        <v xml:space="preserve"> </v>
      </c>
      <c r="AG46" s="55"/>
      <c r="AH46" s="32"/>
      <c r="AI46" s="32"/>
      <c r="AJ46" s="55"/>
      <c r="AK46" s="32"/>
      <c r="AL46" s="32"/>
      <c r="AM46" s="32"/>
      <c r="AN46" s="32"/>
      <c r="AO46" s="32"/>
      <c r="AP46" s="31"/>
      <c r="AQ46" s="31"/>
      <c r="AR46" s="54"/>
      <c r="AS46" s="21" t="str">
        <f>IFERROR(VLOOKUP(September[[#This Row],[Drug Name4]],'Data Options'!$R$1:$S$100,2,FALSE), " ")</f>
        <v xml:space="preserve"> </v>
      </c>
      <c r="AT46" s="55"/>
      <c r="AU46" s="32"/>
      <c r="AV46" s="32"/>
      <c r="AW46" s="55"/>
      <c r="AX46" s="32"/>
      <c r="AY46" s="54"/>
      <c r="AZ46" s="21" t="str">
        <f>IFERROR(VLOOKUP(September[[#This Row],[Drug Name5]],'Data Options'!$R$1:$S$100,2,FALSE), " ")</f>
        <v xml:space="preserve"> </v>
      </c>
      <c r="BA46" s="55"/>
      <c r="BB46" s="32"/>
      <c r="BC46" s="32"/>
      <c r="BD46" s="55"/>
      <c r="BE46" s="32"/>
      <c r="BF46" s="54"/>
      <c r="BG46" s="21" t="str">
        <f>IFERROR(VLOOKUP(September[[#This Row],[Drug Name6]],'Data Options'!$R$1:$S$100,2,FALSE), " ")</f>
        <v xml:space="preserve"> </v>
      </c>
      <c r="BH46" s="55"/>
      <c r="BI46" s="32"/>
      <c r="BJ46" s="32"/>
      <c r="BK46" s="55"/>
      <c r="BL46" s="32"/>
      <c r="BM46" s="32"/>
      <c r="BN46" s="32"/>
      <c r="BO46" s="32"/>
      <c r="BP46" s="32"/>
      <c r="BQ46" s="31"/>
      <c r="BR46" s="31"/>
      <c r="BS46" s="54"/>
      <c r="BT46" s="21" t="str">
        <f>IFERROR(VLOOKUP(September[[#This Row],[Drug Name7]],'Data Options'!$R$1:$S$100,2,FALSE), " ")</f>
        <v xml:space="preserve"> </v>
      </c>
      <c r="BU46" s="55"/>
      <c r="BV46" s="32"/>
      <c r="BW46" s="32"/>
      <c r="BX46" s="55"/>
      <c r="BY46" s="32"/>
      <c r="BZ46" s="54"/>
      <c r="CA46" s="21" t="str">
        <f>IFERROR(VLOOKUP(September[[#This Row],[Drug Name8]],'Data Options'!$R$1:$S$100,2,FALSE), " ")</f>
        <v xml:space="preserve"> </v>
      </c>
      <c r="CB46" s="55"/>
      <c r="CC46" s="32"/>
      <c r="CD46" s="32"/>
      <c r="CE46" s="55"/>
      <c r="CF46" s="32"/>
      <c r="CG46" s="54"/>
      <c r="CH46" s="21" t="str">
        <f>IFERROR(VLOOKUP(September[[#This Row],[Drug Name9]],'Data Options'!$R$1:$S$100,2,FALSE), " ")</f>
        <v xml:space="preserve"> </v>
      </c>
      <c r="CI46" s="55"/>
      <c r="CJ46" s="32"/>
      <c r="CK46" s="32"/>
      <c r="CL46" s="55"/>
      <c r="CM46" s="32"/>
    </row>
    <row r="47" spans="1:9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54"/>
      <c r="R47" s="21" t="str">
        <f>IFERROR(VLOOKUP(September[[#This Row],[Drug Name]],'Data Options'!$R$1:$S$100,2,FALSE), " ")</f>
        <v xml:space="preserve"> </v>
      </c>
      <c r="S47" s="55"/>
      <c r="T47" s="32"/>
      <c r="U47" s="32"/>
      <c r="V47" s="55"/>
      <c r="W47" s="32"/>
      <c r="X47" s="54"/>
      <c r="Y47" s="21" t="str">
        <f>IFERROR(VLOOKUP(September[[#This Row],[Drug Name2]],'Data Options'!$R$1:$S$100,2,FALSE), " ")</f>
        <v xml:space="preserve"> </v>
      </c>
      <c r="Z47" s="55"/>
      <c r="AA47" s="32"/>
      <c r="AB47" s="32"/>
      <c r="AC47" s="55"/>
      <c r="AD47" s="32"/>
      <c r="AE47" s="54"/>
      <c r="AF47" s="21" t="str">
        <f>IFERROR(VLOOKUP(September[[#This Row],[Drug Name3]],'Data Options'!$R$1:$S$100,2,FALSE), " ")</f>
        <v xml:space="preserve"> </v>
      </c>
      <c r="AG47" s="55"/>
      <c r="AH47" s="32"/>
      <c r="AI47" s="32"/>
      <c r="AJ47" s="55"/>
      <c r="AK47" s="32"/>
      <c r="AL47" s="32"/>
      <c r="AM47" s="32"/>
      <c r="AN47" s="32"/>
      <c r="AO47" s="32"/>
      <c r="AP47" s="31"/>
      <c r="AQ47" s="31"/>
      <c r="AR47" s="54"/>
      <c r="AS47" s="21" t="str">
        <f>IFERROR(VLOOKUP(September[[#This Row],[Drug Name4]],'Data Options'!$R$1:$S$100,2,FALSE), " ")</f>
        <v xml:space="preserve"> </v>
      </c>
      <c r="AT47" s="55"/>
      <c r="AU47" s="32"/>
      <c r="AV47" s="32"/>
      <c r="AW47" s="55"/>
      <c r="AX47" s="32"/>
      <c r="AY47" s="54"/>
      <c r="AZ47" s="21" t="str">
        <f>IFERROR(VLOOKUP(September[[#This Row],[Drug Name5]],'Data Options'!$R$1:$S$100,2,FALSE), " ")</f>
        <v xml:space="preserve"> </v>
      </c>
      <c r="BA47" s="55"/>
      <c r="BB47" s="32"/>
      <c r="BC47" s="32"/>
      <c r="BD47" s="55"/>
      <c r="BE47" s="32"/>
      <c r="BF47" s="54"/>
      <c r="BG47" s="21" t="str">
        <f>IFERROR(VLOOKUP(September[[#This Row],[Drug Name6]],'Data Options'!$R$1:$S$100,2,FALSE), " ")</f>
        <v xml:space="preserve"> </v>
      </c>
      <c r="BH47" s="55"/>
      <c r="BI47" s="32"/>
      <c r="BJ47" s="32"/>
      <c r="BK47" s="55"/>
      <c r="BL47" s="32"/>
      <c r="BM47" s="32"/>
      <c r="BN47" s="32"/>
      <c r="BO47" s="32"/>
      <c r="BP47" s="32"/>
      <c r="BQ47" s="31"/>
      <c r="BR47" s="31"/>
      <c r="BS47" s="54"/>
      <c r="BT47" s="21" t="str">
        <f>IFERROR(VLOOKUP(September[[#This Row],[Drug Name7]],'Data Options'!$R$1:$S$100,2,FALSE), " ")</f>
        <v xml:space="preserve"> </v>
      </c>
      <c r="BU47" s="55"/>
      <c r="BV47" s="32"/>
      <c r="BW47" s="32"/>
      <c r="BX47" s="55"/>
      <c r="BY47" s="32"/>
      <c r="BZ47" s="54"/>
      <c r="CA47" s="21" t="str">
        <f>IFERROR(VLOOKUP(September[[#This Row],[Drug Name8]],'Data Options'!$R$1:$S$100,2,FALSE), " ")</f>
        <v xml:space="preserve"> </v>
      </c>
      <c r="CB47" s="55"/>
      <c r="CC47" s="32"/>
      <c r="CD47" s="32"/>
      <c r="CE47" s="55"/>
      <c r="CF47" s="32"/>
      <c r="CG47" s="54"/>
      <c r="CH47" s="21" t="str">
        <f>IFERROR(VLOOKUP(September[[#This Row],[Drug Name9]],'Data Options'!$R$1:$S$100,2,FALSE), " ")</f>
        <v xml:space="preserve"> </v>
      </c>
      <c r="CI47" s="55"/>
      <c r="CJ47" s="32"/>
      <c r="CK47" s="32"/>
      <c r="CL47" s="55"/>
      <c r="CM47" s="32"/>
    </row>
    <row r="48" spans="1:9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54"/>
      <c r="R48" s="21" t="str">
        <f>IFERROR(VLOOKUP(September[[#This Row],[Drug Name]],'Data Options'!$R$1:$S$100,2,FALSE), " ")</f>
        <v xml:space="preserve"> </v>
      </c>
      <c r="S48" s="55"/>
      <c r="T48" s="32"/>
      <c r="U48" s="32"/>
      <c r="V48" s="55"/>
      <c r="W48" s="32"/>
      <c r="X48" s="54"/>
      <c r="Y48" s="21" t="str">
        <f>IFERROR(VLOOKUP(September[[#This Row],[Drug Name2]],'Data Options'!$R$1:$S$100,2,FALSE), " ")</f>
        <v xml:space="preserve"> </v>
      </c>
      <c r="Z48" s="55"/>
      <c r="AA48" s="32"/>
      <c r="AB48" s="32"/>
      <c r="AC48" s="55"/>
      <c r="AD48" s="32"/>
      <c r="AE48" s="54"/>
      <c r="AF48" s="21" t="str">
        <f>IFERROR(VLOOKUP(September[[#This Row],[Drug Name3]],'Data Options'!$R$1:$S$100,2,FALSE), " ")</f>
        <v xml:space="preserve"> </v>
      </c>
      <c r="AG48" s="55"/>
      <c r="AH48" s="32"/>
      <c r="AI48" s="32"/>
      <c r="AJ48" s="55"/>
      <c r="AK48" s="32"/>
      <c r="AL48" s="32"/>
      <c r="AM48" s="32"/>
      <c r="AN48" s="32"/>
      <c r="AO48" s="32"/>
      <c r="AP48" s="31"/>
      <c r="AQ48" s="31"/>
      <c r="AR48" s="54"/>
      <c r="AS48" s="21" t="str">
        <f>IFERROR(VLOOKUP(September[[#This Row],[Drug Name4]],'Data Options'!$R$1:$S$100,2,FALSE), " ")</f>
        <v xml:space="preserve"> </v>
      </c>
      <c r="AT48" s="55"/>
      <c r="AU48" s="32"/>
      <c r="AV48" s="32"/>
      <c r="AW48" s="55"/>
      <c r="AX48" s="32"/>
      <c r="AY48" s="54"/>
      <c r="AZ48" s="21" t="str">
        <f>IFERROR(VLOOKUP(September[[#This Row],[Drug Name5]],'Data Options'!$R$1:$S$100,2,FALSE), " ")</f>
        <v xml:space="preserve"> </v>
      </c>
      <c r="BA48" s="55"/>
      <c r="BB48" s="32"/>
      <c r="BC48" s="32"/>
      <c r="BD48" s="55"/>
      <c r="BE48" s="32"/>
      <c r="BF48" s="54"/>
      <c r="BG48" s="21" t="str">
        <f>IFERROR(VLOOKUP(September[[#This Row],[Drug Name6]],'Data Options'!$R$1:$S$100,2,FALSE), " ")</f>
        <v xml:space="preserve"> </v>
      </c>
      <c r="BH48" s="55"/>
      <c r="BI48" s="32"/>
      <c r="BJ48" s="32"/>
      <c r="BK48" s="55"/>
      <c r="BL48" s="32"/>
      <c r="BM48" s="32"/>
      <c r="BN48" s="32"/>
      <c r="BO48" s="32"/>
      <c r="BP48" s="32"/>
      <c r="BQ48" s="31"/>
      <c r="BR48" s="31"/>
      <c r="BS48" s="54"/>
      <c r="BT48" s="21" t="str">
        <f>IFERROR(VLOOKUP(September[[#This Row],[Drug Name7]],'Data Options'!$R$1:$S$100,2,FALSE), " ")</f>
        <v xml:space="preserve"> </v>
      </c>
      <c r="BU48" s="55"/>
      <c r="BV48" s="32"/>
      <c r="BW48" s="32"/>
      <c r="BX48" s="55"/>
      <c r="BY48" s="32"/>
      <c r="BZ48" s="54"/>
      <c r="CA48" s="21" t="str">
        <f>IFERROR(VLOOKUP(September[[#This Row],[Drug Name8]],'Data Options'!$R$1:$S$100,2,FALSE), " ")</f>
        <v xml:space="preserve"> </v>
      </c>
      <c r="CB48" s="55"/>
      <c r="CC48" s="32"/>
      <c r="CD48" s="32"/>
      <c r="CE48" s="55"/>
      <c r="CF48" s="32"/>
      <c r="CG48" s="54"/>
      <c r="CH48" s="21" t="str">
        <f>IFERROR(VLOOKUP(September[[#This Row],[Drug Name9]],'Data Options'!$R$1:$S$100,2,FALSE), " ")</f>
        <v xml:space="preserve"> </v>
      </c>
      <c r="CI48" s="55"/>
      <c r="CJ48" s="32"/>
      <c r="CK48" s="32"/>
      <c r="CL48" s="55"/>
      <c r="CM48" s="32"/>
    </row>
    <row r="49" spans="1:9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54"/>
      <c r="R49" s="21" t="str">
        <f>IFERROR(VLOOKUP(September[[#This Row],[Drug Name]],'Data Options'!$R$1:$S$100,2,FALSE), " ")</f>
        <v xml:space="preserve"> </v>
      </c>
      <c r="S49" s="55"/>
      <c r="T49" s="32"/>
      <c r="U49" s="32"/>
      <c r="V49" s="55"/>
      <c r="W49" s="32"/>
      <c r="X49" s="54"/>
      <c r="Y49" s="21" t="str">
        <f>IFERROR(VLOOKUP(September[[#This Row],[Drug Name2]],'Data Options'!$R$1:$S$100,2,FALSE), " ")</f>
        <v xml:space="preserve"> </v>
      </c>
      <c r="Z49" s="55"/>
      <c r="AA49" s="32"/>
      <c r="AB49" s="32"/>
      <c r="AC49" s="55"/>
      <c r="AD49" s="32"/>
      <c r="AE49" s="54"/>
      <c r="AF49" s="21" t="str">
        <f>IFERROR(VLOOKUP(September[[#This Row],[Drug Name3]],'Data Options'!$R$1:$S$100,2,FALSE), " ")</f>
        <v xml:space="preserve"> </v>
      </c>
      <c r="AG49" s="55"/>
      <c r="AH49" s="32"/>
      <c r="AI49" s="32"/>
      <c r="AJ49" s="55"/>
      <c r="AK49" s="32"/>
      <c r="AL49" s="32"/>
      <c r="AM49" s="32"/>
      <c r="AN49" s="32"/>
      <c r="AO49" s="32"/>
      <c r="AP49" s="31"/>
      <c r="AQ49" s="31"/>
      <c r="AR49" s="54"/>
      <c r="AS49" s="21" t="str">
        <f>IFERROR(VLOOKUP(September[[#This Row],[Drug Name4]],'Data Options'!$R$1:$S$100,2,FALSE), " ")</f>
        <v xml:space="preserve"> </v>
      </c>
      <c r="AT49" s="55"/>
      <c r="AU49" s="32"/>
      <c r="AV49" s="32"/>
      <c r="AW49" s="55"/>
      <c r="AX49" s="32"/>
      <c r="AY49" s="54"/>
      <c r="AZ49" s="21" t="str">
        <f>IFERROR(VLOOKUP(September[[#This Row],[Drug Name5]],'Data Options'!$R$1:$S$100,2,FALSE), " ")</f>
        <v xml:space="preserve"> </v>
      </c>
      <c r="BA49" s="55"/>
      <c r="BB49" s="32"/>
      <c r="BC49" s="32"/>
      <c r="BD49" s="55"/>
      <c r="BE49" s="32"/>
      <c r="BF49" s="54"/>
      <c r="BG49" s="21" t="str">
        <f>IFERROR(VLOOKUP(September[[#This Row],[Drug Name6]],'Data Options'!$R$1:$S$100,2,FALSE), " ")</f>
        <v xml:space="preserve"> </v>
      </c>
      <c r="BH49" s="55"/>
      <c r="BI49" s="32"/>
      <c r="BJ49" s="32"/>
      <c r="BK49" s="55"/>
      <c r="BL49" s="32"/>
      <c r="BM49" s="32"/>
      <c r="BN49" s="32"/>
      <c r="BO49" s="32"/>
      <c r="BP49" s="32"/>
      <c r="BQ49" s="31"/>
      <c r="BR49" s="31"/>
      <c r="BS49" s="54"/>
      <c r="BT49" s="21" t="str">
        <f>IFERROR(VLOOKUP(September[[#This Row],[Drug Name7]],'Data Options'!$R$1:$S$100,2,FALSE), " ")</f>
        <v xml:space="preserve"> </v>
      </c>
      <c r="BU49" s="55"/>
      <c r="BV49" s="32"/>
      <c r="BW49" s="32"/>
      <c r="BX49" s="55"/>
      <c r="BY49" s="32"/>
      <c r="BZ49" s="54"/>
      <c r="CA49" s="21" t="str">
        <f>IFERROR(VLOOKUP(September[[#This Row],[Drug Name8]],'Data Options'!$R$1:$S$100,2,FALSE), " ")</f>
        <v xml:space="preserve"> </v>
      </c>
      <c r="CB49" s="55"/>
      <c r="CC49" s="32"/>
      <c r="CD49" s="32"/>
      <c r="CE49" s="55"/>
      <c r="CF49" s="32"/>
      <c r="CG49" s="54"/>
      <c r="CH49" s="21" t="str">
        <f>IFERROR(VLOOKUP(September[[#This Row],[Drug Name9]],'Data Options'!$R$1:$S$100,2,FALSE), " ")</f>
        <v xml:space="preserve"> </v>
      </c>
      <c r="CI49" s="55"/>
      <c r="CJ49" s="32"/>
      <c r="CK49" s="32"/>
      <c r="CL49" s="55"/>
      <c r="CM49" s="32"/>
    </row>
    <row r="50" spans="1:91">
      <c r="A50" s="5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54"/>
      <c r="R50" s="21" t="str">
        <f>IFERROR(VLOOKUP(September[[#This Row],[Drug Name]],'Data Options'!$R$1:$S$100,2,FALSE), " ")</f>
        <v xml:space="preserve"> </v>
      </c>
      <c r="S50" s="55"/>
      <c r="T50" s="32"/>
      <c r="U50" s="32"/>
      <c r="V50" s="55"/>
      <c r="W50" s="32"/>
      <c r="X50" s="54"/>
      <c r="Y50" s="21" t="str">
        <f>IFERROR(VLOOKUP(September[[#This Row],[Drug Name2]],'Data Options'!$R$1:$S$100,2,FALSE), " ")</f>
        <v xml:space="preserve"> </v>
      </c>
      <c r="Z50" s="55"/>
      <c r="AA50" s="32"/>
      <c r="AB50" s="32"/>
      <c r="AC50" s="55"/>
      <c r="AD50" s="32"/>
      <c r="AE50" s="54"/>
      <c r="AF50" s="21" t="str">
        <f>IFERROR(VLOOKUP(September[[#This Row],[Drug Name3]],'Data Options'!$R$1:$S$100,2,FALSE), " ")</f>
        <v xml:space="preserve"> </v>
      </c>
      <c r="AG50" s="55"/>
      <c r="AH50" s="32"/>
      <c r="AI50" s="32"/>
      <c r="AJ50" s="55"/>
      <c r="AK50" s="32"/>
      <c r="AL50" s="32"/>
      <c r="AM50" s="32"/>
      <c r="AN50" s="32"/>
      <c r="AO50" s="32"/>
      <c r="AP50" s="31"/>
      <c r="AQ50" s="31"/>
      <c r="AR50" s="54"/>
      <c r="AS50" s="21" t="str">
        <f>IFERROR(VLOOKUP(September[[#This Row],[Drug Name4]],'Data Options'!$R$1:$S$100,2,FALSE), " ")</f>
        <v xml:space="preserve"> </v>
      </c>
      <c r="AT50" s="55"/>
      <c r="AU50" s="32"/>
      <c r="AV50" s="32"/>
      <c r="AW50" s="55"/>
      <c r="AX50" s="32"/>
      <c r="AY50" s="54"/>
      <c r="AZ50" s="21" t="str">
        <f>IFERROR(VLOOKUP(September[[#This Row],[Drug Name5]],'Data Options'!$R$1:$S$100,2,FALSE), " ")</f>
        <v xml:space="preserve"> </v>
      </c>
      <c r="BA50" s="55"/>
      <c r="BB50" s="32"/>
      <c r="BC50" s="32"/>
      <c r="BD50" s="55"/>
      <c r="BE50" s="32"/>
      <c r="BF50" s="54"/>
      <c r="BG50" s="21" t="str">
        <f>IFERROR(VLOOKUP(September[[#This Row],[Drug Name6]],'Data Options'!$R$1:$S$100,2,FALSE), " ")</f>
        <v xml:space="preserve"> </v>
      </c>
      <c r="BH50" s="55"/>
      <c r="BI50" s="32"/>
      <c r="BJ50" s="32"/>
      <c r="BK50" s="55"/>
      <c r="BL50" s="32"/>
      <c r="BM50" s="32"/>
      <c r="BN50" s="32"/>
      <c r="BO50" s="32"/>
      <c r="BP50" s="32"/>
      <c r="BQ50" s="31"/>
      <c r="BR50" s="31"/>
      <c r="BS50" s="54"/>
      <c r="BT50" s="21" t="str">
        <f>IFERROR(VLOOKUP(September[[#This Row],[Drug Name7]],'Data Options'!$R$1:$S$100,2,FALSE), " ")</f>
        <v xml:space="preserve"> </v>
      </c>
      <c r="BU50" s="55"/>
      <c r="BV50" s="32"/>
      <c r="BW50" s="32"/>
      <c r="BX50" s="55"/>
      <c r="BY50" s="32"/>
      <c r="BZ50" s="54"/>
      <c r="CA50" s="21" t="str">
        <f>IFERROR(VLOOKUP(September[[#This Row],[Drug Name8]],'Data Options'!$R$1:$S$100,2,FALSE), " ")</f>
        <v xml:space="preserve"> </v>
      </c>
      <c r="CB50" s="55"/>
      <c r="CC50" s="32"/>
      <c r="CD50" s="32"/>
      <c r="CE50" s="55"/>
      <c r="CF50" s="32"/>
      <c r="CG50" s="54"/>
      <c r="CH50" s="21" t="str">
        <f>IFERROR(VLOOKUP(September[[#This Row],[Drug Name9]],'Data Options'!$R$1:$S$100,2,FALSE), " ")</f>
        <v xml:space="preserve"> </v>
      </c>
      <c r="CI50" s="55"/>
      <c r="CJ50" s="32"/>
      <c r="CK50" s="32"/>
      <c r="CL50" s="55"/>
      <c r="CM50" s="32"/>
    </row>
    <row r="51" spans="1:9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54"/>
      <c r="R51" s="21" t="str">
        <f>IFERROR(VLOOKUP(September[[#This Row],[Drug Name]],'Data Options'!$R$1:$S$100,2,FALSE), " ")</f>
        <v xml:space="preserve"> </v>
      </c>
      <c r="S51" s="55"/>
      <c r="T51" s="32"/>
      <c r="U51" s="32"/>
      <c r="V51" s="55"/>
      <c r="W51" s="32"/>
      <c r="X51" s="54"/>
      <c r="Y51" s="21" t="str">
        <f>IFERROR(VLOOKUP(September[[#This Row],[Drug Name2]],'Data Options'!$R$1:$S$100,2,FALSE), " ")</f>
        <v xml:space="preserve"> </v>
      </c>
      <c r="Z51" s="55"/>
      <c r="AA51" s="32"/>
      <c r="AB51" s="32"/>
      <c r="AC51" s="55"/>
      <c r="AD51" s="32"/>
      <c r="AE51" s="54"/>
      <c r="AF51" s="21" t="str">
        <f>IFERROR(VLOOKUP(September[[#This Row],[Drug Name3]],'Data Options'!$R$1:$S$100,2,FALSE), " ")</f>
        <v xml:space="preserve"> </v>
      </c>
      <c r="AG51" s="55"/>
      <c r="AH51" s="32"/>
      <c r="AI51" s="32"/>
      <c r="AJ51" s="55"/>
      <c r="AK51" s="32"/>
      <c r="AL51" s="32"/>
      <c r="AM51" s="32"/>
      <c r="AN51" s="32"/>
      <c r="AO51" s="32"/>
      <c r="AP51" s="31"/>
      <c r="AQ51" s="31"/>
      <c r="AR51" s="54"/>
      <c r="AS51" s="21" t="str">
        <f>IFERROR(VLOOKUP(September[[#This Row],[Drug Name4]],'Data Options'!$R$1:$S$100,2,FALSE), " ")</f>
        <v xml:space="preserve"> </v>
      </c>
      <c r="AT51" s="55"/>
      <c r="AU51" s="32"/>
      <c r="AV51" s="32"/>
      <c r="AW51" s="55"/>
      <c r="AX51" s="32"/>
      <c r="AY51" s="54"/>
      <c r="AZ51" s="21" t="str">
        <f>IFERROR(VLOOKUP(September[[#This Row],[Drug Name5]],'Data Options'!$R$1:$S$100,2,FALSE), " ")</f>
        <v xml:space="preserve"> </v>
      </c>
      <c r="BA51" s="55"/>
      <c r="BB51" s="32"/>
      <c r="BC51" s="32"/>
      <c r="BD51" s="55"/>
      <c r="BE51" s="32"/>
      <c r="BF51" s="54"/>
      <c r="BG51" s="21" t="str">
        <f>IFERROR(VLOOKUP(September[[#This Row],[Drug Name6]],'Data Options'!$R$1:$S$100,2,FALSE), " ")</f>
        <v xml:space="preserve"> </v>
      </c>
      <c r="BH51" s="55"/>
      <c r="BI51" s="32"/>
      <c r="BJ51" s="32"/>
      <c r="BK51" s="55"/>
      <c r="BL51" s="32"/>
      <c r="BM51" s="32"/>
      <c r="BN51" s="32"/>
      <c r="BO51" s="32"/>
      <c r="BP51" s="32"/>
      <c r="BQ51" s="31"/>
      <c r="BR51" s="31"/>
      <c r="BS51" s="54"/>
      <c r="BT51" s="21" t="str">
        <f>IFERROR(VLOOKUP(September[[#This Row],[Drug Name7]],'Data Options'!$R$1:$S$100,2,FALSE), " ")</f>
        <v xml:space="preserve"> </v>
      </c>
      <c r="BU51" s="55"/>
      <c r="BV51" s="32"/>
      <c r="BW51" s="32"/>
      <c r="BX51" s="55"/>
      <c r="BY51" s="32"/>
      <c r="BZ51" s="54"/>
      <c r="CA51" s="21" t="str">
        <f>IFERROR(VLOOKUP(September[[#This Row],[Drug Name8]],'Data Options'!$R$1:$S$100,2,FALSE), " ")</f>
        <v xml:space="preserve"> </v>
      </c>
      <c r="CB51" s="55"/>
      <c r="CC51" s="32"/>
      <c r="CD51" s="32"/>
      <c r="CE51" s="55"/>
      <c r="CF51" s="32"/>
      <c r="CG51" s="54"/>
      <c r="CH51" s="21" t="str">
        <f>IFERROR(VLOOKUP(September[[#This Row],[Drug Name9]],'Data Options'!$R$1:$S$100,2,FALSE), " ")</f>
        <v xml:space="preserve"> </v>
      </c>
      <c r="CI51" s="55"/>
      <c r="CJ51" s="32"/>
      <c r="CK51" s="32"/>
      <c r="CL51" s="55"/>
      <c r="CM51" s="32"/>
    </row>
    <row r="52" spans="1:9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54"/>
      <c r="R52" s="21" t="str">
        <f>IFERROR(VLOOKUP(September[[#This Row],[Drug Name]],'Data Options'!$R$1:$S$100,2,FALSE), " ")</f>
        <v xml:space="preserve"> </v>
      </c>
      <c r="S52" s="55"/>
      <c r="T52" s="32"/>
      <c r="U52" s="32"/>
      <c r="V52" s="55"/>
      <c r="W52" s="32"/>
      <c r="X52" s="54"/>
      <c r="Y52" s="21" t="str">
        <f>IFERROR(VLOOKUP(September[[#This Row],[Drug Name2]],'Data Options'!$R$1:$S$100,2,FALSE), " ")</f>
        <v xml:space="preserve"> </v>
      </c>
      <c r="Z52" s="55"/>
      <c r="AA52" s="32"/>
      <c r="AB52" s="32"/>
      <c r="AC52" s="55"/>
      <c r="AD52" s="32"/>
      <c r="AE52" s="54"/>
      <c r="AF52" s="21" t="str">
        <f>IFERROR(VLOOKUP(September[[#This Row],[Drug Name3]],'Data Options'!$R$1:$S$100,2,FALSE), " ")</f>
        <v xml:space="preserve"> </v>
      </c>
      <c r="AG52" s="55"/>
      <c r="AH52" s="32"/>
      <c r="AI52" s="32"/>
      <c r="AJ52" s="55"/>
      <c r="AK52" s="32"/>
      <c r="AL52" s="32"/>
      <c r="AM52" s="32"/>
      <c r="AN52" s="32"/>
      <c r="AO52" s="32"/>
      <c r="AP52" s="31"/>
      <c r="AQ52" s="31"/>
      <c r="AR52" s="54"/>
      <c r="AS52" s="21" t="str">
        <f>IFERROR(VLOOKUP(September[[#This Row],[Drug Name4]],'Data Options'!$R$1:$S$100,2,FALSE), " ")</f>
        <v xml:space="preserve"> </v>
      </c>
      <c r="AT52" s="55"/>
      <c r="AU52" s="32"/>
      <c r="AV52" s="32"/>
      <c r="AW52" s="55"/>
      <c r="AX52" s="32"/>
      <c r="AY52" s="54"/>
      <c r="AZ52" s="21" t="str">
        <f>IFERROR(VLOOKUP(September[[#This Row],[Drug Name5]],'Data Options'!$R$1:$S$100,2,FALSE), " ")</f>
        <v xml:space="preserve"> </v>
      </c>
      <c r="BA52" s="55"/>
      <c r="BB52" s="32"/>
      <c r="BC52" s="32"/>
      <c r="BD52" s="55"/>
      <c r="BE52" s="32"/>
      <c r="BF52" s="54"/>
      <c r="BG52" s="21" t="str">
        <f>IFERROR(VLOOKUP(September[[#This Row],[Drug Name6]],'Data Options'!$R$1:$S$100,2,FALSE), " ")</f>
        <v xml:space="preserve"> </v>
      </c>
      <c r="BH52" s="55"/>
      <c r="BI52" s="32"/>
      <c r="BJ52" s="32"/>
      <c r="BK52" s="55"/>
      <c r="BL52" s="32"/>
      <c r="BM52" s="32"/>
      <c r="BN52" s="32"/>
      <c r="BO52" s="32"/>
      <c r="BP52" s="32"/>
      <c r="BQ52" s="31"/>
      <c r="BR52" s="31"/>
      <c r="BS52" s="54"/>
      <c r="BT52" s="21" t="str">
        <f>IFERROR(VLOOKUP(September[[#This Row],[Drug Name7]],'Data Options'!$R$1:$S$100,2,FALSE), " ")</f>
        <v xml:space="preserve"> </v>
      </c>
      <c r="BU52" s="55"/>
      <c r="BV52" s="32"/>
      <c r="BW52" s="32"/>
      <c r="BX52" s="55"/>
      <c r="BY52" s="32"/>
      <c r="BZ52" s="54"/>
      <c r="CA52" s="21" t="str">
        <f>IFERROR(VLOOKUP(September[[#This Row],[Drug Name8]],'Data Options'!$R$1:$S$100,2,FALSE), " ")</f>
        <v xml:space="preserve"> </v>
      </c>
      <c r="CB52" s="55"/>
      <c r="CC52" s="32"/>
      <c r="CD52" s="32"/>
      <c r="CE52" s="55"/>
      <c r="CF52" s="32"/>
      <c r="CG52" s="54"/>
      <c r="CH52" s="21" t="str">
        <f>IFERROR(VLOOKUP(September[[#This Row],[Drug Name9]],'Data Options'!$R$1:$S$100,2,FALSE), " ")</f>
        <v xml:space="preserve"> </v>
      </c>
      <c r="CI52" s="55"/>
      <c r="CJ52" s="32"/>
      <c r="CK52" s="32"/>
      <c r="CL52" s="55"/>
      <c r="CM52" s="32"/>
    </row>
    <row r="53" spans="1:91">
      <c r="A53" s="5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54"/>
      <c r="R53" s="21" t="str">
        <f>IFERROR(VLOOKUP(September[[#This Row],[Drug Name]],'Data Options'!$R$1:$S$100,2,FALSE), " ")</f>
        <v xml:space="preserve"> </v>
      </c>
      <c r="S53" s="55"/>
      <c r="T53" s="32"/>
      <c r="U53" s="32"/>
      <c r="V53" s="55"/>
      <c r="W53" s="32"/>
      <c r="X53" s="54"/>
      <c r="Y53" s="21" t="str">
        <f>IFERROR(VLOOKUP(September[[#This Row],[Drug Name2]],'Data Options'!$R$1:$S$100,2,FALSE), " ")</f>
        <v xml:space="preserve"> </v>
      </c>
      <c r="Z53" s="55"/>
      <c r="AA53" s="32"/>
      <c r="AB53" s="32"/>
      <c r="AC53" s="55"/>
      <c r="AD53" s="32"/>
      <c r="AE53" s="54"/>
      <c r="AF53" s="21" t="str">
        <f>IFERROR(VLOOKUP(September[[#This Row],[Drug Name3]],'Data Options'!$R$1:$S$100,2,FALSE), " ")</f>
        <v xml:space="preserve"> </v>
      </c>
      <c r="AG53" s="55"/>
      <c r="AH53" s="32"/>
      <c r="AI53" s="32"/>
      <c r="AJ53" s="55"/>
      <c r="AK53" s="32"/>
      <c r="AL53" s="32"/>
      <c r="AM53" s="32"/>
      <c r="AN53" s="32"/>
      <c r="AO53" s="32"/>
      <c r="AP53" s="31"/>
      <c r="AQ53" s="31"/>
      <c r="AR53" s="54"/>
      <c r="AS53" s="21" t="str">
        <f>IFERROR(VLOOKUP(September[[#This Row],[Drug Name4]],'Data Options'!$R$1:$S$100,2,FALSE), " ")</f>
        <v xml:space="preserve"> </v>
      </c>
      <c r="AT53" s="55"/>
      <c r="AU53" s="32"/>
      <c r="AV53" s="32"/>
      <c r="AW53" s="55"/>
      <c r="AX53" s="32"/>
      <c r="AY53" s="54"/>
      <c r="AZ53" s="21" t="str">
        <f>IFERROR(VLOOKUP(September[[#This Row],[Drug Name5]],'Data Options'!$R$1:$S$100,2,FALSE), " ")</f>
        <v xml:space="preserve"> </v>
      </c>
      <c r="BA53" s="55"/>
      <c r="BB53" s="32"/>
      <c r="BC53" s="32"/>
      <c r="BD53" s="55"/>
      <c r="BE53" s="32"/>
      <c r="BF53" s="54"/>
      <c r="BG53" s="21" t="str">
        <f>IFERROR(VLOOKUP(September[[#This Row],[Drug Name6]],'Data Options'!$R$1:$S$100,2,FALSE), " ")</f>
        <v xml:space="preserve"> </v>
      </c>
      <c r="BH53" s="55"/>
      <c r="BI53" s="32"/>
      <c r="BJ53" s="32"/>
      <c r="BK53" s="55"/>
      <c r="BL53" s="32"/>
      <c r="BM53" s="32"/>
      <c r="BN53" s="32"/>
      <c r="BO53" s="32"/>
      <c r="BP53" s="32"/>
      <c r="BQ53" s="31"/>
      <c r="BR53" s="31"/>
      <c r="BS53" s="54"/>
      <c r="BT53" s="21" t="str">
        <f>IFERROR(VLOOKUP(September[[#This Row],[Drug Name7]],'Data Options'!$R$1:$S$100,2,FALSE), " ")</f>
        <v xml:space="preserve"> </v>
      </c>
      <c r="BU53" s="55"/>
      <c r="BV53" s="32"/>
      <c r="BW53" s="32"/>
      <c r="BX53" s="55"/>
      <c r="BY53" s="32"/>
      <c r="BZ53" s="54"/>
      <c r="CA53" s="21" t="str">
        <f>IFERROR(VLOOKUP(September[[#This Row],[Drug Name8]],'Data Options'!$R$1:$S$100,2,FALSE), " ")</f>
        <v xml:space="preserve"> </v>
      </c>
      <c r="CB53" s="55"/>
      <c r="CC53" s="32"/>
      <c r="CD53" s="32"/>
      <c r="CE53" s="55"/>
      <c r="CF53" s="32"/>
      <c r="CG53" s="54"/>
      <c r="CH53" s="21" t="str">
        <f>IFERROR(VLOOKUP(September[[#This Row],[Drug Name9]],'Data Options'!$R$1:$S$100,2,FALSE), " ")</f>
        <v xml:space="preserve"> </v>
      </c>
      <c r="CI53" s="55"/>
      <c r="CJ53" s="32"/>
      <c r="CK53" s="32"/>
      <c r="CL53" s="55"/>
      <c r="CM53" s="32"/>
    </row>
    <row r="54" spans="1:91">
      <c r="A54" s="5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54"/>
      <c r="R54" s="21" t="str">
        <f>IFERROR(VLOOKUP(September[[#This Row],[Drug Name]],'Data Options'!$R$1:$S$100,2,FALSE), " ")</f>
        <v xml:space="preserve"> </v>
      </c>
      <c r="S54" s="55"/>
      <c r="T54" s="32"/>
      <c r="U54" s="32"/>
      <c r="V54" s="55"/>
      <c r="W54" s="32"/>
      <c r="X54" s="54"/>
      <c r="Y54" s="21" t="str">
        <f>IFERROR(VLOOKUP(September[[#This Row],[Drug Name2]],'Data Options'!$R$1:$S$100,2,FALSE), " ")</f>
        <v xml:space="preserve"> </v>
      </c>
      <c r="Z54" s="55"/>
      <c r="AA54" s="32"/>
      <c r="AB54" s="32"/>
      <c r="AC54" s="55"/>
      <c r="AD54" s="32"/>
      <c r="AE54" s="54"/>
      <c r="AF54" s="21" t="str">
        <f>IFERROR(VLOOKUP(September[[#This Row],[Drug Name3]],'Data Options'!$R$1:$S$100,2,FALSE), " ")</f>
        <v xml:space="preserve"> </v>
      </c>
      <c r="AG54" s="55"/>
      <c r="AH54" s="32"/>
      <c r="AI54" s="32"/>
      <c r="AJ54" s="55"/>
      <c r="AK54" s="32"/>
      <c r="AL54" s="32"/>
      <c r="AM54" s="32"/>
      <c r="AN54" s="32"/>
      <c r="AO54" s="32"/>
      <c r="AP54" s="31"/>
      <c r="AQ54" s="31"/>
      <c r="AR54" s="54"/>
      <c r="AS54" s="21" t="str">
        <f>IFERROR(VLOOKUP(September[[#This Row],[Drug Name4]],'Data Options'!$R$1:$S$100,2,FALSE), " ")</f>
        <v xml:space="preserve"> </v>
      </c>
      <c r="AT54" s="55"/>
      <c r="AU54" s="32"/>
      <c r="AV54" s="32"/>
      <c r="AW54" s="55"/>
      <c r="AX54" s="32"/>
      <c r="AY54" s="54"/>
      <c r="AZ54" s="21" t="str">
        <f>IFERROR(VLOOKUP(September[[#This Row],[Drug Name5]],'Data Options'!$R$1:$S$100,2,FALSE), " ")</f>
        <v xml:space="preserve"> </v>
      </c>
      <c r="BA54" s="55"/>
      <c r="BB54" s="32"/>
      <c r="BC54" s="32"/>
      <c r="BD54" s="55"/>
      <c r="BE54" s="32"/>
      <c r="BF54" s="54"/>
      <c r="BG54" s="21" t="str">
        <f>IFERROR(VLOOKUP(September[[#This Row],[Drug Name6]],'Data Options'!$R$1:$S$100,2,FALSE), " ")</f>
        <v xml:space="preserve"> </v>
      </c>
      <c r="BH54" s="55"/>
      <c r="BI54" s="32"/>
      <c r="BJ54" s="32"/>
      <c r="BK54" s="55"/>
      <c r="BL54" s="32"/>
      <c r="BM54" s="32"/>
      <c r="BN54" s="32"/>
      <c r="BO54" s="32"/>
      <c r="BP54" s="32"/>
      <c r="BQ54" s="31"/>
      <c r="BR54" s="31"/>
      <c r="BS54" s="54"/>
      <c r="BT54" s="21" t="str">
        <f>IFERROR(VLOOKUP(September[[#This Row],[Drug Name7]],'Data Options'!$R$1:$S$100,2,FALSE), " ")</f>
        <v xml:space="preserve"> </v>
      </c>
      <c r="BU54" s="55"/>
      <c r="BV54" s="32"/>
      <c r="BW54" s="32"/>
      <c r="BX54" s="55"/>
      <c r="BY54" s="32"/>
      <c r="BZ54" s="54"/>
      <c r="CA54" s="21" t="str">
        <f>IFERROR(VLOOKUP(September[[#This Row],[Drug Name8]],'Data Options'!$R$1:$S$100,2,FALSE), " ")</f>
        <v xml:space="preserve"> </v>
      </c>
      <c r="CB54" s="55"/>
      <c r="CC54" s="32"/>
      <c r="CD54" s="32"/>
      <c r="CE54" s="55"/>
      <c r="CF54" s="32"/>
      <c r="CG54" s="54"/>
      <c r="CH54" s="21" t="str">
        <f>IFERROR(VLOOKUP(September[[#This Row],[Drug Name9]],'Data Options'!$R$1:$S$100,2,FALSE), " ")</f>
        <v xml:space="preserve"> </v>
      </c>
      <c r="CI54" s="55"/>
      <c r="CJ54" s="32"/>
      <c r="CK54" s="32"/>
      <c r="CL54" s="55"/>
      <c r="CM54" s="32"/>
    </row>
    <row r="55" spans="1:91">
      <c r="A55" s="5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54"/>
      <c r="R55" s="21" t="str">
        <f>IFERROR(VLOOKUP(September[[#This Row],[Drug Name]],'Data Options'!$R$1:$S$100,2,FALSE), " ")</f>
        <v xml:space="preserve"> </v>
      </c>
      <c r="S55" s="55"/>
      <c r="T55" s="32"/>
      <c r="U55" s="32"/>
      <c r="V55" s="55"/>
      <c r="W55" s="32"/>
      <c r="X55" s="54"/>
      <c r="Y55" s="21" t="str">
        <f>IFERROR(VLOOKUP(September[[#This Row],[Drug Name2]],'Data Options'!$R$1:$S$100,2,FALSE), " ")</f>
        <v xml:space="preserve"> </v>
      </c>
      <c r="Z55" s="55"/>
      <c r="AA55" s="32"/>
      <c r="AB55" s="32"/>
      <c r="AC55" s="55"/>
      <c r="AD55" s="32"/>
      <c r="AE55" s="54"/>
      <c r="AF55" s="21" t="str">
        <f>IFERROR(VLOOKUP(September[[#This Row],[Drug Name3]],'Data Options'!$R$1:$S$100,2,FALSE), " ")</f>
        <v xml:space="preserve"> </v>
      </c>
      <c r="AG55" s="55"/>
      <c r="AH55" s="32"/>
      <c r="AI55" s="32"/>
      <c r="AJ55" s="55"/>
      <c r="AK55" s="32"/>
      <c r="AL55" s="32"/>
      <c r="AM55" s="32"/>
      <c r="AN55" s="32"/>
      <c r="AO55" s="32"/>
      <c r="AP55" s="31"/>
      <c r="AQ55" s="31"/>
      <c r="AR55" s="54"/>
      <c r="AS55" s="21" t="str">
        <f>IFERROR(VLOOKUP(September[[#This Row],[Drug Name4]],'Data Options'!$R$1:$S$100,2,FALSE), " ")</f>
        <v xml:space="preserve"> </v>
      </c>
      <c r="AT55" s="55"/>
      <c r="AU55" s="32"/>
      <c r="AV55" s="32"/>
      <c r="AW55" s="55"/>
      <c r="AX55" s="32"/>
      <c r="AY55" s="54"/>
      <c r="AZ55" s="21" t="str">
        <f>IFERROR(VLOOKUP(September[[#This Row],[Drug Name5]],'Data Options'!$R$1:$S$100,2,FALSE), " ")</f>
        <v xml:space="preserve"> </v>
      </c>
      <c r="BA55" s="55"/>
      <c r="BB55" s="32"/>
      <c r="BC55" s="32"/>
      <c r="BD55" s="55"/>
      <c r="BE55" s="32"/>
      <c r="BF55" s="54"/>
      <c r="BG55" s="21" t="str">
        <f>IFERROR(VLOOKUP(September[[#This Row],[Drug Name6]],'Data Options'!$R$1:$S$100,2,FALSE), " ")</f>
        <v xml:space="preserve"> </v>
      </c>
      <c r="BH55" s="55"/>
      <c r="BI55" s="32"/>
      <c r="BJ55" s="32"/>
      <c r="BK55" s="55"/>
      <c r="BL55" s="32"/>
      <c r="BM55" s="32"/>
      <c r="BN55" s="32"/>
      <c r="BO55" s="32"/>
      <c r="BP55" s="32"/>
      <c r="BQ55" s="31"/>
      <c r="BR55" s="31"/>
      <c r="BS55" s="54"/>
      <c r="BT55" s="21" t="str">
        <f>IFERROR(VLOOKUP(September[[#This Row],[Drug Name7]],'Data Options'!$R$1:$S$100,2,FALSE), " ")</f>
        <v xml:space="preserve"> </v>
      </c>
      <c r="BU55" s="55"/>
      <c r="BV55" s="32"/>
      <c r="BW55" s="32"/>
      <c r="BX55" s="55"/>
      <c r="BY55" s="32"/>
      <c r="BZ55" s="54"/>
      <c r="CA55" s="21" t="str">
        <f>IFERROR(VLOOKUP(September[[#This Row],[Drug Name8]],'Data Options'!$R$1:$S$100,2,FALSE), " ")</f>
        <v xml:space="preserve"> </v>
      </c>
      <c r="CB55" s="55"/>
      <c r="CC55" s="32"/>
      <c r="CD55" s="32"/>
      <c r="CE55" s="55"/>
      <c r="CF55" s="32"/>
      <c r="CG55" s="54"/>
      <c r="CH55" s="21" t="str">
        <f>IFERROR(VLOOKUP(September[[#This Row],[Drug Name9]],'Data Options'!$R$1:$S$100,2,FALSE), " ")</f>
        <v xml:space="preserve"> </v>
      </c>
      <c r="CI55" s="55"/>
      <c r="CJ55" s="32"/>
      <c r="CK55" s="32"/>
      <c r="CL55" s="55"/>
      <c r="CM55" s="32"/>
    </row>
    <row r="56" spans="1:91">
      <c r="A56" s="5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54"/>
      <c r="R56" s="21" t="str">
        <f>IFERROR(VLOOKUP(September[[#This Row],[Drug Name]],'Data Options'!$R$1:$S$100,2,FALSE), " ")</f>
        <v xml:space="preserve"> </v>
      </c>
      <c r="S56" s="55"/>
      <c r="T56" s="32"/>
      <c r="U56" s="32"/>
      <c r="V56" s="55"/>
      <c r="W56" s="32"/>
      <c r="X56" s="54"/>
      <c r="Y56" s="21" t="str">
        <f>IFERROR(VLOOKUP(September[[#This Row],[Drug Name2]],'Data Options'!$R$1:$S$100,2,FALSE), " ")</f>
        <v xml:space="preserve"> </v>
      </c>
      <c r="Z56" s="55"/>
      <c r="AA56" s="32"/>
      <c r="AB56" s="32"/>
      <c r="AC56" s="55"/>
      <c r="AD56" s="32"/>
      <c r="AE56" s="54"/>
      <c r="AF56" s="21" t="str">
        <f>IFERROR(VLOOKUP(September[[#This Row],[Drug Name3]],'Data Options'!$R$1:$S$100,2,FALSE), " ")</f>
        <v xml:space="preserve"> </v>
      </c>
      <c r="AG56" s="55"/>
      <c r="AH56" s="32"/>
      <c r="AI56" s="32"/>
      <c r="AJ56" s="55"/>
      <c r="AK56" s="32"/>
      <c r="AL56" s="32"/>
      <c r="AM56" s="32"/>
      <c r="AN56" s="32"/>
      <c r="AO56" s="32"/>
      <c r="AP56" s="31"/>
      <c r="AQ56" s="31"/>
      <c r="AR56" s="54"/>
      <c r="AS56" s="21" t="str">
        <f>IFERROR(VLOOKUP(September[[#This Row],[Drug Name4]],'Data Options'!$R$1:$S$100,2,FALSE), " ")</f>
        <v xml:space="preserve"> </v>
      </c>
      <c r="AT56" s="55"/>
      <c r="AU56" s="32"/>
      <c r="AV56" s="32"/>
      <c r="AW56" s="55"/>
      <c r="AX56" s="32"/>
      <c r="AY56" s="54"/>
      <c r="AZ56" s="21" t="str">
        <f>IFERROR(VLOOKUP(September[[#This Row],[Drug Name5]],'Data Options'!$R$1:$S$100,2,FALSE), " ")</f>
        <v xml:space="preserve"> </v>
      </c>
      <c r="BA56" s="55"/>
      <c r="BB56" s="32"/>
      <c r="BC56" s="32"/>
      <c r="BD56" s="55"/>
      <c r="BE56" s="32"/>
      <c r="BF56" s="54"/>
      <c r="BG56" s="21" t="str">
        <f>IFERROR(VLOOKUP(September[[#This Row],[Drug Name6]],'Data Options'!$R$1:$S$100,2,FALSE), " ")</f>
        <v xml:space="preserve"> </v>
      </c>
      <c r="BH56" s="55"/>
      <c r="BI56" s="32"/>
      <c r="BJ56" s="32"/>
      <c r="BK56" s="55"/>
      <c r="BL56" s="32"/>
      <c r="BM56" s="32"/>
      <c r="BN56" s="32"/>
      <c r="BO56" s="32"/>
      <c r="BP56" s="32"/>
      <c r="BQ56" s="31"/>
      <c r="BR56" s="31"/>
      <c r="BS56" s="54"/>
      <c r="BT56" s="21" t="str">
        <f>IFERROR(VLOOKUP(September[[#This Row],[Drug Name7]],'Data Options'!$R$1:$S$100,2,FALSE), " ")</f>
        <v xml:space="preserve"> </v>
      </c>
      <c r="BU56" s="55"/>
      <c r="BV56" s="32"/>
      <c r="BW56" s="32"/>
      <c r="BX56" s="55"/>
      <c r="BY56" s="32"/>
      <c r="BZ56" s="54"/>
      <c r="CA56" s="21" t="str">
        <f>IFERROR(VLOOKUP(September[[#This Row],[Drug Name8]],'Data Options'!$R$1:$S$100,2,FALSE), " ")</f>
        <v xml:space="preserve"> </v>
      </c>
      <c r="CB56" s="55"/>
      <c r="CC56" s="32"/>
      <c r="CD56" s="32"/>
      <c r="CE56" s="55"/>
      <c r="CF56" s="32"/>
      <c r="CG56" s="54"/>
      <c r="CH56" s="21" t="str">
        <f>IFERROR(VLOOKUP(September[[#This Row],[Drug Name9]],'Data Options'!$R$1:$S$100,2,FALSE), " ")</f>
        <v xml:space="preserve"> </v>
      </c>
      <c r="CI56" s="55"/>
      <c r="CJ56" s="32"/>
      <c r="CK56" s="32"/>
      <c r="CL56" s="55"/>
      <c r="CM56" s="32"/>
    </row>
    <row r="57" spans="1:91">
      <c r="A57" s="5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31"/>
      <c r="Q57" s="54"/>
      <c r="R57" s="21" t="str">
        <f>IFERROR(VLOOKUP(September[[#This Row],[Drug Name]],'Data Options'!$R$1:$S$100,2,FALSE), " ")</f>
        <v xml:space="preserve"> </v>
      </c>
      <c r="S57" s="55"/>
      <c r="T57" s="32"/>
      <c r="U57" s="32"/>
      <c r="V57" s="55"/>
      <c r="W57" s="32"/>
      <c r="X57" s="54"/>
      <c r="Y57" s="21" t="str">
        <f>IFERROR(VLOOKUP(September[[#This Row],[Drug Name2]],'Data Options'!$R$1:$S$100,2,FALSE), " ")</f>
        <v xml:space="preserve"> </v>
      </c>
      <c r="Z57" s="55"/>
      <c r="AA57" s="32"/>
      <c r="AB57" s="32"/>
      <c r="AC57" s="55"/>
      <c r="AD57" s="32"/>
      <c r="AE57" s="54"/>
      <c r="AF57" s="21" t="str">
        <f>IFERROR(VLOOKUP(September[[#This Row],[Drug Name3]],'Data Options'!$R$1:$S$100,2,FALSE), " ")</f>
        <v xml:space="preserve"> </v>
      </c>
      <c r="AG57" s="55"/>
      <c r="AH57" s="32"/>
      <c r="AI57" s="32"/>
      <c r="AJ57" s="55"/>
      <c r="AK57" s="32"/>
      <c r="AL57" s="32"/>
      <c r="AM57" s="32"/>
      <c r="AN57" s="32"/>
      <c r="AO57" s="32"/>
      <c r="AP57" s="31"/>
      <c r="AQ57" s="31"/>
      <c r="AR57" s="54"/>
      <c r="AS57" s="21" t="str">
        <f>IFERROR(VLOOKUP(September[[#This Row],[Drug Name4]],'Data Options'!$R$1:$S$100,2,FALSE), " ")</f>
        <v xml:space="preserve"> </v>
      </c>
      <c r="AT57" s="55"/>
      <c r="AU57" s="32"/>
      <c r="AV57" s="32"/>
      <c r="AW57" s="55"/>
      <c r="AX57" s="32"/>
      <c r="AY57" s="54"/>
      <c r="AZ57" s="21" t="str">
        <f>IFERROR(VLOOKUP(September[[#This Row],[Drug Name5]],'Data Options'!$R$1:$S$100,2,FALSE), " ")</f>
        <v xml:space="preserve"> </v>
      </c>
      <c r="BA57" s="55"/>
      <c r="BB57" s="32"/>
      <c r="BC57" s="32"/>
      <c r="BD57" s="55"/>
      <c r="BE57" s="32"/>
      <c r="BF57" s="54"/>
      <c r="BG57" s="21" t="str">
        <f>IFERROR(VLOOKUP(September[[#This Row],[Drug Name6]],'Data Options'!$R$1:$S$100,2,FALSE), " ")</f>
        <v xml:space="preserve"> </v>
      </c>
      <c r="BH57" s="55"/>
      <c r="BI57" s="32"/>
      <c r="BJ57" s="32"/>
      <c r="BK57" s="55"/>
      <c r="BL57" s="32"/>
      <c r="BM57" s="32"/>
      <c r="BN57" s="32"/>
      <c r="BO57" s="32"/>
      <c r="BP57" s="32"/>
      <c r="BQ57" s="31"/>
      <c r="BR57" s="31"/>
      <c r="BS57" s="54"/>
      <c r="BT57" s="21" t="str">
        <f>IFERROR(VLOOKUP(September[[#This Row],[Drug Name7]],'Data Options'!$R$1:$S$100,2,FALSE), " ")</f>
        <v xml:space="preserve"> </v>
      </c>
      <c r="BU57" s="55"/>
      <c r="BV57" s="32"/>
      <c r="BW57" s="32"/>
      <c r="BX57" s="55"/>
      <c r="BY57" s="32"/>
      <c r="BZ57" s="54"/>
      <c r="CA57" s="21" t="str">
        <f>IFERROR(VLOOKUP(September[[#This Row],[Drug Name8]],'Data Options'!$R$1:$S$100,2,FALSE), " ")</f>
        <v xml:space="preserve"> </v>
      </c>
      <c r="CB57" s="55"/>
      <c r="CC57" s="32"/>
      <c r="CD57" s="32"/>
      <c r="CE57" s="55"/>
      <c r="CF57" s="32"/>
      <c r="CG57" s="54"/>
      <c r="CH57" s="21" t="str">
        <f>IFERROR(VLOOKUP(September[[#This Row],[Drug Name9]],'Data Options'!$R$1:$S$100,2,FALSE), " ")</f>
        <v xml:space="preserve"> </v>
      </c>
      <c r="CI57" s="55"/>
      <c r="CJ57" s="32"/>
      <c r="CK57" s="32"/>
      <c r="CL57" s="55"/>
      <c r="CM57" s="32"/>
    </row>
    <row r="58" spans="1:9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54"/>
      <c r="R58" s="21" t="str">
        <f>IFERROR(VLOOKUP(September[[#This Row],[Drug Name]],'Data Options'!$R$1:$S$100,2,FALSE), " ")</f>
        <v xml:space="preserve"> </v>
      </c>
      <c r="S58" s="55"/>
      <c r="T58" s="32"/>
      <c r="U58" s="32"/>
      <c r="V58" s="55"/>
      <c r="W58" s="32"/>
      <c r="X58" s="54"/>
      <c r="Y58" s="21" t="str">
        <f>IFERROR(VLOOKUP(September[[#This Row],[Drug Name2]],'Data Options'!$R$1:$S$100,2,FALSE), " ")</f>
        <v xml:space="preserve"> </v>
      </c>
      <c r="Z58" s="55"/>
      <c r="AA58" s="32"/>
      <c r="AB58" s="32"/>
      <c r="AC58" s="55"/>
      <c r="AD58" s="32"/>
      <c r="AE58" s="54"/>
      <c r="AF58" s="21" t="str">
        <f>IFERROR(VLOOKUP(September[[#This Row],[Drug Name3]],'Data Options'!$R$1:$S$100,2,FALSE), " ")</f>
        <v xml:space="preserve"> </v>
      </c>
      <c r="AG58" s="55"/>
      <c r="AH58" s="32"/>
      <c r="AI58" s="32"/>
      <c r="AJ58" s="55"/>
      <c r="AK58" s="32"/>
      <c r="AL58" s="32"/>
      <c r="AM58" s="32"/>
      <c r="AN58" s="32"/>
      <c r="AO58" s="32"/>
      <c r="AP58" s="31"/>
      <c r="AQ58" s="31"/>
      <c r="AR58" s="54"/>
      <c r="AS58" s="21" t="str">
        <f>IFERROR(VLOOKUP(September[[#This Row],[Drug Name4]],'Data Options'!$R$1:$S$100,2,FALSE), " ")</f>
        <v xml:space="preserve"> </v>
      </c>
      <c r="AT58" s="55"/>
      <c r="AU58" s="32"/>
      <c r="AV58" s="32"/>
      <c r="AW58" s="55"/>
      <c r="AX58" s="32"/>
      <c r="AY58" s="54"/>
      <c r="AZ58" s="21" t="str">
        <f>IFERROR(VLOOKUP(September[[#This Row],[Drug Name5]],'Data Options'!$R$1:$S$100,2,FALSE), " ")</f>
        <v xml:space="preserve"> </v>
      </c>
      <c r="BA58" s="55"/>
      <c r="BB58" s="32"/>
      <c r="BC58" s="32"/>
      <c r="BD58" s="55"/>
      <c r="BE58" s="32"/>
      <c r="BF58" s="54"/>
      <c r="BG58" s="21" t="str">
        <f>IFERROR(VLOOKUP(September[[#This Row],[Drug Name6]],'Data Options'!$R$1:$S$100,2,FALSE), " ")</f>
        <v xml:space="preserve"> </v>
      </c>
      <c r="BH58" s="55"/>
      <c r="BI58" s="32"/>
      <c r="BJ58" s="32"/>
      <c r="BK58" s="55"/>
      <c r="BL58" s="32"/>
      <c r="BM58" s="32"/>
      <c r="BN58" s="32"/>
      <c r="BO58" s="32"/>
      <c r="BP58" s="32"/>
      <c r="BQ58" s="31"/>
      <c r="BR58" s="31"/>
      <c r="BS58" s="54"/>
      <c r="BT58" s="21" t="str">
        <f>IFERROR(VLOOKUP(September[[#This Row],[Drug Name7]],'Data Options'!$R$1:$S$100,2,FALSE), " ")</f>
        <v xml:space="preserve"> </v>
      </c>
      <c r="BU58" s="55"/>
      <c r="BV58" s="32"/>
      <c r="BW58" s="32"/>
      <c r="BX58" s="55"/>
      <c r="BY58" s="32"/>
      <c r="BZ58" s="54"/>
      <c r="CA58" s="21" t="str">
        <f>IFERROR(VLOOKUP(September[[#This Row],[Drug Name8]],'Data Options'!$R$1:$S$100,2,FALSE), " ")</f>
        <v xml:space="preserve"> </v>
      </c>
      <c r="CB58" s="55"/>
      <c r="CC58" s="32"/>
      <c r="CD58" s="32"/>
      <c r="CE58" s="55"/>
      <c r="CF58" s="32"/>
      <c r="CG58" s="54"/>
      <c r="CH58" s="21" t="str">
        <f>IFERROR(VLOOKUP(September[[#This Row],[Drug Name9]],'Data Options'!$R$1:$S$100,2,FALSE), " ")</f>
        <v xml:space="preserve"> </v>
      </c>
      <c r="CI58" s="55"/>
      <c r="CJ58" s="32"/>
      <c r="CK58" s="32"/>
      <c r="CL58" s="55"/>
      <c r="CM58" s="32"/>
    </row>
    <row r="59" spans="1:91">
      <c r="A59" s="5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31"/>
      <c r="Q59" s="54"/>
      <c r="R59" s="21" t="str">
        <f>IFERROR(VLOOKUP(September[[#This Row],[Drug Name]],'Data Options'!$R$1:$S$100,2,FALSE), " ")</f>
        <v xml:space="preserve"> </v>
      </c>
      <c r="S59" s="55"/>
      <c r="T59" s="32"/>
      <c r="U59" s="32"/>
      <c r="V59" s="55"/>
      <c r="W59" s="32"/>
      <c r="X59" s="54"/>
      <c r="Y59" s="21" t="str">
        <f>IFERROR(VLOOKUP(September[[#This Row],[Drug Name2]],'Data Options'!$R$1:$S$100,2,FALSE), " ")</f>
        <v xml:space="preserve"> </v>
      </c>
      <c r="Z59" s="55"/>
      <c r="AA59" s="32"/>
      <c r="AB59" s="32"/>
      <c r="AC59" s="55"/>
      <c r="AD59" s="32"/>
      <c r="AE59" s="54"/>
      <c r="AF59" s="21" t="str">
        <f>IFERROR(VLOOKUP(September[[#This Row],[Drug Name3]],'Data Options'!$R$1:$S$100,2,FALSE), " ")</f>
        <v xml:space="preserve"> </v>
      </c>
      <c r="AG59" s="55"/>
      <c r="AH59" s="32"/>
      <c r="AI59" s="32"/>
      <c r="AJ59" s="55"/>
      <c r="AK59" s="32"/>
      <c r="AL59" s="32"/>
      <c r="AM59" s="32"/>
      <c r="AN59" s="32"/>
      <c r="AO59" s="32"/>
      <c r="AP59" s="31"/>
      <c r="AQ59" s="31"/>
      <c r="AR59" s="54"/>
      <c r="AS59" s="21" t="str">
        <f>IFERROR(VLOOKUP(September[[#This Row],[Drug Name4]],'Data Options'!$R$1:$S$100,2,FALSE), " ")</f>
        <v xml:space="preserve"> </v>
      </c>
      <c r="AT59" s="55"/>
      <c r="AU59" s="32"/>
      <c r="AV59" s="32"/>
      <c r="AW59" s="55"/>
      <c r="AX59" s="32"/>
      <c r="AY59" s="54"/>
      <c r="AZ59" s="21" t="str">
        <f>IFERROR(VLOOKUP(September[[#This Row],[Drug Name5]],'Data Options'!$R$1:$S$100,2,FALSE), " ")</f>
        <v xml:space="preserve"> </v>
      </c>
      <c r="BA59" s="55"/>
      <c r="BB59" s="32"/>
      <c r="BC59" s="32"/>
      <c r="BD59" s="55"/>
      <c r="BE59" s="32"/>
      <c r="BF59" s="54"/>
      <c r="BG59" s="21" t="str">
        <f>IFERROR(VLOOKUP(September[[#This Row],[Drug Name6]],'Data Options'!$R$1:$S$100,2,FALSE), " ")</f>
        <v xml:space="preserve"> </v>
      </c>
      <c r="BH59" s="55"/>
      <c r="BI59" s="32"/>
      <c r="BJ59" s="32"/>
      <c r="BK59" s="55"/>
      <c r="BL59" s="32"/>
      <c r="BM59" s="32"/>
      <c r="BN59" s="32"/>
      <c r="BO59" s="32"/>
      <c r="BP59" s="32"/>
      <c r="BQ59" s="31"/>
      <c r="BR59" s="31"/>
      <c r="BS59" s="54"/>
      <c r="BT59" s="21" t="str">
        <f>IFERROR(VLOOKUP(September[[#This Row],[Drug Name7]],'Data Options'!$R$1:$S$100,2,FALSE), " ")</f>
        <v xml:space="preserve"> </v>
      </c>
      <c r="BU59" s="55"/>
      <c r="BV59" s="32"/>
      <c r="BW59" s="32"/>
      <c r="BX59" s="55"/>
      <c r="BY59" s="32"/>
      <c r="BZ59" s="54"/>
      <c r="CA59" s="21" t="str">
        <f>IFERROR(VLOOKUP(September[[#This Row],[Drug Name8]],'Data Options'!$R$1:$S$100,2,FALSE), " ")</f>
        <v xml:space="preserve"> </v>
      </c>
      <c r="CB59" s="55"/>
      <c r="CC59" s="32"/>
      <c r="CD59" s="32"/>
      <c r="CE59" s="55"/>
      <c r="CF59" s="32"/>
      <c r="CG59" s="54"/>
      <c r="CH59" s="21" t="str">
        <f>IFERROR(VLOOKUP(September[[#This Row],[Drug Name9]],'Data Options'!$R$1:$S$100,2,FALSE), " ")</f>
        <v xml:space="preserve"> </v>
      </c>
      <c r="CI59" s="55"/>
      <c r="CJ59" s="32"/>
      <c r="CK59" s="32"/>
      <c r="CL59" s="55"/>
      <c r="CM59" s="32"/>
    </row>
    <row r="60" spans="1:91">
      <c r="A60" s="5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31"/>
      <c r="Q60" s="54"/>
      <c r="R60" s="21" t="str">
        <f>IFERROR(VLOOKUP(September[[#This Row],[Drug Name]],'Data Options'!$R$1:$S$100,2,FALSE), " ")</f>
        <v xml:space="preserve"> </v>
      </c>
      <c r="S60" s="55"/>
      <c r="T60" s="32"/>
      <c r="U60" s="32"/>
      <c r="V60" s="55"/>
      <c r="W60" s="32"/>
      <c r="X60" s="54"/>
      <c r="Y60" s="21" t="str">
        <f>IFERROR(VLOOKUP(September[[#This Row],[Drug Name2]],'Data Options'!$R$1:$S$100,2,FALSE), " ")</f>
        <v xml:space="preserve"> </v>
      </c>
      <c r="Z60" s="55"/>
      <c r="AA60" s="32"/>
      <c r="AB60" s="32"/>
      <c r="AC60" s="55"/>
      <c r="AD60" s="32"/>
      <c r="AE60" s="54"/>
      <c r="AF60" s="21" t="str">
        <f>IFERROR(VLOOKUP(September[[#This Row],[Drug Name3]],'Data Options'!$R$1:$S$100,2,FALSE), " ")</f>
        <v xml:space="preserve"> </v>
      </c>
      <c r="AG60" s="55"/>
      <c r="AH60" s="32"/>
      <c r="AI60" s="32"/>
      <c r="AJ60" s="55"/>
      <c r="AK60" s="32"/>
      <c r="AL60" s="32"/>
      <c r="AM60" s="32"/>
      <c r="AN60" s="32"/>
      <c r="AO60" s="32"/>
      <c r="AP60" s="31"/>
      <c r="AQ60" s="31"/>
      <c r="AR60" s="54"/>
      <c r="AS60" s="21" t="str">
        <f>IFERROR(VLOOKUP(September[[#This Row],[Drug Name4]],'Data Options'!$R$1:$S$100,2,FALSE), " ")</f>
        <v xml:space="preserve"> </v>
      </c>
      <c r="AT60" s="55"/>
      <c r="AU60" s="32"/>
      <c r="AV60" s="32"/>
      <c r="AW60" s="55"/>
      <c r="AX60" s="32"/>
      <c r="AY60" s="54"/>
      <c r="AZ60" s="21" t="str">
        <f>IFERROR(VLOOKUP(September[[#This Row],[Drug Name5]],'Data Options'!$R$1:$S$100,2,FALSE), " ")</f>
        <v xml:space="preserve"> </v>
      </c>
      <c r="BA60" s="55"/>
      <c r="BB60" s="32"/>
      <c r="BC60" s="32"/>
      <c r="BD60" s="55"/>
      <c r="BE60" s="32"/>
      <c r="BF60" s="54"/>
      <c r="BG60" s="21" t="str">
        <f>IFERROR(VLOOKUP(September[[#This Row],[Drug Name6]],'Data Options'!$R$1:$S$100,2,FALSE), " ")</f>
        <v xml:space="preserve"> </v>
      </c>
      <c r="BH60" s="55"/>
      <c r="BI60" s="32"/>
      <c r="BJ60" s="32"/>
      <c r="BK60" s="55"/>
      <c r="BL60" s="32"/>
      <c r="BM60" s="32"/>
      <c r="BN60" s="32"/>
      <c r="BO60" s="32"/>
      <c r="BP60" s="32"/>
      <c r="BQ60" s="31"/>
      <c r="BR60" s="31"/>
      <c r="BS60" s="54"/>
      <c r="BT60" s="21" t="str">
        <f>IFERROR(VLOOKUP(September[[#This Row],[Drug Name7]],'Data Options'!$R$1:$S$100,2,FALSE), " ")</f>
        <v xml:space="preserve"> </v>
      </c>
      <c r="BU60" s="55"/>
      <c r="BV60" s="32"/>
      <c r="BW60" s="32"/>
      <c r="BX60" s="55"/>
      <c r="BY60" s="32"/>
      <c r="BZ60" s="54"/>
      <c r="CA60" s="21" t="str">
        <f>IFERROR(VLOOKUP(September[[#This Row],[Drug Name8]],'Data Options'!$R$1:$S$100,2,FALSE), " ")</f>
        <v xml:space="preserve"> </v>
      </c>
      <c r="CB60" s="55"/>
      <c r="CC60" s="32"/>
      <c r="CD60" s="32"/>
      <c r="CE60" s="55"/>
      <c r="CF60" s="32"/>
      <c r="CG60" s="54"/>
      <c r="CH60" s="21" t="str">
        <f>IFERROR(VLOOKUP(September[[#This Row],[Drug Name9]],'Data Options'!$R$1:$S$100,2,FALSE), " ")</f>
        <v xml:space="preserve"> </v>
      </c>
      <c r="CI60" s="55"/>
      <c r="CJ60" s="32"/>
      <c r="CK60" s="32"/>
      <c r="CL60" s="55"/>
      <c r="CM60" s="32"/>
    </row>
    <row r="61" spans="1:91">
      <c r="A61" s="5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31"/>
      <c r="Q61" s="54"/>
      <c r="R61" s="21" t="str">
        <f>IFERROR(VLOOKUP(September[[#This Row],[Drug Name]],'Data Options'!$R$1:$S$100,2,FALSE), " ")</f>
        <v xml:space="preserve"> </v>
      </c>
      <c r="S61" s="55"/>
      <c r="T61" s="32"/>
      <c r="U61" s="32"/>
      <c r="V61" s="55"/>
      <c r="W61" s="32"/>
      <c r="X61" s="54"/>
      <c r="Y61" s="21" t="str">
        <f>IFERROR(VLOOKUP(September[[#This Row],[Drug Name2]],'Data Options'!$R$1:$S$100,2,FALSE), " ")</f>
        <v xml:space="preserve"> </v>
      </c>
      <c r="Z61" s="55"/>
      <c r="AA61" s="32"/>
      <c r="AB61" s="32"/>
      <c r="AC61" s="55"/>
      <c r="AD61" s="32"/>
      <c r="AE61" s="54"/>
      <c r="AF61" s="21" t="str">
        <f>IFERROR(VLOOKUP(September[[#This Row],[Drug Name3]],'Data Options'!$R$1:$S$100,2,FALSE), " ")</f>
        <v xml:space="preserve"> </v>
      </c>
      <c r="AG61" s="55"/>
      <c r="AH61" s="32"/>
      <c r="AI61" s="32"/>
      <c r="AJ61" s="55"/>
      <c r="AK61" s="32"/>
      <c r="AL61" s="32"/>
      <c r="AM61" s="32"/>
      <c r="AN61" s="32"/>
      <c r="AO61" s="32"/>
      <c r="AP61" s="31"/>
      <c r="AQ61" s="31"/>
      <c r="AR61" s="54"/>
      <c r="AS61" s="21" t="str">
        <f>IFERROR(VLOOKUP(September[[#This Row],[Drug Name4]],'Data Options'!$R$1:$S$100,2,FALSE), " ")</f>
        <v xml:space="preserve"> </v>
      </c>
      <c r="AT61" s="55"/>
      <c r="AU61" s="32"/>
      <c r="AV61" s="32"/>
      <c r="AW61" s="55"/>
      <c r="AX61" s="32"/>
      <c r="AY61" s="54"/>
      <c r="AZ61" s="21" t="str">
        <f>IFERROR(VLOOKUP(September[[#This Row],[Drug Name5]],'Data Options'!$R$1:$S$100,2,FALSE), " ")</f>
        <v xml:space="preserve"> </v>
      </c>
      <c r="BA61" s="55"/>
      <c r="BB61" s="32"/>
      <c r="BC61" s="32"/>
      <c r="BD61" s="55"/>
      <c r="BE61" s="32"/>
      <c r="BF61" s="54"/>
      <c r="BG61" s="21" t="str">
        <f>IFERROR(VLOOKUP(September[[#This Row],[Drug Name6]],'Data Options'!$R$1:$S$100,2,FALSE), " ")</f>
        <v xml:space="preserve"> </v>
      </c>
      <c r="BH61" s="55"/>
      <c r="BI61" s="32"/>
      <c r="BJ61" s="32"/>
      <c r="BK61" s="55"/>
      <c r="BL61" s="32"/>
      <c r="BM61" s="32"/>
      <c r="BN61" s="32"/>
      <c r="BO61" s="32"/>
      <c r="BP61" s="32"/>
      <c r="BQ61" s="31"/>
      <c r="BR61" s="31"/>
      <c r="BS61" s="54"/>
      <c r="BT61" s="21" t="str">
        <f>IFERROR(VLOOKUP(September[[#This Row],[Drug Name7]],'Data Options'!$R$1:$S$100,2,FALSE), " ")</f>
        <v xml:space="preserve"> </v>
      </c>
      <c r="BU61" s="55"/>
      <c r="BV61" s="32"/>
      <c r="BW61" s="32"/>
      <c r="BX61" s="55"/>
      <c r="BY61" s="32"/>
      <c r="BZ61" s="54"/>
      <c r="CA61" s="21" t="str">
        <f>IFERROR(VLOOKUP(September[[#This Row],[Drug Name8]],'Data Options'!$R$1:$S$100,2,FALSE), " ")</f>
        <v xml:space="preserve"> </v>
      </c>
      <c r="CB61" s="55"/>
      <c r="CC61" s="32"/>
      <c r="CD61" s="32"/>
      <c r="CE61" s="55"/>
      <c r="CF61" s="32"/>
      <c r="CG61" s="54"/>
      <c r="CH61" s="21" t="str">
        <f>IFERROR(VLOOKUP(September[[#This Row],[Drug Name9]],'Data Options'!$R$1:$S$100,2,FALSE), " ")</f>
        <v xml:space="preserve"> </v>
      </c>
      <c r="CI61" s="55"/>
      <c r="CJ61" s="32"/>
      <c r="CK61" s="32"/>
      <c r="CL61" s="55"/>
      <c r="CM61" s="32"/>
    </row>
    <row r="62" spans="1:9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31"/>
      <c r="Q62" s="54"/>
      <c r="R62" s="21" t="str">
        <f>IFERROR(VLOOKUP(September[[#This Row],[Drug Name]],'Data Options'!$R$1:$S$100,2,FALSE), " ")</f>
        <v xml:space="preserve"> </v>
      </c>
      <c r="S62" s="55"/>
      <c r="T62" s="32"/>
      <c r="U62" s="32"/>
      <c r="V62" s="55"/>
      <c r="W62" s="32"/>
      <c r="X62" s="54"/>
      <c r="Y62" s="21" t="str">
        <f>IFERROR(VLOOKUP(September[[#This Row],[Drug Name2]],'Data Options'!$R$1:$S$100,2,FALSE), " ")</f>
        <v xml:space="preserve"> </v>
      </c>
      <c r="Z62" s="55"/>
      <c r="AA62" s="32"/>
      <c r="AB62" s="32"/>
      <c r="AC62" s="55"/>
      <c r="AD62" s="32"/>
      <c r="AE62" s="54"/>
      <c r="AF62" s="21" t="str">
        <f>IFERROR(VLOOKUP(September[[#This Row],[Drug Name3]],'Data Options'!$R$1:$S$100,2,FALSE), " ")</f>
        <v xml:space="preserve"> </v>
      </c>
      <c r="AG62" s="55"/>
      <c r="AH62" s="32"/>
      <c r="AI62" s="32"/>
      <c r="AJ62" s="55"/>
      <c r="AK62" s="32"/>
      <c r="AL62" s="32"/>
      <c r="AM62" s="32"/>
      <c r="AN62" s="32"/>
      <c r="AO62" s="32"/>
      <c r="AP62" s="31"/>
      <c r="AQ62" s="31"/>
      <c r="AR62" s="54"/>
      <c r="AS62" s="21" t="str">
        <f>IFERROR(VLOOKUP(September[[#This Row],[Drug Name4]],'Data Options'!$R$1:$S$100,2,FALSE), " ")</f>
        <v xml:space="preserve"> </v>
      </c>
      <c r="AT62" s="55"/>
      <c r="AU62" s="32"/>
      <c r="AV62" s="32"/>
      <c r="AW62" s="55"/>
      <c r="AX62" s="32"/>
      <c r="AY62" s="54"/>
      <c r="AZ62" s="21" t="str">
        <f>IFERROR(VLOOKUP(September[[#This Row],[Drug Name5]],'Data Options'!$R$1:$S$100,2,FALSE), " ")</f>
        <v xml:space="preserve"> </v>
      </c>
      <c r="BA62" s="55"/>
      <c r="BB62" s="32"/>
      <c r="BC62" s="32"/>
      <c r="BD62" s="55"/>
      <c r="BE62" s="32"/>
      <c r="BF62" s="54"/>
      <c r="BG62" s="21" t="str">
        <f>IFERROR(VLOOKUP(September[[#This Row],[Drug Name6]],'Data Options'!$R$1:$S$100,2,FALSE), " ")</f>
        <v xml:space="preserve"> </v>
      </c>
      <c r="BH62" s="55"/>
      <c r="BI62" s="32"/>
      <c r="BJ62" s="32"/>
      <c r="BK62" s="55"/>
      <c r="BL62" s="32"/>
      <c r="BM62" s="32"/>
      <c r="BN62" s="32"/>
      <c r="BO62" s="32"/>
      <c r="BP62" s="32"/>
      <c r="BQ62" s="31"/>
      <c r="BR62" s="31"/>
      <c r="BS62" s="54"/>
      <c r="BT62" s="21" t="str">
        <f>IFERROR(VLOOKUP(September[[#This Row],[Drug Name7]],'Data Options'!$R$1:$S$100,2,FALSE), " ")</f>
        <v xml:space="preserve"> </v>
      </c>
      <c r="BU62" s="55"/>
      <c r="BV62" s="32"/>
      <c r="BW62" s="32"/>
      <c r="BX62" s="55"/>
      <c r="BY62" s="32"/>
      <c r="BZ62" s="54"/>
      <c r="CA62" s="21" t="str">
        <f>IFERROR(VLOOKUP(September[[#This Row],[Drug Name8]],'Data Options'!$R$1:$S$100,2,FALSE), " ")</f>
        <v xml:space="preserve"> </v>
      </c>
      <c r="CB62" s="55"/>
      <c r="CC62" s="32"/>
      <c r="CD62" s="32"/>
      <c r="CE62" s="55"/>
      <c r="CF62" s="32"/>
      <c r="CG62" s="54"/>
      <c r="CH62" s="21" t="str">
        <f>IFERROR(VLOOKUP(September[[#This Row],[Drug Name9]],'Data Options'!$R$1:$S$100,2,FALSE), " ")</f>
        <v xml:space="preserve"> </v>
      </c>
      <c r="CI62" s="55"/>
      <c r="CJ62" s="32"/>
      <c r="CK62" s="32"/>
      <c r="CL62" s="55"/>
      <c r="CM62" s="32"/>
    </row>
    <row r="63" spans="1:91">
      <c r="A63" s="5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31"/>
      <c r="Q63" s="54"/>
      <c r="R63" s="21" t="str">
        <f>IFERROR(VLOOKUP(September[[#This Row],[Drug Name]],'Data Options'!$R$1:$S$100,2,FALSE), " ")</f>
        <v xml:space="preserve"> </v>
      </c>
      <c r="S63" s="55"/>
      <c r="T63" s="32"/>
      <c r="U63" s="32"/>
      <c r="V63" s="55"/>
      <c r="W63" s="32"/>
      <c r="X63" s="54"/>
      <c r="Y63" s="21" t="str">
        <f>IFERROR(VLOOKUP(September[[#This Row],[Drug Name2]],'Data Options'!$R$1:$S$100,2,FALSE), " ")</f>
        <v xml:space="preserve"> </v>
      </c>
      <c r="Z63" s="55"/>
      <c r="AA63" s="32"/>
      <c r="AB63" s="32"/>
      <c r="AC63" s="55"/>
      <c r="AD63" s="32"/>
      <c r="AE63" s="54"/>
      <c r="AF63" s="21" t="str">
        <f>IFERROR(VLOOKUP(September[[#This Row],[Drug Name3]],'Data Options'!$R$1:$S$100,2,FALSE), " ")</f>
        <v xml:space="preserve"> </v>
      </c>
      <c r="AG63" s="55"/>
      <c r="AH63" s="32"/>
      <c r="AI63" s="32"/>
      <c r="AJ63" s="55"/>
      <c r="AK63" s="32"/>
      <c r="AL63" s="32"/>
      <c r="AM63" s="32"/>
      <c r="AN63" s="32"/>
      <c r="AO63" s="32"/>
      <c r="AP63" s="31"/>
      <c r="AQ63" s="31"/>
      <c r="AR63" s="54"/>
      <c r="AS63" s="21" t="str">
        <f>IFERROR(VLOOKUP(September[[#This Row],[Drug Name4]],'Data Options'!$R$1:$S$100,2,FALSE), " ")</f>
        <v xml:space="preserve"> </v>
      </c>
      <c r="AT63" s="55"/>
      <c r="AU63" s="32"/>
      <c r="AV63" s="32"/>
      <c r="AW63" s="55"/>
      <c r="AX63" s="32"/>
      <c r="AY63" s="54"/>
      <c r="AZ63" s="21" t="str">
        <f>IFERROR(VLOOKUP(September[[#This Row],[Drug Name5]],'Data Options'!$R$1:$S$100,2,FALSE), " ")</f>
        <v xml:space="preserve"> </v>
      </c>
      <c r="BA63" s="55"/>
      <c r="BB63" s="32"/>
      <c r="BC63" s="32"/>
      <c r="BD63" s="55"/>
      <c r="BE63" s="32"/>
      <c r="BF63" s="54"/>
      <c r="BG63" s="21" t="str">
        <f>IFERROR(VLOOKUP(September[[#This Row],[Drug Name6]],'Data Options'!$R$1:$S$100,2,FALSE), " ")</f>
        <v xml:space="preserve"> </v>
      </c>
      <c r="BH63" s="55"/>
      <c r="BI63" s="32"/>
      <c r="BJ63" s="32"/>
      <c r="BK63" s="55"/>
      <c r="BL63" s="32"/>
      <c r="BM63" s="32"/>
      <c r="BN63" s="32"/>
      <c r="BO63" s="32"/>
      <c r="BP63" s="32"/>
      <c r="BQ63" s="31"/>
      <c r="BR63" s="31"/>
      <c r="BS63" s="54"/>
      <c r="BT63" s="21" t="str">
        <f>IFERROR(VLOOKUP(September[[#This Row],[Drug Name7]],'Data Options'!$R$1:$S$100,2,FALSE), " ")</f>
        <v xml:space="preserve"> </v>
      </c>
      <c r="BU63" s="55"/>
      <c r="BV63" s="32"/>
      <c r="BW63" s="32"/>
      <c r="BX63" s="55"/>
      <c r="BY63" s="32"/>
      <c r="BZ63" s="54"/>
      <c r="CA63" s="21" t="str">
        <f>IFERROR(VLOOKUP(September[[#This Row],[Drug Name8]],'Data Options'!$R$1:$S$100,2,FALSE), " ")</f>
        <v xml:space="preserve"> </v>
      </c>
      <c r="CB63" s="55"/>
      <c r="CC63" s="32"/>
      <c r="CD63" s="32"/>
      <c r="CE63" s="55"/>
      <c r="CF63" s="32"/>
      <c r="CG63" s="54"/>
      <c r="CH63" s="21" t="str">
        <f>IFERROR(VLOOKUP(September[[#This Row],[Drug Name9]],'Data Options'!$R$1:$S$100,2,FALSE), " ")</f>
        <v xml:space="preserve"> </v>
      </c>
      <c r="CI63" s="55"/>
      <c r="CJ63" s="32"/>
      <c r="CK63" s="32"/>
      <c r="CL63" s="55"/>
      <c r="CM63" s="32"/>
    </row>
    <row r="64" spans="1:91">
      <c r="A64" s="5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31"/>
      <c r="Q64" s="54"/>
      <c r="R64" s="21" t="str">
        <f>IFERROR(VLOOKUP(September[[#This Row],[Drug Name]],'Data Options'!$R$1:$S$100,2,FALSE), " ")</f>
        <v xml:space="preserve"> </v>
      </c>
      <c r="S64" s="55"/>
      <c r="T64" s="32"/>
      <c r="U64" s="32"/>
      <c r="V64" s="55"/>
      <c r="W64" s="32"/>
      <c r="X64" s="54"/>
      <c r="Y64" s="21" t="str">
        <f>IFERROR(VLOOKUP(September[[#This Row],[Drug Name2]],'Data Options'!$R$1:$S$100,2,FALSE), " ")</f>
        <v xml:space="preserve"> </v>
      </c>
      <c r="Z64" s="55"/>
      <c r="AA64" s="32"/>
      <c r="AB64" s="32"/>
      <c r="AC64" s="55"/>
      <c r="AD64" s="32"/>
      <c r="AE64" s="54"/>
      <c r="AF64" s="21" t="str">
        <f>IFERROR(VLOOKUP(September[[#This Row],[Drug Name3]],'Data Options'!$R$1:$S$100,2,FALSE), " ")</f>
        <v xml:space="preserve"> </v>
      </c>
      <c r="AG64" s="55"/>
      <c r="AH64" s="32"/>
      <c r="AI64" s="32"/>
      <c r="AJ64" s="55"/>
      <c r="AK64" s="32"/>
      <c r="AL64" s="32"/>
      <c r="AM64" s="32"/>
      <c r="AN64" s="32"/>
      <c r="AO64" s="32"/>
      <c r="AP64" s="31"/>
      <c r="AQ64" s="31"/>
      <c r="AR64" s="54"/>
      <c r="AS64" s="21" t="str">
        <f>IFERROR(VLOOKUP(September[[#This Row],[Drug Name4]],'Data Options'!$R$1:$S$100,2,FALSE), " ")</f>
        <v xml:space="preserve"> </v>
      </c>
      <c r="AT64" s="55"/>
      <c r="AU64" s="32"/>
      <c r="AV64" s="32"/>
      <c r="AW64" s="55"/>
      <c r="AX64" s="32"/>
      <c r="AY64" s="54"/>
      <c r="AZ64" s="21" t="str">
        <f>IFERROR(VLOOKUP(September[[#This Row],[Drug Name5]],'Data Options'!$R$1:$S$100,2,FALSE), " ")</f>
        <v xml:space="preserve"> </v>
      </c>
      <c r="BA64" s="55"/>
      <c r="BB64" s="32"/>
      <c r="BC64" s="32"/>
      <c r="BD64" s="55"/>
      <c r="BE64" s="32"/>
      <c r="BF64" s="54"/>
      <c r="BG64" s="21" t="str">
        <f>IFERROR(VLOOKUP(September[[#This Row],[Drug Name6]],'Data Options'!$R$1:$S$100,2,FALSE), " ")</f>
        <v xml:space="preserve"> </v>
      </c>
      <c r="BH64" s="55"/>
      <c r="BI64" s="32"/>
      <c r="BJ64" s="32"/>
      <c r="BK64" s="55"/>
      <c r="BL64" s="32"/>
      <c r="BM64" s="32"/>
      <c r="BN64" s="32"/>
      <c r="BO64" s="32"/>
      <c r="BP64" s="32"/>
      <c r="BQ64" s="31"/>
      <c r="BR64" s="31"/>
      <c r="BS64" s="54"/>
      <c r="BT64" s="21" t="str">
        <f>IFERROR(VLOOKUP(September[[#This Row],[Drug Name7]],'Data Options'!$R$1:$S$100,2,FALSE), " ")</f>
        <v xml:space="preserve"> </v>
      </c>
      <c r="BU64" s="55"/>
      <c r="BV64" s="32"/>
      <c r="BW64" s="32"/>
      <c r="BX64" s="55"/>
      <c r="BY64" s="32"/>
      <c r="BZ64" s="54"/>
      <c r="CA64" s="21" t="str">
        <f>IFERROR(VLOOKUP(September[[#This Row],[Drug Name8]],'Data Options'!$R$1:$S$100,2,FALSE), " ")</f>
        <v xml:space="preserve"> </v>
      </c>
      <c r="CB64" s="55"/>
      <c r="CC64" s="32"/>
      <c r="CD64" s="32"/>
      <c r="CE64" s="55"/>
      <c r="CF64" s="32"/>
      <c r="CG64" s="54"/>
      <c r="CH64" s="21" t="str">
        <f>IFERROR(VLOOKUP(September[[#This Row],[Drug Name9]],'Data Options'!$R$1:$S$100,2,FALSE), " ")</f>
        <v xml:space="preserve"> </v>
      </c>
      <c r="CI64" s="55"/>
      <c r="CJ64" s="32"/>
      <c r="CK64" s="32"/>
      <c r="CL64" s="55"/>
      <c r="CM64" s="32"/>
    </row>
    <row r="65" spans="1:91">
      <c r="A65" s="5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54"/>
      <c r="R65" s="21" t="str">
        <f>IFERROR(VLOOKUP(September[[#This Row],[Drug Name]],'Data Options'!$R$1:$S$100,2,FALSE), " ")</f>
        <v xml:space="preserve"> </v>
      </c>
      <c r="S65" s="55"/>
      <c r="T65" s="32"/>
      <c r="U65" s="32"/>
      <c r="V65" s="55"/>
      <c r="W65" s="32"/>
      <c r="X65" s="54"/>
      <c r="Y65" s="21" t="str">
        <f>IFERROR(VLOOKUP(September[[#This Row],[Drug Name2]],'Data Options'!$R$1:$S$100,2,FALSE), " ")</f>
        <v xml:space="preserve"> </v>
      </c>
      <c r="Z65" s="55"/>
      <c r="AA65" s="32"/>
      <c r="AB65" s="32"/>
      <c r="AC65" s="55"/>
      <c r="AD65" s="32"/>
      <c r="AE65" s="54"/>
      <c r="AF65" s="21" t="str">
        <f>IFERROR(VLOOKUP(September[[#This Row],[Drug Name3]],'Data Options'!$R$1:$S$100,2,FALSE), " ")</f>
        <v xml:space="preserve"> </v>
      </c>
      <c r="AG65" s="55"/>
      <c r="AH65" s="32"/>
      <c r="AI65" s="32"/>
      <c r="AJ65" s="55"/>
      <c r="AK65" s="32"/>
      <c r="AL65" s="32"/>
      <c r="AM65" s="32"/>
      <c r="AN65" s="32"/>
      <c r="AO65" s="32"/>
      <c r="AP65" s="31"/>
      <c r="AQ65" s="31"/>
      <c r="AR65" s="54"/>
      <c r="AS65" s="21" t="str">
        <f>IFERROR(VLOOKUP(September[[#This Row],[Drug Name4]],'Data Options'!$R$1:$S$100,2,FALSE), " ")</f>
        <v xml:space="preserve"> </v>
      </c>
      <c r="AT65" s="55"/>
      <c r="AU65" s="32"/>
      <c r="AV65" s="32"/>
      <c r="AW65" s="55"/>
      <c r="AX65" s="32"/>
      <c r="AY65" s="54"/>
      <c r="AZ65" s="21" t="str">
        <f>IFERROR(VLOOKUP(September[[#This Row],[Drug Name5]],'Data Options'!$R$1:$S$100,2,FALSE), " ")</f>
        <v xml:space="preserve"> </v>
      </c>
      <c r="BA65" s="55"/>
      <c r="BB65" s="32"/>
      <c r="BC65" s="32"/>
      <c r="BD65" s="55"/>
      <c r="BE65" s="32"/>
      <c r="BF65" s="54"/>
      <c r="BG65" s="21" t="str">
        <f>IFERROR(VLOOKUP(September[[#This Row],[Drug Name6]],'Data Options'!$R$1:$S$100,2,FALSE), " ")</f>
        <v xml:space="preserve"> </v>
      </c>
      <c r="BH65" s="55"/>
      <c r="BI65" s="32"/>
      <c r="BJ65" s="32"/>
      <c r="BK65" s="55"/>
      <c r="BL65" s="32"/>
      <c r="BM65" s="32"/>
      <c r="BN65" s="32"/>
      <c r="BO65" s="32"/>
      <c r="BP65" s="32"/>
      <c r="BQ65" s="31"/>
      <c r="BR65" s="31"/>
      <c r="BS65" s="54"/>
      <c r="BT65" s="21" t="str">
        <f>IFERROR(VLOOKUP(September[[#This Row],[Drug Name7]],'Data Options'!$R$1:$S$100,2,FALSE), " ")</f>
        <v xml:space="preserve"> </v>
      </c>
      <c r="BU65" s="55"/>
      <c r="BV65" s="32"/>
      <c r="BW65" s="32"/>
      <c r="BX65" s="55"/>
      <c r="BY65" s="32"/>
      <c r="BZ65" s="54"/>
      <c r="CA65" s="21" t="str">
        <f>IFERROR(VLOOKUP(September[[#This Row],[Drug Name8]],'Data Options'!$R$1:$S$100,2,FALSE), " ")</f>
        <v xml:space="preserve"> </v>
      </c>
      <c r="CB65" s="55"/>
      <c r="CC65" s="32"/>
      <c r="CD65" s="32"/>
      <c r="CE65" s="55"/>
      <c r="CF65" s="32"/>
      <c r="CG65" s="54"/>
      <c r="CH65" s="21" t="str">
        <f>IFERROR(VLOOKUP(September[[#This Row],[Drug Name9]],'Data Options'!$R$1:$S$100,2,FALSE), " ")</f>
        <v xml:space="preserve"> </v>
      </c>
      <c r="CI65" s="55"/>
      <c r="CJ65" s="32"/>
      <c r="CK65" s="32"/>
      <c r="CL65" s="55"/>
      <c r="CM65" s="32"/>
    </row>
    <row r="66" spans="1:91">
      <c r="A66" s="5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31"/>
      <c r="Q66" s="54"/>
      <c r="R66" s="21" t="str">
        <f>IFERROR(VLOOKUP(September[[#This Row],[Drug Name]],'Data Options'!$R$1:$S$100,2,FALSE), " ")</f>
        <v xml:space="preserve"> </v>
      </c>
      <c r="S66" s="55"/>
      <c r="T66" s="32"/>
      <c r="U66" s="32"/>
      <c r="V66" s="55"/>
      <c r="W66" s="32"/>
      <c r="X66" s="54"/>
      <c r="Y66" s="21" t="str">
        <f>IFERROR(VLOOKUP(September[[#This Row],[Drug Name2]],'Data Options'!$R$1:$S$100,2,FALSE), " ")</f>
        <v xml:space="preserve"> </v>
      </c>
      <c r="Z66" s="55"/>
      <c r="AA66" s="32"/>
      <c r="AB66" s="32"/>
      <c r="AC66" s="55"/>
      <c r="AD66" s="32"/>
      <c r="AE66" s="54"/>
      <c r="AF66" s="21" t="str">
        <f>IFERROR(VLOOKUP(September[[#This Row],[Drug Name3]],'Data Options'!$R$1:$S$100,2,FALSE), " ")</f>
        <v xml:space="preserve"> </v>
      </c>
      <c r="AG66" s="55"/>
      <c r="AH66" s="32"/>
      <c r="AI66" s="32"/>
      <c r="AJ66" s="55"/>
      <c r="AK66" s="32"/>
      <c r="AL66" s="32"/>
      <c r="AM66" s="32"/>
      <c r="AN66" s="32"/>
      <c r="AO66" s="32"/>
      <c r="AP66" s="31"/>
      <c r="AQ66" s="31"/>
      <c r="AR66" s="54"/>
      <c r="AS66" s="21" t="str">
        <f>IFERROR(VLOOKUP(September[[#This Row],[Drug Name4]],'Data Options'!$R$1:$S$100,2,FALSE), " ")</f>
        <v xml:space="preserve"> </v>
      </c>
      <c r="AT66" s="55"/>
      <c r="AU66" s="32"/>
      <c r="AV66" s="32"/>
      <c r="AW66" s="55"/>
      <c r="AX66" s="32"/>
      <c r="AY66" s="54"/>
      <c r="AZ66" s="21" t="str">
        <f>IFERROR(VLOOKUP(September[[#This Row],[Drug Name5]],'Data Options'!$R$1:$S$100,2,FALSE), " ")</f>
        <v xml:space="preserve"> </v>
      </c>
      <c r="BA66" s="55"/>
      <c r="BB66" s="32"/>
      <c r="BC66" s="32"/>
      <c r="BD66" s="55"/>
      <c r="BE66" s="32"/>
      <c r="BF66" s="54"/>
      <c r="BG66" s="21" t="str">
        <f>IFERROR(VLOOKUP(September[[#This Row],[Drug Name6]],'Data Options'!$R$1:$S$100,2,FALSE), " ")</f>
        <v xml:space="preserve"> </v>
      </c>
      <c r="BH66" s="55"/>
      <c r="BI66" s="32"/>
      <c r="BJ66" s="32"/>
      <c r="BK66" s="55"/>
      <c r="BL66" s="32"/>
      <c r="BM66" s="32"/>
      <c r="BN66" s="32"/>
      <c r="BO66" s="32"/>
      <c r="BP66" s="32"/>
      <c r="BQ66" s="31"/>
      <c r="BR66" s="31"/>
      <c r="BS66" s="54"/>
      <c r="BT66" s="21" t="str">
        <f>IFERROR(VLOOKUP(September[[#This Row],[Drug Name7]],'Data Options'!$R$1:$S$100,2,FALSE), " ")</f>
        <v xml:space="preserve"> </v>
      </c>
      <c r="BU66" s="55"/>
      <c r="BV66" s="32"/>
      <c r="BW66" s="32"/>
      <c r="BX66" s="55"/>
      <c r="BY66" s="32"/>
      <c r="BZ66" s="54"/>
      <c r="CA66" s="21" t="str">
        <f>IFERROR(VLOOKUP(September[[#This Row],[Drug Name8]],'Data Options'!$R$1:$S$100,2,FALSE), " ")</f>
        <v xml:space="preserve"> </v>
      </c>
      <c r="CB66" s="55"/>
      <c r="CC66" s="32"/>
      <c r="CD66" s="32"/>
      <c r="CE66" s="55"/>
      <c r="CF66" s="32"/>
      <c r="CG66" s="54"/>
      <c r="CH66" s="21" t="str">
        <f>IFERROR(VLOOKUP(September[[#This Row],[Drug Name9]],'Data Options'!$R$1:$S$100,2,FALSE), " ")</f>
        <v xml:space="preserve"> </v>
      </c>
      <c r="CI66" s="55"/>
      <c r="CJ66" s="32"/>
      <c r="CK66" s="32"/>
      <c r="CL66" s="55"/>
      <c r="CM66" s="32"/>
    </row>
    <row r="67" spans="1:91">
      <c r="A67" s="5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31"/>
      <c r="Q67" s="54"/>
      <c r="R67" s="21" t="str">
        <f>IFERROR(VLOOKUP(September[[#This Row],[Drug Name]],'Data Options'!$R$1:$S$100,2,FALSE), " ")</f>
        <v xml:space="preserve"> </v>
      </c>
      <c r="S67" s="55"/>
      <c r="T67" s="32"/>
      <c r="U67" s="32"/>
      <c r="V67" s="55"/>
      <c r="W67" s="32"/>
      <c r="X67" s="54"/>
      <c r="Y67" s="21" t="str">
        <f>IFERROR(VLOOKUP(September[[#This Row],[Drug Name2]],'Data Options'!$R$1:$S$100,2,FALSE), " ")</f>
        <v xml:space="preserve"> </v>
      </c>
      <c r="Z67" s="55"/>
      <c r="AA67" s="32"/>
      <c r="AB67" s="32"/>
      <c r="AC67" s="55"/>
      <c r="AD67" s="32"/>
      <c r="AE67" s="54"/>
      <c r="AF67" s="21" t="str">
        <f>IFERROR(VLOOKUP(September[[#This Row],[Drug Name3]],'Data Options'!$R$1:$S$100,2,FALSE), " ")</f>
        <v xml:space="preserve"> </v>
      </c>
      <c r="AG67" s="55"/>
      <c r="AH67" s="32"/>
      <c r="AI67" s="32"/>
      <c r="AJ67" s="55"/>
      <c r="AK67" s="32"/>
      <c r="AL67" s="32"/>
      <c r="AM67" s="32"/>
      <c r="AN67" s="32"/>
      <c r="AO67" s="32"/>
      <c r="AP67" s="31"/>
      <c r="AQ67" s="31"/>
      <c r="AR67" s="54"/>
      <c r="AS67" s="21" t="str">
        <f>IFERROR(VLOOKUP(September[[#This Row],[Drug Name4]],'Data Options'!$R$1:$S$100,2,FALSE), " ")</f>
        <v xml:space="preserve"> </v>
      </c>
      <c r="AT67" s="55"/>
      <c r="AU67" s="32"/>
      <c r="AV67" s="32"/>
      <c r="AW67" s="55"/>
      <c r="AX67" s="32"/>
      <c r="AY67" s="54"/>
      <c r="AZ67" s="21" t="str">
        <f>IFERROR(VLOOKUP(September[[#This Row],[Drug Name5]],'Data Options'!$R$1:$S$100,2,FALSE), " ")</f>
        <v xml:space="preserve"> </v>
      </c>
      <c r="BA67" s="55"/>
      <c r="BB67" s="32"/>
      <c r="BC67" s="32"/>
      <c r="BD67" s="55"/>
      <c r="BE67" s="32"/>
      <c r="BF67" s="54"/>
      <c r="BG67" s="21" t="str">
        <f>IFERROR(VLOOKUP(September[[#This Row],[Drug Name6]],'Data Options'!$R$1:$S$100,2,FALSE), " ")</f>
        <v xml:space="preserve"> </v>
      </c>
      <c r="BH67" s="55"/>
      <c r="BI67" s="32"/>
      <c r="BJ67" s="32"/>
      <c r="BK67" s="55"/>
      <c r="BL67" s="32"/>
      <c r="BM67" s="32"/>
      <c r="BN67" s="32"/>
      <c r="BO67" s="32"/>
      <c r="BP67" s="32"/>
      <c r="BQ67" s="31"/>
      <c r="BR67" s="31"/>
      <c r="BS67" s="54"/>
      <c r="BT67" s="21" t="str">
        <f>IFERROR(VLOOKUP(September[[#This Row],[Drug Name7]],'Data Options'!$R$1:$S$100,2,FALSE), " ")</f>
        <v xml:space="preserve"> </v>
      </c>
      <c r="BU67" s="55"/>
      <c r="BV67" s="32"/>
      <c r="BW67" s="32"/>
      <c r="BX67" s="55"/>
      <c r="BY67" s="32"/>
      <c r="BZ67" s="54"/>
      <c r="CA67" s="21" t="str">
        <f>IFERROR(VLOOKUP(September[[#This Row],[Drug Name8]],'Data Options'!$R$1:$S$100,2,FALSE), " ")</f>
        <v xml:space="preserve"> </v>
      </c>
      <c r="CB67" s="55"/>
      <c r="CC67" s="32"/>
      <c r="CD67" s="32"/>
      <c r="CE67" s="55"/>
      <c r="CF67" s="32"/>
      <c r="CG67" s="54"/>
      <c r="CH67" s="21" t="str">
        <f>IFERROR(VLOOKUP(September[[#This Row],[Drug Name9]],'Data Options'!$R$1:$S$100,2,FALSE), " ")</f>
        <v xml:space="preserve"> </v>
      </c>
      <c r="CI67" s="55"/>
      <c r="CJ67" s="32"/>
      <c r="CK67" s="32"/>
      <c r="CL67" s="55"/>
      <c r="CM67" s="32"/>
    </row>
    <row r="68" spans="1:91">
      <c r="A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31"/>
      <c r="Q68" s="54"/>
      <c r="R68" s="21" t="str">
        <f>IFERROR(VLOOKUP(September[[#This Row],[Drug Name]],'Data Options'!$R$1:$S$100,2,FALSE), " ")</f>
        <v xml:space="preserve"> </v>
      </c>
      <c r="S68" s="55"/>
      <c r="T68" s="32"/>
      <c r="U68" s="32"/>
      <c r="V68" s="55"/>
      <c r="W68" s="32"/>
      <c r="X68" s="54"/>
      <c r="Y68" s="21" t="str">
        <f>IFERROR(VLOOKUP(September[[#This Row],[Drug Name2]],'Data Options'!$R$1:$S$100,2,FALSE), " ")</f>
        <v xml:space="preserve"> </v>
      </c>
      <c r="Z68" s="55"/>
      <c r="AA68" s="32"/>
      <c r="AB68" s="32"/>
      <c r="AC68" s="55"/>
      <c r="AD68" s="32"/>
      <c r="AE68" s="54"/>
      <c r="AF68" s="21" t="str">
        <f>IFERROR(VLOOKUP(September[[#This Row],[Drug Name3]],'Data Options'!$R$1:$S$100,2,FALSE), " ")</f>
        <v xml:space="preserve"> </v>
      </c>
      <c r="AG68" s="55"/>
      <c r="AH68" s="32"/>
      <c r="AI68" s="32"/>
      <c r="AJ68" s="55"/>
      <c r="AK68" s="32"/>
      <c r="AL68" s="32"/>
      <c r="AM68" s="32"/>
      <c r="AN68" s="32"/>
      <c r="AO68" s="32"/>
      <c r="AP68" s="31"/>
      <c r="AQ68" s="31"/>
      <c r="AR68" s="54"/>
      <c r="AS68" s="21" t="str">
        <f>IFERROR(VLOOKUP(September[[#This Row],[Drug Name4]],'Data Options'!$R$1:$S$100,2,FALSE), " ")</f>
        <v xml:space="preserve"> </v>
      </c>
      <c r="AT68" s="55"/>
      <c r="AU68" s="32"/>
      <c r="AV68" s="32"/>
      <c r="AW68" s="55"/>
      <c r="AX68" s="32"/>
      <c r="AY68" s="54"/>
      <c r="AZ68" s="21" t="str">
        <f>IFERROR(VLOOKUP(September[[#This Row],[Drug Name5]],'Data Options'!$R$1:$S$100,2,FALSE), " ")</f>
        <v xml:space="preserve"> </v>
      </c>
      <c r="BA68" s="55"/>
      <c r="BB68" s="32"/>
      <c r="BC68" s="32"/>
      <c r="BD68" s="55"/>
      <c r="BE68" s="32"/>
      <c r="BF68" s="54"/>
      <c r="BG68" s="21" t="str">
        <f>IFERROR(VLOOKUP(September[[#This Row],[Drug Name6]],'Data Options'!$R$1:$S$100,2,FALSE), " ")</f>
        <v xml:space="preserve"> </v>
      </c>
      <c r="BH68" s="55"/>
      <c r="BI68" s="32"/>
      <c r="BJ68" s="32"/>
      <c r="BK68" s="55"/>
      <c r="BL68" s="32"/>
      <c r="BM68" s="32"/>
      <c r="BN68" s="32"/>
      <c r="BO68" s="32"/>
      <c r="BP68" s="32"/>
      <c r="BQ68" s="31"/>
      <c r="BR68" s="31"/>
      <c r="BS68" s="54"/>
      <c r="BT68" s="21" t="str">
        <f>IFERROR(VLOOKUP(September[[#This Row],[Drug Name7]],'Data Options'!$R$1:$S$100,2,FALSE), " ")</f>
        <v xml:space="preserve"> </v>
      </c>
      <c r="BU68" s="55"/>
      <c r="BV68" s="32"/>
      <c r="BW68" s="32"/>
      <c r="BX68" s="55"/>
      <c r="BY68" s="32"/>
      <c r="BZ68" s="54"/>
      <c r="CA68" s="21" t="str">
        <f>IFERROR(VLOOKUP(September[[#This Row],[Drug Name8]],'Data Options'!$R$1:$S$100,2,FALSE), " ")</f>
        <v xml:space="preserve"> </v>
      </c>
      <c r="CB68" s="55"/>
      <c r="CC68" s="32"/>
      <c r="CD68" s="32"/>
      <c r="CE68" s="55"/>
      <c r="CF68" s="32"/>
      <c r="CG68" s="54"/>
      <c r="CH68" s="21" t="str">
        <f>IFERROR(VLOOKUP(September[[#This Row],[Drug Name9]],'Data Options'!$R$1:$S$100,2,FALSE), " ")</f>
        <v xml:space="preserve"> </v>
      </c>
      <c r="CI68" s="55"/>
      <c r="CJ68" s="32"/>
      <c r="CK68" s="32"/>
      <c r="CL68" s="55"/>
      <c r="CM68" s="32"/>
    </row>
    <row r="69" spans="1:91">
      <c r="A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31"/>
      <c r="Q69" s="54"/>
      <c r="R69" s="21" t="str">
        <f>IFERROR(VLOOKUP(September[[#This Row],[Drug Name]],'Data Options'!$R$1:$S$100,2,FALSE), " ")</f>
        <v xml:space="preserve"> </v>
      </c>
      <c r="S69" s="55"/>
      <c r="T69" s="32"/>
      <c r="U69" s="32"/>
      <c r="V69" s="55"/>
      <c r="W69" s="32"/>
      <c r="X69" s="54"/>
      <c r="Y69" s="21" t="str">
        <f>IFERROR(VLOOKUP(September[[#This Row],[Drug Name2]],'Data Options'!$R$1:$S$100,2,FALSE), " ")</f>
        <v xml:space="preserve"> </v>
      </c>
      <c r="Z69" s="55"/>
      <c r="AA69" s="32"/>
      <c r="AB69" s="32"/>
      <c r="AC69" s="55"/>
      <c r="AD69" s="32"/>
      <c r="AE69" s="54"/>
      <c r="AF69" s="21" t="str">
        <f>IFERROR(VLOOKUP(September[[#This Row],[Drug Name3]],'Data Options'!$R$1:$S$100,2,FALSE), " ")</f>
        <v xml:space="preserve"> </v>
      </c>
      <c r="AG69" s="55"/>
      <c r="AH69" s="32"/>
      <c r="AI69" s="32"/>
      <c r="AJ69" s="55"/>
      <c r="AK69" s="32"/>
      <c r="AL69" s="32"/>
      <c r="AM69" s="32"/>
      <c r="AN69" s="32"/>
      <c r="AO69" s="32"/>
      <c r="AP69" s="31"/>
      <c r="AQ69" s="31"/>
      <c r="AR69" s="54"/>
      <c r="AS69" s="21" t="str">
        <f>IFERROR(VLOOKUP(September[[#This Row],[Drug Name4]],'Data Options'!$R$1:$S$100,2,FALSE), " ")</f>
        <v xml:space="preserve"> </v>
      </c>
      <c r="AT69" s="55"/>
      <c r="AU69" s="32"/>
      <c r="AV69" s="32"/>
      <c r="AW69" s="55"/>
      <c r="AX69" s="32"/>
      <c r="AY69" s="54"/>
      <c r="AZ69" s="21" t="str">
        <f>IFERROR(VLOOKUP(September[[#This Row],[Drug Name5]],'Data Options'!$R$1:$S$100,2,FALSE), " ")</f>
        <v xml:space="preserve"> </v>
      </c>
      <c r="BA69" s="55"/>
      <c r="BB69" s="32"/>
      <c r="BC69" s="32"/>
      <c r="BD69" s="55"/>
      <c r="BE69" s="32"/>
      <c r="BF69" s="54"/>
      <c r="BG69" s="21" t="str">
        <f>IFERROR(VLOOKUP(September[[#This Row],[Drug Name6]],'Data Options'!$R$1:$S$100,2,FALSE), " ")</f>
        <v xml:space="preserve"> </v>
      </c>
      <c r="BH69" s="55"/>
      <c r="BI69" s="32"/>
      <c r="BJ69" s="32"/>
      <c r="BK69" s="55"/>
      <c r="BL69" s="32"/>
      <c r="BM69" s="32"/>
      <c r="BN69" s="32"/>
      <c r="BO69" s="32"/>
      <c r="BP69" s="32"/>
      <c r="BQ69" s="31"/>
      <c r="BR69" s="31"/>
      <c r="BS69" s="54"/>
      <c r="BT69" s="21" t="str">
        <f>IFERROR(VLOOKUP(September[[#This Row],[Drug Name7]],'Data Options'!$R$1:$S$100,2,FALSE), " ")</f>
        <v xml:space="preserve"> </v>
      </c>
      <c r="BU69" s="55"/>
      <c r="BV69" s="32"/>
      <c r="BW69" s="32"/>
      <c r="BX69" s="55"/>
      <c r="BY69" s="32"/>
      <c r="BZ69" s="54"/>
      <c r="CA69" s="21" t="str">
        <f>IFERROR(VLOOKUP(September[[#This Row],[Drug Name8]],'Data Options'!$R$1:$S$100,2,FALSE), " ")</f>
        <v xml:space="preserve"> </v>
      </c>
      <c r="CB69" s="55"/>
      <c r="CC69" s="32"/>
      <c r="CD69" s="32"/>
      <c r="CE69" s="55"/>
      <c r="CF69" s="32"/>
      <c r="CG69" s="54"/>
      <c r="CH69" s="21" t="str">
        <f>IFERROR(VLOOKUP(September[[#This Row],[Drug Name9]],'Data Options'!$R$1:$S$100,2,FALSE), " ")</f>
        <v xml:space="preserve"> </v>
      </c>
      <c r="CI69" s="55"/>
      <c r="CJ69" s="32"/>
      <c r="CK69" s="32"/>
      <c r="CL69" s="55"/>
      <c r="CM69" s="32"/>
    </row>
    <row r="70" spans="1:91">
      <c r="A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31"/>
      <c r="Q70" s="54"/>
      <c r="R70" s="21" t="str">
        <f>IFERROR(VLOOKUP(September[[#This Row],[Drug Name]],'Data Options'!$R$1:$S$100,2,FALSE), " ")</f>
        <v xml:space="preserve"> </v>
      </c>
      <c r="S70" s="55"/>
      <c r="T70" s="32"/>
      <c r="U70" s="32"/>
      <c r="V70" s="55"/>
      <c r="W70" s="32"/>
      <c r="X70" s="54"/>
      <c r="Y70" s="21" t="str">
        <f>IFERROR(VLOOKUP(September[[#This Row],[Drug Name2]],'Data Options'!$R$1:$S$100,2,FALSE), " ")</f>
        <v xml:space="preserve"> </v>
      </c>
      <c r="Z70" s="55"/>
      <c r="AA70" s="32"/>
      <c r="AB70" s="32"/>
      <c r="AC70" s="55"/>
      <c r="AD70" s="32"/>
      <c r="AE70" s="54"/>
      <c r="AF70" s="21" t="str">
        <f>IFERROR(VLOOKUP(September[[#This Row],[Drug Name3]],'Data Options'!$R$1:$S$100,2,FALSE), " ")</f>
        <v xml:space="preserve"> </v>
      </c>
      <c r="AG70" s="55"/>
      <c r="AH70" s="32"/>
      <c r="AI70" s="32"/>
      <c r="AJ70" s="55"/>
      <c r="AK70" s="32"/>
      <c r="AL70" s="32"/>
      <c r="AM70" s="32"/>
      <c r="AN70" s="32"/>
      <c r="AO70" s="32"/>
      <c r="AP70" s="31"/>
      <c r="AQ70" s="31"/>
      <c r="AR70" s="54"/>
      <c r="AS70" s="21" t="str">
        <f>IFERROR(VLOOKUP(September[[#This Row],[Drug Name4]],'Data Options'!$R$1:$S$100,2,FALSE), " ")</f>
        <v xml:space="preserve"> </v>
      </c>
      <c r="AT70" s="55"/>
      <c r="AU70" s="32"/>
      <c r="AV70" s="32"/>
      <c r="AW70" s="55"/>
      <c r="AX70" s="32"/>
      <c r="AY70" s="54"/>
      <c r="AZ70" s="21" t="str">
        <f>IFERROR(VLOOKUP(September[[#This Row],[Drug Name5]],'Data Options'!$R$1:$S$100,2,FALSE), " ")</f>
        <v xml:space="preserve"> </v>
      </c>
      <c r="BA70" s="55"/>
      <c r="BB70" s="32"/>
      <c r="BC70" s="32"/>
      <c r="BD70" s="55"/>
      <c r="BE70" s="32"/>
      <c r="BF70" s="54"/>
      <c r="BG70" s="21" t="str">
        <f>IFERROR(VLOOKUP(September[[#This Row],[Drug Name6]],'Data Options'!$R$1:$S$100,2,FALSE), " ")</f>
        <v xml:space="preserve"> </v>
      </c>
      <c r="BH70" s="55"/>
      <c r="BI70" s="32"/>
      <c r="BJ70" s="32"/>
      <c r="BK70" s="55"/>
      <c r="BL70" s="32"/>
      <c r="BM70" s="32"/>
      <c r="BN70" s="32"/>
      <c r="BO70" s="32"/>
      <c r="BP70" s="32"/>
      <c r="BQ70" s="31"/>
      <c r="BR70" s="31"/>
      <c r="BS70" s="54"/>
      <c r="BT70" s="21" t="str">
        <f>IFERROR(VLOOKUP(September[[#This Row],[Drug Name7]],'Data Options'!$R$1:$S$100,2,FALSE), " ")</f>
        <v xml:space="preserve"> </v>
      </c>
      <c r="BU70" s="55"/>
      <c r="BV70" s="32"/>
      <c r="BW70" s="32"/>
      <c r="BX70" s="55"/>
      <c r="BY70" s="32"/>
      <c r="BZ70" s="54"/>
      <c r="CA70" s="21" t="str">
        <f>IFERROR(VLOOKUP(September[[#This Row],[Drug Name8]],'Data Options'!$R$1:$S$100,2,FALSE), " ")</f>
        <v xml:space="preserve"> </v>
      </c>
      <c r="CB70" s="55"/>
      <c r="CC70" s="32"/>
      <c r="CD70" s="32"/>
      <c r="CE70" s="55"/>
      <c r="CF70" s="32"/>
      <c r="CG70" s="54"/>
      <c r="CH70" s="21" t="str">
        <f>IFERROR(VLOOKUP(September[[#This Row],[Drug Name9]],'Data Options'!$R$1:$S$100,2,FALSE), " ")</f>
        <v xml:space="preserve"> </v>
      </c>
      <c r="CI70" s="55"/>
      <c r="CJ70" s="32"/>
      <c r="CK70" s="32"/>
      <c r="CL70" s="55"/>
      <c r="CM70" s="32"/>
    </row>
    <row r="71" spans="1:91">
      <c r="A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31"/>
      <c r="Q71" s="54"/>
      <c r="R71" s="21" t="str">
        <f>IFERROR(VLOOKUP(September[[#This Row],[Drug Name]],'Data Options'!$R$1:$S$100,2,FALSE), " ")</f>
        <v xml:space="preserve"> </v>
      </c>
      <c r="S71" s="55"/>
      <c r="T71" s="32"/>
      <c r="U71" s="32"/>
      <c r="V71" s="55"/>
      <c r="W71" s="32"/>
      <c r="X71" s="54"/>
      <c r="Y71" s="21" t="str">
        <f>IFERROR(VLOOKUP(September[[#This Row],[Drug Name2]],'Data Options'!$R$1:$S$100,2,FALSE), " ")</f>
        <v xml:space="preserve"> </v>
      </c>
      <c r="Z71" s="55"/>
      <c r="AA71" s="32"/>
      <c r="AB71" s="32"/>
      <c r="AC71" s="55"/>
      <c r="AD71" s="32"/>
      <c r="AE71" s="54"/>
      <c r="AF71" s="21" t="str">
        <f>IFERROR(VLOOKUP(September[[#This Row],[Drug Name3]],'Data Options'!$R$1:$S$100,2,FALSE), " ")</f>
        <v xml:space="preserve"> </v>
      </c>
      <c r="AG71" s="55"/>
      <c r="AH71" s="32"/>
      <c r="AI71" s="32"/>
      <c r="AJ71" s="55"/>
      <c r="AK71" s="32"/>
      <c r="AL71" s="32"/>
      <c r="AM71" s="32"/>
      <c r="AN71" s="32"/>
      <c r="AO71" s="32"/>
      <c r="AP71" s="31"/>
      <c r="AQ71" s="31"/>
      <c r="AR71" s="54"/>
      <c r="AS71" s="21" t="str">
        <f>IFERROR(VLOOKUP(September[[#This Row],[Drug Name4]],'Data Options'!$R$1:$S$100,2,FALSE), " ")</f>
        <v xml:space="preserve"> </v>
      </c>
      <c r="AT71" s="55"/>
      <c r="AU71" s="32"/>
      <c r="AV71" s="32"/>
      <c r="AW71" s="55"/>
      <c r="AX71" s="32"/>
      <c r="AY71" s="54"/>
      <c r="AZ71" s="21" t="str">
        <f>IFERROR(VLOOKUP(September[[#This Row],[Drug Name5]],'Data Options'!$R$1:$S$100,2,FALSE), " ")</f>
        <v xml:space="preserve"> </v>
      </c>
      <c r="BA71" s="55"/>
      <c r="BB71" s="32"/>
      <c r="BC71" s="32"/>
      <c r="BD71" s="55"/>
      <c r="BE71" s="32"/>
      <c r="BF71" s="54"/>
      <c r="BG71" s="21" t="str">
        <f>IFERROR(VLOOKUP(September[[#This Row],[Drug Name6]],'Data Options'!$R$1:$S$100,2,FALSE), " ")</f>
        <v xml:space="preserve"> </v>
      </c>
      <c r="BH71" s="55"/>
      <c r="BI71" s="32"/>
      <c r="BJ71" s="32"/>
      <c r="BK71" s="55"/>
      <c r="BL71" s="32"/>
      <c r="BM71" s="32"/>
      <c r="BN71" s="32"/>
      <c r="BO71" s="32"/>
      <c r="BP71" s="32"/>
      <c r="BQ71" s="31"/>
      <c r="BR71" s="31"/>
      <c r="BS71" s="54"/>
      <c r="BT71" s="21" t="str">
        <f>IFERROR(VLOOKUP(September[[#This Row],[Drug Name7]],'Data Options'!$R$1:$S$100,2,FALSE), " ")</f>
        <v xml:space="preserve"> </v>
      </c>
      <c r="BU71" s="55"/>
      <c r="BV71" s="32"/>
      <c r="BW71" s="32"/>
      <c r="BX71" s="55"/>
      <c r="BY71" s="32"/>
      <c r="BZ71" s="54"/>
      <c r="CA71" s="21" t="str">
        <f>IFERROR(VLOOKUP(September[[#This Row],[Drug Name8]],'Data Options'!$R$1:$S$100,2,FALSE), " ")</f>
        <v xml:space="preserve"> </v>
      </c>
      <c r="CB71" s="55"/>
      <c r="CC71" s="32"/>
      <c r="CD71" s="32"/>
      <c r="CE71" s="55"/>
      <c r="CF71" s="32"/>
      <c r="CG71" s="54"/>
      <c r="CH71" s="21" t="str">
        <f>IFERROR(VLOOKUP(September[[#This Row],[Drug Name9]],'Data Options'!$R$1:$S$100,2,FALSE), " ")</f>
        <v xml:space="preserve"> </v>
      </c>
      <c r="CI71" s="55"/>
      <c r="CJ71" s="32"/>
      <c r="CK71" s="32"/>
      <c r="CL71" s="55"/>
      <c r="CM71" s="32"/>
    </row>
    <row r="72" spans="1:91">
      <c r="A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54"/>
      <c r="R72" s="21" t="str">
        <f>IFERROR(VLOOKUP(September[[#This Row],[Drug Name]],'Data Options'!$R$1:$S$100,2,FALSE), " ")</f>
        <v xml:space="preserve"> </v>
      </c>
      <c r="S72" s="55"/>
      <c r="T72" s="32"/>
      <c r="U72" s="32"/>
      <c r="V72" s="55"/>
      <c r="W72" s="32"/>
      <c r="X72" s="54"/>
      <c r="Y72" s="21" t="str">
        <f>IFERROR(VLOOKUP(September[[#This Row],[Drug Name2]],'Data Options'!$R$1:$S$100,2,FALSE), " ")</f>
        <v xml:space="preserve"> </v>
      </c>
      <c r="Z72" s="55"/>
      <c r="AA72" s="32"/>
      <c r="AB72" s="32"/>
      <c r="AC72" s="55"/>
      <c r="AD72" s="32"/>
      <c r="AE72" s="54"/>
      <c r="AF72" s="21" t="str">
        <f>IFERROR(VLOOKUP(September[[#This Row],[Drug Name3]],'Data Options'!$R$1:$S$100,2,FALSE), " ")</f>
        <v xml:space="preserve"> </v>
      </c>
      <c r="AG72" s="55"/>
      <c r="AH72" s="32"/>
      <c r="AI72" s="32"/>
      <c r="AJ72" s="55"/>
      <c r="AK72" s="32"/>
      <c r="AL72" s="32"/>
      <c r="AM72" s="32"/>
      <c r="AN72" s="32"/>
      <c r="AO72" s="32"/>
      <c r="AP72" s="31"/>
      <c r="AQ72" s="31"/>
      <c r="AR72" s="54"/>
      <c r="AS72" s="21" t="str">
        <f>IFERROR(VLOOKUP(September[[#This Row],[Drug Name4]],'Data Options'!$R$1:$S$100,2,FALSE), " ")</f>
        <v xml:space="preserve"> </v>
      </c>
      <c r="AT72" s="55"/>
      <c r="AU72" s="32"/>
      <c r="AV72" s="32"/>
      <c r="AW72" s="55"/>
      <c r="AX72" s="32"/>
      <c r="AY72" s="54"/>
      <c r="AZ72" s="21" t="str">
        <f>IFERROR(VLOOKUP(September[[#This Row],[Drug Name5]],'Data Options'!$R$1:$S$100,2,FALSE), " ")</f>
        <v xml:space="preserve"> </v>
      </c>
      <c r="BA72" s="55"/>
      <c r="BB72" s="32"/>
      <c r="BC72" s="32"/>
      <c r="BD72" s="55"/>
      <c r="BE72" s="32"/>
      <c r="BF72" s="54"/>
      <c r="BG72" s="21" t="str">
        <f>IFERROR(VLOOKUP(September[[#This Row],[Drug Name6]],'Data Options'!$R$1:$S$100,2,FALSE), " ")</f>
        <v xml:space="preserve"> </v>
      </c>
      <c r="BH72" s="55"/>
      <c r="BI72" s="32"/>
      <c r="BJ72" s="32"/>
      <c r="BK72" s="55"/>
      <c r="BL72" s="32"/>
      <c r="BM72" s="32"/>
      <c r="BN72" s="32"/>
      <c r="BO72" s="32"/>
      <c r="BP72" s="32"/>
      <c r="BQ72" s="31"/>
      <c r="BR72" s="31"/>
      <c r="BS72" s="54"/>
      <c r="BT72" s="21" t="str">
        <f>IFERROR(VLOOKUP(September[[#This Row],[Drug Name7]],'Data Options'!$R$1:$S$100,2,FALSE), " ")</f>
        <v xml:space="preserve"> </v>
      </c>
      <c r="BU72" s="55"/>
      <c r="BV72" s="32"/>
      <c r="BW72" s="32"/>
      <c r="BX72" s="55"/>
      <c r="BY72" s="32"/>
      <c r="BZ72" s="54"/>
      <c r="CA72" s="21" t="str">
        <f>IFERROR(VLOOKUP(September[[#This Row],[Drug Name8]],'Data Options'!$R$1:$S$100,2,FALSE), " ")</f>
        <v xml:space="preserve"> </v>
      </c>
      <c r="CB72" s="55"/>
      <c r="CC72" s="32"/>
      <c r="CD72" s="32"/>
      <c r="CE72" s="55"/>
      <c r="CF72" s="32"/>
      <c r="CG72" s="54"/>
      <c r="CH72" s="21" t="str">
        <f>IFERROR(VLOOKUP(September[[#This Row],[Drug Name9]],'Data Options'!$R$1:$S$100,2,FALSE), " ")</f>
        <v xml:space="preserve"> </v>
      </c>
      <c r="CI72" s="55"/>
      <c r="CJ72" s="32"/>
      <c r="CK72" s="32"/>
      <c r="CL72" s="55"/>
      <c r="CM72" s="32"/>
    </row>
    <row r="73" spans="1:91">
      <c r="A73" s="5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31"/>
      <c r="Q73" s="54"/>
      <c r="R73" s="21" t="str">
        <f>IFERROR(VLOOKUP(September[[#This Row],[Drug Name]],'Data Options'!$R$1:$S$100,2,FALSE), " ")</f>
        <v xml:space="preserve"> </v>
      </c>
      <c r="S73" s="55"/>
      <c r="T73" s="32"/>
      <c r="U73" s="32"/>
      <c r="V73" s="55"/>
      <c r="W73" s="32"/>
      <c r="X73" s="54"/>
      <c r="Y73" s="21" t="str">
        <f>IFERROR(VLOOKUP(September[[#This Row],[Drug Name2]],'Data Options'!$R$1:$S$100,2,FALSE), " ")</f>
        <v xml:space="preserve"> </v>
      </c>
      <c r="Z73" s="55"/>
      <c r="AA73" s="32"/>
      <c r="AB73" s="32"/>
      <c r="AC73" s="55"/>
      <c r="AD73" s="32"/>
      <c r="AE73" s="54"/>
      <c r="AF73" s="21" t="str">
        <f>IFERROR(VLOOKUP(September[[#This Row],[Drug Name3]],'Data Options'!$R$1:$S$100,2,FALSE), " ")</f>
        <v xml:space="preserve"> </v>
      </c>
      <c r="AG73" s="55"/>
      <c r="AH73" s="32"/>
      <c r="AI73" s="32"/>
      <c r="AJ73" s="55"/>
      <c r="AK73" s="32"/>
      <c r="AL73" s="32"/>
      <c r="AM73" s="32"/>
      <c r="AN73" s="32"/>
      <c r="AO73" s="32"/>
      <c r="AP73" s="31"/>
      <c r="AQ73" s="31"/>
      <c r="AR73" s="54"/>
      <c r="AS73" s="21" t="str">
        <f>IFERROR(VLOOKUP(September[[#This Row],[Drug Name4]],'Data Options'!$R$1:$S$100,2,FALSE), " ")</f>
        <v xml:space="preserve"> </v>
      </c>
      <c r="AT73" s="55"/>
      <c r="AU73" s="32"/>
      <c r="AV73" s="32"/>
      <c r="AW73" s="55"/>
      <c r="AX73" s="32"/>
      <c r="AY73" s="54"/>
      <c r="AZ73" s="21" t="str">
        <f>IFERROR(VLOOKUP(September[[#This Row],[Drug Name5]],'Data Options'!$R$1:$S$100,2,FALSE), " ")</f>
        <v xml:space="preserve"> </v>
      </c>
      <c r="BA73" s="55"/>
      <c r="BB73" s="32"/>
      <c r="BC73" s="32"/>
      <c r="BD73" s="55"/>
      <c r="BE73" s="32"/>
      <c r="BF73" s="54"/>
      <c r="BG73" s="21" t="str">
        <f>IFERROR(VLOOKUP(September[[#This Row],[Drug Name6]],'Data Options'!$R$1:$S$100,2,FALSE), " ")</f>
        <v xml:space="preserve"> </v>
      </c>
      <c r="BH73" s="55"/>
      <c r="BI73" s="32"/>
      <c r="BJ73" s="32"/>
      <c r="BK73" s="55"/>
      <c r="BL73" s="32"/>
      <c r="BM73" s="32"/>
      <c r="BN73" s="32"/>
      <c r="BO73" s="32"/>
      <c r="BP73" s="32"/>
      <c r="BQ73" s="31"/>
      <c r="BR73" s="31"/>
      <c r="BS73" s="54"/>
      <c r="BT73" s="21" t="str">
        <f>IFERROR(VLOOKUP(September[[#This Row],[Drug Name7]],'Data Options'!$R$1:$S$100,2,FALSE), " ")</f>
        <v xml:space="preserve"> </v>
      </c>
      <c r="BU73" s="55"/>
      <c r="BV73" s="32"/>
      <c r="BW73" s="32"/>
      <c r="BX73" s="55"/>
      <c r="BY73" s="32"/>
      <c r="BZ73" s="54"/>
      <c r="CA73" s="21" t="str">
        <f>IFERROR(VLOOKUP(September[[#This Row],[Drug Name8]],'Data Options'!$R$1:$S$100,2,FALSE), " ")</f>
        <v xml:space="preserve"> </v>
      </c>
      <c r="CB73" s="55"/>
      <c r="CC73" s="32"/>
      <c r="CD73" s="32"/>
      <c r="CE73" s="55"/>
      <c r="CF73" s="32"/>
      <c r="CG73" s="54"/>
      <c r="CH73" s="21" t="str">
        <f>IFERROR(VLOOKUP(September[[#This Row],[Drug Name9]],'Data Options'!$R$1:$S$100,2,FALSE), " ")</f>
        <v xml:space="preserve"> </v>
      </c>
      <c r="CI73" s="55"/>
      <c r="CJ73" s="32"/>
      <c r="CK73" s="32"/>
      <c r="CL73" s="55"/>
      <c r="CM73" s="32"/>
    </row>
    <row r="74" spans="1:91">
      <c r="A74" s="5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31"/>
      <c r="Q74" s="54"/>
      <c r="R74" s="21" t="str">
        <f>IFERROR(VLOOKUP(September[[#This Row],[Drug Name]],'Data Options'!$R$1:$S$100,2,FALSE), " ")</f>
        <v xml:space="preserve"> </v>
      </c>
      <c r="S74" s="55"/>
      <c r="T74" s="32"/>
      <c r="U74" s="32"/>
      <c r="V74" s="55"/>
      <c r="W74" s="32"/>
      <c r="X74" s="54"/>
      <c r="Y74" s="21" t="str">
        <f>IFERROR(VLOOKUP(September[[#This Row],[Drug Name2]],'Data Options'!$R$1:$S$100,2,FALSE), " ")</f>
        <v xml:space="preserve"> </v>
      </c>
      <c r="Z74" s="55"/>
      <c r="AA74" s="32"/>
      <c r="AB74" s="32"/>
      <c r="AC74" s="55"/>
      <c r="AD74" s="32"/>
      <c r="AE74" s="54"/>
      <c r="AF74" s="21" t="str">
        <f>IFERROR(VLOOKUP(September[[#This Row],[Drug Name3]],'Data Options'!$R$1:$S$100,2,FALSE), " ")</f>
        <v xml:space="preserve"> </v>
      </c>
      <c r="AG74" s="55"/>
      <c r="AH74" s="32"/>
      <c r="AI74" s="32"/>
      <c r="AJ74" s="55"/>
      <c r="AK74" s="32"/>
      <c r="AL74" s="32"/>
      <c r="AM74" s="32"/>
      <c r="AN74" s="32"/>
      <c r="AO74" s="32"/>
      <c r="AP74" s="31"/>
      <c r="AQ74" s="31"/>
      <c r="AR74" s="54"/>
      <c r="AS74" s="21" t="str">
        <f>IFERROR(VLOOKUP(September[[#This Row],[Drug Name4]],'Data Options'!$R$1:$S$100,2,FALSE), " ")</f>
        <v xml:space="preserve"> </v>
      </c>
      <c r="AT74" s="55"/>
      <c r="AU74" s="32"/>
      <c r="AV74" s="32"/>
      <c r="AW74" s="55"/>
      <c r="AX74" s="32"/>
      <c r="AY74" s="54"/>
      <c r="AZ74" s="21" t="str">
        <f>IFERROR(VLOOKUP(September[[#This Row],[Drug Name5]],'Data Options'!$R$1:$S$100,2,FALSE), " ")</f>
        <v xml:space="preserve"> </v>
      </c>
      <c r="BA74" s="55"/>
      <c r="BB74" s="32"/>
      <c r="BC74" s="32"/>
      <c r="BD74" s="55"/>
      <c r="BE74" s="32"/>
      <c r="BF74" s="54"/>
      <c r="BG74" s="21" t="str">
        <f>IFERROR(VLOOKUP(September[[#This Row],[Drug Name6]],'Data Options'!$R$1:$S$100,2,FALSE), " ")</f>
        <v xml:space="preserve"> </v>
      </c>
      <c r="BH74" s="55"/>
      <c r="BI74" s="32"/>
      <c r="BJ74" s="32"/>
      <c r="BK74" s="55"/>
      <c r="BL74" s="32"/>
      <c r="BM74" s="32"/>
      <c r="BN74" s="32"/>
      <c r="BO74" s="32"/>
      <c r="BP74" s="32"/>
      <c r="BQ74" s="31"/>
      <c r="BR74" s="31"/>
      <c r="BS74" s="54"/>
      <c r="BT74" s="21" t="str">
        <f>IFERROR(VLOOKUP(September[[#This Row],[Drug Name7]],'Data Options'!$R$1:$S$100,2,FALSE), " ")</f>
        <v xml:space="preserve"> </v>
      </c>
      <c r="BU74" s="55"/>
      <c r="BV74" s="32"/>
      <c r="BW74" s="32"/>
      <c r="BX74" s="55"/>
      <c r="BY74" s="32"/>
      <c r="BZ74" s="54"/>
      <c r="CA74" s="21" t="str">
        <f>IFERROR(VLOOKUP(September[[#This Row],[Drug Name8]],'Data Options'!$R$1:$S$100,2,FALSE), " ")</f>
        <v xml:space="preserve"> </v>
      </c>
      <c r="CB74" s="55"/>
      <c r="CC74" s="32"/>
      <c r="CD74" s="32"/>
      <c r="CE74" s="55"/>
      <c r="CF74" s="32"/>
      <c r="CG74" s="54"/>
      <c r="CH74" s="21" t="str">
        <f>IFERROR(VLOOKUP(September[[#This Row],[Drug Name9]],'Data Options'!$R$1:$S$100,2,FALSE), " ")</f>
        <v xml:space="preserve"> </v>
      </c>
      <c r="CI74" s="55"/>
      <c r="CJ74" s="32"/>
      <c r="CK74" s="32"/>
      <c r="CL74" s="55"/>
      <c r="CM74" s="32"/>
    </row>
    <row r="75" spans="1:91">
      <c r="A75" s="5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31"/>
      <c r="Q75" s="54"/>
      <c r="R75" s="21" t="str">
        <f>IFERROR(VLOOKUP(September[[#This Row],[Drug Name]],'Data Options'!$R$1:$S$100,2,FALSE), " ")</f>
        <v xml:space="preserve"> </v>
      </c>
      <c r="S75" s="55"/>
      <c r="T75" s="32"/>
      <c r="U75" s="32"/>
      <c r="V75" s="55"/>
      <c r="W75" s="32"/>
      <c r="X75" s="54"/>
      <c r="Y75" s="21" t="str">
        <f>IFERROR(VLOOKUP(September[[#This Row],[Drug Name2]],'Data Options'!$R$1:$S$100,2,FALSE), " ")</f>
        <v xml:space="preserve"> </v>
      </c>
      <c r="Z75" s="55"/>
      <c r="AA75" s="32"/>
      <c r="AB75" s="32"/>
      <c r="AC75" s="55"/>
      <c r="AD75" s="32"/>
      <c r="AE75" s="54"/>
      <c r="AF75" s="21" t="str">
        <f>IFERROR(VLOOKUP(September[[#This Row],[Drug Name3]],'Data Options'!$R$1:$S$100,2,FALSE), " ")</f>
        <v xml:space="preserve"> </v>
      </c>
      <c r="AG75" s="55"/>
      <c r="AH75" s="32"/>
      <c r="AI75" s="32"/>
      <c r="AJ75" s="55"/>
      <c r="AK75" s="32"/>
      <c r="AL75" s="32"/>
      <c r="AM75" s="32"/>
      <c r="AN75" s="32"/>
      <c r="AO75" s="32"/>
      <c r="AP75" s="31"/>
      <c r="AQ75" s="31"/>
      <c r="AR75" s="54"/>
      <c r="AS75" s="21" t="str">
        <f>IFERROR(VLOOKUP(September[[#This Row],[Drug Name4]],'Data Options'!$R$1:$S$100,2,FALSE), " ")</f>
        <v xml:space="preserve"> </v>
      </c>
      <c r="AT75" s="55"/>
      <c r="AU75" s="32"/>
      <c r="AV75" s="32"/>
      <c r="AW75" s="55"/>
      <c r="AX75" s="32"/>
      <c r="AY75" s="54"/>
      <c r="AZ75" s="21" t="str">
        <f>IFERROR(VLOOKUP(September[[#This Row],[Drug Name5]],'Data Options'!$R$1:$S$100,2,FALSE), " ")</f>
        <v xml:space="preserve"> </v>
      </c>
      <c r="BA75" s="55"/>
      <c r="BB75" s="32"/>
      <c r="BC75" s="32"/>
      <c r="BD75" s="55"/>
      <c r="BE75" s="32"/>
      <c r="BF75" s="54"/>
      <c r="BG75" s="21" t="str">
        <f>IFERROR(VLOOKUP(September[[#This Row],[Drug Name6]],'Data Options'!$R$1:$S$100,2,FALSE), " ")</f>
        <v xml:space="preserve"> </v>
      </c>
      <c r="BH75" s="55"/>
      <c r="BI75" s="32"/>
      <c r="BJ75" s="32"/>
      <c r="BK75" s="55"/>
      <c r="BL75" s="32"/>
      <c r="BM75" s="32"/>
      <c r="BN75" s="32"/>
      <c r="BO75" s="32"/>
      <c r="BP75" s="32"/>
      <c r="BQ75" s="31"/>
      <c r="BR75" s="31"/>
      <c r="BS75" s="54"/>
      <c r="BT75" s="21" t="str">
        <f>IFERROR(VLOOKUP(September[[#This Row],[Drug Name7]],'Data Options'!$R$1:$S$100,2,FALSE), " ")</f>
        <v xml:space="preserve"> </v>
      </c>
      <c r="BU75" s="55"/>
      <c r="BV75" s="32"/>
      <c r="BW75" s="32"/>
      <c r="BX75" s="55"/>
      <c r="BY75" s="32"/>
      <c r="BZ75" s="54"/>
      <c r="CA75" s="21" t="str">
        <f>IFERROR(VLOOKUP(September[[#This Row],[Drug Name8]],'Data Options'!$R$1:$S$100,2,FALSE), " ")</f>
        <v xml:space="preserve"> </v>
      </c>
      <c r="CB75" s="55"/>
      <c r="CC75" s="32"/>
      <c r="CD75" s="32"/>
      <c r="CE75" s="55"/>
      <c r="CF75" s="32"/>
      <c r="CG75" s="54"/>
      <c r="CH75" s="21" t="str">
        <f>IFERROR(VLOOKUP(September[[#This Row],[Drug Name9]],'Data Options'!$R$1:$S$100,2,FALSE), " ")</f>
        <v xml:space="preserve"> </v>
      </c>
      <c r="CI75" s="55"/>
      <c r="CJ75" s="32"/>
      <c r="CK75" s="32"/>
      <c r="CL75" s="55"/>
      <c r="CM75" s="32"/>
    </row>
    <row r="76" spans="1:91">
      <c r="A76" s="5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54"/>
      <c r="R76" s="21" t="str">
        <f>IFERROR(VLOOKUP(September[[#This Row],[Drug Name]],'Data Options'!$R$1:$S$100,2,FALSE), " ")</f>
        <v xml:space="preserve"> </v>
      </c>
      <c r="S76" s="55"/>
      <c r="T76" s="32"/>
      <c r="U76" s="32"/>
      <c r="V76" s="55"/>
      <c r="W76" s="32"/>
      <c r="X76" s="54"/>
      <c r="Y76" s="21" t="str">
        <f>IFERROR(VLOOKUP(September[[#This Row],[Drug Name2]],'Data Options'!$R$1:$S$100,2,FALSE), " ")</f>
        <v xml:space="preserve"> </v>
      </c>
      <c r="Z76" s="55"/>
      <c r="AA76" s="32"/>
      <c r="AB76" s="32"/>
      <c r="AC76" s="55"/>
      <c r="AD76" s="32"/>
      <c r="AE76" s="54"/>
      <c r="AF76" s="21" t="str">
        <f>IFERROR(VLOOKUP(September[[#This Row],[Drug Name3]],'Data Options'!$R$1:$S$100,2,FALSE), " ")</f>
        <v xml:space="preserve"> </v>
      </c>
      <c r="AG76" s="55"/>
      <c r="AH76" s="32"/>
      <c r="AI76" s="32"/>
      <c r="AJ76" s="55"/>
      <c r="AK76" s="32"/>
      <c r="AL76" s="32"/>
      <c r="AM76" s="32"/>
      <c r="AN76" s="32"/>
      <c r="AO76" s="32"/>
      <c r="AP76" s="31"/>
      <c r="AQ76" s="31"/>
      <c r="AR76" s="54"/>
      <c r="AS76" s="21" t="str">
        <f>IFERROR(VLOOKUP(September[[#This Row],[Drug Name4]],'Data Options'!$R$1:$S$100,2,FALSE), " ")</f>
        <v xml:space="preserve"> </v>
      </c>
      <c r="AT76" s="55"/>
      <c r="AU76" s="32"/>
      <c r="AV76" s="32"/>
      <c r="AW76" s="55"/>
      <c r="AX76" s="32"/>
      <c r="AY76" s="54"/>
      <c r="AZ76" s="21" t="str">
        <f>IFERROR(VLOOKUP(September[[#This Row],[Drug Name5]],'Data Options'!$R$1:$S$100,2,FALSE), " ")</f>
        <v xml:space="preserve"> </v>
      </c>
      <c r="BA76" s="55"/>
      <c r="BB76" s="32"/>
      <c r="BC76" s="32"/>
      <c r="BD76" s="55"/>
      <c r="BE76" s="32"/>
      <c r="BF76" s="54"/>
      <c r="BG76" s="21" t="str">
        <f>IFERROR(VLOOKUP(September[[#This Row],[Drug Name6]],'Data Options'!$R$1:$S$100,2,FALSE), " ")</f>
        <v xml:space="preserve"> </v>
      </c>
      <c r="BH76" s="55"/>
      <c r="BI76" s="32"/>
      <c r="BJ76" s="32"/>
      <c r="BK76" s="55"/>
      <c r="BL76" s="32"/>
      <c r="BM76" s="32"/>
      <c r="BN76" s="32"/>
      <c r="BO76" s="32"/>
      <c r="BP76" s="32"/>
      <c r="BQ76" s="31"/>
      <c r="BR76" s="31"/>
      <c r="BS76" s="54"/>
      <c r="BT76" s="21" t="str">
        <f>IFERROR(VLOOKUP(September[[#This Row],[Drug Name7]],'Data Options'!$R$1:$S$100,2,FALSE), " ")</f>
        <v xml:space="preserve"> </v>
      </c>
      <c r="BU76" s="55"/>
      <c r="BV76" s="32"/>
      <c r="BW76" s="32"/>
      <c r="BX76" s="55"/>
      <c r="BY76" s="32"/>
      <c r="BZ76" s="54"/>
      <c r="CA76" s="21" t="str">
        <f>IFERROR(VLOOKUP(September[[#This Row],[Drug Name8]],'Data Options'!$R$1:$S$100,2,FALSE), " ")</f>
        <v xml:space="preserve"> </v>
      </c>
      <c r="CB76" s="55"/>
      <c r="CC76" s="32"/>
      <c r="CD76" s="32"/>
      <c r="CE76" s="55"/>
      <c r="CF76" s="32"/>
      <c r="CG76" s="54"/>
      <c r="CH76" s="21" t="str">
        <f>IFERROR(VLOOKUP(September[[#This Row],[Drug Name9]],'Data Options'!$R$1:$S$100,2,FALSE), " ")</f>
        <v xml:space="preserve"> </v>
      </c>
      <c r="CI76" s="55"/>
      <c r="CJ76" s="32"/>
      <c r="CK76" s="32"/>
      <c r="CL76" s="55"/>
      <c r="CM76" s="32"/>
    </row>
    <row r="77" spans="1:91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31"/>
      <c r="Q77" s="54"/>
      <c r="R77" s="21" t="str">
        <f>IFERROR(VLOOKUP(September[[#This Row],[Drug Name]],'Data Options'!$R$1:$S$100,2,FALSE), " ")</f>
        <v xml:space="preserve"> </v>
      </c>
      <c r="S77" s="55"/>
      <c r="T77" s="32"/>
      <c r="U77" s="32"/>
      <c r="V77" s="55"/>
      <c r="W77" s="32"/>
      <c r="X77" s="54"/>
      <c r="Y77" s="21" t="str">
        <f>IFERROR(VLOOKUP(September[[#This Row],[Drug Name2]],'Data Options'!$R$1:$S$100,2,FALSE), " ")</f>
        <v xml:space="preserve"> </v>
      </c>
      <c r="Z77" s="55"/>
      <c r="AA77" s="32"/>
      <c r="AB77" s="32"/>
      <c r="AC77" s="55"/>
      <c r="AD77" s="32"/>
      <c r="AE77" s="54"/>
      <c r="AF77" s="21" t="str">
        <f>IFERROR(VLOOKUP(September[[#This Row],[Drug Name3]],'Data Options'!$R$1:$S$100,2,FALSE), " ")</f>
        <v xml:space="preserve"> </v>
      </c>
      <c r="AG77" s="55"/>
      <c r="AH77" s="32"/>
      <c r="AI77" s="32"/>
      <c r="AJ77" s="55"/>
      <c r="AK77" s="32"/>
      <c r="AL77" s="32"/>
      <c r="AM77" s="32"/>
      <c r="AN77" s="32"/>
      <c r="AO77" s="32"/>
      <c r="AP77" s="31"/>
      <c r="AQ77" s="31"/>
      <c r="AR77" s="54"/>
      <c r="AS77" s="21" t="str">
        <f>IFERROR(VLOOKUP(September[[#This Row],[Drug Name4]],'Data Options'!$R$1:$S$100,2,FALSE), " ")</f>
        <v xml:space="preserve"> </v>
      </c>
      <c r="AT77" s="55"/>
      <c r="AU77" s="32"/>
      <c r="AV77" s="32"/>
      <c r="AW77" s="55"/>
      <c r="AX77" s="32"/>
      <c r="AY77" s="54"/>
      <c r="AZ77" s="21" t="str">
        <f>IFERROR(VLOOKUP(September[[#This Row],[Drug Name5]],'Data Options'!$R$1:$S$100,2,FALSE), " ")</f>
        <v xml:space="preserve"> </v>
      </c>
      <c r="BA77" s="55"/>
      <c r="BB77" s="32"/>
      <c r="BC77" s="32"/>
      <c r="BD77" s="55"/>
      <c r="BE77" s="32"/>
      <c r="BF77" s="54"/>
      <c r="BG77" s="21" t="str">
        <f>IFERROR(VLOOKUP(September[[#This Row],[Drug Name6]],'Data Options'!$R$1:$S$100,2,FALSE), " ")</f>
        <v xml:space="preserve"> </v>
      </c>
      <c r="BH77" s="55"/>
      <c r="BI77" s="32"/>
      <c r="BJ77" s="32"/>
      <c r="BK77" s="55"/>
      <c r="BL77" s="32"/>
      <c r="BM77" s="32"/>
      <c r="BN77" s="32"/>
      <c r="BO77" s="32"/>
      <c r="BP77" s="32"/>
      <c r="BQ77" s="31"/>
      <c r="BR77" s="31"/>
      <c r="BS77" s="54"/>
      <c r="BT77" s="21" t="str">
        <f>IFERROR(VLOOKUP(September[[#This Row],[Drug Name7]],'Data Options'!$R$1:$S$100,2,FALSE), " ")</f>
        <v xml:space="preserve"> </v>
      </c>
      <c r="BU77" s="55"/>
      <c r="BV77" s="32"/>
      <c r="BW77" s="32"/>
      <c r="BX77" s="55"/>
      <c r="BY77" s="32"/>
      <c r="BZ77" s="54"/>
      <c r="CA77" s="21" t="str">
        <f>IFERROR(VLOOKUP(September[[#This Row],[Drug Name8]],'Data Options'!$R$1:$S$100,2,FALSE), " ")</f>
        <v xml:space="preserve"> </v>
      </c>
      <c r="CB77" s="55"/>
      <c r="CC77" s="32"/>
      <c r="CD77" s="32"/>
      <c r="CE77" s="55"/>
      <c r="CF77" s="32"/>
      <c r="CG77" s="54"/>
      <c r="CH77" s="21" t="str">
        <f>IFERROR(VLOOKUP(September[[#This Row],[Drug Name9]],'Data Options'!$R$1:$S$100,2,FALSE), " ")</f>
        <v xml:space="preserve"> </v>
      </c>
      <c r="CI77" s="55"/>
      <c r="CJ77" s="32"/>
      <c r="CK77" s="32"/>
      <c r="CL77" s="55"/>
      <c r="CM77" s="32"/>
    </row>
    <row r="78" spans="1:91">
      <c r="A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31"/>
      <c r="Q78" s="54"/>
      <c r="R78" s="21" t="str">
        <f>IFERROR(VLOOKUP(September[[#This Row],[Drug Name]],'Data Options'!$R$1:$S$100,2,FALSE), " ")</f>
        <v xml:space="preserve"> </v>
      </c>
      <c r="S78" s="55"/>
      <c r="T78" s="32"/>
      <c r="U78" s="32"/>
      <c r="V78" s="55"/>
      <c r="W78" s="32"/>
      <c r="X78" s="54"/>
      <c r="Y78" s="21" t="str">
        <f>IFERROR(VLOOKUP(September[[#This Row],[Drug Name2]],'Data Options'!$R$1:$S$100,2,FALSE), " ")</f>
        <v xml:space="preserve"> </v>
      </c>
      <c r="Z78" s="55"/>
      <c r="AA78" s="32"/>
      <c r="AB78" s="32"/>
      <c r="AC78" s="55"/>
      <c r="AD78" s="32"/>
      <c r="AE78" s="54"/>
      <c r="AF78" s="21" t="str">
        <f>IFERROR(VLOOKUP(September[[#This Row],[Drug Name3]],'Data Options'!$R$1:$S$100,2,FALSE), " ")</f>
        <v xml:space="preserve"> </v>
      </c>
      <c r="AG78" s="55"/>
      <c r="AH78" s="32"/>
      <c r="AI78" s="32"/>
      <c r="AJ78" s="55"/>
      <c r="AK78" s="32"/>
      <c r="AL78" s="32"/>
      <c r="AM78" s="32"/>
      <c r="AN78" s="32"/>
      <c r="AO78" s="32"/>
      <c r="AP78" s="31"/>
      <c r="AQ78" s="31"/>
      <c r="AR78" s="54"/>
      <c r="AS78" s="21" t="str">
        <f>IFERROR(VLOOKUP(September[[#This Row],[Drug Name4]],'Data Options'!$R$1:$S$100,2,FALSE), " ")</f>
        <v xml:space="preserve"> </v>
      </c>
      <c r="AT78" s="55"/>
      <c r="AU78" s="32"/>
      <c r="AV78" s="32"/>
      <c r="AW78" s="55"/>
      <c r="AX78" s="32"/>
      <c r="AY78" s="54"/>
      <c r="AZ78" s="21" t="str">
        <f>IFERROR(VLOOKUP(September[[#This Row],[Drug Name5]],'Data Options'!$R$1:$S$100,2,FALSE), " ")</f>
        <v xml:space="preserve"> </v>
      </c>
      <c r="BA78" s="55"/>
      <c r="BB78" s="32"/>
      <c r="BC78" s="32"/>
      <c r="BD78" s="55"/>
      <c r="BE78" s="32"/>
      <c r="BF78" s="54"/>
      <c r="BG78" s="21" t="str">
        <f>IFERROR(VLOOKUP(September[[#This Row],[Drug Name6]],'Data Options'!$R$1:$S$100,2,FALSE), " ")</f>
        <v xml:space="preserve"> </v>
      </c>
      <c r="BH78" s="55"/>
      <c r="BI78" s="32"/>
      <c r="BJ78" s="32"/>
      <c r="BK78" s="55"/>
      <c r="BL78" s="32"/>
      <c r="BM78" s="32"/>
      <c r="BN78" s="32"/>
      <c r="BO78" s="32"/>
      <c r="BP78" s="32"/>
      <c r="BQ78" s="31"/>
      <c r="BR78" s="31"/>
      <c r="BS78" s="54"/>
      <c r="BT78" s="21" t="str">
        <f>IFERROR(VLOOKUP(September[[#This Row],[Drug Name7]],'Data Options'!$R$1:$S$100,2,FALSE), " ")</f>
        <v xml:space="preserve"> </v>
      </c>
      <c r="BU78" s="55"/>
      <c r="BV78" s="32"/>
      <c r="BW78" s="32"/>
      <c r="BX78" s="55"/>
      <c r="BY78" s="32"/>
      <c r="BZ78" s="54"/>
      <c r="CA78" s="21" t="str">
        <f>IFERROR(VLOOKUP(September[[#This Row],[Drug Name8]],'Data Options'!$R$1:$S$100,2,FALSE), " ")</f>
        <v xml:space="preserve"> </v>
      </c>
      <c r="CB78" s="55"/>
      <c r="CC78" s="32"/>
      <c r="CD78" s="32"/>
      <c r="CE78" s="55"/>
      <c r="CF78" s="32"/>
      <c r="CG78" s="54"/>
      <c r="CH78" s="21" t="str">
        <f>IFERROR(VLOOKUP(September[[#This Row],[Drug Name9]],'Data Options'!$R$1:$S$100,2,FALSE), " ")</f>
        <v xml:space="preserve"> </v>
      </c>
      <c r="CI78" s="55"/>
      <c r="CJ78" s="32"/>
      <c r="CK78" s="32"/>
      <c r="CL78" s="55"/>
      <c r="CM78" s="32"/>
    </row>
    <row r="79" spans="1:91">
      <c r="A79" s="5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31"/>
      <c r="Q79" s="54"/>
      <c r="R79" s="21" t="str">
        <f>IFERROR(VLOOKUP(September[[#This Row],[Drug Name]],'Data Options'!$R$1:$S$100,2,FALSE), " ")</f>
        <v xml:space="preserve"> </v>
      </c>
      <c r="S79" s="55"/>
      <c r="T79" s="32"/>
      <c r="U79" s="32"/>
      <c r="V79" s="55"/>
      <c r="W79" s="32"/>
      <c r="X79" s="54"/>
      <c r="Y79" s="21" t="str">
        <f>IFERROR(VLOOKUP(September[[#This Row],[Drug Name2]],'Data Options'!$R$1:$S$100,2,FALSE), " ")</f>
        <v xml:space="preserve"> </v>
      </c>
      <c r="Z79" s="55"/>
      <c r="AA79" s="32"/>
      <c r="AB79" s="32"/>
      <c r="AC79" s="55"/>
      <c r="AD79" s="32"/>
      <c r="AE79" s="54"/>
      <c r="AF79" s="21" t="str">
        <f>IFERROR(VLOOKUP(September[[#This Row],[Drug Name3]],'Data Options'!$R$1:$S$100,2,FALSE), " ")</f>
        <v xml:space="preserve"> </v>
      </c>
      <c r="AG79" s="55"/>
      <c r="AH79" s="32"/>
      <c r="AI79" s="32"/>
      <c r="AJ79" s="55"/>
      <c r="AK79" s="32"/>
      <c r="AL79" s="32"/>
      <c r="AM79" s="32"/>
      <c r="AN79" s="32"/>
      <c r="AO79" s="32"/>
      <c r="AP79" s="31"/>
      <c r="AQ79" s="31"/>
      <c r="AR79" s="54"/>
      <c r="AS79" s="21" t="str">
        <f>IFERROR(VLOOKUP(September[[#This Row],[Drug Name4]],'Data Options'!$R$1:$S$100,2,FALSE), " ")</f>
        <v xml:space="preserve"> </v>
      </c>
      <c r="AT79" s="55"/>
      <c r="AU79" s="32"/>
      <c r="AV79" s="32"/>
      <c r="AW79" s="55"/>
      <c r="AX79" s="32"/>
      <c r="AY79" s="54"/>
      <c r="AZ79" s="21" t="str">
        <f>IFERROR(VLOOKUP(September[[#This Row],[Drug Name5]],'Data Options'!$R$1:$S$100,2,FALSE), " ")</f>
        <v xml:space="preserve"> </v>
      </c>
      <c r="BA79" s="55"/>
      <c r="BB79" s="32"/>
      <c r="BC79" s="32"/>
      <c r="BD79" s="55"/>
      <c r="BE79" s="32"/>
      <c r="BF79" s="54"/>
      <c r="BG79" s="21" t="str">
        <f>IFERROR(VLOOKUP(September[[#This Row],[Drug Name6]],'Data Options'!$R$1:$S$100,2,FALSE), " ")</f>
        <v xml:space="preserve"> </v>
      </c>
      <c r="BH79" s="55"/>
      <c r="BI79" s="32"/>
      <c r="BJ79" s="32"/>
      <c r="BK79" s="55"/>
      <c r="BL79" s="32"/>
      <c r="BM79" s="32"/>
      <c r="BN79" s="32"/>
      <c r="BO79" s="32"/>
      <c r="BP79" s="32"/>
      <c r="BQ79" s="31"/>
      <c r="BR79" s="31"/>
      <c r="BS79" s="54"/>
      <c r="BT79" s="21" t="str">
        <f>IFERROR(VLOOKUP(September[[#This Row],[Drug Name7]],'Data Options'!$R$1:$S$100,2,FALSE), " ")</f>
        <v xml:space="preserve"> </v>
      </c>
      <c r="BU79" s="55"/>
      <c r="BV79" s="32"/>
      <c r="BW79" s="32"/>
      <c r="BX79" s="55"/>
      <c r="BY79" s="32"/>
      <c r="BZ79" s="54"/>
      <c r="CA79" s="21" t="str">
        <f>IFERROR(VLOOKUP(September[[#This Row],[Drug Name8]],'Data Options'!$R$1:$S$100,2,FALSE), " ")</f>
        <v xml:space="preserve"> </v>
      </c>
      <c r="CB79" s="55"/>
      <c r="CC79" s="32"/>
      <c r="CD79" s="32"/>
      <c r="CE79" s="55"/>
      <c r="CF79" s="32"/>
      <c r="CG79" s="54"/>
      <c r="CH79" s="21" t="str">
        <f>IFERROR(VLOOKUP(September[[#This Row],[Drug Name9]],'Data Options'!$R$1:$S$100,2,FALSE), " ")</f>
        <v xml:space="preserve"> </v>
      </c>
      <c r="CI79" s="55"/>
      <c r="CJ79" s="32"/>
      <c r="CK79" s="32"/>
      <c r="CL79" s="55"/>
      <c r="CM79" s="32"/>
    </row>
    <row r="80" spans="1:91">
      <c r="A80" s="5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31"/>
      <c r="Q80" s="54"/>
      <c r="R80" s="21" t="str">
        <f>IFERROR(VLOOKUP(September[[#This Row],[Drug Name]],'Data Options'!$R$1:$S$100,2,FALSE), " ")</f>
        <v xml:space="preserve"> </v>
      </c>
      <c r="S80" s="55"/>
      <c r="T80" s="32"/>
      <c r="U80" s="32"/>
      <c r="V80" s="55"/>
      <c r="W80" s="32"/>
      <c r="X80" s="54"/>
      <c r="Y80" s="21" t="str">
        <f>IFERROR(VLOOKUP(September[[#This Row],[Drug Name2]],'Data Options'!$R$1:$S$100,2,FALSE), " ")</f>
        <v xml:space="preserve"> </v>
      </c>
      <c r="Z80" s="55"/>
      <c r="AA80" s="32"/>
      <c r="AB80" s="32"/>
      <c r="AC80" s="55"/>
      <c r="AD80" s="32"/>
      <c r="AE80" s="54"/>
      <c r="AF80" s="21" t="str">
        <f>IFERROR(VLOOKUP(September[[#This Row],[Drug Name3]],'Data Options'!$R$1:$S$100,2,FALSE), " ")</f>
        <v xml:space="preserve"> </v>
      </c>
      <c r="AG80" s="55"/>
      <c r="AH80" s="32"/>
      <c r="AI80" s="32"/>
      <c r="AJ80" s="55"/>
      <c r="AK80" s="32"/>
      <c r="AL80" s="32"/>
      <c r="AM80" s="32"/>
      <c r="AN80" s="32"/>
      <c r="AO80" s="32"/>
      <c r="AP80" s="31"/>
      <c r="AQ80" s="31"/>
      <c r="AR80" s="54"/>
      <c r="AS80" s="21" t="str">
        <f>IFERROR(VLOOKUP(September[[#This Row],[Drug Name4]],'Data Options'!$R$1:$S$100,2,FALSE), " ")</f>
        <v xml:space="preserve"> </v>
      </c>
      <c r="AT80" s="55"/>
      <c r="AU80" s="32"/>
      <c r="AV80" s="32"/>
      <c r="AW80" s="55"/>
      <c r="AX80" s="32"/>
      <c r="AY80" s="54"/>
      <c r="AZ80" s="21" t="str">
        <f>IFERROR(VLOOKUP(September[[#This Row],[Drug Name5]],'Data Options'!$R$1:$S$100,2,FALSE), " ")</f>
        <v xml:space="preserve"> </v>
      </c>
      <c r="BA80" s="55"/>
      <c r="BB80" s="32"/>
      <c r="BC80" s="32"/>
      <c r="BD80" s="55"/>
      <c r="BE80" s="32"/>
      <c r="BF80" s="54"/>
      <c r="BG80" s="21" t="str">
        <f>IFERROR(VLOOKUP(September[[#This Row],[Drug Name6]],'Data Options'!$R$1:$S$100,2,FALSE), " ")</f>
        <v xml:space="preserve"> </v>
      </c>
      <c r="BH80" s="55"/>
      <c r="BI80" s="32"/>
      <c r="BJ80" s="32"/>
      <c r="BK80" s="55"/>
      <c r="BL80" s="32"/>
      <c r="BM80" s="32"/>
      <c r="BN80" s="32"/>
      <c r="BO80" s="32"/>
      <c r="BP80" s="32"/>
      <c r="BQ80" s="31"/>
      <c r="BR80" s="31"/>
      <c r="BS80" s="54"/>
      <c r="BT80" s="21" t="str">
        <f>IFERROR(VLOOKUP(September[[#This Row],[Drug Name7]],'Data Options'!$R$1:$S$100,2,FALSE), " ")</f>
        <v xml:space="preserve"> </v>
      </c>
      <c r="BU80" s="55"/>
      <c r="BV80" s="32"/>
      <c r="BW80" s="32"/>
      <c r="BX80" s="55"/>
      <c r="BY80" s="32"/>
      <c r="BZ80" s="54"/>
      <c r="CA80" s="21" t="str">
        <f>IFERROR(VLOOKUP(September[[#This Row],[Drug Name8]],'Data Options'!$R$1:$S$100,2,FALSE), " ")</f>
        <v xml:space="preserve"> </v>
      </c>
      <c r="CB80" s="55"/>
      <c r="CC80" s="32"/>
      <c r="CD80" s="32"/>
      <c r="CE80" s="55"/>
      <c r="CF80" s="32"/>
      <c r="CG80" s="54"/>
      <c r="CH80" s="21" t="str">
        <f>IFERROR(VLOOKUP(September[[#This Row],[Drug Name9]],'Data Options'!$R$1:$S$100,2,FALSE), " ")</f>
        <v xml:space="preserve"> </v>
      </c>
      <c r="CI80" s="55"/>
      <c r="CJ80" s="32"/>
      <c r="CK80" s="32"/>
      <c r="CL80" s="55"/>
      <c r="CM80" s="32"/>
    </row>
    <row r="81" spans="1:91">
      <c r="A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54"/>
      <c r="R81" s="21" t="str">
        <f>IFERROR(VLOOKUP(September[[#This Row],[Drug Name]],'Data Options'!$R$1:$S$100,2,FALSE), " ")</f>
        <v xml:space="preserve"> </v>
      </c>
      <c r="S81" s="55"/>
      <c r="T81" s="32"/>
      <c r="U81" s="32"/>
      <c r="V81" s="55"/>
      <c r="W81" s="32"/>
      <c r="X81" s="54"/>
      <c r="Y81" s="21" t="str">
        <f>IFERROR(VLOOKUP(September[[#This Row],[Drug Name2]],'Data Options'!$R$1:$S$100,2,FALSE), " ")</f>
        <v xml:space="preserve"> </v>
      </c>
      <c r="Z81" s="55"/>
      <c r="AA81" s="32"/>
      <c r="AB81" s="32"/>
      <c r="AC81" s="55"/>
      <c r="AD81" s="32"/>
      <c r="AE81" s="54"/>
      <c r="AF81" s="21" t="str">
        <f>IFERROR(VLOOKUP(September[[#This Row],[Drug Name3]],'Data Options'!$R$1:$S$100,2,FALSE), " ")</f>
        <v xml:space="preserve"> </v>
      </c>
      <c r="AG81" s="55"/>
      <c r="AH81" s="32"/>
      <c r="AI81" s="32"/>
      <c r="AJ81" s="55"/>
      <c r="AK81" s="32"/>
      <c r="AL81" s="32"/>
      <c r="AM81" s="32"/>
      <c r="AN81" s="32"/>
      <c r="AO81" s="32"/>
      <c r="AP81" s="31"/>
      <c r="AQ81" s="31"/>
      <c r="AR81" s="54"/>
      <c r="AS81" s="21" t="str">
        <f>IFERROR(VLOOKUP(September[[#This Row],[Drug Name4]],'Data Options'!$R$1:$S$100,2,FALSE), " ")</f>
        <v xml:space="preserve"> </v>
      </c>
      <c r="AT81" s="55"/>
      <c r="AU81" s="32"/>
      <c r="AV81" s="32"/>
      <c r="AW81" s="55"/>
      <c r="AX81" s="32"/>
      <c r="AY81" s="54"/>
      <c r="AZ81" s="21" t="str">
        <f>IFERROR(VLOOKUP(September[[#This Row],[Drug Name5]],'Data Options'!$R$1:$S$100,2,FALSE), " ")</f>
        <v xml:space="preserve"> </v>
      </c>
      <c r="BA81" s="55"/>
      <c r="BB81" s="32"/>
      <c r="BC81" s="32"/>
      <c r="BD81" s="55"/>
      <c r="BE81" s="32"/>
      <c r="BF81" s="54"/>
      <c r="BG81" s="21" t="str">
        <f>IFERROR(VLOOKUP(September[[#This Row],[Drug Name6]],'Data Options'!$R$1:$S$100,2,FALSE), " ")</f>
        <v xml:space="preserve"> </v>
      </c>
      <c r="BH81" s="55"/>
      <c r="BI81" s="32"/>
      <c r="BJ81" s="32"/>
      <c r="BK81" s="55"/>
      <c r="BL81" s="32"/>
      <c r="BM81" s="32"/>
      <c r="BN81" s="32"/>
      <c r="BO81" s="32"/>
      <c r="BP81" s="32"/>
      <c r="BQ81" s="31"/>
      <c r="BR81" s="31"/>
      <c r="BS81" s="54"/>
      <c r="BT81" s="21" t="str">
        <f>IFERROR(VLOOKUP(September[[#This Row],[Drug Name7]],'Data Options'!$R$1:$S$100,2,FALSE), " ")</f>
        <v xml:space="preserve"> </v>
      </c>
      <c r="BU81" s="55"/>
      <c r="BV81" s="32"/>
      <c r="BW81" s="32"/>
      <c r="BX81" s="55"/>
      <c r="BY81" s="32"/>
      <c r="BZ81" s="54"/>
      <c r="CA81" s="21" t="str">
        <f>IFERROR(VLOOKUP(September[[#This Row],[Drug Name8]],'Data Options'!$R$1:$S$100,2,FALSE), " ")</f>
        <v xml:space="preserve"> </v>
      </c>
      <c r="CB81" s="55"/>
      <c r="CC81" s="32"/>
      <c r="CD81" s="32"/>
      <c r="CE81" s="55"/>
      <c r="CF81" s="32"/>
      <c r="CG81" s="54"/>
      <c r="CH81" s="21" t="str">
        <f>IFERROR(VLOOKUP(September[[#This Row],[Drug Name9]],'Data Options'!$R$1:$S$100,2,FALSE), " ")</f>
        <v xml:space="preserve"> </v>
      </c>
      <c r="CI81" s="55"/>
      <c r="CJ81" s="32"/>
      <c r="CK81" s="32"/>
      <c r="CL81" s="55"/>
      <c r="CM81" s="32"/>
    </row>
    <row r="82" spans="1:91">
      <c r="A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54"/>
      <c r="R82" s="21" t="str">
        <f>IFERROR(VLOOKUP(September[[#This Row],[Drug Name]],'Data Options'!$R$1:$S$100,2,FALSE), " ")</f>
        <v xml:space="preserve"> </v>
      </c>
      <c r="S82" s="55"/>
      <c r="T82" s="32"/>
      <c r="U82" s="32"/>
      <c r="V82" s="55"/>
      <c r="W82" s="32"/>
      <c r="X82" s="54"/>
      <c r="Y82" s="21" t="str">
        <f>IFERROR(VLOOKUP(September[[#This Row],[Drug Name2]],'Data Options'!$R$1:$S$100,2,FALSE), " ")</f>
        <v xml:space="preserve"> </v>
      </c>
      <c r="Z82" s="55"/>
      <c r="AA82" s="32"/>
      <c r="AB82" s="32"/>
      <c r="AC82" s="55"/>
      <c r="AD82" s="32"/>
      <c r="AE82" s="54"/>
      <c r="AF82" s="21" t="str">
        <f>IFERROR(VLOOKUP(September[[#This Row],[Drug Name3]],'Data Options'!$R$1:$S$100,2,FALSE), " ")</f>
        <v xml:space="preserve"> </v>
      </c>
      <c r="AG82" s="55"/>
      <c r="AH82" s="32"/>
      <c r="AI82" s="32"/>
      <c r="AJ82" s="55"/>
      <c r="AK82" s="32"/>
      <c r="AL82" s="32"/>
      <c r="AM82" s="32"/>
      <c r="AN82" s="32"/>
      <c r="AO82" s="32"/>
      <c r="AP82" s="31"/>
      <c r="AQ82" s="31"/>
      <c r="AR82" s="54"/>
      <c r="AS82" s="21" t="str">
        <f>IFERROR(VLOOKUP(September[[#This Row],[Drug Name4]],'Data Options'!$R$1:$S$100,2,FALSE), " ")</f>
        <v xml:space="preserve"> </v>
      </c>
      <c r="AT82" s="55"/>
      <c r="AU82" s="32"/>
      <c r="AV82" s="32"/>
      <c r="AW82" s="55"/>
      <c r="AX82" s="32"/>
      <c r="AY82" s="54"/>
      <c r="AZ82" s="21" t="str">
        <f>IFERROR(VLOOKUP(September[[#This Row],[Drug Name5]],'Data Options'!$R$1:$S$100,2,FALSE), " ")</f>
        <v xml:space="preserve"> </v>
      </c>
      <c r="BA82" s="55"/>
      <c r="BB82" s="32"/>
      <c r="BC82" s="32"/>
      <c r="BD82" s="55"/>
      <c r="BE82" s="32"/>
      <c r="BF82" s="54"/>
      <c r="BG82" s="21" t="str">
        <f>IFERROR(VLOOKUP(September[[#This Row],[Drug Name6]],'Data Options'!$R$1:$S$100,2,FALSE), " ")</f>
        <v xml:space="preserve"> </v>
      </c>
      <c r="BH82" s="55"/>
      <c r="BI82" s="32"/>
      <c r="BJ82" s="32"/>
      <c r="BK82" s="55"/>
      <c r="BL82" s="32"/>
      <c r="BM82" s="32"/>
      <c r="BN82" s="32"/>
      <c r="BO82" s="32"/>
      <c r="BP82" s="32"/>
      <c r="BQ82" s="31"/>
      <c r="BR82" s="31"/>
      <c r="BS82" s="54"/>
      <c r="BT82" s="21" t="str">
        <f>IFERROR(VLOOKUP(September[[#This Row],[Drug Name7]],'Data Options'!$R$1:$S$100,2,FALSE), " ")</f>
        <v xml:space="preserve"> </v>
      </c>
      <c r="BU82" s="55"/>
      <c r="BV82" s="32"/>
      <c r="BW82" s="32"/>
      <c r="BX82" s="55"/>
      <c r="BY82" s="32"/>
      <c r="BZ82" s="54"/>
      <c r="CA82" s="21" t="str">
        <f>IFERROR(VLOOKUP(September[[#This Row],[Drug Name8]],'Data Options'!$R$1:$S$100,2,FALSE), " ")</f>
        <v xml:space="preserve"> </v>
      </c>
      <c r="CB82" s="55"/>
      <c r="CC82" s="32"/>
      <c r="CD82" s="32"/>
      <c r="CE82" s="55"/>
      <c r="CF82" s="32"/>
      <c r="CG82" s="54"/>
      <c r="CH82" s="21" t="str">
        <f>IFERROR(VLOOKUP(September[[#This Row],[Drug Name9]],'Data Options'!$R$1:$S$100,2,FALSE), " ")</f>
        <v xml:space="preserve"> </v>
      </c>
      <c r="CI82" s="55"/>
      <c r="CJ82" s="32"/>
      <c r="CK82" s="32"/>
      <c r="CL82" s="55"/>
      <c r="CM82" s="32"/>
    </row>
    <row r="83" spans="1:91">
      <c r="A83" s="5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31"/>
      <c r="Q83" s="54"/>
      <c r="R83" s="21" t="str">
        <f>IFERROR(VLOOKUP(September[[#This Row],[Drug Name]],'Data Options'!$R$1:$S$100,2,FALSE), " ")</f>
        <v xml:space="preserve"> </v>
      </c>
      <c r="S83" s="55"/>
      <c r="T83" s="32"/>
      <c r="U83" s="32"/>
      <c r="V83" s="55"/>
      <c r="W83" s="32"/>
      <c r="X83" s="54"/>
      <c r="Y83" s="21" t="str">
        <f>IFERROR(VLOOKUP(September[[#This Row],[Drug Name2]],'Data Options'!$R$1:$S$100,2,FALSE), " ")</f>
        <v xml:space="preserve"> </v>
      </c>
      <c r="Z83" s="55"/>
      <c r="AA83" s="32"/>
      <c r="AB83" s="32"/>
      <c r="AC83" s="55"/>
      <c r="AD83" s="32"/>
      <c r="AE83" s="54"/>
      <c r="AF83" s="21" t="str">
        <f>IFERROR(VLOOKUP(September[[#This Row],[Drug Name3]],'Data Options'!$R$1:$S$100,2,FALSE), " ")</f>
        <v xml:space="preserve"> </v>
      </c>
      <c r="AG83" s="55"/>
      <c r="AH83" s="32"/>
      <c r="AI83" s="32"/>
      <c r="AJ83" s="55"/>
      <c r="AK83" s="32"/>
      <c r="AL83" s="32"/>
      <c r="AM83" s="32"/>
      <c r="AN83" s="32"/>
      <c r="AO83" s="32"/>
      <c r="AP83" s="31"/>
      <c r="AQ83" s="31"/>
      <c r="AR83" s="54"/>
      <c r="AS83" s="21" t="str">
        <f>IFERROR(VLOOKUP(September[[#This Row],[Drug Name4]],'Data Options'!$R$1:$S$100,2,FALSE), " ")</f>
        <v xml:space="preserve"> </v>
      </c>
      <c r="AT83" s="55"/>
      <c r="AU83" s="32"/>
      <c r="AV83" s="32"/>
      <c r="AW83" s="55"/>
      <c r="AX83" s="32"/>
      <c r="AY83" s="54"/>
      <c r="AZ83" s="21" t="str">
        <f>IFERROR(VLOOKUP(September[[#This Row],[Drug Name5]],'Data Options'!$R$1:$S$100,2,FALSE), " ")</f>
        <v xml:space="preserve"> </v>
      </c>
      <c r="BA83" s="55"/>
      <c r="BB83" s="32"/>
      <c r="BC83" s="32"/>
      <c r="BD83" s="55"/>
      <c r="BE83" s="32"/>
      <c r="BF83" s="54"/>
      <c r="BG83" s="21" t="str">
        <f>IFERROR(VLOOKUP(September[[#This Row],[Drug Name6]],'Data Options'!$R$1:$S$100,2,FALSE), " ")</f>
        <v xml:space="preserve"> </v>
      </c>
      <c r="BH83" s="55"/>
      <c r="BI83" s="32"/>
      <c r="BJ83" s="32"/>
      <c r="BK83" s="55"/>
      <c r="BL83" s="32"/>
      <c r="BM83" s="32"/>
      <c r="BN83" s="32"/>
      <c r="BO83" s="32"/>
      <c r="BP83" s="32"/>
      <c r="BQ83" s="31"/>
      <c r="BR83" s="31"/>
      <c r="BS83" s="54"/>
      <c r="BT83" s="21" t="str">
        <f>IFERROR(VLOOKUP(September[[#This Row],[Drug Name7]],'Data Options'!$R$1:$S$100,2,FALSE), " ")</f>
        <v xml:space="preserve"> </v>
      </c>
      <c r="BU83" s="55"/>
      <c r="BV83" s="32"/>
      <c r="BW83" s="32"/>
      <c r="BX83" s="55"/>
      <c r="BY83" s="32"/>
      <c r="BZ83" s="54"/>
      <c r="CA83" s="21" t="str">
        <f>IFERROR(VLOOKUP(September[[#This Row],[Drug Name8]],'Data Options'!$R$1:$S$100,2,FALSE), " ")</f>
        <v xml:space="preserve"> </v>
      </c>
      <c r="CB83" s="55"/>
      <c r="CC83" s="32"/>
      <c r="CD83" s="32"/>
      <c r="CE83" s="55"/>
      <c r="CF83" s="32"/>
      <c r="CG83" s="54"/>
      <c r="CH83" s="21" t="str">
        <f>IFERROR(VLOOKUP(September[[#This Row],[Drug Name9]],'Data Options'!$R$1:$S$100,2,FALSE), " ")</f>
        <v xml:space="preserve"> </v>
      </c>
      <c r="CI83" s="55"/>
      <c r="CJ83" s="32"/>
      <c r="CK83" s="32"/>
      <c r="CL83" s="55"/>
      <c r="CM83" s="32"/>
    </row>
    <row r="84" spans="1:91">
      <c r="A84" s="5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31"/>
      <c r="Q84" s="54"/>
      <c r="R84" s="21" t="str">
        <f>IFERROR(VLOOKUP(September[[#This Row],[Drug Name]],'Data Options'!$R$1:$S$100,2,FALSE), " ")</f>
        <v xml:space="preserve"> </v>
      </c>
      <c r="S84" s="55"/>
      <c r="T84" s="32"/>
      <c r="U84" s="32"/>
      <c r="V84" s="55"/>
      <c r="W84" s="32"/>
      <c r="X84" s="54"/>
      <c r="Y84" s="21" t="str">
        <f>IFERROR(VLOOKUP(September[[#This Row],[Drug Name2]],'Data Options'!$R$1:$S$100,2,FALSE), " ")</f>
        <v xml:space="preserve"> </v>
      </c>
      <c r="Z84" s="55"/>
      <c r="AA84" s="32"/>
      <c r="AB84" s="32"/>
      <c r="AC84" s="55"/>
      <c r="AD84" s="32"/>
      <c r="AE84" s="54"/>
      <c r="AF84" s="21" t="str">
        <f>IFERROR(VLOOKUP(September[[#This Row],[Drug Name3]],'Data Options'!$R$1:$S$100,2,FALSE), " ")</f>
        <v xml:space="preserve"> </v>
      </c>
      <c r="AG84" s="55"/>
      <c r="AH84" s="32"/>
      <c r="AI84" s="32"/>
      <c r="AJ84" s="55"/>
      <c r="AK84" s="32"/>
      <c r="AL84" s="32"/>
      <c r="AM84" s="32"/>
      <c r="AN84" s="32"/>
      <c r="AO84" s="32"/>
      <c r="AP84" s="31"/>
      <c r="AQ84" s="31"/>
      <c r="AR84" s="54"/>
      <c r="AS84" s="21" t="str">
        <f>IFERROR(VLOOKUP(September[[#This Row],[Drug Name4]],'Data Options'!$R$1:$S$100,2,FALSE), " ")</f>
        <v xml:space="preserve"> </v>
      </c>
      <c r="AT84" s="55"/>
      <c r="AU84" s="32"/>
      <c r="AV84" s="32"/>
      <c r="AW84" s="55"/>
      <c r="AX84" s="32"/>
      <c r="AY84" s="54"/>
      <c r="AZ84" s="21" t="str">
        <f>IFERROR(VLOOKUP(September[[#This Row],[Drug Name5]],'Data Options'!$R$1:$S$100,2,FALSE), " ")</f>
        <v xml:space="preserve"> </v>
      </c>
      <c r="BA84" s="55"/>
      <c r="BB84" s="32"/>
      <c r="BC84" s="32"/>
      <c r="BD84" s="55"/>
      <c r="BE84" s="32"/>
      <c r="BF84" s="54"/>
      <c r="BG84" s="21" t="str">
        <f>IFERROR(VLOOKUP(September[[#This Row],[Drug Name6]],'Data Options'!$R$1:$S$100,2,FALSE), " ")</f>
        <v xml:space="preserve"> </v>
      </c>
      <c r="BH84" s="55"/>
      <c r="BI84" s="32"/>
      <c r="BJ84" s="32"/>
      <c r="BK84" s="55"/>
      <c r="BL84" s="32"/>
      <c r="BM84" s="32"/>
      <c r="BN84" s="32"/>
      <c r="BO84" s="32"/>
      <c r="BP84" s="32"/>
      <c r="BQ84" s="31"/>
      <c r="BR84" s="31"/>
      <c r="BS84" s="54"/>
      <c r="BT84" s="21" t="str">
        <f>IFERROR(VLOOKUP(September[[#This Row],[Drug Name7]],'Data Options'!$R$1:$S$100,2,FALSE), " ")</f>
        <v xml:space="preserve"> </v>
      </c>
      <c r="BU84" s="55"/>
      <c r="BV84" s="32"/>
      <c r="BW84" s="32"/>
      <c r="BX84" s="55"/>
      <c r="BY84" s="32"/>
      <c r="BZ84" s="54"/>
      <c r="CA84" s="21" t="str">
        <f>IFERROR(VLOOKUP(September[[#This Row],[Drug Name8]],'Data Options'!$R$1:$S$100,2,FALSE), " ")</f>
        <v xml:space="preserve"> </v>
      </c>
      <c r="CB84" s="55"/>
      <c r="CC84" s="32"/>
      <c r="CD84" s="32"/>
      <c r="CE84" s="55"/>
      <c r="CF84" s="32"/>
      <c r="CG84" s="54"/>
      <c r="CH84" s="21" t="str">
        <f>IFERROR(VLOOKUP(September[[#This Row],[Drug Name9]],'Data Options'!$R$1:$S$100,2,FALSE), " ")</f>
        <v xml:space="preserve"> </v>
      </c>
      <c r="CI84" s="55"/>
      <c r="CJ84" s="32"/>
      <c r="CK84" s="32"/>
      <c r="CL84" s="55"/>
      <c r="CM84" s="32"/>
    </row>
    <row r="85" spans="1:91">
      <c r="A85" s="5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31"/>
      <c r="Q85" s="54"/>
      <c r="R85" s="21" t="str">
        <f>IFERROR(VLOOKUP(September[[#This Row],[Drug Name]],'Data Options'!$R$1:$S$100,2,FALSE), " ")</f>
        <v xml:space="preserve"> </v>
      </c>
      <c r="S85" s="55"/>
      <c r="T85" s="32"/>
      <c r="U85" s="32"/>
      <c r="V85" s="55"/>
      <c r="W85" s="32"/>
      <c r="X85" s="54"/>
      <c r="Y85" s="21" t="str">
        <f>IFERROR(VLOOKUP(September[[#This Row],[Drug Name2]],'Data Options'!$R$1:$S$100,2,FALSE), " ")</f>
        <v xml:space="preserve"> </v>
      </c>
      <c r="Z85" s="55"/>
      <c r="AA85" s="32"/>
      <c r="AB85" s="32"/>
      <c r="AC85" s="55"/>
      <c r="AD85" s="32"/>
      <c r="AE85" s="54"/>
      <c r="AF85" s="21" t="str">
        <f>IFERROR(VLOOKUP(September[[#This Row],[Drug Name3]],'Data Options'!$R$1:$S$100,2,FALSE), " ")</f>
        <v xml:space="preserve"> </v>
      </c>
      <c r="AG85" s="55"/>
      <c r="AH85" s="32"/>
      <c r="AI85" s="32"/>
      <c r="AJ85" s="55"/>
      <c r="AK85" s="32"/>
      <c r="AL85" s="32"/>
      <c r="AM85" s="32"/>
      <c r="AN85" s="32"/>
      <c r="AO85" s="32"/>
      <c r="AP85" s="31"/>
      <c r="AQ85" s="31"/>
      <c r="AR85" s="54"/>
      <c r="AS85" s="21" t="str">
        <f>IFERROR(VLOOKUP(September[[#This Row],[Drug Name4]],'Data Options'!$R$1:$S$100,2,FALSE), " ")</f>
        <v xml:space="preserve"> </v>
      </c>
      <c r="AT85" s="55"/>
      <c r="AU85" s="32"/>
      <c r="AV85" s="32"/>
      <c r="AW85" s="55"/>
      <c r="AX85" s="32"/>
      <c r="AY85" s="54"/>
      <c r="AZ85" s="21" t="str">
        <f>IFERROR(VLOOKUP(September[[#This Row],[Drug Name5]],'Data Options'!$R$1:$S$100,2,FALSE), " ")</f>
        <v xml:space="preserve"> </v>
      </c>
      <c r="BA85" s="55"/>
      <c r="BB85" s="32"/>
      <c r="BC85" s="32"/>
      <c r="BD85" s="55"/>
      <c r="BE85" s="32"/>
      <c r="BF85" s="54"/>
      <c r="BG85" s="21" t="str">
        <f>IFERROR(VLOOKUP(September[[#This Row],[Drug Name6]],'Data Options'!$R$1:$S$100,2,FALSE), " ")</f>
        <v xml:space="preserve"> </v>
      </c>
      <c r="BH85" s="55"/>
      <c r="BI85" s="32"/>
      <c r="BJ85" s="32"/>
      <c r="BK85" s="55"/>
      <c r="BL85" s="32"/>
      <c r="BM85" s="32"/>
      <c r="BN85" s="32"/>
      <c r="BO85" s="32"/>
      <c r="BP85" s="32"/>
      <c r="BQ85" s="31"/>
      <c r="BR85" s="31"/>
      <c r="BS85" s="54"/>
      <c r="BT85" s="21" t="str">
        <f>IFERROR(VLOOKUP(September[[#This Row],[Drug Name7]],'Data Options'!$R$1:$S$100,2,FALSE), " ")</f>
        <v xml:space="preserve"> </v>
      </c>
      <c r="BU85" s="55"/>
      <c r="BV85" s="32"/>
      <c r="BW85" s="32"/>
      <c r="BX85" s="55"/>
      <c r="BY85" s="32"/>
      <c r="BZ85" s="54"/>
      <c r="CA85" s="21" t="str">
        <f>IFERROR(VLOOKUP(September[[#This Row],[Drug Name8]],'Data Options'!$R$1:$S$100,2,FALSE), " ")</f>
        <v xml:space="preserve"> </v>
      </c>
      <c r="CB85" s="55"/>
      <c r="CC85" s="32"/>
      <c r="CD85" s="32"/>
      <c r="CE85" s="55"/>
      <c r="CF85" s="32"/>
      <c r="CG85" s="54"/>
      <c r="CH85" s="21" t="str">
        <f>IFERROR(VLOOKUP(September[[#This Row],[Drug Name9]],'Data Options'!$R$1:$S$100,2,FALSE), " ")</f>
        <v xml:space="preserve"> </v>
      </c>
      <c r="CI85" s="55"/>
      <c r="CJ85" s="32"/>
      <c r="CK85" s="32"/>
      <c r="CL85" s="55"/>
      <c r="CM85" s="32"/>
    </row>
    <row r="86" spans="1:91">
      <c r="A86" s="5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31"/>
      <c r="Q86" s="54"/>
      <c r="R86" s="21" t="str">
        <f>IFERROR(VLOOKUP(September[[#This Row],[Drug Name]],'Data Options'!$R$1:$S$100,2,FALSE), " ")</f>
        <v xml:space="preserve"> </v>
      </c>
      <c r="S86" s="55"/>
      <c r="T86" s="32"/>
      <c r="U86" s="32"/>
      <c r="V86" s="55"/>
      <c r="W86" s="32"/>
      <c r="X86" s="54"/>
      <c r="Y86" s="21" t="str">
        <f>IFERROR(VLOOKUP(September[[#This Row],[Drug Name2]],'Data Options'!$R$1:$S$100,2,FALSE), " ")</f>
        <v xml:space="preserve"> </v>
      </c>
      <c r="Z86" s="55"/>
      <c r="AA86" s="32"/>
      <c r="AB86" s="32"/>
      <c r="AC86" s="55"/>
      <c r="AD86" s="32"/>
      <c r="AE86" s="54"/>
      <c r="AF86" s="21" t="str">
        <f>IFERROR(VLOOKUP(September[[#This Row],[Drug Name3]],'Data Options'!$R$1:$S$100,2,FALSE), " ")</f>
        <v xml:space="preserve"> </v>
      </c>
      <c r="AG86" s="55"/>
      <c r="AH86" s="32"/>
      <c r="AI86" s="32"/>
      <c r="AJ86" s="55"/>
      <c r="AK86" s="32"/>
      <c r="AL86" s="32"/>
      <c r="AM86" s="32"/>
      <c r="AN86" s="32"/>
      <c r="AO86" s="32"/>
      <c r="AP86" s="31"/>
      <c r="AQ86" s="31"/>
      <c r="AR86" s="54"/>
      <c r="AS86" s="21" t="str">
        <f>IFERROR(VLOOKUP(September[[#This Row],[Drug Name4]],'Data Options'!$R$1:$S$100,2,FALSE), " ")</f>
        <v xml:space="preserve"> </v>
      </c>
      <c r="AT86" s="55"/>
      <c r="AU86" s="32"/>
      <c r="AV86" s="32"/>
      <c r="AW86" s="55"/>
      <c r="AX86" s="32"/>
      <c r="AY86" s="54"/>
      <c r="AZ86" s="21" t="str">
        <f>IFERROR(VLOOKUP(September[[#This Row],[Drug Name5]],'Data Options'!$R$1:$S$100,2,FALSE), " ")</f>
        <v xml:space="preserve"> </v>
      </c>
      <c r="BA86" s="55"/>
      <c r="BB86" s="32"/>
      <c r="BC86" s="32"/>
      <c r="BD86" s="55"/>
      <c r="BE86" s="32"/>
      <c r="BF86" s="54"/>
      <c r="BG86" s="21" t="str">
        <f>IFERROR(VLOOKUP(September[[#This Row],[Drug Name6]],'Data Options'!$R$1:$S$100,2,FALSE), " ")</f>
        <v xml:space="preserve"> </v>
      </c>
      <c r="BH86" s="55"/>
      <c r="BI86" s="32"/>
      <c r="BJ86" s="32"/>
      <c r="BK86" s="55"/>
      <c r="BL86" s="32"/>
      <c r="BM86" s="32"/>
      <c r="BN86" s="32"/>
      <c r="BO86" s="32"/>
      <c r="BP86" s="32"/>
      <c r="BQ86" s="31"/>
      <c r="BR86" s="31"/>
      <c r="BS86" s="54"/>
      <c r="BT86" s="21" t="str">
        <f>IFERROR(VLOOKUP(September[[#This Row],[Drug Name7]],'Data Options'!$R$1:$S$100,2,FALSE), " ")</f>
        <v xml:space="preserve"> </v>
      </c>
      <c r="BU86" s="55"/>
      <c r="BV86" s="32"/>
      <c r="BW86" s="32"/>
      <c r="BX86" s="55"/>
      <c r="BY86" s="32"/>
      <c r="BZ86" s="54"/>
      <c r="CA86" s="21" t="str">
        <f>IFERROR(VLOOKUP(September[[#This Row],[Drug Name8]],'Data Options'!$R$1:$S$100,2,FALSE), " ")</f>
        <v xml:space="preserve"> </v>
      </c>
      <c r="CB86" s="55"/>
      <c r="CC86" s="32"/>
      <c r="CD86" s="32"/>
      <c r="CE86" s="55"/>
      <c r="CF86" s="32"/>
      <c r="CG86" s="54"/>
      <c r="CH86" s="21" t="str">
        <f>IFERROR(VLOOKUP(September[[#This Row],[Drug Name9]],'Data Options'!$R$1:$S$100,2,FALSE), " ")</f>
        <v xml:space="preserve"> </v>
      </c>
      <c r="CI86" s="55"/>
      <c r="CJ86" s="32"/>
      <c r="CK86" s="32"/>
      <c r="CL86" s="55"/>
      <c r="CM86" s="32"/>
    </row>
    <row r="87" spans="1:91">
      <c r="A87" s="5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31"/>
      <c r="Q87" s="54"/>
      <c r="R87" s="21" t="str">
        <f>IFERROR(VLOOKUP(September[[#This Row],[Drug Name]],'Data Options'!$R$1:$S$100,2,FALSE), " ")</f>
        <v xml:space="preserve"> </v>
      </c>
      <c r="S87" s="55"/>
      <c r="T87" s="32"/>
      <c r="U87" s="32"/>
      <c r="V87" s="55"/>
      <c r="W87" s="32"/>
      <c r="X87" s="54"/>
      <c r="Y87" s="21" t="str">
        <f>IFERROR(VLOOKUP(September[[#This Row],[Drug Name2]],'Data Options'!$R$1:$S$100,2,FALSE), " ")</f>
        <v xml:space="preserve"> </v>
      </c>
      <c r="Z87" s="55"/>
      <c r="AA87" s="32"/>
      <c r="AB87" s="32"/>
      <c r="AC87" s="55"/>
      <c r="AD87" s="32"/>
      <c r="AE87" s="54"/>
      <c r="AF87" s="21" t="str">
        <f>IFERROR(VLOOKUP(September[[#This Row],[Drug Name3]],'Data Options'!$R$1:$S$100,2,FALSE), " ")</f>
        <v xml:space="preserve"> </v>
      </c>
      <c r="AG87" s="55"/>
      <c r="AH87" s="32"/>
      <c r="AI87" s="32"/>
      <c r="AJ87" s="55"/>
      <c r="AK87" s="32"/>
      <c r="AL87" s="32"/>
      <c r="AM87" s="32"/>
      <c r="AN87" s="32"/>
      <c r="AO87" s="32"/>
      <c r="AP87" s="31"/>
      <c r="AQ87" s="31"/>
      <c r="AR87" s="54"/>
      <c r="AS87" s="21" t="str">
        <f>IFERROR(VLOOKUP(September[[#This Row],[Drug Name4]],'Data Options'!$R$1:$S$100,2,FALSE), " ")</f>
        <v xml:space="preserve"> </v>
      </c>
      <c r="AT87" s="55"/>
      <c r="AU87" s="32"/>
      <c r="AV87" s="32"/>
      <c r="AW87" s="55"/>
      <c r="AX87" s="32"/>
      <c r="AY87" s="54"/>
      <c r="AZ87" s="21" t="str">
        <f>IFERROR(VLOOKUP(September[[#This Row],[Drug Name5]],'Data Options'!$R$1:$S$100,2,FALSE), " ")</f>
        <v xml:space="preserve"> </v>
      </c>
      <c r="BA87" s="55"/>
      <c r="BB87" s="32"/>
      <c r="BC87" s="32"/>
      <c r="BD87" s="55"/>
      <c r="BE87" s="32"/>
      <c r="BF87" s="54"/>
      <c r="BG87" s="21" t="str">
        <f>IFERROR(VLOOKUP(September[[#This Row],[Drug Name6]],'Data Options'!$R$1:$S$100,2,FALSE), " ")</f>
        <v xml:space="preserve"> </v>
      </c>
      <c r="BH87" s="55"/>
      <c r="BI87" s="32"/>
      <c r="BJ87" s="32"/>
      <c r="BK87" s="55"/>
      <c r="BL87" s="32"/>
      <c r="BM87" s="32"/>
      <c r="BN87" s="32"/>
      <c r="BO87" s="32"/>
      <c r="BP87" s="32"/>
      <c r="BQ87" s="31"/>
      <c r="BR87" s="31"/>
      <c r="BS87" s="54"/>
      <c r="BT87" s="21" t="str">
        <f>IFERROR(VLOOKUP(September[[#This Row],[Drug Name7]],'Data Options'!$R$1:$S$100,2,FALSE), " ")</f>
        <v xml:space="preserve"> </v>
      </c>
      <c r="BU87" s="55"/>
      <c r="BV87" s="32"/>
      <c r="BW87" s="32"/>
      <c r="BX87" s="55"/>
      <c r="BY87" s="32"/>
      <c r="BZ87" s="54"/>
      <c r="CA87" s="21" t="str">
        <f>IFERROR(VLOOKUP(September[[#This Row],[Drug Name8]],'Data Options'!$R$1:$S$100,2,FALSE), " ")</f>
        <v xml:space="preserve"> </v>
      </c>
      <c r="CB87" s="55"/>
      <c r="CC87" s="32"/>
      <c r="CD87" s="32"/>
      <c r="CE87" s="55"/>
      <c r="CF87" s="32"/>
      <c r="CG87" s="54"/>
      <c r="CH87" s="21" t="str">
        <f>IFERROR(VLOOKUP(September[[#This Row],[Drug Name9]],'Data Options'!$R$1:$S$100,2,FALSE), " ")</f>
        <v xml:space="preserve"> </v>
      </c>
      <c r="CI87" s="55"/>
      <c r="CJ87" s="32"/>
      <c r="CK87" s="32"/>
      <c r="CL87" s="55"/>
      <c r="CM87" s="32"/>
    </row>
    <row r="88" spans="1:91">
      <c r="A88" s="5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31"/>
      <c r="Q88" s="54"/>
      <c r="R88" s="21" t="str">
        <f>IFERROR(VLOOKUP(September[[#This Row],[Drug Name]],'Data Options'!$R$1:$S$100,2,FALSE), " ")</f>
        <v xml:space="preserve"> </v>
      </c>
      <c r="S88" s="55"/>
      <c r="T88" s="32"/>
      <c r="U88" s="32"/>
      <c r="V88" s="55"/>
      <c r="W88" s="32"/>
      <c r="X88" s="54"/>
      <c r="Y88" s="21" t="str">
        <f>IFERROR(VLOOKUP(September[[#This Row],[Drug Name2]],'Data Options'!$R$1:$S$100,2,FALSE), " ")</f>
        <v xml:space="preserve"> </v>
      </c>
      <c r="Z88" s="55"/>
      <c r="AA88" s="32"/>
      <c r="AB88" s="32"/>
      <c r="AC88" s="55"/>
      <c r="AD88" s="32"/>
      <c r="AE88" s="54"/>
      <c r="AF88" s="21" t="str">
        <f>IFERROR(VLOOKUP(September[[#This Row],[Drug Name3]],'Data Options'!$R$1:$S$100,2,FALSE), " ")</f>
        <v xml:space="preserve"> </v>
      </c>
      <c r="AG88" s="55"/>
      <c r="AH88" s="32"/>
      <c r="AI88" s="32"/>
      <c r="AJ88" s="55"/>
      <c r="AK88" s="32"/>
      <c r="AL88" s="32"/>
      <c r="AM88" s="32"/>
      <c r="AN88" s="32"/>
      <c r="AO88" s="32"/>
      <c r="AP88" s="31"/>
      <c r="AQ88" s="31"/>
      <c r="AR88" s="54"/>
      <c r="AS88" s="21" t="str">
        <f>IFERROR(VLOOKUP(September[[#This Row],[Drug Name4]],'Data Options'!$R$1:$S$100,2,FALSE), " ")</f>
        <v xml:space="preserve"> </v>
      </c>
      <c r="AT88" s="55"/>
      <c r="AU88" s="32"/>
      <c r="AV88" s="32"/>
      <c r="AW88" s="55"/>
      <c r="AX88" s="32"/>
      <c r="AY88" s="54"/>
      <c r="AZ88" s="21" t="str">
        <f>IFERROR(VLOOKUP(September[[#This Row],[Drug Name5]],'Data Options'!$R$1:$S$100,2,FALSE), " ")</f>
        <v xml:space="preserve"> </v>
      </c>
      <c r="BA88" s="55"/>
      <c r="BB88" s="32"/>
      <c r="BC88" s="32"/>
      <c r="BD88" s="55"/>
      <c r="BE88" s="32"/>
      <c r="BF88" s="54"/>
      <c r="BG88" s="21" t="str">
        <f>IFERROR(VLOOKUP(September[[#This Row],[Drug Name6]],'Data Options'!$R$1:$S$100,2,FALSE), " ")</f>
        <v xml:space="preserve"> </v>
      </c>
      <c r="BH88" s="55"/>
      <c r="BI88" s="32"/>
      <c r="BJ88" s="32"/>
      <c r="BK88" s="55"/>
      <c r="BL88" s="32"/>
      <c r="BM88" s="32"/>
      <c r="BN88" s="32"/>
      <c r="BO88" s="32"/>
      <c r="BP88" s="32"/>
      <c r="BQ88" s="31"/>
      <c r="BR88" s="31"/>
      <c r="BS88" s="54"/>
      <c r="BT88" s="21" t="str">
        <f>IFERROR(VLOOKUP(September[[#This Row],[Drug Name7]],'Data Options'!$R$1:$S$100,2,FALSE), " ")</f>
        <v xml:space="preserve"> </v>
      </c>
      <c r="BU88" s="55"/>
      <c r="BV88" s="32"/>
      <c r="BW88" s="32"/>
      <c r="BX88" s="55"/>
      <c r="BY88" s="32"/>
      <c r="BZ88" s="54"/>
      <c r="CA88" s="21" t="str">
        <f>IFERROR(VLOOKUP(September[[#This Row],[Drug Name8]],'Data Options'!$R$1:$S$100,2,FALSE), " ")</f>
        <v xml:space="preserve"> </v>
      </c>
      <c r="CB88" s="55"/>
      <c r="CC88" s="32"/>
      <c r="CD88" s="32"/>
      <c r="CE88" s="55"/>
      <c r="CF88" s="32"/>
      <c r="CG88" s="54"/>
      <c r="CH88" s="21" t="str">
        <f>IFERROR(VLOOKUP(September[[#This Row],[Drug Name9]],'Data Options'!$R$1:$S$100,2,FALSE), " ")</f>
        <v xml:space="preserve"> </v>
      </c>
      <c r="CI88" s="55"/>
      <c r="CJ88" s="32"/>
      <c r="CK88" s="32"/>
      <c r="CL88" s="55"/>
      <c r="CM88" s="32"/>
    </row>
    <row r="89" spans="1:91">
      <c r="A89" s="5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31"/>
      <c r="Q89" s="54"/>
      <c r="R89" s="21" t="str">
        <f>IFERROR(VLOOKUP(September[[#This Row],[Drug Name]],'Data Options'!$R$1:$S$100,2,FALSE), " ")</f>
        <v xml:space="preserve"> </v>
      </c>
      <c r="S89" s="55"/>
      <c r="T89" s="32"/>
      <c r="U89" s="32"/>
      <c r="V89" s="55"/>
      <c r="W89" s="32"/>
      <c r="X89" s="54"/>
      <c r="Y89" s="21" t="str">
        <f>IFERROR(VLOOKUP(September[[#This Row],[Drug Name2]],'Data Options'!$R$1:$S$100,2,FALSE), " ")</f>
        <v xml:space="preserve"> </v>
      </c>
      <c r="Z89" s="55"/>
      <c r="AA89" s="32"/>
      <c r="AB89" s="32"/>
      <c r="AC89" s="55"/>
      <c r="AD89" s="32"/>
      <c r="AE89" s="54"/>
      <c r="AF89" s="21" t="str">
        <f>IFERROR(VLOOKUP(September[[#This Row],[Drug Name3]],'Data Options'!$R$1:$S$100,2,FALSE), " ")</f>
        <v xml:space="preserve"> </v>
      </c>
      <c r="AG89" s="55"/>
      <c r="AH89" s="32"/>
      <c r="AI89" s="32"/>
      <c r="AJ89" s="55"/>
      <c r="AK89" s="32"/>
      <c r="AL89" s="32"/>
      <c r="AM89" s="32"/>
      <c r="AN89" s="32"/>
      <c r="AO89" s="32"/>
      <c r="AP89" s="31"/>
      <c r="AQ89" s="31"/>
      <c r="AR89" s="54"/>
      <c r="AS89" s="21" t="str">
        <f>IFERROR(VLOOKUP(September[[#This Row],[Drug Name4]],'Data Options'!$R$1:$S$100,2,FALSE), " ")</f>
        <v xml:space="preserve"> </v>
      </c>
      <c r="AT89" s="55"/>
      <c r="AU89" s="32"/>
      <c r="AV89" s="32"/>
      <c r="AW89" s="55"/>
      <c r="AX89" s="32"/>
      <c r="AY89" s="54"/>
      <c r="AZ89" s="21" t="str">
        <f>IFERROR(VLOOKUP(September[[#This Row],[Drug Name5]],'Data Options'!$R$1:$S$100,2,FALSE), " ")</f>
        <v xml:space="preserve"> </v>
      </c>
      <c r="BA89" s="55"/>
      <c r="BB89" s="32"/>
      <c r="BC89" s="32"/>
      <c r="BD89" s="55"/>
      <c r="BE89" s="32"/>
      <c r="BF89" s="54"/>
      <c r="BG89" s="21" t="str">
        <f>IFERROR(VLOOKUP(September[[#This Row],[Drug Name6]],'Data Options'!$R$1:$S$100,2,FALSE), " ")</f>
        <v xml:space="preserve"> </v>
      </c>
      <c r="BH89" s="55"/>
      <c r="BI89" s="32"/>
      <c r="BJ89" s="32"/>
      <c r="BK89" s="55"/>
      <c r="BL89" s="32"/>
      <c r="BM89" s="32"/>
      <c r="BN89" s="32"/>
      <c r="BO89" s="32"/>
      <c r="BP89" s="32"/>
      <c r="BQ89" s="31"/>
      <c r="BR89" s="31"/>
      <c r="BS89" s="54"/>
      <c r="BT89" s="21" t="str">
        <f>IFERROR(VLOOKUP(September[[#This Row],[Drug Name7]],'Data Options'!$R$1:$S$100,2,FALSE), " ")</f>
        <v xml:space="preserve"> </v>
      </c>
      <c r="BU89" s="55"/>
      <c r="BV89" s="32"/>
      <c r="BW89" s="32"/>
      <c r="BX89" s="55"/>
      <c r="BY89" s="32"/>
      <c r="BZ89" s="54"/>
      <c r="CA89" s="21" t="str">
        <f>IFERROR(VLOOKUP(September[[#This Row],[Drug Name8]],'Data Options'!$R$1:$S$100,2,FALSE), " ")</f>
        <v xml:space="preserve"> </v>
      </c>
      <c r="CB89" s="55"/>
      <c r="CC89" s="32"/>
      <c r="CD89" s="32"/>
      <c r="CE89" s="55"/>
      <c r="CF89" s="32"/>
      <c r="CG89" s="54"/>
      <c r="CH89" s="21" t="str">
        <f>IFERROR(VLOOKUP(September[[#This Row],[Drug Name9]],'Data Options'!$R$1:$S$100,2,FALSE), " ")</f>
        <v xml:space="preserve"> </v>
      </c>
      <c r="CI89" s="55"/>
      <c r="CJ89" s="32"/>
      <c r="CK89" s="32"/>
      <c r="CL89" s="55"/>
      <c r="CM89" s="32"/>
    </row>
    <row r="90" spans="1:91">
      <c r="A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1"/>
      <c r="Q90" s="54"/>
      <c r="R90" s="21" t="str">
        <f>IFERROR(VLOOKUP(September[[#This Row],[Drug Name]],'Data Options'!$R$1:$S$100,2,FALSE), " ")</f>
        <v xml:space="preserve"> </v>
      </c>
      <c r="S90" s="55"/>
      <c r="T90" s="32"/>
      <c r="U90" s="32"/>
      <c r="V90" s="55"/>
      <c r="W90" s="32"/>
      <c r="X90" s="54"/>
      <c r="Y90" s="21" t="str">
        <f>IFERROR(VLOOKUP(September[[#This Row],[Drug Name2]],'Data Options'!$R$1:$S$100,2,FALSE), " ")</f>
        <v xml:space="preserve"> </v>
      </c>
      <c r="Z90" s="55"/>
      <c r="AA90" s="32"/>
      <c r="AB90" s="32"/>
      <c r="AC90" s="55"/>
      <c r="AD90" s="32"/>
      <c r="AE90" s="54"/>
      <c r="AF90" s="21" t="str">
        <f>IFERROR(VLOOKUP(September[[#This Row],[Drug Name3]],'Data Options'!$R$1:$S$100,2,FALSE), " ")</f>
        <v xml:space="preserve"> </v>
      </c>
      <c r="AG90" s="55"/>
      <c r="AH90" s="32"/>
      <c r="AI90" s="32"/>
      <c r="AJ90" s="55"/>
      <c r="AK90" s="32"/>
      <c r="AL90" s="32"/>
      <c r="AM90" s="32"/>
      <c r="AN90" s="32"/>
      <c r="AO90" s="32"/>
      <c r="AP90" s="31"/>
      <c r="AQ90" s="31"/>
      <c r="AR90" s="54"/>
      <c r="AS90" s="21" t="str">
        <f>IFERROR(VLOOKUP(September[[#This Row],[Drug Name4]],'Data Options'!$R$1:$S$100,2,FALSE), " ")</f>
        <v xml:space="preserve"> </v>
      </c>
      <c r="AT90" s="55"/>
      <c r="AU90" s="32"/>
      <c r="AV90" s="32"/>
      <c r="AW90" s="55"/>
      <c r="AX90" s="32"/>
      <c r="AY90" s="54"/>
      <c r="AZ90" s="21" t="str">
        <f>IFERROR(VLOOKUP(September[[#This Row],[Drug Name5]],'Data Options'!$R$1:$S$100,2,FALSE), " ")</f>
        <v xml:space="preserve"> </v>
      </c>
      <c r="BA90" s="55"/>
      <c r="BB90" s="32"/>
      <c r="BC90" s="32"/>
      <c r="BD90" s="55"/>
      <c r="BE90" s="32"/>
      <c r="BF90" s="54"/>
      <c r="BG90" s="21" t="str">
        <f>IFERROR(VLOOKUP(September[[#This Row],[Drug Name6]],'Data Options'!$R$1:$S$100,2,FALSE), " ")</f>
        <v xml:space="preserve"> </v>
      </c>
      <c r="BH90" s="55"/>
      <c r="BI90" s="32"/>
      <c r="BJ90" s="32"/>
      <c r="BK90" s="55"/>
      <c r="BL90" s="32"/>
      <c r="BM90" s="32"/>
      <c r="BN90" s="32"/>
      <c r="BO90" s="32"/>
      <c r="BP90" s="32"/>
      <c r="BQ90" s="31"/>
      <c r="BR90" s="31"/>
      <c r="BS90" s="54"/>
      <c r="BT90" s="21" t="str">
        <f>IFERROR(VLOOKUP(September[[#This Row],[Drug Name7]],'Data Options'!$R$1:$S$100,2,FALSE), " ")</f>
        <v xml:space="preserve"> </v>
      </c>
      <c r="BU90" s="55"/>
      <c r="BV90" s="32"/>
      <c r="BW90" s="32"/>
      <c r="BX90" s="55"/>
      <c r="BY90" s="32"/>
      <c r="BZ90" s="54"/>
      <c r="CA90" s="21" t="str">
        <f>IFERROR(VLOOKUP(September[[#This Row],[Drug Name8]],'Data Options'!$R$1:$S$100,2,FALSE), " ")</f>
        <v xml:space="preserve"> </v>
      </c>
      <c r="CB90" s="55"/>
      <c r="CC90" s="32"/>
      <c r="CD90" s="32"/>
      <c r="CE90" s="55"/>
      <c r="CF90" s="32"/>
      <c r="CG90" s="54"/>
      <c r="CH90" s="21" t="str">
        <f>IFERROR(VLOOKUP(September[[#This Row],[Drug Name9]],'Data Options'!$R$1:$S$100,2,FALSE), " ")</f>
        <v xml:space="preserve"> </v>
      </c>
      <c r="CI90" s="55"/>
      <c r="CJ90" s="32"/>
      <c r="CK90" s="32"/>
      <c r="CL90" s="55"/>
      <c r="CM90" s="32"/>
    </row>
    <row r="91" spans="1:91">
      <c r="A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1"/>
      <c r="Q91" s="54"/>
      <c r="R91" s="21" t="str">
        <f>IFERROR(VLOOKUP(September[[#This Row],[Drug Name]],'Data Options'!$R$1:$S$100,2,FALSE), " ")</f>
        <v xml:space="preserve"> </v>
      </c>
      <c r="S91" s="55"/>
      <c r="T91" s="32"/>
      <c r="U91" s="32"/>
      <c r="V91" s="55"/>
      <c r="W91" s="32"/>
      <c r="X91" s="54"/>
      <c r="Y91" s="21" t="str">
        <f>IFERROR(VLOOKUP(September[[#This Row],[Drug Name2]],'Data Options'!$R$1:$S$100,2,FALSE), " ")</f>
        <v xml:space="preserve"> </v>
      </c>
      <c r="Z91" s="55"/>
      <c r="AA91" s="32"/>
      <c r="AB91" s="32"/>
      <c r="AC91" s="55"/>
      <c r="AD91" s="32"/>
      <c r="AE91" s="54"/>
      <c r="AF91" s="21" t="str">
        <f>IFERROR(VLOOKUP(September[[#This Row],[Drug Name3]],'Data Options'!$R$1:$S$100,2,FALSE), " ")</f>
        <v xml:space="preserve"> </v>
      </c>
      <c r="AG91" s="55"/>
      <c r="AH91" s="32"/>
      <c r="AI91" s="32"/>
      <c r="AJ91" s="55"/>
      <c r="AK91" s="32"/>
      <c r="AL91" s="32"/>
      <c r="AM91" s="32"/>
      <c r="AN91" s="32"/>
      <c r="AO91" s="32"/>
      <c r="AP91" s="31"/>
      <c r="AQ91" s="31"/>
      <c r="AR91" s="54"/>
      <c r="AS91" s="21" t="str">
        <f>IFERROR(VLOOKUP(September[[#This Row],[Drug Name4]],'Data Options'!$R$1:$S$100,2,FALSE), " ")</f>
        <v xml:space="preserve"> </v>
      </c>
      <c r="AT91" s="55"/>
      <c r="AU91" s="32"/>
      <c r="AV91" s="32"/>
      <c r="AW91" s="55"/>
      <c r="AX91" s="32"/>
      <c r="AY91" s="54"/>
      <c r="AZ91" s="21" t="str">
        <f>IFERROR(VLOOKUP(September[[#This Row],[Drug Name5]],'Data Options'!$R$1:$S$100,2,FALSE), " ")</f>
        <v xml:space="preserve"> </v>
      </c>
      <c r="BA91" s="55"/>
      <c r="BB91" s="32"/>
      <c r="BC91" s="32"/>
      <c r="BD91" s="55"/>
      <c r="BE91" s="32"/>
      <c r="BF91" s="54"/>
      <c r="BG91" s="21" t="str">
        <f>IFERROR(VLOOKUP(September[[#This Row],[Drug Name6]],'Data Options'!$R$1:$S$100,2,FALSE), " ")</f>
        <v xml:space="preserve"> </v>
      </c>
      <c r="BH91" s="55"/>
      <c r="BI91" s="32"/>
      <c r="BJ91" s="32"/>
      <c r="BK91" s="55"/>
      <c r="BL91" s="32"/>
      <c r="BM91" s="32"/>
      <c r="BN91" s="32"/>
      <c r="BO91" s="32"/>
      <c r="BP91" s="32"/>
      <c r="BQ91" s="31"/>
      <c r="BR91" s="31"/>
      <c r="BS91" s="54"/>
      <c r="BT91" s="21" t="str">
        <f>IFERROR(VLOOKUP(September[[#This Row],[Drug Name7]],'Data Options'!$R$1:$S$100,2,FALSE), " ")</f>
        <v xml:space="preserve"> </v>
      </c>
      <c r="BU91" s="55"/>
      <c r="BV91" s="32"/>
      <c r="BW91" s="32"/>
      <c r="BX91" s="55"/>
      <c r="BY91" s="32"/>
      <c r="BZ91" s="54"/>
      <c r="CA91" s="21" t="str">
        <f>IFERROR(VLOOKUP(September[[#This Row],[Drug Name8]],'Data Options'!$R$1:$S$100,2,FALSE), " ")</f>
        <v xml:space="preserve"> </v>
      </c>
      <c r="CB91" s="55"/>
      <c r="CC91" s="32"/>
      <c r="CD91" s="32"/>
      <c r="CE91" s="55"/>
      <c r="CF91" s="32"/>
      <c r="CG91" s="54"/>
      <c r="CH91" s="21" t="str">
        <f>IFERROR(VLOOKUP(September[[#This Row],[Drug Name9]],'Data Options'!$R$1:$S$100,2,FALSE), " ")</f>
        <v xml:space="preserve"> </v>
      </c>
      <c r="CI91" s="55"/>
      <c r="CJ91" s="32"/>
      <c r="CK91" s="32"/>
      <c r="CL91" s="55"/>
      <c r="CM91" s="32"/>
    </row>
    <row r="92" spans="1:91">
      <c r="A92" s="5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1"/>
      <c r="Q92" s="54"/>
      <c r="R92" s="21" t="str">
        <f>IFERROR(VLOOKUP(September[[#This Row],[Drug Name]],'Data Options'!$R$1:$S$100,2,FALSE), " ")</f>
        <v xml:space="preserve"> </v>
      </c>
      <c r="S92" s="55"/>
      <c r="T92" s="32"/>
      <c r="U92" s="32"/>
      <c r="V92" s="55"/>
      <c r="W92" s="32"/>
      <c r="X92" s="54"/>
      <c r="Y92" s="21" t="str">
        <f>IFERROR(VLOOKUP(September[[#This Row],[Drug Name2]],'Data Options'!$R$1:$S$100,2,FALSE), " ")</f>
        <v xml:space="preserve"> </v>
      </c>
      <c r="Z92" s="55"/>
      <c r="AA92" s="32"/>
      <c r="AB92" s="32"/>
      <c r="AC92" s="55"/>
      <c r="AD92" s="32"/>
      <c r="AE92" s="54"/>
      <c r="AF92" s="21" t="str">
        <f>IFERROR(VLOOKUP(September[[#This Row],[Drug Name3]],'Data Options'!$R$1:$S$100,2,FALSE), " ")</f>
        <v xml:space="preserve"> </v>
      </c>
      <c r="AG92" s="55"/>
      <c r="AH92" s="32"/>
      <c r="AI92" s="32"/>
      <c r="AJ92" s="55"/>
      <c r="AK92" s="32"/>
      <c r="AL92" s="32"/>
      <c r="AM92" s="32"/>
      <c r="AN92" s="32"/>
      <c r="AO92" s="32"/>
      <c r="AP92" s="31"/>
      <c r="AQ92" s="31"/>
      <c r="AR92" s="54"/>
      <c r="AS92" s="21" t="str">
        <f>IFERROR(VLOOKUP(September[[#This Row],[Drug Name4]],'Data Options'!$R$1:$S$100,2,FALSE), " ")</f>
        <v xml:space="preserve"> </v>
      </c>
      <c r="AT92" s="55"/>
      <c r="AU92" s="32"/>
      <c r="AV92" s="32"/>
      <c r="AW92" s="55"/>
      <c r="AX92" s="32"/>
      <c r="AY92" s="54"/>
      <c r="AZ92" s="21" t="str">
        <f>IFERROR(VLOOKUP(September[[#This Row],[Drug Name5]],'Data Options'!$R$1:$S$100,2,FALSE), " ")</f>
        <v xml:space="preserve"> </v>
      </c>
      <c r="BA92" s="55"/>
      <c r="BB92" s="32"/>
      <c r="BC92" s="32"/>
      <c r="BD92" s="55"/>
      <c r="BE92" s="32"/>
      <c r="BF92" s="54"/>
      <c r="BG92" s="21" t="str">
        <f>IFERROR(VLOOKUP(September[[#This Row],[Drug Name6]],'Data Options'!$R$1:$S$100,2,FALSE), " ")</f>
        <v xml:space="preserve"> </v>
      </c>
      <c r="BH92" s="55"/>
      <c r="BI92" s="32"/>
      <c r="BJ92" s="32"/>
      <c r="BK92" s="55"/>
      <c r="BL92" s="32"/>
      <c r="BM92" s="32"/>
      <c r="BN92" s="32"/>
      <c r="BO92" s="32"/>
      <c r="BP92" s="32"/>
      <c r="BQ92" s="31"/>
      <c r="BR92" s="31"/>
      <c r="BS92" s="54"/>
      <c r="BT92" s="21" t="str">
        <f>IFERROR(VLOOKUP(September[[#This Row],[Drug Name7]],'Data Options'!$R$1:$S$100,2,FALSE), " ")</f>
        <v xml:space="preserve"> </v>
      </c>
      <c r="BU92" s="55"/>
      <c r="BV92" s="32"/>
      <c r="BW92" s="32"/>
      <c r="BX92" s="55"/>
      <c r="BY92" s="32"/>
      <c r="BZ92" s="54"/>
      <c r="CA92" s="21" t="str">
        <f>IFERROR(VLOOKUP(September[[#This Row],[Drug Name8]],'Data Options'!$R$1:$S$100,2,FALSE), " ")</f>
        <v xml:space="preserve"> </v>
      </c>
      <c r="CB92" s="55"/>
      <c r="CC92" s="32"/>
      <c r="CD92" s="32"/>
      <c r="CE92" s="55"/>
      <c r="CF92" s="32"/>
      <c r="CG92" s="54"/>
      <c r="CH92" s="21" t="str">
        <f>IFERROR(VLOOKUP(September[[#This Row],[Drug Name9]],'Data Options'!$R$1:$S$100,2,FALSE), " ")</f>
        <v xml:space="preserve"> </v>
      </c>
      <c r="CI92" s="55"/>
      <c r="CJ92" s="32"/>
      <c r="CK92" s="32"/>
      <c r="CL92" s="55"/>
      <c r="CM92" s="32"/>
    </row>
    <row r="93" spans="1:91">
      <c r="A93" s="5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1"/>
      <c r="Q93" s="54"/>
      <c r="R93" s="21" t="str">
        <f>IFERROR(VLOOKUP(September[[#This Row],[Drug Name]],'Data Options'!$R$1:$S$100,2,FALSE), " ")</f>
        <v xml:space="preserve"> </v>
      </c>
      <c r="S93" s="55"/>
      <c r="T93" s="32"/>
      <c r="U93" s="32"/>
      <c r="V93" s="55"/>
      <c r="W93" s="32"/>
      <c r="X93" s="54"/>
      <c r="Y93" s="21" t="str">
        <f>IFERROR(VLOOKUP(September[[#This Row],[Drug Name2]],'Data Options'!$R$1:$S$100,2,FALSE), " ")</f>
        <v xml:space="preserve"> </v>
      </c>
      <c r="Z93" s="55"/>
      <c r="AA93" s="32"/>
      <c r="AB93" s="32"/>
      <c r="AC93" s="55"/>
      <c r="AD93" s="32"/>
      <c r="AE93" s="54"/>
      <c r="AF93" s="21" t="str">
        <f>IFERROR(VLOOKUP(September[[#This Row],[Drug Name3]],'Data Options'!$R$1:$S$100,2,FALSE), " ")</f>
        <v xml:space="preserve"> </v>
      </c>
      <c r="AG93" s="55"/>
      <c r="AH93" s="32"/>
      <c r="AI93" s="32"/>
      <c r="AJ93" s="55"/>
      <c r="AK93" s="32"/>
      <c r="AL93" s="32"/>
      <c r="AM93" s="32"/>
      <c r="AN93" s="32"/>
      <c r="AO93" s="32"/>
      <c r="AP93" s="31"/>
      <c r="AQ93" s="31"/>
      <c r="AR93" s="54"/>
      <c r="AS93" s="21" t="str">
        <f>IFERROR(VLOOKUP(September[[#This Row],[Drug Name4]],'Data Options'!$R$1:$S$100,2,FALSE), " ")</f>
        <v xml:space="preserve"> </v>
      </c>
      <c r="AT93" s="55"/>
      <c r="AU93" s="32"/>
      <c r="AV93" s="32"/>
      <c r="AW93" s="55"/>
      <c r="AX93" s="32"/>
      <c r="AY93" s="54"/>
      <c r="AZ93" s="21" t="str">
        <f>IFERROR(VLOOKUP(September[[#This Row],[Drug Name5]],'Data Options'!$R$1:$S$100,2,FALSE), " ")</f>
        <v xml:space="preserve"> </v>
      </c>
      <c r="BA93" s="55"/>
      <c r="BB93" s="32"/>
      <c r="BC93" s="32"/>
      <c r="BD93" s="55"/>
      <c r="BE93" s="32"/>
      <c r="BF93" s="54"/>
      <c r="BG93" s="21" t="str">
        <f>IFERROR(VLOOKUP(September[[#This Row],[Drug Name6]],'Data Options'!$R$1:$S$100,2,FALSE), " ")</f>
        <v xml:space="preserve"> </v>
      </c>
      <c r="BH93" s="55"/>
      <c r="BI93" s="32"/>
      <c r="BJ93" s="32"/>
      <c r="BK93" s="55"/>
      <c r="BL93" s="32"/>
      <c r="BM93" s="32"/>
      <c r="BN93" s="32"/>
      <c r="BO93" s="32"/>
      <c r="BP93" s="32"/>
      <c r="BQ93" s="31"/>
      <c r="BR93" s="31"/>
      <c r="BS93" s="54"/>
      <c r="BT93" s="21" t="str">
        <f>IFERROR(VLOOKUP(September[[#This Row],[Drug Name7]],'Data Options'!$R$1:$S$100,2,FALSE), " ")</f>
        <v xml:space="preserve"> </v>
      </c>
      <c r="BU93" s="55"/>
      <c r="BV93" s="32"/>
      <c r="BW93" s="32"/>
      <c r="BX93" s="55"/>
      <c r="BY93" s="32"/>
      <c r="BZ93" s="54"/>
      <c r="CA93" s="21" t="str">
        <f>IFERROR(VLOOKUP(September[[#This Row],[Drug Name8]],'Data Options'!$R$1:$S$100,2,FALSE), " ")</f>
        <v xml:space="preserve"> </v>
      </c>
      <c r="CB93" s="55"/>
      <c r="CC93" s="32"/>
      <c r="CD93" s="32"/>
      <c r="CE93" s="55"/>
      <c r="CF93" s="32"/>
      <c r="CG93" s="54"/>
      <c r="CH93" s="21" t="str">
        <f>IFERROR(VLOOKUP(September[[#This Row],[Drug Name9]],'Data Options'!$R$1:$S$100,2,FALSE), " ")</f>
        <v xml:space="preserve"> </v>
      </c>
      <c r="CI93" s="55"/>
      <c r="CJ93" s="32"/>
      <c r="CK93" s="32"/>
      <c r="CL93" s="55"/>
      <c r="CM93" s="32"/>
    </row>
    <row r="94" spans="1:91">
      <c r="A94" s="5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1"/>
      <c r="Q94" s="54"/>
      <c r="R94" s="21" t="str">
        <f>IFERROR(VLOOKUP(September[[#This Row],[Drug Name]],'Data Options'!$R$1:$S$100,2,FALSE), " ")</f>
        <v xml:space="preserve"> </v>
      </c>
      <c r="S94" s="55"/>
      <c r="T94" s="32"/>
      <c r="U94" s="32"/>
      <c r="V94" s="55"/>
      <c r="W94" s="32"/>
      <c r="X94" s="54"/>
      <c r="Y94" s="21" t="str">
        <f>IFERROR(VLOOKUP(September[[#This Row],[Drug Name2]],'Data Options'!$R$1:$S$100,2,FALSE), " ")</f>
        <v xml:space="preserve"> </v>
      </c>
      <c r="Z94" s="55"/>
      <c r="AA94" s="32"/>
      <c r="AB94" s="32"/>
      <c r="AC94" s="55"/>
      <c r="AD94" s="32"/>
      <c r="AE94" s="54"/>
      <c r="AF94" s="21" t="str">
        <f>IFERROR(VLOOKUP(September[[#This Row],[Drug Name3]],'Data Options'!$R$1:$S$100,2,FALSE), " ")</f>
        <v xml:space="preserve"> </v>
      </c>
      <c r="AG94" s="55"/>
      <c r="AH94" s="32"/>
      <c r="AI94" s="32"/>
      <c r="AJ94" s="55"/>
      <c r="AK94" s="32"/>
      <c r="AL94" s="32"/>
      <c r="AM94" s="32"/>
      <c r="AN94" s="32"/>
      <c r="AO94" s="32"/>
      <c r="AP94" s="31"/>
      <c r="AQ94" s="31"/>
      <c r="AR94" s="54"/>
      <c r="AS94" s="21" t="str">
        <f>IFERROR(VLOOKUP(September[[#This Row],[Drug Name4]],'Data Options'!$R$1:$S$100,2,FALSE), " ")</f>
        <v xml:space="preserve"> </v>
      </c>
      <c r="AT94" s="55"/>
      <c r="AU94" s="32"/>
      <c r="AV94" s="32"/>
      <c r="AW94" s="55"/>
      <c r="AX94" s="32"/>
      <c r="AY94" s="54"/>
      <c r="AZ94" s="21" t="str">
        <f>IFERROR(VLOOKUP(September[[#This Row],[Drug Name5]],'Data Options'!$R$1:$S$100,2,FALSE), " ")</f>
        <v xml:space="preserve"> </v>
      </c>
      <c r="BA94" s="55"/>
      <c r="BB94" s="32"/>
      <c r="BC94" s="32"/>
      <c r="BD94" s="55"/>
      <c r="BE94" s="32"/>
      <c r="BF94" s="54"/>
      <c r="BG94" s="21" t="str">
        <f>IFERROR(VLOOKUP(September[[#This Row],[Drug Name6]],'Data Options'!$R$1:$S$100,2,FALSE), " ")</f>
        <v xml:space="preserve"> </v>
      </c>
      <c r="BH94" s="55"/>
      <c r="BI94" s="32"/>
      <c r="BJ94" s="32"/>
      <c r="BK94" s="55"/>
      <c r="BL94" s="32"/>
      <c r="BM94" s="32"/>
      <c r="BN94" s="32"/>
      <c r="BO94" s="32"/>
      <c r="BP94" s="32"/>
      <c r="BQ94" s="31"/>
      <c r="BR94" s="31"/>
      <c r="BS94" s="54"/>
      <c r="BT94" s="21" t="str">
        <f>IFERROR(VLOOKUP(September[[#This Row],[Drug Name7]],'Data Options'!$R$1:$S$100,2,FALSE), " ")</f>
        <v xml:space="preserve"> </v>
      </c>
      <c r="BU94" s="55"/>
      <c r="BV94" s="32"/>
      <c r="BW94" s="32"/>
      <c r="BX94" s="55"/>
      <c r="BY94" s="32"/>
      <c r="BZ94" s="54"/>
      <c r="CA94" s="21" t="str">
        <f>IFERROR(VLOOKUP(September[[#This Row],[Drug Name8]],'Data Options'!$R$1:$S$100,2,FALSE), " ")</f>
        <v xml:space="preserve"> </v>
      </c>
      <c r="CB94" s="55"/>
      <c r="CC94" s="32"/>
      <c r="CD94" s="32"/>
      <c r="CE94" s="55"/>
      <c r="CF94" s="32"/>
      <c r="CG94" s="54"/>
      <c r="CH94" s="21" t="str">
        <f>IFERROR(VLOOKUP(September[[#This Row],[Drug Name9]],'Data Options'!$R$1:$S$100,2,FALSE), " ")</f>
        <v xml:space="preserve"> </v>
      </c>
      <c r="CI94" s="55"/>
      <c r="CJ94" s="32"/>
      <c r="CK94" s="32"/>
      <c r="CL94" s="55"/>
      <c r="CM94" s="32"/>
    </row>
    <row r="95" spans="1:91">
      <c r="A95" s="5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1"/>
      <c r="P95" s="31"/>
      <c r="Q95" s="54"/>
      <c r="R95" s="21" t="str">
        <f>IFERROR(VLOOKUP(September[[#This Row],[Drug Name]],'Data Options'!$R$1:$S$100,2,FALSE), " ")</f>
        <v xml:space="preserve"> </v>
      </c>
      <c r="S95" s="55"/>
      <c r="T95" s="32"/>
      <c r="U95" s="32"/>
      <c r="V95" s="55"/>
      <c r="W95" s="32"/>
      <c r="X95" s="54"/>
      <c r="Y95" s="21" t="str">
        <f>IFERROR(VLOOKUP(September[[#This Row],[Drug Name2]],'Data Options'!$R$1:$S$100,2,FALSE), " ")</f>
        <v xml:space="preserve"> </v>
      </c>
      <c r="Z95" s="55"/>
      <c r="AA95" s="32"/>
      <c r="AB95" s="32"/>
      <c r="AC95" s="55"/>
      <c r="AD95" s="32"/>
      <c r="AE95" s="54"/>
      <c r="AF95" s="21" t="str">
        <f>IFERROR(VLOOKUP(September[[#This Row],[Drug Name3]],'Data Options'!$R$1:$S$100,2,FALSE), " ")</f>
        <v xml:space="preserve"> </v>
      </c>
      <c r="AG95" s="55"/>
      <c r="AH95" s="32"/>
      <c r="AI95" s="32"/>
      <c r="AJ95" s="55"/>
      <c r="AK95" s="32"/>
      <c r="AL95" s="32"/>
      <c r="AM95" s="32"/>
      <c r="AN95" s="32"/>
      <c r="AO95" s="32"/>
      <c r="AP95" s="31"/>
      <c r="AQ95" s="31"/>
      <c r="AR95" s="54"/>
      <c r="AS95" s="21" t="str">
        <f>IFERROR(VLOOKUP(September[[#This Row],[Drug Name4]],'Data Options'!$R$1:$S$100,2,FALSE), " ")</f>
        <v xml:space="preserve"> </v>
      </c>
      <c r="AT95" s="55"/>
      <c r="AU95" s="32"/>
      <c r="AV95" s="32"/>
      <c r="AW95" s="55"/>
      <c r="AX95" s="32"/>
      <c r="AY95" s="54"/>
      <c r="AZ95" s="21" t="str">
        <f>IFERROR(VLOOKUP(September[[#This Row],[Drug Name5]],'Data Options'!$R$1:$S$100,2,FALSE), " ")</f>
        <v xml:space="preserve"> </v>
      </c>
      <c r="BA95" s="55"/>
      <c r="BB95" s="32"/>
      <c r="BC95" s="32"/>
      <c r="BD95" s="55"/>
      <c r="BE95" s="32"/>
      <c r="BF95" s="54"/>
      <c r="BG95" s="21" t="str">
        <f>IFERROR(VLOOKUP(September[[#This Row],[Drug Name6]],'Data Options'!$R$1:$S$100,2,FALSE), " ")</f>
        <v xml:space="preserve"> </v>
      </c>
      <c r="BH95" s="55"/>
      <c r="BI95" s="32"/>
      <c r="BJ95" s="32"/>
      <c r="BK95" s="55"/>
      <c r="BL95" s="32"/>
      <c r="BM95" s="32"/>
      <c r="BN95" s="32"/>
      <c r="BO95" s="32"/>
      <c r="BP95" s="32"/>
      <c r="BQ95" s="31"/>
      <c r="BR95" s="31"/>
      <c r="BS95" s="54"/>
      <c r="BT95" s="21" t="str">
        <f>IFERROR(VLOOKUP(September[[#This Row],[Drug Name7]],'Data Options'!$R$1:$S$100,2,FALSE), " ")</f>
        <v xml:space="preserve"> </v>
      </c>
      <c r="BU95" s="55"/>
      <c r="BV95" s="32"/>
      <c r="BW95" s="32"/>
      <c r="BX95" s="55"/>
      <c r="BY95" s="32"/>
      <c r="BZ95" s="54"/>
      <c r="CA95" s="21" t="str">
        <f>IFERROR(VLOOKUP(September[[#This Row],[Drug Name8]],'Data Options'!$R$1:$S$100,2,FALSE), " ")</f>
        <v xml:space="preserve"> </v>
      </c>
      <c r="CB95" s="55"/>
      <c r="CC95" s="32"/>
      <c r="CD95" s="32"/>
      <c r="CE95" s="55"/>
      <c r="CF95" s="32"/>
      <c r="CG95" s="54"/>
      <c r="CH95" s="21" t="str">
        <f>IFERROR(VLOOKUP(September[[#This Row],[Drug Name9]],'Data Options'!$R$1:$S$100,2,FALSE), " ")</f>
        <v xml:space="preserve"> </v>
      </c>
      <c r="CI95" s="55"/>
      <c r="CJ95" s="32"/>
      <c r="CK95" s="32"/>
      <c r="CL95" s="55"/>
      <c r="CM95" s="32"/>
    </row>
    <row r="96" spans="1:91">
      <c r="A96" s="5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1"/>
      <c r="P96" s="31"/>
      <c r="Q96" s="54"/>
      <c r="R96" s="21" t="str">
        <f>IFERROR(VLOOKUP(September[[#This Row],[Drug Name]],'Data Options'!$R$1:$S$100,2,FALSE), " ")</f>
        <v xml:space="preserve"> </v>
      </c>
      <c r="S96" s="55"/>
      <c r="T96" s="32"/>
      <c r="U96" s="32"/>
      <c r="V96" s="55"/>
      <c r="W96" s="32"/>
      <c r="X96" s="54"/>
      <c r="Y96" s="21" t="str">
        <f>IFERROR(VLOOKUP(September[[#This Row],[Drug Name2]],'Data Options'!$R$1:$S$100,2,FALSE), " ")</f>
        <v xml:space="preserve"> </v>
      </c>
      <c r="Z96" s="55"/>
      <c r="AA96" s="32"/>
      <c r="AB96" s="32"/>
      <c r="AC96" s="55"/>
      <c r="AD96" s="32"/>
      <c r="AE96" s="54"/>
      <c r="AF96" s="21" t="str">
        <f>IFERROR(VLOOKUP(September[[#This Row],[Drug Name3]],'Data Options'!$R$1:$S$100,2,FALSE), " ")</f>
        <v xml:space="preserve"> </v>
      </c>
      <c r="AG96" s="55"/>
      <c r="AH96" s="32"/>
      <c r="AI96" s="32"/>
      <c r="AJ96" s="55"/>
      <c r="AK96" s="32"/>
      <c r="AL96" s="32"/>
      <c r="AM96" s="32"/>
      <c r="AN96" s="32"/>
      <c r="AO96" s="32"/>
      <c r="AP96" s="31"/>
      <c r="AQ96" s="31"/>
      <c r="AR96" s="54"/>
      <c r="AS96" s="21" t="str">
        <f>IFERROR(VLOOKUP(September[[#This Row],[Drug Name4]],'Data Options'!$R$1:$S$100,2,FALSE), " ")</f>
        <v xml:space="preserve"> </v>
      </c>
      <c r="AT96" s="55"/>
      <c r="AU96" s="32"/>
      <c r="AV96" s="32"/>
      <c r="AW96" s="55"/>
      <c r="AX96" s="32"/>
      <c r="AY96" s="54"/>
      <c r="AZ96" s="21" t="str">
        <f>IFERROR(VLOOKUP(September[[#This Row],[Drug Name5]],'Data Options'!$R$1:$S$100,2,FALSE), " ")</f>
        <v xml:space="preserve"> </v>
      </c>
      <c r="BA96" s="55"/>
      <c r="BB96" s="32"/>
      <c r="BC96" s="32"/>
      <c r="BD96" s="55"/>
      <c r="BE96" s="32"/>
      <c r="BF96" s="54"/>
      <c r="BG96" s="21" t="str">
        <f>IFERROR(VLOOKUP(September[[#This Row],[Drug Name6]],'Data Options'!$R$1:$S$100,2,FALSE), " ")</f>
        <v xml:space="preserve"> </v>
      </c>
      <c r="BH96" s="55"/>
      <c r="BI96" s="32"/>
      <c r="BJ96" s="32"/>
      <c r="BK96" s="55"/>
      <c r="BL96" s="32"/>
      <c r="BM96" s="32"/>
      <c r="BN96" s="32"/>
      <c r="BO96" s="32"/>
      <c r="BP96" s="32"/>
      <c r="BQ96" s="31"/>
      <c r="BR96" s="31"/>
      <c r="BS96" s="54"/>
      <c r="BT96" s="21" t="str">
        <f>IFERROR(VLOOKUP(September[[#This Row],[Drug Name7]],'Data Options'!$R$1:$S$100,2,FALSE), " ")</f>
        <v xml:space="preserve"> </v>
      </c>
      <c r="BU96" s="55"/>
      <c r="BV96" s="32"/>
      <c r="BW96" s="32"/>
      <c r="BX96" s="55"/>
      <c r="BY96" s="32"/>
      <c r="BZ96" s="54"/>
      <c r="CA96" s="21" t="str">
        <f>IFERROR(VLOOKUP(September[[#This Row],[Drug Name8]],'Data Options'!$R$1:$S$100,2,FALSE), " ")</f>
        <v xml:space="preserve"> </v>
      </c>
      <c r="CB96" s="55"/>
      <c r="CC96" s="32"/>
      <c r="CD96" s="32"/>
      <c r="CE96" s="55"/>
      <c r="CF96" s="32"/>
      <c r="CG96" s="54"/>
      <c r="CH96" s="21" t="str">
        <f>IFERROR(VLOOKUP(September[[#This Row],[Drug Name9]],'Data Options'!$R$1:$S$100,2,FALSE), " ")</f>
        <v xml:space="preserve"> </v>
      </c>
      <c r="CI96" s="55"/>
      <c r="CJ96" s="32"/>
      <c r="CK96" s="32"/>
      <c r="CL96" s="55"/>
      <c r="CM96" s="32"/>
    </row>
    <row r="97" spans="1:91">
      <c r="A97" s="5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1"/>
      <c r="P97" s="31"/>
      <c r="Q97" s="54"/>
      <c r="R97" s="21" t="str">
        <f>IFERROR(VLOOKUP(September[[#This Row],[Drug Name]],'Data Options'!$R$1:$S$100,2,FALSE), " ")</f>
        <v xml:space="preserve"> </v>
      </c>
      <c r="S97" s="55"/>
      <c r="T97" s="32"/>
      <c r="U97" s="32"/>
      <c r="V97" s="55"/>
      <c r="W97" s="32"/>
      <c r="X97" s="54"/>
      <c r="Y97" s="21" t="str">
        <f>IFERROR(VLOOKUP(September[[#This Row],[Drug Name2]],'Data Options'!$R$1:$S$100,2,FALSE), " ")</f>
        <v xml:space="preserve"> </v>
      </c>
      <c r="Z97" s="55"/>
      <c r="AA97" s="32"/>
      <c r="AB97" s="32"/>
      <c r="AC97" s="55"/>
      <c r="AD97" s="32"/>
      <c r="AE97" s="54"/>
      <c r="AF97" s="21" t="str">
        <f>IFERROR(VLOOKUP(September[[#This Row],[Drug Name3]],'Data Options'!$R$1:$S$100,2,FALSE), " ")</f>
        <v xml:space="preserve"> </v>
      </c>
      <c r="AG97" s="55"/>
      <c r="AH97" s="32"/>
      <c r="AI97" s="32"/>
      <c r="AJ97" s="55"/>
      <c r="AK97" s="32"/>
      <c r="AL97" s="32"/>
      <c r="AM97" s="32"/>
      <c r="AN97" s="32"/>
      <c r="AO97" s="32"/>
      <c r="AP97" s="31"/>
      <c r="AQ97" s="31"/>
      <c r="AR97" s="54"/>
      <c r="AS97" s="21" t="str">
        <f>IFERROR(VLOOKUP(September[[#This Row],[Drug Name4]],'Data Options'!$R$1:$S$100,2,FALSE), " ")</f>
        <v xml:space="preserve"> </v>
      </c>
      <c r="AT97" s="55"/>
      <c r="AU97" s="32"/>
      <c r="AV97" s="32"/>
      <c r="AW97" s="55"/>
      <c r="AX97" s="32"/>
      <c r="AY97" s="54"/>
      <c r="AZ97" s="21" t="str">
        <f>IFERROR(VLOOKUP(September[[#This Row],[Drug Name5]],'Data Options'!$R$1:$S$100,2,FALSE), " ")</f>
        <v xml:space="preserve"> </v>
      </c>
      <c r="BA97" s="55"/>
      <c r="BB97" s="32"/>
      <c r="BC97" s="32"/>
      <c r="BD97" s="55"/>
      <c r="BE97" s="32"/>
      <c r="BF97" s="54"/>
      <c r="BG97" s="21" t="str">
        <f>IFERROR(VLOOKUP(September[[#This Row],[Drug Name6]],'Data Options'!$R$1:$S$100,2,FALSE), " ")</f>
        <v xml:space="preserve"> </v>
      </c>
      <c r="BH97" s="55"/>
      <c r="BI97" s="32"/>
      <c r="BJ97" s="32"/>
      <c r="BK97" s="55"/>
      <c r="BL97" s="32"/>
      <c r="BM97" s="32"/>
      <c r="BN97" s="32"/>
      <c r="BO97" s="32"/>
      <c r="BP97" s="32"/>
      <c r="BQ97" s="31"/>
      <c r="BR97" s="31"/>
      <c r="BS97" s="54"/>
      <c r="BT97" s="21" t="str">
        <f>IFERROR(VLOOKUP(September[[#This Row],[Drug Name7]],'Data Options'!$R$1:$S$100,2,FALSE), " ")</f>
        <v xml:space="preserve"> </v>
      </c>
      <c r="BU97" s="55"/>
      <c r="BV97" s="32"/>
      <c r="BW97" s="32"/>
      <c r="BX97" s="55"/>
      <c r="BY97" s="32"/>
      <c r="BZ97" s="54"/>
      <c r="CA97" s="21" t="str">
        <f>IFERROR(VLOOKUP(September[[#This Row],[Drug Name8]],'Data Options'!$R$1:$S$100,2,FALSE), " ")</f>
        <v xml:space="preserve"> </v>
      </c>
      <c r="CB97" s="55"/>
      <c r="CC97" s="32"/>
      <c r="CD97" s="32"/>
      <c r="CE97" s="55"/>
      <c r="CF97" s="32"/>
      <c r="CG97" s="54"/>
      <c r="CH97" s="21" t="str">
        <f>IFERROR(VLOOKUP(September[[#This Row],[Drug Name9]],'Data Options'!$R$1:$S$100,2,FALSE), " ")</f>
        <v xml:space="preserve"> </v>
      </c>
      <c r="CI97" s="55"/>
      <c r="CJ97" s="32"/>
      <c r="CK97" s="32"/>
      <c r="CL97" s="55"/>
      <c r="CM97" s="32"/>
    </row>
    <row r="98" spans="1:91">
      <c r="A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1"/>
      <c r="P98" s="31"/>
      <c r="Q98" s="54"/>
      <c r="R98" s="21" t="str">
        <f>IFERROR(VLOOKUP(September[[#This Row],[Drug Name]],'Data Options'!$R$1:$S$100,2,FALSE), " ")</f>
        <v xml:space="preserve"> </v>
      </c>
      <c r="S98" s="55"/>
      <c r="T98" s="32"/>
      <c r="U98" s="32"/>
      <c r="V98" s="55"/>
      <c r="W98" s="32"/>
      <c r="X98" s="54"/>
      <c r="Y98" s="21" t="str">
        <f>IFERROR(VLOOKUP(September[[#This Row],[Drug Name2]],'Data Options'!$R$1:$S$100,2,FALSE), " ")</f>
        <v xml:space="preserve"> </v>
      </c>
      <c r="Z98" s="55"/>
      <c r="AA98" s="32"/>
      <c r="AB98" s="32"/>
      <c r="AC98" s="55"/>
      <c r="AD98" s="32"/>
      <c r="AE98" s="54"/>
      <c r="AF98" s="21" t="str">
        <f>IFERROR(VLOOKUP(September[[#This Row],[Drug Name3]],'Data Options'!$R$1:$S$100,2,FALSE), " ")</f>
        <v xml:space="preserve"> </v>
      </c>
      <c r="AG98" s="55"/>
      <c r="AH98" s="32"/>
      <c r="AI98" s="32"/>
      <c r="AJ98" s="55"/>
      <c r="AK98" s="32"/>
      <c r="AL98" s="32"/>
      <c r="AM98" s="32"/>
      <c r="AN98" s="32"/>
      <c r="AO98" s="32"/>
      <c r="AP98" s="31"/>
      <c r="AQ98" s="31"/>
      <c r="AR98" s="54"/>
      <c r="AS98" s="21" t="str">
        <f>IFERROR(VLOOKUP(September[[#This Row],[Drug Name4]],'Data Options'!$R$1:$S$100,2,FALSE), " ")</f>
        <v xml:space="preserve"> </v>
      </c>
      <c r="AT98" s="55"/>
      <c r="AU98" s="32"/>
      <c r="AV98" s="32"/>
      <c r="AW98" s="55"/>
      <c r="AX98" s="32"/>
      <c r="AY98" s="54"/>
      <c r="AZ98" s="21" t="str">
        <f>IFERROR(VLOOKUP(September[[#This Row],[Drug Name5]],'Data Options'!$R$1:$S$100,2,FALSE), " ")</f>
        <v xml:space="preserve"> </v>
      </c>
      <c r="BA98" s="55"/>
      <c r="BB98" s="32"/>
      <c r="BC98" s="32"/>
      <c r="BD98" s="55"/>
      <c r="BE98" s="32"/>
      <c r="BF98" s="54"/>
      <c r="BG98" s="21" t="str">
        <f>IFERROR(VLOOKUP(September[[#This Row],[Drug Name6]],'Data Options'!$R$1:$S$100,2,FALSE), " ")</f>
        <v xml:space="preserve"> </v>
      </c>
      <c r="BH98" s="55"/>
      <c r="BI98" s="32"/>
      <c r="BJ98" s="32"/>
      <c r="BK98" s="55"/>
      <c r="BL98" s="32"/>
      <c r="BM98" s="32"/>
      <c r="BN98" s="32"/>
      <c r="BO98" s="32"/>
      <c r="BP98" s="32"/>
      <c r="BQ98" s="31"/>
      <c r="BR98" s="31"/>
      <c r="BS98" s="54"/>
      <c r="BT98" s="21" t="str">
        <f>IFERROR(VLOOKUP(September[[#This Row],[Drug Name7]],'Data Options'!$R$1:$S$100,2,FALSE), " ")</f>
        <v xml:space="preserve"> </v>
      </c>
      <c r="BU98" s="55"/>
      <c r="BV98" s="32"/>
      <c r="BW98" s="32"/>
      <c r="BX98" s="55"/>
      <c r="BY98" s="32"/>
      <c r="BZ98" s="54"/>
      <c r="CA98" s="21" t="str">
        <f>IFERROR(VLOOKUP(September[[#This Row],[Drug Name8]],'Data Options'!$R$1:$S$100,2,FALSE), " ")</f>
        <v xml:space="preserve"> </v>
      </c>
      <c r="CB98" s="55"/>
      <c r="CC98" s="32"/>
      <c r="CD98" s="32"/>
      <c r="CE98" s="55"/>
      <c r="CF98" s="32"/>
      <c r="CG98" s="54"/>
      <c r="CH98" s="21" t="str">
        <f>IFERROR(VLOOKUP(September[[#This Row],[Drug Name9]],'Data Options'!$R$1:$S$100,2,FALSE), " ")</f>
        <v xml:space="preserve"> </v>
      </c>
      <c r="CI98" s="55"/>
      <c r="CJ98" s="32"/>
      <c r="CK98" s="32"/>
      <c r="CL98" s="55"/>
      <c r="CM98" s="32"/>
    </row>
    <row r="99" spans="1:91">
      <c r="A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1"/>
      <c r="P99" s="31"/>
      <c r="Q99" s="54"/>
      <c r="R99" s="21" t="str">
        <f>IFERROR(VLOOKUP(September[[#This Row],[Drug Name]],'Data Options'!$R$1:$S$100,2,FALSE), " ")</f>
        <v xml:space="preserve"> </v>
      </c>
      <c r="S99" s="55"/>
      <c r="T99" s="32"/>
      <c r="U99" s="32"/>
      <c r="V99" s="55"/>
      <c r="W99" s="32"/>
      <c r="X99" s="54"/>
      <c r="Y99" s="21" t="str">
        <f>IFERROR(VLOOKUP(September[[#This Row],[Drug Name2]],'Data Options'!$R$1:$S$100,2,FALSE), " ")</f>
        <v xml:space="preserve"> </v>
      </c>
      <c r="Z99" s="55"/>
      <c r="AA99" s="32"/>
      <c r="AB99" s="32"/>
      <c r="AC99" s="55"/>
      <c r="AD99" s="32"/>
      <c r="AE99" s="54"/>
      <c r="AF99" s="21" t="str">
        <f>IFERROR(VLOOKUP(September[[#This Row],[Drug Name3]],'Data Options'!$R$1:$S$100,2,FALSE), " ")</f>
        <v xml:space="preserve"> </v>
      </c>
      <c r="AG99" s="55"/>
      <c r="AH99" s="32"/>
      <c r="AI99" s="32"/>
      <c r="AJ99" s="55"/>
      <c r="AK99" s="32"/>
      <c r="AL99" s="32"/>
      <c r="AM99" s="32"/>
      <c r="AN99" s="32"/>
      <c r="AO99" s="32"/>
      <c r="AP99" s="31"/>
      <c r="AQ99" s="31"/>
      <c r="AR99" s="54"/>
      <c r="AS99" s="21" t="str">
        <f>IFERROR(VLOOKUP(September[[#This Row],[Drug Name4]],'Data Options'!$R$1:$S$100,2,FALSE), " ")</f>
        <v xml:space="preserve"> </v>
      </c>
      <c r="AT99" s="55"/>
      <c r="AU99" s="32"/>
      <c r="AV99" s="32"/>
      <c r="AW99" s="55"/>
      <c r="AX99" s="32"/>
      <c r="AY99" s="54"/>
      <c r="AZ99" s="21" t="str">
        <f>IFERROR(VLOOKUP(September[[#This Row],[Drug Name5]],'Data Options'!$R$1:$S$100,2,FALSE), " ")</f>
        <v xml:space="preserve"> </v>
      </c>
      <c r="BA99" s="55"/>
      <c r="BB99" s="32"/>
      <c r="BC99" s="32"/>
      <c r="BD99" s="55"/>
      <c r="BE99" s="32"/>
      <c r="BF99" s="54"/>
      <c r="BG99" s="21" t="str">
        <f>IFERROR(VLOOKUP(September[[#This Row],[Drug Name6]],'Data Options'!$R$1:$S$100,2,FALSE), " ")</f>
        <v xml:space="preserve"> </v>
      </c>
      <c r="BH99" s="55"/>
      <c r="BI99" s="32"/>
      <c r="BJ99" s="32"/>
      <c r="BK99" s="55"/>
      <c r="BL99" s="32"/>
      <c r="BM99" s="32"/>
      <c r="BN99" s="32"/>
      <c r="BO99" s="32"/>
      <c r="BP99" s="32"/>
      <c r="BQ99" s="31"/>
      <c r="BR99" s="31"/>
      <c r="BS99" s="54"/>
      <c r="BT99" s="21" t="str">
        <f>IFERROR(VLOOKUP(September[[#This Row],[Drug Name7]],'Data Options'!$R$1:$S$100,2,FALSE), " ")</f>
        <v xml:space="preserve"> </v>
      </c>
      <c r="BU99" s="55"/>
      <c r="BV99" s="32"/>
      <c r="BW99" s="32"/>
      <c r="BX99" s="55"/>
      <c r="BY99" s="32"/>
      <c r="BZ99" s="54"/>
      <c r="CA99" s="21" t="str">
        <f>IFERROR(VLOOKUP(September[[#This Row],[Drug Name8]],'Data Options'!$R$1:$S$100,2,FALSE), " ")</f>
        <v xml:space="preserve"> </v>
      </c>
      <c r="CB99" s="55"/>
      <c r="CC99" s="32"/>
      <c r="CD99" s="32"/>
      <c r="CE99" s="55"/>
      <c r="CF99" s="32"/>
      <c r="CG99" s="54"/>
      <c r="CH99" s="21" t="str">
        <f>IFERROR(VLOOKUP(September[[#This Row],[Drug Name9]],'Data Options'!$R$1:$S$100,2,FALSE), " ")</f>
        <v xml:space="preserve"> </v>
      </c>
      <c r="CI99" s="55"/>
      <c r="CJ99" s="32"/>
      <c r="CK99" s="32"/>
      <c r="CL99" s="55"/>
      <c r="CM99" s="32"/>
    </row>
    <row r="100" spans="1:91">
      <c r="A100" s="5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1"/>
      <c r="P100" s="31"/>
      <c r="Q100" s="54"/>
      <c r="R100" s="21" t="str">
        <f>IFERROR(VLOOKUP(September[[#This Row],[Drug Name]],'Data Options'!$R$1:$S$100,2,FALSE), " ")</f>
        <v xml:space="preserve"> </v>
      </c>
      <c r="S100" s="55"/>
      <c r="T100" s="32"/>
      <c r="U100" s="32"/>
      <c r="V100" s="55"/>
      <c r="W100" s="32"/>
      <c r="X100" s="54"/>
      <c r="Y100" s="21" t="str">
        <f>IFERROR(VLOOKUP(September[[#This Row],[Drug Name2]],'Data Options'!$R$1:$S$100,2,FALSE), " ")</f>
        <v xml:space="preserve"> </v>
      </c>
      <c r="Z100" s="55"/>
      <c r="AA100" s="32"/>
      <c r="AB100" s="32"/>
      <c r="AC100" s="55"/>
      <c r="AD100" s="32"/>
      <c r="AE100" s="54"/>
      <c r="AF100" s="21" t="str">
        <f>IFERROR(VLOOKUP(September[[#This Row],[Drug Name3]],'Data Options'!$R$1:$S$100,2,FALSE), " ")</f>
        <v xml:space="preserve"> </v>
      </c>
      <c r="AG100" s="55"/>
      <c r="AH100" s="32"/>
      <c r="AI100" s="32"/>
      <c r="AJ100" s="55"/>
      <c r="AK100" s="32"/>
      <c r="AL100" s="32"/>
      <c r="AM100" s="32"/>
      <c r="AN100" s="32"/>
      <c r="AO100" s="32"/>
      <c r="AP100" s="31"/>
      <c r="AQ100" s="31"/>
      <c r="AR100" s="54"/>
      <c r="AS100" s="21" t="str">
        <f>IFERROR(VLOOKUP(September[[#This Row],[Drug Name4]],'Data Options'!$R$1:$S$100,2,FALSE), " ")</f>
        <v xml:space="preserve"> </v>
      </c>
      <c r="AT100" s="55"/>
      <c r="AU100" s="32"/>
      <c r="AV100" s="32"/>
      <c r="AW100" s="55"/>
      <c r="AX100" s="32"/>
      <c r="AY100" s="54"/>
      <c r="AZ100" s="21" t="str">
        <f>IFERROR(VLOOKUP(September[[#This Row],[Drug Name5]],'Data Options'!$R$1:$S$100,2,FALSE), " ")</f>
        <v xml:space="preserve"> </v>
      </c>
      <c r="BA100" s="55"/>
      <c r="BB100" s="32"/>
      <c r="BC100" s="32"/>
      <c r="BD100" s="55"/>
      <c r="BE100" s="32"/>
      <c r="BF100" s="54"/>
      <c r="BG100" s="21" t="str">
        <f>IFERROR(VLOOKUP(September[[#This Row],[Drug Name6]],'Data Options'!$R$1:$S$100,2,FALSE), " ")</f>
        <v xml:space="preserve"> </v>
      </c>
      <c r="BH100" s="55"/>
      <c r="BI100" s="32"/>
      <c r="BJ100" s="32"/>
      <c r="BK100" s="55"/>
      <c r="BL100" s="32"/>
      <c r="BM100" s="32"/>
      <c r="BN100" s="32"/>
      <c r="BO100" s="32"/>
      <c r="BP100" s="32"/>
      <c r="BQ100" s="31"/>
      <c r="BR100" s="31"/>
      <c r="BS100" s="54"/>
      <c r="BT100" s="21" t="str">
        <f>IFERROR(VLOOKUP(September[[#This Row],[Drug Name7]],'Data Options'!$R$1:$S$100,2,FALSE), " ")</f>
        <v xml:space="preserve"> </v>
      </c>
      <c r="BU100" s="55"/>
      <c r="BV100" s="32"/>
      <c r="BW100" s="32"/>
      <c r="BX100" s="55"/>
      <c r="BY100" s="32"/>
      <c r="BZ100" s="54"/>
      <c r="CA100" s="21" t="str">
        <f>IFERROR(VLOOKUP(September[[#This Row],[Drug Name8]],'Data Options'!$R$1:$S$100,2,FALSE), " ")</f>
        <v xml:space="preserve"> </v>
      </c>
      <c r="CB100" s="55"/>
      <c r="CC100" s="32"/>
      <c r="CD100" s="32"/>
      <c r="CE100" s="55"/>
      <c r="CF100" s="32"/>
      <c r="CG100" s="54"/>
      <c r="CH100" s="21" t="str">
        <f>IFERROR(VLOOKUP(September[[#This Row],[Drug Name9]],'Data Options'!$R$1:$S$100,2,FALSE), " ")</f>
        <v xml:space="preserve"> </v>
      </c>
      <c r="CI100" s="55"/>
      <c r="CJ100" s="32"/>
      <c r="CK100" s="32"/>
      <c r="CL100" s="55"/>
      <c r="CM100" s="32"/>
    </row>
    <row r="101" spans="1:91">
      <c r="A101" s="5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1"/>
      <c r="P101" s="31"/>
      <c r="Q101" s="54"/>
      <c r="R101" s="21" t="str">
        <f>IFERROR(VLOOKUP(September[[#This Row],[Drug Name]],'Data Options'!$R$1:$S$100,2,FALSE), " ")</f>
        <v xml:space="preserve"> </v>
      </c>
      <c r="S101" s="55"/>
      <c r="T101" s="32"/>
      <c r="U101" s="32"/>
      <c r="V101" s="55"/>
      <c r="W101" s="32"/>
      <c r="X101" s="54"/>
      <c r="Y101" s="21" t="str">
        <f>IFERROR(VLOOKUP(September[[#This Row],[Drug Name2]],'Data Options'!$R$1:$S$100,2,FALSE), " ")</f>
        <v xml:space="preserve"> </v>
      </c>
      <c r="Z101" s="55"/>
      <c r="AA101" s="32"/>
      <c r="AB101" s="32"/>
      <c r="AC101" s="55"/>
      <c r="AD101" s="32"/>
      <c r="AE101" s="54"/>
      <c r="AF101" s="21" t="str">
        <f>IFERROR(VLOOKUP(September[[#This Row],[Drug Name3]],'Data Options'!$R$1:$S$100,2,FALSE), " ")</f>
        <v xml:space="preserve"> </v>
      </c>
      <c r="AG101" s="55"/>
      <c r="AH101" s="32"/>
      <c r="AI101" s="32"/>
      <c r="AJ101" s="55"/>
      <c r="AK101" s="32"/>
      <c r="AL101" s="32"/>
      <c r="AM101" s="32"/>
      <c r="AN101" s="32"/>
      <c r="AO101" s="32"/>
      <c r="AP101" s="31"/>
      <c r="AQ101" s="31"/>
      <c r="AR101" s="54"/>
      <c r="AS101" s="21" t="str">
        <f>IFERROR(VLOOKUP(September[[#This Row],[Drug Name4]],'Data Options'!$R$1:$S$100,2,FALSE), " ")</f>
        <v xml:space="preserve"> </v>
      </c>
      <c r="AT101" s="55"/>
      <c r="AU101" s="32"/>
      <c r="AV101" s="32"/>
      <c r="AW101" s="55"/>
      <c r="AX101" s="32"/>
      <c r="AY101" s="54"/>
      <c r="AZ101" s="21" t="str">
        <f>IFERROR(VLOOKUP(September[[#This Row],[Drug Name5]],'Data Options'!$R$1:$S$100,2,FALSE), " ")</f>
        <v xml:space="preserve"> </v>
      </c>
      <c r="BA101" s="55"/>
      <c r="BB101" s="32"/>
      <c r="BC101" s="32"/>
      <c r="BD101" s="55"/>
      <c r="BE101" s="32"/>
      <c r="BF101" s="54"/>
      <c r="BG101" s="21" t="str">
        <f>IFERROR(VLOOKUP(September[[#This Row],[Drug Name6]],'Data Options'!$R$1:$S$100,2,FALSE), " ")</f>
        <v xml:space="preserve"> </v>
      </c>
      <c r="BH101" s="55"/>
      <c r="BI101" s="32"/>
      <c r="BJ101" s="32"/>
      <c r="BK101" s="55"/>
      <c r="BL101" s="32"/>
      <c r="BM101" s="32"/>
      <c r="BN101" s="32"/>
      <c r="BO101" s="32"/>
      <c r="BP101" s="32"/>
      <c r="BQ101" s="31"/>
      <c r="BR101" s="31"/>
      <c r="BS101" s="54"/>
      <c r="BT101" s="21" t="str">
        <f>IFERROR(VLOOKUP(September[[#This Row],[Drug Name7]],'Data Options'!$R$1:$S$100,2,FALSE), " ")</f>
        <v xml:space="preserve"> </v>
      </c>
      <c r="BU101" s="55"/>
      <c r="BV101" s="32"/>
      <c r="BW101" s="32"/>
      <c r="BX101" s="55"/>
      <c r="BY101" s="32"/>
      <c r="BZ101" s="54"/>
      <c r="CA101" s="21" t="str">
        <f>IFERROR(VLOOKUP(September[[#This Row],[Drug Name8]],'Data Options'!$R$1:$S$100,2,FALSE), " ")</f>
        <v xml:space="preserve"> </v>
      </c>
      <c r="CB101" s="55"/>
      <c r="CC101" s="32"/>
      <c r="CD101" s="32"/>
      <c r="CE101" s="55"/>
      <c r="CF101" s="32"/>
      <c r="CG101" s="54"/>
      <c r="CH101" s="21" t="str">
        <f>IFERROR(VLOOKUP(September[[#This Row],[Drug Name9]],'Data Options'!$R$1:$S$100,2,FALSE), " ")</f>
        <v xml:space="preserve"> </v>
      </c>
      <c r="CI101" s="55"/>
      <c r="CJ101" s="32"/>
      <c r="CK101" s="32"/>
      <c r="CL101" s="55"/>
      <c r="CM101" s="32"/>
    </row>
    <row r="102" spans="1:91">
      <c r="A102" s="5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1"/>
      <c r="P102" s="31"/>
      <c r="Q102" s="54"/>
      <c r="R102" s="21" t="str">
        <f>IFERROR(VLOOKUP(September[[#This Row],[Drug Name]],'Data Options'!$R$1:$S$100,2,FALSE), " ")</f>
        <v xml:space="preserve"> </v>
      </c>
      <c r="S102" s="55"/>
      <c r="T102" s="32"/>
      <c r="U102" s="32"/>
      <c r="V102" s="55"/>
      <c r="W102" s="32"/>
      <c r="X102" s="54"/>
      <c r="Y102" s="21" t="str">
        <f>IFERROR(VLOOKUP(September[[#This Row],[Drug Name2]],'Data Options'!$R$1:$S$100,2,FALSE), " ")</f>
        <v xml:space="preserve"> </v>
      </c>
      <c r="Z102" s="55"/>
      <c r="AA102" s="32"/>
      <c r="AB102" s="32"/>
      <c r="AC102" s="55"/>
      <c r="AD102" s="32"/>
      <c r="AE102" s="54"/>
      <c r="AF102" s="21" t="str">
        <f>IFERROR(VLOOKUP(September[[#This Row],[Drug Name3]],'Data Options'!$R$1:$S$100,2,FALSE), " ")</f>
        <v xml:space="preserve"> </v>
      </c>
      <c r="AG102" s="55"/>
      <c r="AH102" s="32"/>
      <c r="AI102" s="32"/>
      <c r="AJ102" s="55"/>
      <c r="AK102" s="32"/>
      <c r="AL102" s="32"/>
      <c r="AM102" s="32"/>
      <c r="AN102" s="32"/>
      <c r="AO102" s="32"/>
      <c r="AP102" s="31"/>
      <c r="AQ102" s="31"/>
      <c r="AR102" s="54"/>
      <c r="AS102" s="21" t="str">
        <f>IFERROR(VLOOKUP(September[[#This Row],[Drug Name4]],'Data Options'!$R$1:$S$100,2,FALSE), " ")</f>
        <v xml:space="preserve"> </v>
      </c>
      <c r="AT102" s="55"/>
      <c r="AU102" s="32"/>
      <c r="AV102" s="32"/>
      <c r="AW102" s="55"/>
      <c r="AX102" s="32"/>
      <c r="AY102" s="54"/>
      <c r="AZ102" s="21" t="str">
        <f>IFERROR(VLOOKUP(September[[#This Row],[Drug Name5]],'Data Options'!$R$1:$S$100,2,FALSE), " ")</f>
        <v xml:space="preserve"> </v>
      </c>
      <c r="BA102" s="55"/>
      <c r="BB102" s="32"/>
      <c r="BC102" s="32"/>
      <c r="BD102" s="55"/>
      <c r="BE102" s="32"/>
      <c r="BF102" s="54"/>
      <c r="BG102" s="21" t="str">
        <f>IFERROR(VLOOKUP(September[[#This Row],[Drug Name6]],'Data Options'!$R$1:$S$100,2,FALSE), " ")</f>
        <v xml:space="preserve"> </v>
      </c>
      <c r="BH102" s="55"/>
      <c r="BI102" s="32"/>
      <c r="BJ102" s="32"/>
      <c r="BK102" s="55"/>
      <c r="BL102" s="32"/>
      <c r="BM102" s="32"/>
      <c r="BN102" s="32"/>
      <c r="BO102" s="32"/>
      <c r="BP102" s="32"/>
      <c r="BQ102" s="31"/>
      <c r="BR102" s="31"/>
      <c r="BS102" s="54"/>
      <c r="BT102" s="21" t="str">
        <f>IFERROR(VLOOKUP(September[[#This Row],[Drug Name7]],'Data Options'!$R$1:$S$100,2,FALSE), " ")</f>
        <v xml:space="preserve"> </v>
      </c>
      <c r="BU102" s="55"/>
      <c r="BV102" s="32"/>
      <c r="BW102" s="32"/>
      <c r="BX102" s="55"/>
      <c r="BY102" s="32"/>
      <c r="BZ102" s="54"/>
      <c r="CA102" s="21" t="str">
        <f>IFERROR(VLOOKUP(September[[#This Row],[Drug Name8]],'Data Options'!$R$1:$S$100,2,FALSE), " ")</f>
        <v xml:space="preserve"> </v>
      </c>
      <c r="CB102" s="55"/>
      <c r="CC102" s="32"/>
      <c r="CD102" s="32"/>
      <c r="CE102" s="55"/>
      <c r="CF102" s="32"/>
      <c r="CG102" s="54"/>
      <c r="CH102" s="21" t="str">
        <f>IFERROR(VLOOKUP(September[[#This Row],[Drug Name9]],'Data Options'!$R$1:$S$100,2,FALSE), " ")</f>
        <v xml:space="preserve"> </v>
      </c>
      <c r="CI102" s="55"/>
      <c r="CJ102" s="32"/>
      <c r="CK102" s="32"/>
      <c r="CL102" s="55"/>
      <c r="CM102" s="32"/>
    </row>
    <row r="103" spans="1:91">
      <c r="A103" s="5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1"/>
      <c r="Q103" s="54"/>
      <c r="R103" s="21" t="str">
        <f>IFERROR(VLOOKUP(September[[#This Row],[Drug Name]],'Data Options'!$R$1:$S$100,2,FALSE), " ")</f>
        <v xml:space="preserve"> </v>
      </c>
      <c r="S103" s="55"/>
      <c r="T103" s="32"/>
      <c r="U103" s="32"/>
      <c r="V103" s="55"/>
      <c r="W103" s="32"/>
      <c r="X103" s="54"/>
      <c r="Y103" s="21" t="str">
        <f>IFERROR(VLOOKUP(September[[#This Row],[Drug Name2]],'Data Options'!$R$1:$S$100,2,FALSE), " ")</f>
        <v xml:space="preserve"> </v>
      </c>
      <c r="Z103" s="55"/>
      <c r="AA103" s="32"/>
      <c r="AB103" s="32"/>
      <c r="AC103" s="55"/>
      <c r="AD103" s="32"/>
      <c r="AE103" s="54"/>
      <c r="AF103" s="21" t="str">
        <f>IFERROR(VLOOKUP(September[[#This Row],[Drug Name3]],'Data Options'!$R$1:$S$100,2,FALSE), " ")</f>
        <v xml:space="preserve"> </v>
      </c>
      <c r="AG103" s="55"/>
      <c r="AH103" s="32"/>
      <c r="AI103" s="32"/>
      <c r="AJ103" s="55"/>
      <c r="AK103" s="32"/>
      <c r="AL103" s="32"/>
      <c r="AM103" s="32"/>
      <c r="AN103" s="32"/>
      <c r="AO103" s="32"/>
      <c r="AP103" s="31"/>
      <c r="AQ103" s="31"/>
      <c r="AR103" s="54"/>
      <c r="AS103" s="21" t="str">
        <f>IFERROR(VLOOKUP(September[[#This Row],[Drug Name4]],'Data Options'!$R$1:$S$100,2,FALSE), " ")</f>
        <v xml:space="preserve"> </v>
      </c>
      <c r="AT103" s="55"/>
      <c r="AU103" s="32"/>
      <c r="AV103" s="32"/>
      <c r="AW103" s="55"/>
      <c r="AX103" s="32"/>
      <c r="AY103" s="54"/>
      <c r="AZ103" s="21" t="str">
        <f>IFERROR(VLOOKUP(September[[#This Row],[Drug Name5]],'Data Options'!$R$1:$S$100,2,FALSE), " ")</f>
        <v xml:space="preserve"> </v>
      </c>
      <c r="BA103" s="55"/>
      <c r="BB103" s="32"/>
      <c r="BC103" s="32"/>
      <c r="BD103" s="55"/>
      <c r="BE103" s="32"/>
      <c r="BF103" s="54"/>
      <c r="BG103" s="21" t="str">
        <f>IFERROR(VLOOKUP(September[[#This Row],[Drug Name6]],'Data Options'!$R$1:$S$100,2,FALSE), " ")</f>
        <v xml:space="preserve"> </v>
      </c>
      <c r="BH103" s="55"/>
      <c r="BI103" s="32"/>
      <c r="BJ103" s="32"/>
      <c r="BK103" s="55"/>
      <c r="BL103" s="32"/>
      <c r="BM103" s="32"/>
      <c r="BN103" s="32"/>
      <c r="BO103" s="32"/>
      <c r="BP103" s="32"/>
      <c r="BQ103" s="31"/>
      <c r="BR103" s="31"/>
      <c r="BS103" s="54"/>
      <c r="BT103" s="21" t="str">
        <f>IFERROR(VLOOKUP(September[[#This Row],[Drug Name7]],'Data Options'!$R$1:$S$100,2,FALSE), " ")</f>
        <v xml:space="preserve"> </v>
      </c>
      <c r="BU103" s="55"/>
      <c r="BV103" s="32"/>
      <c r="BW103" s="32"/>
      <c r="BX103" s="55"/>
      <c r="BY103" s="32"/>
      <c r="BZ103" s="54"/>
      <c r="CA103" s="21" t="str">
        <f>IFERROR(VLOOKUP(September[[#This Row],[Drug Name8]],'Data Options'!$R$1:$S$100,2,FALSE), " ")</f>
        <v xml:space="preserve"> </v>
      </c>
      <c r="CB103" s="55"/>
      <c r="CC103" s="32"/>
      <c r="CD103" s="32"/>
      <c r="CE103" s="55"/>
      <c r="CF103" s="32"/>
      <c r="CG103" s="54"/>
      <c r="CH103" s="21" t="str">
        <f>IFERROR(VLOOKUP(September[[#This Row],[Drug Name9]],'Data Options'!$R$1:$S$100,2,FALSE), " ")</f>
        <v xml:space="preserve"> </v>
      </c>
      <c r="CI103" s="55"/>
      <c r="CJ103" s="32"/>
      <c r="CK103" s="32"/>
      <c r="CL103" s="55"/>
      <c r="CM103" s="32"/>
    </row>
    <row r="104" spans="1:91">
      <c r="A104" s="5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Q104" s="54"/>
      <c r="R104" s="21" t="str">
        <f>IFERROR(VLOOKUP(September[[#This Row],[Drug Name]],'Data Options'!$R$1:$S$100,2,FALSE), " ")</f>
        <v xml:space="preserve"> </v>
      </c>
      <c r="S104" s="55"/>
      <c r="T104" s="32"/>
      <c r="U104" s="32"/>
      <c r="V104" s="55"/>
      <c r="W104" s="32"/>
      <c r="X104" s="54"/>
      <c r="Y104" s="21" t="str">
        <f>IFERROR(VLOOKUP(September[[#This Row],[Drug Name2]],'Data Options'!$R$1:$S$100,2,FALSE), " ")</f>
        <v xml:space="preserve"> </v>
      </c>
      <c r="Z104" s="55"/>
      <c r="AA104" s="32"/>
      <c r="AB104" s="32"/>
      <c r="AC104" s="55"/>
      <c r="AD104" s="32"/>
      <c r="AE104" s="54"/>
      <c r="AF104" s="21" t="str">
        <f>IFERROR(VLOOKUP(September[[#This Row],[Drug Name3]],'Data Options'!$R$1:$S$100,2,FALSE), " ")</f>
        <v xml:space="preserve"> </v>
      </c>
      <c r="AG104" s="55"/>
      <c r="AH104" s="32"/>
      <c r="AI104" s="32"/>
      <c r="AJ104" s="55"/>
      <c r="AK104" s="32"/>
      <c r="AL104" s="32"/>
      <c r="AM104" s="32"/>
      <c r="AN104" s="32"/>
      <c r="AO104" s="32"/>
      <c r="AP104" s="31"/>
      <c r="AQ104" s="31"/>
      <c r="AR104" s="54"/>
      <c r="AS104" s="21" t="str">
        <f>IFERROR(VLOOKUP(September[[#This Row],[Drug Name4]],'Data Options'!$R$1:$S$100,2,FALSE), " ")</f>
        <v xml:space="preserve"> </v>
      </c>
      <c r="AT104" s="55"/>
      <c r="AU104" s="32"/>
      <c r="AV104" s="32"/>
      <c r="AW104" s="55"/>
      <c r="AX104" s="32"/>
      <c r="AY104" s="54"/>
      <c r="AZ104" s="21" t="str">
        <f>IFERROR(VLOOKUP(September[[#This Row],[Drug Name5]],'Data Options'!$R$1:$S$100,2,FALSE), " ")</f>
        <v xml:space="preserve"> </v>
      </c>
      <c r="BA104" s="55"/>
      <c r="BB104" s="32"/>
      <c r="BC104" s="32"/>
      <c r="BD104" s="55"/>
      <c r="BE104" s="32"/>
      <c r="BF104" s="54"/>
      <c r="BG104" s="21" t="str">
        <f>IFERROR(VLOOKUP(September[[#This Row],[Drug Name6]],'Data Options'!$R$1:$S$100,2,FALSE), " ")</f>
        <v xml:space="preserve"> </v>
      </c>
      <c r="BH104" s="55"/>
      <c r="BI104" s="32"/>
      <c r="BJ104" s="32"/>
      <c r="BK104" s="55"/>
      <c r="BL104" s="32"/>
      <c r="BM104" s="32"/>
      <c r="BN104" s="32"/>
      <c r="BO104" s="32"/>
      <c r="BP104" s="32"/>
      <c r="BQ104" s="31"/>
      <c r="BR104" s="31"/>
      <c r="BS104" s="54"/>
      <c r="BT104" s="21" t="str">
        <f>IFERROR(VLOOKUP(September[[#This Row],[Drug Name7]],'Data Options'!$R$1:$S$100,2,FALSE), " ")</f>
        <v xml:space="preserve"> </v>
      </c>
      <c r="BU104" s="55"/>
      <c r="BV104" s="32"/>
      <c r="BW104" s="32"/>
      <c r="BX104" s="55"/>
      <c r="BY104" s="32"/>
      <c r="BZ104" s="54"/>
      <c r="CA104" s="21" t="str">
        <f>IFERROR(VLOOKUP(September[[#This Row],[Drug Name8]],'Data Options'!$R$1:$S$100,2,FALSE), " ")</f>
        <v xml:space="preserve"> </v>
      </c>
      <c r="CB104" s="55"/>
      <c r="CC104" s="32"/>
      <c r="CD104" s="32"/>
      <c r="CE104" s="55"/>
      <c r="CF104" s="32"/>
      <c r="CG104" s="54"/>
      <c r="CH104" s="21" t="str">
        <f>IFERROR(VLOOKUP(September[[#This Row],[Drug Name9]],'Data Options'!$R$1:$S$100,2,FALSE), " ")</f>
        <v xml:space="preserve"> </v>
      </c>
      <c r="CI104" s="55"/>
      <c r="CJ104" s="32"/>
      <c r="CK104" s="32"/>
      <c r="CL104" s="55"/>
      <c r="CM104" s="32"/>
    </row>
    <row r="105" spans="1:91">
      <c r="A105" s="5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1"/>
      <c r="Q105" s="54"/>
      <c r="R105" s="21" t="str">
        <f>IFERROR(VLOOKUP(September[[#This Row],[Drug Name]],'Data Options'!$R$1:$S$100,2,FALSE), " ")</f>
        <v xml:space="preserve"> </v>
      </c>
      <c r="S105" s="55"/>
      <c r="T105" s="32"/>
      <c r="U105" s="32"/>
      <c r="V105" s="55"/>
      <c r="W105" s="32"/>
      <c r="X105" s="54"/>
      <c r="Y105" s="21" t="str">
        <f>IFERROR(VLOOKUP(September[[#This Row],[Drug Name2]],'Data Options'!$R$1:$S$100,2,FALSE), " ")</f>
        <v xml:space="preserve"> </v>
      </c>
      <c r="Z105" s="55"/>
      <c r="AA105" s="32"/>
      <c r="AB105" s="32"/>
      <c r="AC105" s="55"/>
      <c r="AD105" s="32"/>
      <c r="AE105" s="54"/>
      <c r="AF105" s="21" t="str">
        <f>IFERROR(VLOOKUP(September[[#This Row],[Drug Name3]],'Data Options'!$R$1:$S$100,2,FALSE), " ")</f>
        <v xml:space="preserve"> </v>
      </c>
      <c r="AG105" s="55"/>
      <c r="AH105" s="32"/>
      <c r="AI105" s="32"/>
      <c r="AJ105" s="55"/>
      <c r="AK105" s="32"/>
      <c r="AL105" s="32"/>
      <c r="AM105" s="32"/>
      <c r="AN105" s="32"/>
      <c r="AO105" s="32"/>
      <c r="AP105" s="31"/>
      <c r="AQ105" s="31"/>
      <c r="AR105" s="54"/>
      <c r="AS105" s="21" t="str">
        <f>IFERROR(VLOOKUP(September[[#This Row],[Drug Name4]],'Data Options'!$R$1:$S$100,2,FALSE), " ")</f>
        <v xml:space="preserve"> </v>
      </c>
      <c r="AT105" s="55"/>
      <c r="AU105" s="32"/>
      <c r="AV105" s="32"/>
      <c r="AW105" s="55"/>
      <c r="AX105" s="32"/>
      <c r="AY105" s="54"/>
      <c r="AZ105" s="21" t="str">
        <f>IFERROR(VLOOKUP(September[[#This Row],[Drug Name5]],'Data Options'!$R$1:$S$100,2,FALSE), " ")</f>
        <v xml:space="preserve"> </v>
      </c>
      <c r="BA105" s="55"/>
      <c r="BB105" s="32"/>
      <c r="BC105" s="32"/>
      <c r="BD105" s="55"/>
      <c r="BE105" s="32"/>
      <c r="BF105" s="54"/>
      <c r="BG105" s="21" t="str">
        <f>IFERROR(VLOOKUP(September[[#This Row],[Drug Name6]],'Data Options'!$R$1:$S$100,2,FALSE), " ")</f>
        <v xml:space="preserve"> </v>
      </c>
      <c r="BH105" s="55"/>
      <c r="BI105" s="32"/>
      <c r="BJ105" s="32"/>
      <c r="BK105" s="55"/>
      <c r="BL105" s="32"/>
      <c r="BM105" s="32"/>
      <c r="BN105" s="32"/>
      <c r="BO105" s="32"/>
      <c r="BP105" s="32"/>
      <c r="BQ105" s="31"/>
      <c r="BR105" s="31"/>
      <c r="BS105" s="54"/>
      <c r="BT105" s="21" t="str">
        <f>IFERROR(VLOOKUP(September[[#This Row],[Drug Name7]],'Data Options'!$R$1:$S$100,2,FALSE), " ")</f>
        <v xml:space="preserve"> </v>
      </c>
      <c r="BU105" s="55"/>
      <c r="BV105" s="32"/>
      <c r="BW105" s="32"/>
      <c r="BX105" s="55"/>
      <c r="BY105" s="32"/>
      <c r="BZ105" s="54"/>
      <c r="CA105" s="21" t="str">
        <f>IFERROR(VLOOKUP(September[[#This Row],[Drug Name8]],'Data Options'!$R$1:$S$100,2,FALSE), " ")</f>
        <v xml:space="preserve"> </v>
      </c>
      <c r="CB105" s="55"/>
      <c r="CC105" s="32"/>
      <c r="CD105" s="32"/>
      <c r="CE105" s="55"/>
      <c r="CF105" s="32"/>
      <c r="CG105" s="54"/>
      <c r="CH105" s="21" t="str">
        <f>IFERROR(VLOOKUP(September[[#This Row],[Drug Name9]],'Data Options'!$R$1:$S$100,2,FALSE), " ")</f>
        <v xml:space="preserve"> </v>
      </c>
      <c r="CI105" s="55"/>
      <c r="CJ105" s="32"/>
      <c r="CK105" s="32"/>
      <c r="CL105" s="55"/>
      <c r="CM105" s="32"/>
    </row>
    <row r="106" spans="1:91">
      <c r="A106" s="5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1"/>
      <c r="P106" s="31"/>
      <c r="Q106" s="54"/>
      <c r="R106" s="21" t="str">
        <f>IFERROR(VLOOKUP(September[[#This Row],[Drug Name]],'Data Options'!$R$1:$S$100,2,FALSE), " ")</f>
        <v xml:space="preserve"> </v>
      </c>
      <c r="S106" s="55"/>
      <c r="T106" s="32"/>
      <c r="U106" s="32"/>
      <c r="V106" s="55"/>
      <c r="W106" s="32"/>
      <c r="X106" s="54"/>
      <c r="Y106" s="21" t="str">
        <f>IFERROR(VLOOKUP(September[[#This Row],[Drug Name2]],'Data Options'!$R$1:$S$100,2,FALSE), " ")</f>
        <v xml:space="preserve"> </v>
      </c>
      <c r="Z106" s="55"/>
      <c r="AA106" s="32"/>
      <c r="AB106" s="32"/>
      <c r="AC106" s="55"/>
      <c r="AD106" s="32"/>
      <c r="AE106" s="54"/>
      <c r="AF106" s="21" t="str">
        <f>IFERROR(VLOOKUP(September[[#This Row],[Drug Name3]],'Data Options'!$R$1:$S$100,2,FALSE), " ")</f>
        <v xml:space="preserve"> </v>
      </c>
      <c r="AG106" s="55"/>
      <c r="AH106" s="32"/>
      <c r="AI106" s="32"/>
      <c r="AJ106" s="55"/>
      <c r="AK106" s="32"/>
      <c r="AL106" s="32"/>
      <c r="AM106" s="32"/>
      <c r="AN106" s="32"/>
      <c r="AO106" s="32"/>
      <c r="AP106" s="31"/>
      <c r="AQ106" s="31"/>
      <c r="AR106" s="54"/>
      <c r="AS106" s="21" t="str">
        <f>IFERROR(VLOOKUP(September[[#This Row],[Drug Name4]],'Data Options'!$R$1:$S$100,2,FALSE), " ")</f>
        <v xml:space="preserve"> </v>
      </c>
      <c r="AT106" s="55"/>
      <c r="AU106" s="32"/>
      <c r="AV106" s="32"/>
      <c r="AW106" s="55"/>
      <c r="AX106" s="32"/>
      <c r="AY106" s="54"/>
      <c r="AZ106" s="21" t="str">
        <f>IFERROR(VLOOKUP(September[[#This Row],[Drug Name5]],'Data Options'!$R$1:$S$100,2,FALSE), " ")</f>
        <v xml:space="preserve"> </v>
      </c>
      <c r="BA106" s="55"/>
      <c r="BB106" s="32"/>
      <c r="BC106" s="32"/>
      <c r="BD106" s="55"/>
      <c r="BE106" s="32"/>
      <c r="BF106" s="54"/>
      <c r="BG106" s="21" t="str">
        <f>IFERROR(VLOOKUP(September[[#This Row],[Drug Name6]],'Data Options'!$R$1:$S$100,2,FALSE), " ")</f>
        <v xml:space="preserve"> </v>
      </c>
      <c r="BH106" s="55"/>
      <c r="BI106" s="32"/>
      <c r="BJ106" s="32"/>
      <c r="BK106" s="55"/>
      <c r="BL106" s="32"/>
      <c r="BM106" s="32"/>
      <c r="BN106" s="32"/>
      <c r="BO106" s="32"/>
      <c r="BP106" s="32"/>
      <c r="BQ106" s="31"/>
      <c r="BR106" s="31"/>
      <c r="BS106" s="54"/>
      <c r="BT106" s="21" t="str">
        <f>IFERROR(VLOOKUP(September[[#This Row],[Drug Name7]],'Data Options'!$R$1:$S$100,2,FALSE), " ")</f>
        <v xml:space="preserve"> </v>
      </c>
      <c r="BU106" s="55"/>
      <c r="BV106" s="32"/>
      <c r="BW106" s="32"/>
      <c r="BX106" s="55"/>
      <c r="BY106" s="32"/>
      <c r="BZ106" s="54"/>
      <c r="CA106" s="21" t="str">
        <f>IFERROR(VLOOKUP(September[[#This Row],[Drug Name8]],'Data Options'!$R$1:$S$100,2,FALSE), " ")</f>
        <v xml:space="preserve"> </v>
      </c>
      <c r="CB106" s="55"/>
      <c r="CC106" s="32"/>
      <c r="CD106" s="32"/>
      <c r="CE106" s="55"/>
      <c r="CF106" s="32"/>
      <c r="CG106" s="54"/>
      <c r="CH106" s="21" t="str">
        <f>IFERROR(VLOOKUP(September[[#This Row],[Drug Name9]],'Data Options'!$R$1:$S$100,2,FALSE), " ")</f>
        <v xml:space="preserve"> </v>
      </c>
      <c r="CI106" s="55"/>
      <c r="CJ106" s="32"/>
      <c r="CK106" s="32"/>
      <c r="CL106" s="55"/>
      <c r="CM106" s="32"/>
    </row>
    <row r="107" spans="1:91">
      <c r="A107" s="5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1"/>
      <c r="P107" s="31"/>
      <c r="Q107" s="54"/>
      <c r="R107" s="21" t="str">
        <f>IFERROR(VLOOKUP(September[[#This Row],[Drug Name]],'Data Options'!$R$1:$S$100,2,FALSE), " ")</f>
        <v xml:space="preserve"> </v>
      </c>
      <c r="S107" s="55"/>
      <c r="T107" s="32"/>
      <c r="U107" s="32"/>
      <c r="V107" s="55"/>
      <c r="W107" s="32"/>
      <c r="X107" s="54"/>
      <c r="Y107" s="21" t="str">
        <f>IFERROR(VLOOKUP(September[[#This Row],[Drug Name2]],'Data Options'!$R$1:$S$100,2,FALSE), " ")</f>
        <v xml:space="preserve"> </v>
      </c>
      <c r="Z107" s="55"/>
      <c r="AA107" s="32"/>
      <c r="AB107" s="32"/>
      <c r="AC107" s="55"/>
      <c r="AD107" s="32"/>
      <c r="AE107" s="54"/>
      <c r="AF107" s="21" t="str">
        <f>IFERROR(VLOOKUP(September[[#This Row],[Drug Name3]],'Data Options'!$R$1:$S$100,2,FALSE), " ")</f>
        <v xml:space="preserve"> </v>
      </c>
      <c r="AG107" s="55"/>
      <c r="AH107" s="32"/>
      <c r="AI107" s="32"/>
      <c r="AJ107" s="55"/>
      <c r="AK107" s="32"/>
      <c r="AL107" s="32"/>
      <c r="AM107" s="32"/>
      <c r="AN107" s="32"/>
      <c r="AO107" s="32"/>
      <c r="AP107" s="31"/>
      <c r="AQ107" s="31"/>
      <c r="AR107" s="54"/>
      <c r="AS107" s="21" t="str">
        <f>IFERROR(VLOOKUP(September[[#This Row],[Drug Name4]],'Data Options'!$R$1:$S$100,2,FALSE), " ")</f>
        <v xml:space="preserve"> </v>
      </c>
      <c r="AT107" s="55"/>
      <c r="AU107" s="32"/>
      <c r="AV107" s="32"/>
      <c r="AW107" s="55"/>
      <c r="AX107" s="32"/>
      <c r="AY107" s="54"/>
      <c r="AZ107" s="21" t="str">
        <f>IFERROR(VLOOKUP(September[[#This Row],[Drug Name5]],'Data Options'!$R$1:$S$100,2,FALSE), " ")</f>
        <v xml:space="preserve"> </v>
      </c>
      <c r="BA107" s="55"/>
      <c r="BB107" s="32"/>
      <c r="BC107" s="32"/>
      <c r="BD107" s="55"/>
      <c r="BE107" s="32"/>
      <c r="BF107" s="54"/>
      <c r="BG107" s="21" t="str">
        <f>IFERROR(VLOOKUP(September[[#This Row],[Drug Name6]],'Data Options'!$R$1:$S$100,2,FALSE), " ")</f>
        <v xml:space="preserve"> </v>
      </c>
      <c r="BH107" s="55"/>
      <c r="BI107" s="32"/>
      <c r="BJ107" s="32"/>
      <c r="BK107" s="55"/>
      <c r="BL107" s="32"/>
      <c r="BM107" s="32"/>
      <c r="BN107" s="32"/>
      <c r="BO107" s="32"/>
      <c r="BP107" s="32"/>
      <c r="BQ107" s="31"/>
      <c r="BR107" s="31"/>
      <c r="BS107" s="54"/>
      <c r="BT107" s="21" t="str">
        <f>IFERROR(VLOOKUP(September[[#This Row],[Drug Name7]],'Data Options'!$R$1:$S$100,2,FALSE), " ")</f>
        <v xml:space="preserve"> </v>
      </c>
      <c r="BU107" s="55"/>
      <c r="BV107" s="32"/>
      <c r="BW107" s="32"/>
      <c r="BX107" s="55"/>
      <c r="BY107" s="32"/>
      <c r="BZ107" s="54"/>
      <c r="CA107" s="21" t="str">
        <f>IFERROR(VLOOKUP(September[[#This Row],[Drug Name8]],'Data Options'!$R$1:$S$100,2,FALSE), " ")</f>
        <v xml:space="preserve"> </v>
      </c>
      <c r="CB107" s="55"/>
      <c r="CC107" s="32"/>
      <c r="CD107" s="32"/>
      <c r="CE107" s="55"/>
      <c r="CF107" s="32"/>
      <c r="CG107" s="54"/>
      <c r="CH107" s="21" t="str">
        <f>IFERROR(VLOOKUP(September[[#This Row],[Drug Name9]],'Data Options'!$R$1:$S$100,2,FALSE), " ")</f>
        <v xml:space="preserve"> </v>
      </c>
      <c r="CI107" s="55"/>
      <c r="CJ107" s="32"/>
      <c r="CK107" s="32"/>
      <c r="CL107" s="55"/>
      <c r="CM107" s="32"/>
    </row>
    <row r="108" spans="1:91">
      <c r="A108" s="5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1"/>
      <c r="P108" s="31"/>
      <c r="Q108" s="54"/>
      <c r="R108" s="21" t="str">
        <f>IFERROR(VLOOKUP(September[[#This Row],[Drug Name]],'Data Options'!$R$1:$S$100,2,FALSE), " ")</f>
        <v xml:space="preserve"> </v>
      </c>
      <c r="S108" s="55"/>
      <c r="T108" s="32"/>
      <c r="U108" s="32"/>
      <c r="V108" s="55"/>
      <c r="W108" s="32"/>
      <c r="X108" s="54"/>
      <c r="Y108" s="21" t="str">
        <f>IFERROR(VLOOKUP(September[[#This Row],[Drug Name2]],'Data Options'!$R$1:$S$100,2,FALSE), " ")</f>
        <v xml:space="preserve"> </v>
      </c>
      <c r="Z108" s="55"/>
      <c r="AA108" s="32"/>
      <c r="AB108" s="32"/>
      <c r="AC108" s="55"/>
      <c r="AD108" s="32"/>
      <c r="AE108" s="54"/>
      <c r="AF108" s="21" t="str">
        <f>IFERROR(VLOOKUP(September[[#This Row],[Drug Name3]],'Data Options'!$R$1:$S$100,2,FALSE), " ")</f>
        <v xml:space="preserve"> </v>
      </c>
      <c r="AG108" s="55"/>
      <c r="AH108" s="32"/>
      <c r="AI108" s="32"/>
      <c r="AJ108" s="55"/>
      <c r="AK108" s="32"/>
      <c r="AL108" s="32"/>
      <c r="AM108" s="32"/>
      <c r="AN108" s="32"/>
      <c r="AO108" s="32"/>
      <c r="AP108" s="31"/>
      <c r="AQ108" s="31"/>
      <c r="AR108" s="54"/>
      <c r="AS108" s="21" t="str">
        <f>IFERROR(VLOOKUP(September[[#This Row],[Drug Name4]],'Data Options'!$R$1:$S$100,2,FALSE), " ")</f>
        <v xml:space="preserve"> </v>
      </c>
      <c r="AT108" s="55"/>
      <c r="AU108" s="32"/>
      <c r="AV108" s="32"/>
      <c r="AW108" s="55"/>
      <c r="AX108" s="32"/>
      <c r="AY108" s="54"/>
      <c r="AZ108" s="21" t="str">
        <f>IFERROR(VLOOKUP(September[[#This Row],[Drug Name5]],'Data Options'!$R$1:$S$100,2,FALSE), " ")</f>
        <v xml:space="preserve"> </v>
      </c>
      <c r="BA108" s="55"/>
      <c r="BB108" s="32"/>
      <c r="BC108" s="32"/>
      <c r="BD108" s="55"/>
      <c r="BE108" s="32"/>
      <c r="BF108" s="54"/>
      <c r="BG108" s="21" t="str">
        <f>IFERROR(VLOOKUP(September[[#This Row],[Drug Name6]],'Data Options'!$R$1:$S$100,2,FALSE), " ")</f>
        <v xml:space="preserve"> </v>
      </c>
      <c r="BH108" s="55"/>
      <c r="BI108" s="32"/>
      <c r="BJ108" s="32"/>
      <c r="BK108" s="55"/>
      <c r="BL108" s="32"/>
      <c r="BM108" s="32"/>
      <c r="BN108" s="32"/>
      <c r="BO108" s="32"/>
      <c r="BP108" s="32"/>
      <c r="BQ108" s="31"/>
      <c r="BR108" s="31"/>
      <c r="BS108" s="54"/>
      <c r="BT108" s="21" t="str">
        <f>IFERROR(VLOOKUP(September[[#This Row],[Drug Name7]],'Data Options'!$R$1:$S$100,2,FALSE), " ")</f>
        <v xml:space="preserve"> </v>
      </c>
      <c r="BU108" s="55"/>
      <c r="BV108" s="32"/>
      <c r="BW108" s="32"/>
      <c r="BX108" s="55"/>
      <c r="BY108" s="32"/>
      <c r="BZ108" s="54"/>
      <c r="CA108" s="21" t="str">
        <f>IFERROR(VLOOKUP(September[[#This Row],[Drug Name8]],'Data Options'!$R$1:$S$100,2,FALSE), " ")</f>
        <v xml:space="preserve"> </v>
      </c>
      <c r="CB108" s="55"/>
      <c r="CC108" s="32"/>
      <c r="CD108" s="32"/>
      <c r="CE108" s="55"/>
      <c r="CF108" s="32"/>
      <c r="CG108" s="54"/>
      <c r="CH108" s="21" t="str">
        <f>IFERROR(VLOOKUP(September[[#This Row],[Drug Name9]],'Data Options'!$R$1:$S$100,2,FALSE), " ")</f>
        <v xml:space="preserve"> </v>
      </c>
      <c r="CI108" s="55"/>
      <c r="CJ108" s="32"/>
      <c r="CK108" s="32"/>
      <c r="CL108" s="55"/>
      <c r="CM108" s="32"/>
    </row>
    <row r="109" spans="1:91">
      <c r="A109" s="5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1"/>
      <c r="P109" s="31"/>
      <c r="Q109" s="54"/>
      <c r="R109" s="21" t="str">
        <f>IFERROR(VLOOKUP(September[[#This Row],[Drug Name]],'Data Options'!$R$1:$S$100,2,FALSE), " ")</f>
        <v xml:space="preserve"> </v>
      </c>
      <c r="S109" s="55"/>
      <c r="T109" s="32"/>
      <c r="U109" s="32"/>
      <c r="V109" s="55"/>
      <c r="W109" s="32"/>
      <c r="X109" s="54"/>
      <c r="Y109" s="21" t="str">
        <f>IFERROR(VLOOKUP(September[[#This Row],[Drug Name2]],'Data Options'!$R$1:$S$100,2,FALSE), " ")</f>
        <v xml:space="preserve"> </v>
      </c>
      <c r="Z109" s="55"/>
      <c r="AA109" s="32"/>
      <c r="AB109" s="32"/>
      <c r="AC109" s="55"/>
      <c r="AD109" s="32"/>
      <c r="AE109" s="54"/>
      <c r="AF109" s="21" t="str">
        <f>IFERROR(VLOOKUP(September[[#This Row],[Drug Name3]],'Data Options'!$R$1:$S$100,2,FALSE), " ")</f>
        <v xml:space="preserve"> </v>
      </c>
      <c r="AG109" s="55"/>
      <c r="AH109" s="32"/>
      <c r="AI109" s="32"/>
      <c r="AJ109" s="55"/>
      <c r="AK109" s="32"/>
      <c r="AL109" s="32"/>
      <c r="AM109" s="32"/>
      <c r="AN109" s="32"/>
      <c r="AO109" s="32"/>
      <c r="AP109" s="31"/>
      <c r="AQ109" s="31"/>
      <c r="AR109" s="54"/>
      <c r="AS109" s="21" t="str">
        <f>IFERROR(VLOOKUP(September[[#This Row],[Drug Name4]],'Data Options'!$R$1:$S$100,2,FALSE), " ")</f>
        <v xml:space="preserve"> </v>
      </c>
      <c r="AT109" s="55"/>
      <c r="AU109" s="32"/>
      <c r="AV109" s="32"/>
      <c r="AW109" s="55"/>
      <c r="AX109" s="32"/>
      <c r="AY109" s="54"/>
      <c r="AZ109" s="21" t="str">
        <f>IFERROR(VLOOKUP(September[[#This Row],[Drug Name5]],'Data Options'!$R$1:$S$100,2,FALSE), " ")</f>
        <v xml:space="preserve"> </v>
      </c>
      <c r="BA109" s="55"/>
      <c r="BB109" s="32"/>
      <c r="BC109" s="32"/>
      <c r="BD109" s="55"/>
      <c r="BE109" s="32"/>
      <c r="BF109" s="54"/>
      <c r="BG109" s="21" t="str">
        <f>IFERROR(VLOOKUP(September[[#This Row],[Drug Name6]],'Data Options'!$R$1:$S$100,2,FALSE), " ")</f>
        <v xml:space="preserve"> </v>
      </c>
      <c r="BH109" s="55"/>
      <c r="BI109" s="32"/>
      <c r="BJ109" s="32"/>
      <c r="BK109" s="55"/>
      <c r="BL109" s="32"/>
      <c r="BM109" s="32"/>
      <c r="BN109" s="32"/>
      <c r="BO109" s="32"/>
      <c r="BP109" s="32"/>
      <c r="BQ109" s="31"/>
      <c r="BR109" s="31"/>
      <c r="BS109" s="54"/>
      <c r="BT109" s="21" t="str">
        <f>IFERROR(VLOOKUP(September[[#This Row],[Drug Name7]],'Data Options'!$R$1:$S$100,2,FALSE), " ")</f>
        <v xml:space="preserve"> </v>
      </c>
      <c r="BU109" s="55"/>
      <c r="BV109" s="32"/>
      <c r="BW109" s="32"/>
      <c r="BX109" s="55"/>
      <c r="BY109" s="32"/>
      <c r="BZ109" s="54"/>
      <c r="CA109" s="21" t="str">
        <f>IFERROR(VLOOKUP(September[[#This Row],[Drug Name8]],'Data Options'!$R$1:$S$100,2,FALSE), " ")</f>
        <v xml:space="preserve"> </v>
      </c>
      <c r="CB109" s="55"/>
      <c r="CC109" s="32"/>
      <c r="CD109" s="32"/>
      <c r="CE109" s="55"/>
      <c r="CF109" s="32"/>
      <c r="CG109" s="54"/>
      <c r="CH109" s="21" t="str">
        <f>IFERROR(VLOOKUP(September[[#This Row],[Drug Name9]],'Data Options'!$R$1:$S$100,2,FALSE), " ")</f>
        <v xml:space="preserve"> </v>
      </c>
      <c r="CI109" s="55"/>
      <c r="CJ109" s="32"/>
      <c r="CK109" s="32"/>
      <c r="CL109" s="55"/>
      <c r="CM109" s="32"/>
    </row>
    <row r="110" spans="1:91">
      <c r="A110" s="5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54"/>
      <c r="R110" s="21" t="str">
        <f>IFERROR(VLOOKUP(September[[#This Row],[Drug Name]],'Data Options'!$R$1:$S$100,2,FALSE), " ")</f>
        <v xml:space="preserve"> </v>
      </c>
      <c r="S110" s="55"/>
      <c r="T110" s="32"/>
      <c r="U110" s="32"/>
      <c r="V110" s="55"/>
      <c r="W110" s="32"/>
      <c r="X110" s="54"/>
      <c r="Y110" s="21" t="str">
        <f>IFERROR(VLOOKUP(September[[#This Row],[Drug Name2]],'Data Options'!$R$1:$S$100,2,FALSE), " ")</f>
        <v xml:space="preserve"> </v>
      </c>
      <c r="Z110" s="55"/>
      <c r="AA110" s="32"/>
      <c r="AB110" s="32"/>
      <c r="AC110" s="55"/>
      <c r="AD110" s="32"/>
      <c r="AE110" s="54"/>
      <c r="AF110" s="21" t="str">
        <f>IFERROR(VLOOKUP(September[[#This Row],[Drug Name3]],'Data Options'!$R$1:$S$100,2,FALSE), " ")</f>
        <v xml:space="preserve"> </v>
      </c>
      <c r="AG110" s="55"/>
      <c r="AH110" s="32"/>
      <c r="AI110" s="32"/>
      <c r="AJ110" s="55"/>
      <c r="AK110" s="32"/>
      <c r="AL110" s="32"/>
      <c r="AM110" s="32"/>
      <c r="AN110" s="32"/>
      <c r="AO110" s="32"/>
      <c r="AP110" s="31"/>
      <c r="AQ110" s="31"/>
      <c r="AR110" s="54"/>
      <c r="AS110" s="21" t="str">
        <f>IFERROR(VLOOKUP(September[[#This Row],[Drug Name4]],'Data Options'!$R$1:$S$100,2,FALSE), " ")</f>
        <v xml:space="preserve"> </v>
      </c>
      <c r="AT110" s="55"/>
      <c r="AU110" s="32"/>
      <c r="AV110" s="32"/>
      <c r="AW110" s="55"/>
      <c r="AX110" s="32"/>
      <c r="AY110" s="54"/>
      <c r="AZ110" s="21" t="str">
        <f>IFERROR(VLOOKUP(September[[#This Row],[Drug Name5]],'Data Options'!$R$1:$S$100,2,FALSE), " ")</f>
        <v xml:space="preserve"> </v>
      </c>
      <c r="BA110" s="55"/>
      <c r="BB110" s="32"/>
      <c r="BC110" s="32"/>
      <c r="BD110" s="55"/>
      <c r="BE110" s="32"/>
      <c r="BF110" s="54"/>
      <c r="BG110" s="21" t="str">
        <f>IFERROR(VLOOKUP(September[[#This Row],[Drug Name6]],'Data Options'!$R$1:$S$100,2,FALSE), " ")</f>
        <v xml:space="preserve"> </v>
      </c>
      <c r="BH110" s="55"/>
      <c r="BI110" s="32"/>
      <c r="BJ110" s="32"/>
      <c r="BK110" s="55"/>
      <c r="BL110" s="32"/>
      <c r="BM110" s="32"/>
      <c r="BN110" s="32"/>
      <c r="BO110" s="32"/>
      <c r="BP110" s="32"/>
      <c r="BQ110" s="31"/>
      <c r="BR110" s="31"/>
      <c r="BS110" s="54"/>
      <c r="BT110" s="21" t="str">
        <f>IFERROR(VLOOKUP(September[[#This Row],[Drug Name7]],'Data Options'!$R$1:$S$100,2,FALSE), " ")</f>
        <v xml:space="preserve"> </v>
      </c>
      <c r="BU110" s="55"/>
      <c r="BV110" s="32"/>
      <c r="BW110" s="32"/>
      <c r="BX110" s="55"/>
      <c r="BY110" s="32"/>
      <c r="BZ110" s="54"/>
      <c r="CA110" s="21" t="str">
        <f>IFERROR(VLOOKUP(September[[#This Row],[Drug Name8]],'Data Options'!$R$1:$S$100,2,FALSE), " ")</f>
        <v xml:space="preserve"> </v>
      </c>
      <c r="CB110" s="55"/>
      <c r="CC110" s="32"/>
      <c r="CD110" s="32"/>
      <c r="CE110" s="55"/>
      <c r="CF110" s="32"/>
      <c r="CG110" s="54"/>
      <c r="CH110" s="21" t="str">
        <f>IFERROR(VLOOKUP(September[[#This Row],[Drug Name9]],'Data Options'!$R$1:$S$100,2,FALSE), " ")</f>
        <v xml:space="preserve"> </v>
      </c>
      <c r="CI110" s="55"/>
      <c r="CJ110" s="32"/>
      <c r="CK110" s="32"/>
      <c r="CL110" s="55"/>
      <c r="CM110" s="32"/>
    </row>
    <row r="111" spans="1:91">
      <c r="A111" s="5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1"/>
      <c r="P111" s="31"/>
      <c r="Q111" s="54"/>
      <c r="R111" s="21" t="str">
        <f>IFERROR(VLOOKUP(September[[#This Row],[Drug Name]],'Data Options'!$R$1:$S$100,2,FALSE), " ")</f>
        <v xml:space="preserve"> </v>
      </c>
      <c r="S111" s="55"/>
      <c r="T111" s="32"/>
      <c r="U111" s="32"/>
      <c r="V111" s="55"/>
      <c r="W111" s="32"/>
      <c r="X111" s="54"/>
      <c r="Y111" s="21" t="str">
        <f>IFERROR(VLOOKUP(September[[#This Row],[Drug Name2]],'Data Options'!$R$1:$S$100,2,FALSE), " ")</f>
        <v xml:space="preserve"> </v>
      </c>
      <c r="Z111" s="55"/>
      <c r="AA111" s="32"/>
      <c r="AB111" s="32"/>
      <c r="AC111" s="55"/>
      <c r="AD111" s="32"/>
      <c r="AE111" s="54"/>
      <c r="AF111" s="21" t="str">
        <f>IFERROR(VLOOKUP(September[[#This Row],[Drug Name3]],'Data Options'!$R$1:$S$100,2,FALSE), " ")</f>
        <v xml:space="preserve"> </v>
      </c>
      <c r="AG111" s="55"/>
      <c r="AH111" s="32"/>
      <c r="AI111" s="32"/>
      <c r="AJ111" s="55"/>
      <c r="AK111" s="32"/>
      <c r="AL111" s="32"/>
      <c r="AM111" s="32"/>
      <c r="AN111" s="32"/>
      <c r="AO111" s="32"/>
      <c r="AP111" s="31"/>
      <c r="AQ111" s="31"/>
      <c r="AR111" s="54"/>
      <c r="AS111" s="21" t="str">
        <f>IFERROR(VLOOKUP(September[[#This Row],[Drug Name4]],'Data Options'!$R$1:$S$100,2,FALSE), " ")</f>
        <v xml:space="preserve"> </v>
      </c>
      <c r="AT111" s="55"/>
      <c r="AU111" s="32"/>
      <c r="AV111" s="32"/>
      <c r="AW111" s="55"/>
      <c r="AX111" s="32"/>
      <c r="AY111" s="54"/>
      <c r="AZ111" s="21" t="str">
        <f>IFERROR(VLOOKUP(September[[#This Row],[Drug Name5]],'Data Options'!$R$1:$S$100,2,FALSE), " ")</f>
        <v xml:space="preserve"> </v>
      </c>
      <c r="BA111" s="55"/>
      <c r="BB111" s="32"/>
      <c r="BC111" s="32"/>
      <c r="BD111" s="55"/>
      <c r="BE111" s="32"/>
      <c r="BF111" s="54"/>
      <c r="BG111" s="21" t="str">
        <f>IFERROR(VLOOKUP(September[[#This Row],[Drug Name6]],'Data Options'!$R$1:$S$100,2,FALSE), " ")</f>
        <v xml:space="preserve"> </v>
      </c>
      <c r="BH111" s="55"/>
      <c r="BI111" s="32"/>
      <c r="BJ111" s="32"/>
      <c r="BK111" s="55"/>
      <c r="BL111" s="32"/>
      <c r="BM111" s="32"/>
      <c r="BN111" s="32"/>
      <c r="BO111" s="32"/>
      <c r="BP111" s="32"/>
      <c r="BQ111" s="31"/>
      <c r="BR111" s="31"/>
      <c r="BS111" s="54"/>
      <c r="BT111" s="21" t="str">
        <f>IFERROR(VLOOKUP(September[[#This Row],[Drug Name7]],'Data Options'!$R$1:$S$100,2,FALSE), " ")</f>
        <v xml:space="preserve"> </v>
      </c>
      <c r="BU111" s="55"/>
      <c r="BV111" s="32"/>
      <c r="BW111" s="32"/>
      <c r="BX111" s="55"/>
      <c r="BY111" s="32"/>
      <c r="BZ111" s="54"/>
      <c r="CA111" s="21" t="str">
        <f>IFERROR(VLOOKUP(September[[#This Row],[Drug Name8]],'Data Options'!$R$1:$S$100,2,FALSE), " ")</f>
        <v xml:space="preserve"> </v>
      </c>
      <c r="CB111" s="55"/>
      <c r="CC111" s="32"/>
      <c r="CD111" s="32"/>
      <c r="CE111" s="55"/>
      <c r="CF111" s="32"/>
      <c r="CG111" s="54"/>
      <c r="CH111" s="21" t="str">
        <f>IFERROR(VLOOKUP(September[[#This Row],[Drug Name9]],'Data Options'!$R$1:$S$100,2,FALSE), " ")</f>
        <v xml:space="preserve"> </v>
      </c>
      <c r="CI111" s="55"/>
      <c r="CJ111" s="32"/>
      <c r="CK111" s="32"/>
      <c r="CL111" s="55"/>
      <c r="CM111" s="32"/>
    </row>
    <row r="112" spans="1:91">
      <c r="A112" s="5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1"/>
      <c r="P112" s="31"/>
      <c r="Q112" s="54"/>
      <c r="R112" s="21" t="str">
        <f>IFERROR(VLOOKUP(September[[#This Row],[Drug Name]],'Data Options'!$R$1:$S$100,2,FALSE), " ")</f>
        <v xml:space="preserve"> </v>
      </c>
      <c r="S112" s="55"/>
      <c r="T112" s="32"/>
      <c r="U112" s="32"/>
      <c r="V112" s="55"/>
      <c r="W112" s="32"/>
      <c r="X112" s="54"/>
      <c r="Y112" s="21" t="str">
        <f>IFERROR(VLOOKUP(September[[#This Row],[Drug Name2]],'Data Options'!$R$1:$S$100,2,FALSE), " ")</f>
        <v xml:space="preserve"> </v>
      </c>
      <c r="Z112" s="55"/>
      <c r="AA112" s="32"/>
      <c r="AB112" s="32"/>
      <c r="AC112" s="55"/>
      <c r="AD112" s="32"/>
      <c r="AE112" s="54"/>
      <c r="AF112" s="21" t="str">
        <f>IFERROR(VLOOKUP(September[[#This Row],[Drug Name3]],'Data Options'!$R$1:$S$100,2,FALSE), " ")</f>
        <v xml:space="preserve"> </v>
      </c>
      <c r="AG112" s="55"/>
      <c r="AH112" s="32"/>
      <c r="AI112" s="32"/>
      <c r="AJ112" s="55"/>
      <c r="AK112" s="32"/>
      <c r="AL112" s="32"/>
      <c r="AM112" s="32"/>
      <c r="AN112" s="32"/>
      <c r="AO112" s="32"/>
      <c r="AP112" s="31"/>
      <c r="AQ112" s="31"/>
      <c r="AR112" s="54"/>
      <c r="AS112" s="21" t="str">
        <f>IFERROR(VLOOKUP(September[[#This Row],[Drug Name4]],'Data Options'!$R$1:$S$100,2,FALSE), " ")</f>
        <v xml:space="preserve"> </v>
      </c>
      <c r="AT112" s="55"/>
      <c r="AU112" s="32"/>
      <c r="AV112" s="32"/>
      <c r="AW112" s="55"/>
      <c r="AX112" s="32"/>
      <c r="AY112" s="54"/>
      <c r="AZ112" s="21" t="str">
        <f>IFERROR(VLOOKUP(September[[#This Row],[Drug Name5]],'Data Options'!$R$1:$S$100,2,FALSE), " ")</f>
        <v xml:space="preserve"> </v>
      </c>
      <c r="BA112" s="55"/>
      <c r="BB112" s="32"/>
      <c r="BC112" s="32"/>
      <c r="BD112" s="55"/>
      <c r="BE112" s="32"/>
      <c r="BF112" s="54"/>
      <c r="BG112" s="21" t="str">
        <f>IFERROR(VLOOKUP(September[[#This Row],[Drug Name6]],'Data Options'!$R$1:$S$100,2,FALSE), " ")</f>
        <v xml:space="preserve"> </v>
      </c>
      <c r="BH112" s="55"/>
      <c r="BI112" s="32"/>
      <c r="BJ112" s="32"/>
      <c r="BK112" s="55"/>
      <c r="BL112" s="32"/>
      <c r="BM112" s="32"/>
      <c r="BN112" s="32"/>
      <c r="BO112" s="32"/>
      <c r="BP112" s="32"/>
      <c r="BQ112" s="31"/>
      <c r="BR112" s="31"/>
      <c r="BS112" s="54"/>
      <c r="BT112" s="21" t="str">
        <f>IFERROR(VLOOKUP(September[[#This Row],[Drug Name7]],'Data Options'!$R$1:$S$100,2,FALSE), " ")</f>
        <v xml:space="preserve"> </v>
      </c>
      <c r="BU112" s="55"/>
      <c r="BV112" s="32"/>
      <c r="BW112" s="32"/>
      <c r="BX112" s="55"/>
      <c r="BY112" s="32"/>
      <c r="BZ112" s="54"/>
      <c r="CA112" s="21" t="str">
        <f>IFERROR(VLOOKUP(September[[#This Row],[Drug Name8]],'Data Options'!$R$1:$S$100,2,FALSE), " ")</f>
        <v xml:space="preserve"> </v>
      </c>
      <c r="CB112" s="55"/>
      <c r="CC112" s="32"/>
      <c r="CD112" s="32"/>
      <c r="CE112" s="55"/>
      <c r="CF112" s="32"/>
      <c r="CG112" s="54"/>
      <c r="CH112" s="21" t="str">
        <f>IFERROR(VLOOKUP(September[[#This Row],[Drug Name9]],'Data Options'!$R$1:$S$100,2,FALSE), " ")</f>
        <v xml:space="preserve"> </v>
      </c>
      <c r="CI112" s="55"/>
      <c r="CJ112" s="32"/>
      <c r="CK112" s="32"/>
      <c r="CL112" s="55"/>
      <c r="CM112" s="32"/>
    </row>
    <row r="113" spans="1:91">
      <c r="A113" s="5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1"/>
      <c r="P113" s="31"/>
      <c r="Q113" s="54"/>
      <c r="R113" s="21" t="str">
        <f>IFERROR(VLOOKUP(September[[#This Row],[Drug Name]],'Data Options'!$R$1:$S$100,2,FALSE), " ")</f>
        <v xml:space="preserve"> </v>
      </c>
      <c r="S113" s="55"/>
      <c r="T113" s="32"/>
      <c r="U113" s="32"/>
      <c r="V113" s="55"/>
      <c r="W113" s="32"/>
      <c r="X113" s="54"/>
      <c r="Y113" s="21" t="str">
        <f>IFERROR(VLOOKUP(September[[#This Row],[Drug Name2]],'Data Options'!$R$1:$S$100,2,FALSE), " ")</f>
        <v xml:space="preserve"> </v>
      </c>
      <c r="Z113" s="55"/>
      <c r="AA113" s="32"/>
      <c r="AB113" s="32"/>
      <c r="AC113" s="55"/>
      <c r="AD113" s="32"/>
      <c r="AE113" s="54"/>
      <c r="AF113" s="21" t="str">
        <f>IFERROR(VLOOKUP(September[[#This Row],[Drug Name3]],'Data Options'!$R$1:$S$100,2,FALSE), " ")</f>
        <v xml:space="preserve"> </v>
      </c>
      <c r="AG113" s="55"/>
      <c r="AH113" s="32"/>
      <c r="AI113" s="32"/>
      <c r="AJ113" s="55"/>
      <c r="AK113" s="32"/>
      <c r="AL113" s="32"/>
      <c r="AM113" s="32"/>
      <c r="AN113" s="32"/>
      <c r="AO113" s="32"/>
      <c r="AP113" s="31"/>
      <c r="AQ113" s="31"/>
      <c r="AR113" s="54"/>
      <c r="AS113" s="21" t="str">
        <f>IFERROR(VLOOKUP(September[[#This Row],[Drug Name4]],'Data Options'!$R$1:$S$100,2,FALSE), " ")</f>
        <v xml:space="preserve"> </v>
      </c>
      <c r="AT113" s="55"/>
      <c r="AU113" s="32"/>
      <c r="AV113" s="32"/>
      <c r="AW113" s="55"/>
      <c r="AX113" s="32"/>
      <c r="AY113" s="54"/>
      <c r="AZ113" s="21" t="str">
        <f>IFERROR(VLOOKUP(September[[#This Row],[Drug Name5]],'Data Options'!$R$1:$S$100,2,FALSE), " ")</f>
        <v xml:space="preserve"> </v>
      </c>
      <c r="BA113" s="55"/>
      <c r="BB113" s="32"/>
      <c r="BC113" s="32"/>
      <c r="BD113" s="55"/>
      <c r="BE113" s="32"/>
      <c r="BF113" s="54"/>
      <c r="BG113" s="21" t="str">
        <f>IFERROR(VLOOKUP(September[[#This Row],[Drug Name6]],'Data Options'!$R$1:$S$100,2,FALSE), " ")</f>
        <v xml:space="preserve"> </v>
      </c>
      <c r="BH113" s="55"/>
      <c r="BI113" s="32"/>
      <c r="BJ113" s="32"/>
      <c r="BK113" s="55"/>
      <c r="BL113" s="32"/>
      <c r="BM113" s="32"/>
      <c r="BN113" s="32"/>
      <c r="BO113" s="32"/>
      <c r="BP113" s="32"/>
      <c r="BQ113" s="31"/>
      <c r="BR113" s="31"/>
      <c r="BS113" s="54"/>
      <c r="BT113" s="21" t="str">
        <f>IFERROR(VLOOKUP(September[[#This Row],[Drug Name7]],'Data Options'!$R$1:$S$100,2,FALSE), " ")</f>
        <v xml:space="preserve"> </v>
      </c>
      <c r="BU113" s="55"/>
      <c r="BV113" s="32"/>
      <c r="BW113" s="32"/>
      <c r="BX113" s="55"/>
      <c r="BY113" s="32"/>
      <c r="BZ113" s="54"/>
      <c r="CA113" s="21" t="str">
        <f>IFERROR(VLOOKUP(September[[#This Row],[Drug Name8]],'Data Options'!$R$1:$S$100,2,FALSE), " ")</f>
        <v xml:space="preserve"> </v>
      </c>
      <c r="CB113" s="55"/>
      <c r="CC113" s="32"/>
      <c r="CD113" s="32"/>
      <c r="CE113" s="55"/>
      <c r="CF113" s="32"/>
      <c r="CG113" s="54"/>
      <c r="CH113" s="21" t="str">
        <f>IFERROR(VLOOKUP(September[[#This Row],[Drug Name9]],'Data Options'!$R$1:$S$100,2,FALSE), " ")</f>
        <v xml:space="preserve"> </v>
      </c>
      <c r="CI113" s="55"/>
      <c r="CJ113" s="32"/>
      <c r="CK113" s="32"/>
      <c r="CL113" s="55"/>
      <c r="CM113" s="32"/>
    </row>
    <row r="114" spans="1:91">
      <c r="A114" s="5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1"/>
      <c r="P114" s="31"/>
      <c r="Q114" s="54"/>
      <c r="R114" s="21" t="str">
        <f>IFERROR(VLOOKUP(September[[#This Row],[Drug Name]],'Data Options'!$R$1:$S$100,2,FALSE), " ")</f>
        <v xml:space="preserve"> </v>
      </c>
      <c r="S114" s="55"/>
      <c r="T114" s="32"/>
      <c r="U114" s="32"/>
      <c r="V114" s="55"/>
      <c r="W114" s="32"/>
      <c r="X114" s="54"/>
      <c r="Y114" s="21" t="str">
        <f>IFERROR(VLOOKUP(September[[#This Row],[Drug Name2]],'Data Options'!$R$1:$S$100,2,FALSE), " ")</f>
        <v xml:space="preserve"> </v>
      </c>
      <c r="Z114" s="55"/>
      <c r="AA114" s="32"/>
      <c r="AB114" s="32"/>
      <c r="AC114" s="55"/>
      <c r="AD114" s="32"/>
      <c r="AE114" s="54"/>
      <c r="AF114" s="21" t="str">
        <f>IFERROR(VLOOKUP(September[[#This Row],[Drug Name3]],'Data Options'!$R$1:$S$100,2,FALSE), " ")</f>
        <v xml:space="preserve"> </v>
      </c>
      <c r="AG114" s="55"/>
      <c r="AH114" s="32"/>
      <c r="AI114" s="32"/>
      <c r="AJ114" s="55"/>
      <c r="AK114" s="32"/>
      <c r="AL114" s="32"/>
      <c r="AM114" s="32"/>
      <c r="AN114" s="32"/>
      <c r="AO114" s="32"/>
      <c r="AP114" s="31"/>
      <c r="AQ114" s="31"/>
      <c r="AR114" s="54"/>
      <c r="AS114" s="21" t="str">
        <f>IFERROR(VLOOKUP(September[[#This Row],[Drug Name4]],'Data Options'!$R$1:$S$100,2,FALSE), " ")</f>
        <v xml:space="preserve"> </v>
      </c>
      <c r="AT114" s="55"/>
      <c r="AU114" s="32"/>
      <c r="AV114" s="32"/>
      <c r="AW114" s="55"/>
      <c r="AX114" s="32"/>
      <c r="AY114" s="54"/>
      <c r="AZ114" s="21" t="str">
        <f>IFERROR(VLOOKUP(September[[#This Row],[Drug Name5]],'Data Options'!$R$1:$S$100,2,FALSE), " ")</f>
        <v xml:space="preserve"> </v>
      </c>
      <c r="BA114" s="55"/>
      <c r="BB114" s="32"/>
      <c r="BC114" s="32"/>
      <c r="BD114" s="55"/>
      <c r="BE114" s="32"/>
      <c r="BF114" s="54"/>
      <c r="BG114" s="21" t="str">
        <f>IFERROR(VLOOKUP(September[[#This Row],[Drug Name6]],'Data Options'!$R$1:$S$100,2,FALSE), " ")</f>
        <v xml:space="preserve"> </v>
      </c>
      <c r="BH114" s="55"/>
      <c r="BI114" s="32"/>
      <c r="BJ114" s="32"/>
      <c r="BK114" s="55"/>
      <c r="BL114" s="32"/>
      <c r="BM114" s="32"/>
      <c r="BN114" s="32"/>
      <c r="BO114" s="32"/>
      <c r="BP114" s="32"/>
      <c r="BQ114" s="31"/>
      <c r="BR114" s="31"/>
      <c r="BS114" s="54"/>
      <c r="BT114" s="21" t="str">
        <f>IFERROR(VLOOKUP(September[[#This Row],[Drug Name7]],'Data Options'!$R$1:$S$100,2,FALSE), " ")</f>
        <v xml:space="preserve"> </v>
      </c>
      <c r="BU114" s="55"/>
      <c r="BV114" s="32"/>
      <c r="BW114" s="32"/>
      <c r="BX114" s="55"/>
      <c r="BY114" s="32"/>
      <c r="BZ114" s="54"/>
      <c r="CA114" s="21" t="str">
        <f>IFERROR(VLOOKUP(September[[#This Row],[Drug Name8]],'Data Options'!$R$1:$S$100,2,FALSE), " ")</f>
        <v xml:space="preserve"> </v>
      </c>
      <c r="CB114" s="55"/>
      <c r="CC114" s="32"/>
      <c r="CD114" s="32"/>
      <c r="CE114" s="55"/>
      <c r="CF114" s="32"/>
      <c r="CG114" s="54"/>
      <c r="CH114" s="21" t="str">
        <f>IFERROR(VLOOKUP(September[[#This Row],[Drug Name9]],'Data Options'!$R$1:$S$100,2,FALSE), " ")</f>
        <v xml:space="preserve"> </v>
      </c>
      <c r="CI114" s="55"/>
      <c r="CJ114" s="32"/>
      <c r="CK114" s="32"/>
      <c r="CL114" s="55"/>
      <c r="CM114" s="32"/>
    </row>
    <row r="115" spans="1:91">
      <c r="A115" s="5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1"/>
      <c r="P115" s="31"/>
      <c r="Q115" s="54"/>
      <c r="R115" s="21" t="str">
        <f>IFERROR(VLOOKUP(September[[#This Row],[Drug Name]],'Data Options'!$R$1:$S$100,2,FALSE), " ")</f>
        <v xml:space="preserve"> </v>
      </c>
      <c r="S115" s="55"/>
      <c r="T115" s="32"/>
      <c r="U115" s="32"/>
      <c r="V115" s="55"/>
      <c r="W115" s="32"/>
      <c r="X115" s="54"/>
      <c r="Y115" s="21" t="str">
        <f>IFERROR(VLOOKUP(September[[#This Row],[Drug Name2]],'Data Options'!$R$1:$S$100,2,FALSE), " ")</f>
        <v xml:space="preserve"> </v>
      </c>
      <c r="Z115" s="55"/>
      <c r="AA115" s="32"/>
      <c r="AB115" s="32"/>
      <c r="AC115" s="55"/>
      <c r="AD115" s="32"/>
      <c r="AE115" s="54"/>
      <c r="AF115" s="21" t="str">
        <f>IFERROR(VLOOKUP(September[[#This Row],[Drug Name3]],'Data Options'!$R$1:$S$100,2,FALSE), " ")</f>
        <v xml:space="preserve"> </v>
      </c>
      <c r="AG115" s="55"/>
      <c r="AH115" s="32"/>
      <c r="AI115" s="32"/>
      <c r="AJ115" s="55"/>
      <c r="AK115" s="32"/>
      <c r="AL115" s="32"/>
      <c r="AM115" s="32"/>
      <c r="AN115" s="32"/>
      <c r="AO115" s="32"/>
      <c r="AP115" s="31"/>
      <c r="AQ115" s="31"/>
      <c r="AR115" s="54"/>
      <c r="AS115" s="21" t="str">
        <f>IFERROR(VLOOKUP(September[[#This Row],[Drug Name4]],'Data Options'!$R$1:$S$100,2,FALSE), " ")</f>
        <v xml:space="preserve"> </v>
      </c>
      <c r="AT115" s="55"/>
      <c r="AU115" s="32"/>
      <c r="AV115" s="32"/>
      <c r="AW115" s="55"/>
      <c r="AX115" s="32"/>
      <c r="AY115" s="54"/>
      <c r="AZ115" s="21" t="str">
        <f>IFERROR(VLOOKUP(September[[#This Row],[Drug Name5]],'Data Options'!$R$1:$S$100,2,FALSE), " ")</f>
        <v xml:space="preserve"> </v>
      </c>
      <c r="BA115" s="55"/>
      <c r="BB115" s="32"/>
      <c r="BC115" s="32"/>
      <c r="BD115" s="55"/>
      <c r="BE115" s="32"/>
      <c r="BF115" s="54"/>
      <c r="BG115" s="21" t="str">
        <f>IFERROR(VLOOKUP(September[[#This Row],[Drug Name6]],'Data Options'!$R$1:$S$100,2,FALSE), " ")</f>
        <v xml:space="preserve"> </v>
      </c>
      <c r="BH115" s="55"/>
      <c r="BI115" s="32"/>
      <c r="BJ115" s="32"/>
      <c r="BK115" s="55"/>
      <c r="BL115" s="32"/>
      <c r="BM115" s="32"/>
      <c r="BN115" s="32"/>
      <c r="BO115" s="32"/>
      <c r="BP115" s="32"/>
      <c r="BQ115" s="31"/>
      <c r="BR115" s="31"/>
      <c r="BS115" s="54"/>
      <c r="BT115" s="21" t="str">
        <f>IFERROR(VLOOKUP(September[[#This Row],[Drug Name7]],'Data Options'!$R$1:$S$100,2,FALSE), " ")</f>
        <v xml:space="preserve"> </v>
      </c>
      <c r="BU115" s="55"/>
      <c r="BV115" s="32"/>
      <c r="BW115" s="32"/>
      <c r="BX115" s="55"/>
      <c r="BY115" s="32"/>
      <c r="BZ115" s="54"/>
      <c r="CA115" s="21" t="str">
        <f>IFERROR(VLOOKUP(September[[#This Row],[Drug Name8]],'Data Options'!$R$1:$S$100,2,FALSE), " ")</f>
        <v xml:space="preserve"> </v>
      </c>
      <c r="CB115" s="55"/>
      <c r="CC115" s="32"/>
      <c r="CD115" s="32"/>
      <c r="CE115" s="55"/>
      <c r="CF115" s="32"/>
      <c r="CG115" s="54"/>
      <c r="CH115" s="21" t="str">
        <f>IFERROR(VLOOKUP(September[[#This Row],[Drug Name9]],'Data Options'!$R$1:$S$100,2,FALSE), " ")</f>
        <v xml:space="preserve"> </v>
      </c>
      <c r="CI115" s="55"/>
      <c r="CJ115" s="32"/>
      <c r="CK115" s="32"/>
      <c r="CL115" s="55"/>
      <c r="CM115" s="32"/>
    </row>
    <row r="116" spans="1:91">
      <c r="A116" s="5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1"/>
      <c r="P116" s="31"/>
      <c r="Q116" s="54"/>
      <c r="R116" s="21" t="str">
        <f>IFERROR(VLOOKUP(September[[#This Row],[Drug Name]],'Data Options'!$R$1:$S$100,2,FALSE), " ")</f>
        <v xml:space="preserve"> </v>
      </c>
      <c r="S116" s="55"/>
      <c r="T116" s="32"/>
      <c r="U116" s="32"/>
      <c r="V116" s="55"/>
      <c r="W116" s="32"/>
      <c r="X116" s="54"/>
      <c r="Y116" s="21" t="str">
        <f>IFERROR(VLOOKUP(September[[#This Row],[Drug Name2]],'Data Options'!$R$1:$S$100,2,FALSE), " ")</f>
        <v xml:space="preserve"> </v>
      </c>
      <c r="Z116" s="55"/>
      <c r="AA116" s="32"/>
      <c r="AB116" s="32"/>
      <c r="AC116" s="55"/>
      <c r="AD116" s="32"/>
      <c r="AE116" s="54"/>
      <c r="AF116" s="21" t="str">
        <f>IFERROR(VLOOKUP(September[[#This Row],[Drug Name3]],'Data Options'!$R$1:$S$100,2,FALSE), " ")</f>
        <v xml:space="preserve"> </v>
      </c>
      <c r="AG116" s="55"/>
      <c r="AH116" s="32"/>
      <c r="AI116" s="32"/>
      <c r="AJ116" s="55"/>
      <c r="AK116" s="32"/>
      <c r="AL116" s="32"/>
      <c r="AM116" s="32"/>
      <c r="AN116" s="32"/>
      <c r="AO116" s="32"/>
      <c r="AP116" s="31"/>
      <c r="AQ116" s="31"/>
      <c r="AR116" s="54"/>
      <c r="AS116" s="21" t="str">
        <f>IFERROR(VLOOKUP(September[[#This Row],[Drug Name4]],'Data Options'!$R$1:$S$100,2,FALSE), " ")</f>
        <v xml:space="preserve"> </v>
      </c>
      <c r="AT116" s="55"/>
      <c r="AU116" s="32"/>
      <c r="AV116" s="32"/>
      <c r="AW116" s="55"/>
      <c r="AX116" s="32"/>
      <c r="AY116" s="54"/>
      <c r="AZ116" s="21" t="str">
        <f>IFERROR(VLOOKUP(September[[#This Row],[Drug Name5]],'Data Options'!$R$1:$S$100,2,FALSE), " ")</f>
        <v xml:space="preserve"> </v>
      </c>
      <c r="BA116" s="55"/>
      <c r="BB116" s="32"/>
      <c r="BC116" s="32"/>
      <c r="BD116" s="55"/>
      <c r="BE116" s="32"/>
      <c r="BF116" s="54"/>
      <c r="BG116" s="21" t="str">
        <f>IFERROR(VLOOKUP(September[[#This Row],[Drug Name6]],'Data Options'!$R$1:$S$100,2,FALSE), " ")</f>
        <v xml:space="preserve"> </v>
      </c>
      <c r="BH116" s="55"/>
      <c r="BI116" s="32"/>
      <c r="BJ116" s="32"/>
      <c r="BK116" s="55"/>
      <c r="BL116" s="32"/>
      <c r="BM116" s="32"/>
      <c r="BN116" s="32"/>
      <c r="BO116" s="32"/>
      <c r="BP116" s="32"/>
      <c r="BQ116" s="31"/>
      <c r="BR116" s="31"/>
      <c r="BS116" s="54"/>
      <c r="BT116" s="21" t="str">
        <f>IFERROR(VLOOKUP(September[[#This Row],[Drug Name7]],'Data Options'!$R$1:$S$100,2,FALSE), " ")</f>
        <v xml:space="preserve"> </v>
      </c>
      <c r="BU116" s="55"/>
      <c r="BV116" s="32"/>
      <c r="BW116" s="32"/>
      <c r="BX116" s="55"/>
      <c r="BY116" s="32"/>
      <c r="BZ116" s="54"/>
      <c r="CA116" s="21" t="str">
        <f>IFERROR(VLOOKUP(September[[#This Row],[Drug Name8]],'Data Options'!$R$1:$S$100,2,FALSE), " ")</f>
        <v xml:space="preserve"> </v>
      </c>
      <c r="CB116" s="55"/>
      <c r="CC116" s="32"/>
      <c r="CD116" s="32"/>
      <c r="CE116" s="55"/>
      <c r="CF116" s="32"/>
      <c r="CG116" s="54"/>
      <c r="CH116" s="21" t="str">
        <f>IFERROR(VLOOKUP(September[[#This Row],[Drug Name9]],'Data Options'!$R$1:$S$100,2,FALSE), " ")</f>
        <v xml:space="preserve"> </v>
      </c>
      <c r="CI116" s="55"/>
      <c r="CJ116" s="32"/>
      <c r="CK116" s="32"/>
      <c r="CL116" s="55"/>
      <c r="CM116" s="32"/>
    </row>
    <row r="117" spans="1:91">
      <c r="A117" s="5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1"/>
      <c r="P117" s="31"/>
      <c r="Q117" s="54"/>
      <c r="R117" s="21" t="str">
        <f>IFERROR(VLOOKUP(September[[#This Row],[Drug Name]],'Data Options'!$R$1:$S$100,2,FALSE), " ")</f>
        <v xml:space="preserve"> </v>
      </c>
      <c r="S117" s="55"/>
      <c r="T117" s="32"/>
      <c r="U117" s="32"/>
      <c r="V117" s="55"/>
      <c r="W117" s="32"/>
      <c r="X117" s="54"/>
      <c r="Y117" s="21" t="str">
        <f>IFERROR(VLOOKUP(September[[#This Row],[Drug Name2]],'Data Options'!$R$1:$S$100,2,FALSE), " ")</f>
        <v xml:space="preserve"> </v>
      </c>
      <c r="Z117" s="55"/>
      <c r="AA117" s="32"/>
      <c r="AB117" s="32"/>
      <c r="AC117" s="55"/>
      <c r="AD117" s="32"/>
      <c r="AE117" s="54"/>
      <c r="AF117" s="21" t="str">
        <f>IFERROR(VLOOKUP(September[[#This Row],[Drug Name3]],'Data Options'!$R$1:$S$100,2,FALSE), " ")</f>
        <v xml:space="preserve"> </v>
      </c>
      <c r="AG117" s="55"/>
      <c r="AH117" s="32"/>
      <c r="AI117" s="32"/>
      <c r="AJ117" s="55"/>
      <c r="AK117" s="32"/>
      <c r="AL117" s="32"/>
      <c r="AM117" s="32"/>
      <c r="AN117" s="32"/>
      <c r="AO117" s="32"/>
      <c r="AP117" s="31"/>
      <c r="AQ117" s="31"/>
      <c r="AR117" s="54"/>
      <c r="AS117" s="21" t="str">
        <f>IFERROR(VLOOKUP(September[[#This Row],[Drug Name4]],'Data Options'!$R$1:$S$100,2,FALSE), " ")</f>
        <v xml:space="preserve"> </v>
      </c>
      <c r="AT117" s="55"/>
      <c r="AU117" s="32"/>
      <c r="AV117" s="32"/>
      <c r="AW117" s="55"/>
      <c r="AX117" s="32"/>
      <c r="AY117" s="54"/>
      <c r="AZ117" s="21" t="str">
        <f>IFERROR(VLOOKUP(September[[#This Row],[Drug Name5]],'Data Options'!$R$1:$S$100,2,FALSE), " ")</f>
        <v xml:space="preserve"> </v>
      </c>
      <c r="BA117" s="55"/>
      <c r="BB117" s="32"/>
      <c r="BC117" s="32"/>
      <c r="BD117" s="55"/>
      <c r="BE117" s="32"/>
      <c r="BF117" s="54"/>
      <c r="BG117" s="21" t="str">
        <f>IFERROR(VLOOKUP(September[[#This Row],[Drug Name6]],'Data Options'!$R$1:$S$100,2,FALSE), " ")</f>
        <v xml:space="preserve"> </v>
      </c>
      <c r="BH117" s="55"/>
      <c r="BI117" s="32"/>
      <c r="BJ117" s="32"/>
      <c r="BK117" s="55"/>
      <c r="BL117" s="32"/>
      <c r="BM117" s="32"/>
      <c r="BN117" s="32"/>
      <c r="BO117" s="32"/>
      <c r="BP117" s="32"/>
      <c r="BQ117" s="31"/>
      <c r="BR117" s="31"/>
      <c r="BS117" s="54"/>
      <c r="BT117" s="21" t="str">
        <f>IFERROR(VLOOKUP(September[[#This Row],[Drug Name7]],'Data Options'!$R$1:$S$100,2,FALSE), " ")</f>
        <v xml:space="preserve"> </v>
      </c>
      <c r="BU117" s="55"/>
      <c r="BV117" s="32"/>
      <c r="BW117" s="32"/>
      <c r="BX117" s="55"/>
      <c r="BY117" s="32"/>
      <c r="BZ117" s="54"/>
      <c r="CA117" s="21" t="str">
        <f>IFERROR(VLOOKUP(September[[#This Row],[Drug Name8]],'Data Options'!$R$1:$S$100,2,FALSE), " ")</f>
        <v xml:space="preserve"> </v>
      </c>
      <c r="CB117" s="55"/>
      <c r="CC117" s="32"/>
      <c r="CD117" s="32"/>
      <c r="CE117" s="55"/>
      <c r="CF117" s="32"/>
      <c r="CG117" s="54"/>
      <c r="CH117" s="21" t="str">
        <f>IFERROR(VLOOKUP(September[[#This Row],[Drug Name9]],'Data Options'!$R$1:$S$100,2,FALSE), " ")</f>
        <v xml:space="preserve"> </v>
      </c>
      <c r="CI117" s="55"/>
      <c r="CJ117" s="32"/>
      <c r="CK117" s="32"/>
      <c r="CL117" s="55"/>
      <c r="CM117" s="32"/>
    </row>
    <row r="118" spans="1:91">
      <c r="A118" s="5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/>
      <c r="P118" s="31"/>
      <c r="Q118" s="54"/>
      <c r="R118" s="21" t="str">
        <f>IFERROR(VLOOKUP(September[[#This Row],[Drug Name]],'Data Options'!$R$1:$S$100,2,FALSE), " ")</f>
        <v xml:space="preserve"> </v>
      </c>
      <c r="S118" s="55"/>
      <c r="T118" s="32"/>
      <c r="U118" s="32"/>
      <c r="V118" s="55"/>
      <c r="W118" s="32"/>
      <c r="X118" s="54"/>
      <c r="Y118" s="21" t="str">
        <f>IFERROR(VLOOKUP(September[[#This Row],[Drug Name2]],'Data Options'!$R$1:$S$100,2,FALSE), " ")</f>
        <v xml:space="preserve"> </v>
      </c>
      <c r="Z118" s="55"/>
      <c r="AA118" s="32"/>
      <c r="AB118" s="32"/>
      <c r="AC118" s="55"/>
      <c r="AD118" s="32"/>
      <c r="AE118" s="54"/>
      <c r="AF118" s="21" t="str">
        <f>IFERROR(VLOOKUP(September[[#This Row],[Drug Name3]],'Data Options'!$R$1:$S$100,2,FALSE), " ")</f>
        <v xml:space="preserve"> </v>
      </c>
      <c r="AG118" s="55"/>
      <c r="AH118" s="32"/>
      <c r="AI118" s="32"/>
      <c r="AJ118" s="55"/>
      <c r="AK118" s="32"/>
      <c r="AL118" s="32"/>
      <c r="AM118" s="32"/>
      <c r="AN118" s="32"/>
      <c r="AO118" s="32"/>
      <c r="AP118" s="31"/>
      <c r="AQ118" s="31"/>
      <c r="AR118" s="54"/>
      <c r="AS118" s="21" t="str">
        <f>IFERROR(VLOOKUP(September[[#This Row],[Drug Name4]],'Data Options'!$R$1:$S$100,2,FALSE), " ")</f>
        <v xml:space="preserve"> </v>
      </c>
      <c r="AT118" s="55"/>
      <c r="AU118" s="32"/>
      <c r="AV118" s="32"/>
      <c r="AW118" s="55"/>
      <c r="AX118" s="32"/>
      <c r="AY118" s="54"/>
      <c r="AZ118" s="21" t="str">
        <f>IFERROR(VLOOKUP(September[[#This Row],[Drug Name5]],'Data Options'!$R$1:$S$100,2,FALSE), " ")</f>
        <v xml:space="preserve"> </v>
      </c>
      <c r="BA118" s="55"/>
      <c r="BB118" s="32"/>
      <c r="BC118" s="32"/>
      <c r="BD118" s="55"/>
      <c r="BE118" s="32"/>
      <c r="BF118" s="54"/>
      <c r="BG118" s="21" t="str">
        <f>IFERROR(VLOOKUP(September[[#This Row],[Drug Name6]],'Data Options'!$R$1:$S$100,2,FALSE), " ")</f>
        <v xml:space="preserve"> </v>
      </c>
      <c r="BH118" s="55"/>
      <c r="BI118" s="32"/>
      <c r="BJ118" s="32"/>
      <c r="BK118" s="55"/>
      <c r="BL118" s="32"/>
      <c r="BM118" s="32"/>
      <c r="BN118" s="32"/>
      <c r="BO118" s="32"/>
      <c r="BP118" s="32"/>
      <c r="BQ118" s="31"/>
      <c r="BR118" s="31"/>
      <c r="BS118" s="54"/>
      <c r="BT118" s="21" t="str">
        <f>IFERROR(VLOOKUP(September[[#This Row],[Drug Name7]],'Data Options'!$R$1:$S$100,2,FALSE), " ")</f>
        <v xml:space="preserve"> </v>
      </c>
      <c r="BU118" s="55"/>
      <c r="BV118" s="32"/>
      <c r="BW118" s="32"/>
      <c r="BX118" s="55"/>
      <c r="BY118" s="32"/>
      <c r="BZ118" s="54"/>
      <c r="CA118" s="21" t="str">
        <f>IFERROR(VLOOKUP(September[[#This Row],[Drug Name8]],'Data Options'!$R$1:$S$100,2,FALSE), " ")</f>
        <v xml:space="preserve"> </v>
      </c>
      <c r="CB118" s="55"/>
      <c r="CC118" s="32"/>
      <c r="CD118" s="32"/>
      <c r="CE118" s="55"/>
      <c r="CF118" s="32"/>
      <c r="CG118" s="54"/>
      <c r="CH118" s="21" t="str">
        <f>IFERROR(VLOOKUP(September[[#This Row],[Drug Name9]],'Data Options'!$R$1:$S$100,2,FALSE), " ")</f>
        <v xml:space="preserve"> </v>
      </c>
      <c r="CI118" s="55"/>
      <c r="CJ118" s="32"/>
      <c r="CK118" s="32"/>
      <c r="CL118" s="55"/>
      <c r="CM118" s="32"/>
    </row>
    <row r="119" spans="1:91">
      <c r="A119" s="5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1"/>
      <c r="P119" s="31"/>
      <c r="Q119" s="54"/>
      <c r="R119" s="21" t="str">
        <f>IFERROR(VLOOKUP(September[[#This Row],[Drug Name]],'Data Options'!$R$1:$S$100,2,FALSE), " ")</f>
        <v xml:space="preserve"> </v>
      </c>
      <c r="S119" s="55"/>
      <c r="T119" s="32"/>
      <c r="U119" s="32"/>
      <c r="V119" s="55"/>
      <c r="W119" s="32"/>
      <c r="X119" s="54"/>
      <c r="Y119" s="21" t="str">
        <f>IFERROR(VLOOKUP(September[[#This Row],[Drug Name2]],'Data Options'!$R$1:$S$100,2,FALSE), " ")</f>
        <v xml:space="preserve"> </v>
      </c>
      <c r="Z119" s="55"/>
      <c r="AA119" s="32"/>
      <c r="AB119" s="32"/>
      <c r="AC119" s="55"/>
      <c r="AD119" s="32"/>
      <c r="AE119" s="54"/>
      <c r="AF119" s="21" t="str">
        <f>IFERROR(VLOOKUP(September[[#This Row],[Drug Name3]],'Data Options'!$R$1:$S$100,2,FALSE), " ")</f>
        <v xml:space="preserve"> </v>
      </c>
      <c r="AG119" s="55"/>
      <c r="AH119" s="32"/>
      <c r="AI119" s="32"/>
      <c r="AJ119" s="55"/>
      <c r="AK119" s="32"/>
      <c r="AL119" s="32"/>
      <c r="AM119" s="32"/>
      <c r="AN119" s="32"/>
      <c r="AO119" s="32"/>
      <c r="AP119" s="31"/>
      <c r="AQ119" s="31"/>
      <c r="AR119" s="54"/>
      <c r="AS119" s="21" t="str">
        <f>IFERROR(VLOOKUP(September[[#This Row],[Drug Name4]],'Data Options'!$R$1:$S$100,2,FALSE), " ")</f>
        <v xml:space="preserve"> </v>
      </c>
      <c r="AT119" s="55"/>
      <c r="AU119" s="32"/>
      <c r="AV119" s="32"/>
      <c r="AW119" s="55"/>
      <c r="AX119" s="32"/>
      <c r="AY119" s="54"/>
      <c r="AZ119" s="21" t="str">
        <f>IFERROR(VLOOKUP(September[[#This Row],[Drug Name5]],'Data Options'!$R$1:$S$100,2,FALSE), " ")</f>
        <v xml:space="preserve"> </v>
      </c>
      <c r="BA119" s="55"/>
      <c r="BB119" s="32"/>
      <c r="BC119" s="32"/>
      <c r="BD119" s="55"/>
      <c r="BE119" s="32"/>
      <c r="BF119" s="54"/>
      <c r="BG119" s="21" t="str">
        <f>IFERROR(VLOOKUP(September[[#This Row],[Drug Name6]],'Data Options'!$R$1:$S$100,2,FALSE), " ")</f>
        <v xml:space="preserve"> </v>
      </c>
      <c r="BH119" s="55"/>
      <c r="BI119" s="32"/>
      <c r="BJ119" s="32"/>
      <c r="BK119" s="55"/>
      <c r="BL119" s="32"/>
      <c r="BM119" s="32"/>
      <c r="BN119" s="32"/>
      <c r="BO119" s="32"/>
      <c r="BP119" s="32"/>
      <c r="BQ119" s="31"/>
      <c r="BR119" s="31"/>
      <c r="BS119" s="54"/>
      <c r="BT119" s="21" t="str">
        <f>IFERROR(VLOOKUP(September[[#This Row],[Drug Name7]],'Data Options'!$R$1:$S$100,2,FALSE), " ")</f>
        <v xml:space="preserve"> </v>
      </c>
      <c r="BU119" s="55"/>
      <c r="BV119" s="32"/>
      <c r="BW119" s="32"/>
      <c r="BX119" s="55"/>
      <c r="BY119" s="32"/>
      <c r="BZ119" s="54"/>
      <c r="CA119" s="21" t="str">
        <f>IFERROR(VLOOKUP(September[[#This Row],[Drug Name8]],'Data Options'!$R$1:$S$100,2,FALSE), " ")</f>
        <v xml:space="preserve"> </v>
      </c>
      <c r="CB119" s="55"/>
      <c r="CC119" s="32"/>
      <c r="CD119" s="32"/>
      <c r="CE119" s="55"/>
      <c r="CF119" s="32"/>
      <c r="CG119" s="54"/>
      <c r="CH119" s="21" t="str">
        <f>IFERROR(VLOOKUP(September[[#This Row],[Drug Name9]],'Data Options'!$R$1:$S$100,2,FALSE), " ")</f>
        <v xml:space="preserve"> </v>
      </c>
      <c r="CI119" s="55"/>
      <c r="CJ119" s="32"/>
      <c r="CK119" s="32"/>
      <c r="CL119" s="55"/>
      <c r="CM119" s="32"/>
    </row>
    <row r="120" spans="1:91">
      <c r="A120" s="5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/>
      <c r="P120" s="31"/>
      <c r="Q120" s="54"/>
      <c r="R120" s="21" t="str">
        <f>IFERROR(VLOOKUP(September[[#This Row],[Drug Name]],'Data Options'!$R$1:$S$100,2,FALSE), " ")</f>
        <v xml:space="preserve"> </v>
      </c>
      <c r="S120" s="55"/>
      <c r="T120" s="32"/>
      <c r="U120" s="32"/>
      <c r="V120" s="55"/>
      <c r="W120" s="32"/>
      <c r="X120" s="54"/>
      <c r="Y120" s="21" t="str">
        <f>IFERROR(VLOOKUP(September[[#This Row],[Drug Name2]],'Data Options'!$R$1:$S$100,2,FALSE), " ")</f>
        <v xml:space="preserve"> </v>
      </c>
      <c r="Z120" s="55"/>
      <c r="AA120" s="32"/>
      <c r="AB120" s="32"/>
      <c r="AC120" s="55"/>
      <c r="AD120" s="32"/>
      <c r="AE120" s="54"/>
      <c r="AF120" s="21" t="str">
        <f>IFERROR(VLOOKUP(September[[#This Row],[Drug Name3]],'Data Options'!$R$1:$S$100,2,FALSE), " ")</f>
        <v xml:space="preserve"> </v>
      </c>
      <c r="AG120" s="55"/>
      <c r="AH120" s="32"/>
      <c r="AI120" s="32"/>
      <c r="AJ120" s="55"/>
      <c r="AK120" s="32"/>
      <c r="AL120" s="32"/>
      <c r="AM120" s="32"/>
      <c r="AN120" s="32"/>
      <c r="AO120" s="32"/>
      <c r="AP120" s="31"/>
      <c r="AQ120" s="31"/>
      <c r="AR120" s="54"/>
      <c r="AS120" s="21" t="str">
        <f>IFERROR(VLOOKUP(September[[#This Row],[Drug Name4]],'Data Options'!$R$1:$S$100,2,FALSE), " ")</f>
        <v xml:space="preserve"> </v>
      </c>
      <c r="AT120" s="55"/>
      <c r="AU120" s="32"/>
      <c r="AV120" s="32"/>
      <c r="AW120" s="55"/>
      <c r="AX120" s="32"/>
      <c r="AY120" s="54"/>
      <c r="AZ120" s="21" t="str">
        <f>IFERROR(VLOOKUP(September[[#This Row],[Drug Name5]],'Data Options'!$R$1:$S$100,2,FALSE), " ")</f>
        <v xml:space="preserve"> </v>
      </c>
      <c r="BA120" s="55"/>
      <c r="BB120" s="32"/>
      <c r="BC120" s="32"/>
      <c r="BD120" s="55"/>
      <c r="BE120" s="32"/>
      <c r="BF120" s="54"/>
      <c r="BG120" s="21" t="str">
        <f>IFERROR(VLOOKUP(September[[#This Row],[Drug Name6]],'Data Options'!$R$1:$S$100,2,FALSE), " ")</f>
        <v xml:space="preserve"> </v>
      </c>
      <c r="BH120" s="55"/>
      <c r="BI120" s="32"/>
      <c r="BJ120" s="32"/>
      <c r="BK120" s="55"/>
      <c r="BL120" s="32"/>
      <c r="BM120" s="32"/>
      <c r="BN120" s="32"/>
      <c r="BO120" s="32"/>
      <c r="BP120" s="32"/>
      <c r="BQ120" s="31"/>
      <c r="BR120" s="31"/>
      <c r="BS120" s="54"/>
      <c r="BT120" s="21" t="str">
        <f>IFERROR(VLOOKUP(September[[#This Row],[Drug Name7]],'Data Options'!$R$1:$S$100,2,FALSE), " ")</f>
        <v xml:space="preserve"> </v>
      </c>
      <c r="BU120" s="55"/>
      <c r="BV120" s="32"/>
      <c r="BW120" s="32"/>
      <c r="BX120" s="55"/>
      <c r="BY120" s="32"/>
      <c r="BZ120" s="54"/>
      <c r="CA120" s="21" t="str">
        <f>IFERROR(VLOOKUP(September[[#This Row],[Drug Name8]],'Data Options'!$R$1:$S$100,2,FALSE), " ")</f>
        <v xml:space="preserve"> </v>
      </c>
      <c r="CB120" s="55"/>
      <c r="CC120" s="32"/>
      <c r="CD120" s="32"/>
      <c r="CE120" s="55"/>
      <c r="CF120" s="32"/>
      <c r="CG120" s="54"/>
      <c r="CH120" s="21" t="str">
        <f>IFERROR(VLOOKUP(September[[#This Row],[Drug Name9]],'Data Options'!$R$1:$S$100,2,FALSE), " ")</f>
        <v xml:space="preserve"> </v>
      </c>
      <c r="CI120" s="55"/>
      <c r="CJ120" s="32"/>
      <c r="CK120" s="32"/>
      <c r="CL120" s="55"/>
      <c r="CM120" s="32"/>
    </row>
    <row r="121" spans="1:91">
      <c r="A121" s="5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1"/>
      <c r="P121" s="31"/>
      <c r="Q121" s="54"/>
      <c r="R121" s="21" t="str">
        <f>IFERROR(VLOOKUP(September[[#This Row],[Drug Name]],'Data Options'!$R$1:$S$100,2,FALSE), " ")</f>
        <v xml:space="preserve"> </v>
      </c>
      <c r="S121" s="55"/>
      <c r="T121" s="32"/>
      <c r="U121" s="32"/>
      <c r="V121" s="55"/>
      <c r="W121" s="32"/>
      <c r="X121" s="54"/>
      <c r="Y121" s="21" t="str">
        <f>IFERROR(VLOOKUP(September[[#This Row],[Drug Name2]],'Data Options'!$R$1:$S$100,2,FALSE), " ")</f>
        <v xml:space="preserve"> </v>
      </c>
      <c r="Z121" s="55"/>
      <c r="AA121" s="32"/>
      <c r="AB121" s="32"/>
      <c r="AC121" s="55"/>
      <c r="AD121" s="32"/>
      <c r="AE121" s="54"/>
      <c r="AF121" s="21" t="str">
        <f>IFERROR(VLOOKUP(September[[#This Row],[Drug Name3]],'Data Options'!$R$1:$S$100,2,FALSE), " ")</f>
        <v xml:space="preserve"> </v>
      </c>
      <c r="AG121" s="55"/>
      <c r="AH121" s="32"/>
      <c r="AI121" s="32"/>
      <c r="AJ121" s="55"/>
      <c r="AK121" s="32"/>
      <c r="AL121" s="32"/>
      <c r="AM121" s="32"/>
      <c r="AN121" s="32"/>
      <c r="AO121" s="32"/>
      <c r="AP121" s="31"/>
      <c r="AQ121" s="31"/>
      <c r="AR121" s="54"/>
      <c r="AS121" s="21" t="str">
        <f>IFERROR(VLOOKUP(September[[#This Row],[Drug Name4]],'Data Options'!$R$1:$S$100,2,FALSE), " ")</f>
        <v xml:space="preserve"> </v>
      </c>
      <c r="AT121" s="55"/>
      <c r="AU121" s="32"/>
      <c r="AV121" s="32"/>
      <c r="AW121" s="55"/>
      <c r="AX121" s="32"/>
      <c r="AY121" s="54"/>
      <c r="AZ121" s="21" t="str">
        <f>IFERROR(VLOOKUP(September[[#This Row],[Drug Name5]],'Data Options'!$R$1:$S$100,2,FALSE), " ")</f>
        <v xml:space="preserve"> </v>
      </c>
      <c r="BA121" s="55"/>
      <c r="BB121" s="32"/>
      <c r="BC121" s="32"/>
      <c r="BD121" s="55"/>
      <c r="BE121" s="32"/>
      <c r="BF121" s="54"/>
      <c r="BG121" s="21" t="str">
        <f>IFERROR(VLOOKUP(September[[#This Row],[Drug Name6]],'Data Options'!$R$1:$S$100,2,FALSE), " ")</f>
        <v xml:space="preserve"> </v>
      </c>
      <c r="BH121" s="55"/>
      <c r="BI121" s="32"/>
      <c r="BJ121" s="32"/>
      <c r="BK121" s="55"/>
      <c r="BL121" s="32"/>
      <c r="BM121" s="32"/>
      <c r="BN121" s="32"/>
      <c r="BO121" s="32"/>
      <c r="BP121" s="32"/>
      <c r="BQ121" s="31"/>
      <c r="BR121" s="31"/>
      <c r="BS121" s="54"/>
      <c r="BT121" s="21" t="str">
        <f>IFERROR(VLOOKUP(September[[#This Row],[Drug Name7]],'Data Options'!$R$1:$S$100,2,FALSE), " ")</f>
        <v xml:space="preserve"> </v>
      </c>
      <c r="BU121" s="55"/>
      <c r="BV121" s="32"/>
      <c r="BW121" s="32"/>
      <c r="BX121" s="55"/>
      <c r="BY121" s="32"/>
      <c r="BZ121" s="54"/>
      <c r="CA121" s="21" t="str">
        <f>IFERROR(VLOOKUP(September[[#This Row],[Drug Name8]],'Data Options'!$R$1:$S$100,2,FALSE), " ")</f>
        <v xml:space="preserve"> </v>
      </c>
      <c r="CB121" s="55"/>
      <c r="CC121" s="32"/>
      <c r="CD121" s="32"/>
      <c r="CE121" s="55"/>
      <c r="CF121" s="32"/>
      <c r="CG121" s="54"/>
      <c r="CH121" s="21" t="str">
        <f>IFERROR(VLOOKUP(September[[#This Row],[Drug Name9]],'Data Options'!$R$1:$S$100,2,FALSE), " ")</f>
        <v xml:space="preserve"> </v>
      </c>
      <c r="CI121" s="55"/>
      <c r="CJ121" s="32"/>
      <c r="CK121" s="32"/>
      <c r="CL121" s="55"/>
      <c r="CM121" s="32"/>
    </row>
    <row r="122" spans="1:91">
      <c r="A122" s="5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1"/>
      <c r="P122" s="31"/>
      <c r="Q122" s="54"/>
      <c r="R122" s="21" t="str">
        <f>IFERROR(VLOOKUP(September[[#This Row],[Drug Name]],'Data Options'!$R$1:$S$100,2,FALSE), " ")</f>
        <v xml:space="preserve"> </v>
      </c>
      <c r="S122" s="55"/>
      <c r="T122" s="32"/>
      <c r="U122" s="32"/>
      <c r="V122" s="55"/>
      <c r="W122" s="32"/>
      <c r="X122" s="54"/>
      <c r="Y122" s="21" t="str">
        <f>IFERROR(VLOOKUP(September[[#This Row],[Drug Name2]],'Data Options'!$R$1:$S$100,2,FALSE), " ")</f>
        <v xml:space="preserve"> </v>
      </c>
      <c r="Z122" s="55"/>
      <c r="AA122" s="32"/>
      <c r="AB122" s="32"/>
      <c r="AC122" s="55"/>
      <c r="AD122" s="32"/>
      <c r="AE122" s="54"/>
      <c r="AF122" s="21" t="str">
        <f>IFERROR(VLOOKUP(September[[#This Row],[Drug Name3]],'Data Options'!$R$1:$S$100,2,FALSE), " ")</f>
        <v xml:space="preserve"> </v>
      </c>
      <c r="AG122" s="55"/>
      <c r="AH122" s="32"/>
      <c r="AI122" s="32"/>
      <c r="AJ122" s="55"/>
      <c r="AK122" s="32"/>
      <c r="AL122" s="32"/>
      <c r="AM122" s="32"/>
      <c r="AN122" s="32"/>
      <c r="AO122" s="32"/>
      <c r="AP122" s="31"/>
      <c r="AQ122" s="31"/>
      <c r="AR122" s="54"/>
      <c r="AS122" s="21" t="str">
        <f>IFERROR(VLOOKUP(September[[#This Row],[Drug Name4]],'Data Options'!$R$1:$S$100,2,FALSE), " ")</f>
        <v xml:space="preserve"> </v>
      </c>
      <c r="AT122" s="55"/>
      <c r="AU122" s="32"/>
      <c r="AV122" s="32"/>
      <c r="AW122" s="55"/>
      <c r="AX122" s="32"/>
      <c r="AY122" s="54"/>
      <c r="AZ122" s="21" t="str">
        <f>IFERROR(VLOOKUP(September[[#This Row],[Drug Name5]],'Data Options'!$R$1:$S$100,2,FALSE), " ")</f>
        <v xml:space="preserve"> </v>
      </c>
      <c r="BA122" s="55"/>
      <c r="BB122" s="32"/>
      <c r="BC122" s="32"/>
      <c r="BD122" s="55"/>
      <c r="BE122" s="32"/>
      <c r="BF122" s="54"/>
      <c r="BG122" s="21" t="str">
        <f>IFERROR(VLOOKUP(September[[#This Row],[Drug Name6]],'Data Options'!$R$1:$S$100,2,FALSE), " ")</f>
        <v xml:space="preserve"> </v>
      </c>
      <c r="BH122" s="55"/>
      <c r="BI122" s="32"/>
      <c r="BJ122" s="32"/>
      <c r="BK122" s="55"/>
      <c r="BL122" s="32"/>
      <c r="BM122" s="32"/>
      <c r="BN122" s="32"/>
      <c r="BO122" s="32"/>
      <c r="BP122" s="32"/>
      <c r="BQ122" s="31"/>
      <c r="BR122" s="31"/>
      <c r="BS122" s="54"/>
      <c r="BT122" s="21" t="str">
        <f>IFERROR(VLOOKUP(September[[#This Row],[Drug Name7]],'Data Options'!$R$1:$S$100,2,FALSE), " ")</f>
        <v xml:space="preserve"> </v>
      </c>
      <c r="BU122" s="55"/>
      <c r="BV122" s="32"/>
      <c r="BW122" s="32"/>
      <c r="BX122" s="55"/>
      <c r="BY122" s="32"/>
      <c r="BZ122" s="54"/>
      <c r="CA122" s="21" t="str">
        <f>IFERROR(VLOOKUP(September[[#This Row],[Drug Name8]],'Data Options'!$R$1:$S$100,2,FALSE), " ")</f>
        <v xml:space="preserve"> </v>
      </c>
      <c r="CB122" s="55"/>
      <c r="CC122" s="32"/>
      <c r="CD122" s="32"/>
      <c r="CE122" s="55"/>
      <c r="CF122" s="32"/>
      <c r="CG122" s="54"/>
      <c r="CH122" s="21" t="str">
        <f>IFERROR(VLOOKUP(September[[#This Row],[Drug Name9]],'Data Options'!$R$1:$S$100,2,FALSE), " ")</f>
        <v xml:space="preserve"> </v>
      </c>
      <c r="CI122" s="55"/>
      <c r="CJ122" s="32"/>
      <c r="CK122" s="32"/>
      <c r="CL122" s="55"/>
      <c r="CM122" s="32"/>
    </row>
    <row r="123" spans="1:91">
      <c r="A123" s="5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1"/>
      <c r="P123" s="31"/>
      <c r="Q123" s="54"/>
      <c r="R123" s="21" t="str">
        <f>IFERROR(VLOOKUP(September[[#This Row],[Drug Name]],'Data Options'!$R$1:$S$100,2,FALSE), " ")</f>
        <v xml:space="preserve"> </v>
      </c>
      <c r="S123" s="55"/>
      <c r="T123" s="32"/>
      <c r="U123" s="32"/>
      <c r="V123" s="55"/>
      <c r="W123" s="32"/>
      <c r="X123" s="54"/>
      <c r="Y123" s="21" t="str">
        <f>IFERROR(VLOOKUP(September[[#This Row],[Drug Name2]],'Data Options'!$R$1:$S$100,2,FALSE), " ")</f>
        <v xml:space="preserve"> </v>
      </c>
      <c r="Z123" s="55"/>
      <c r="AA123" s="32"/>
      <c r="AB123" s="32"/>
      <c r="AC123" s="55"/>
      <c r="AD123" s="32"/>
      <c r="AE123" s="54"/>
      <c r="AF123" s="21" t="str">
        <f>IFERROR(VLOOKUP(September[[#This Row],[Drug Name3]],'Data Options'!$R$1:$S$100,2,FALSE), " ")</f>
        <v xml:space="preserve"> </v>
      </c>
      <c r="AG123" s="55"/>
      <c r="AH123" s="32"/>
      <c r="AI123" s="32"/>
      <c r="AJ123" s="55"/>
      <c r="AK123" s="32"/>
      <c r="AL123" s="32"/>
      <c r="AM123" s="32"/>
      <c r="AN123" s="32"/>
      <c r="AO123" s="32"/>
      <c r="AP123" s="31"/>
      <c r="AQ123" s="31"/>
      <c r="AR123" s="54"/>
      <c r="AS123" s="21" t="str">
        <f>IFERROR(VLOOKUP(September[[#This Row],[Drug Name4]],'Data Options'!$R$1:$S$100,2,FALSE), " ")</f>
        <v xml:space="preserve"> </v>
      </c>
      <c r="AT123" s="55"/>
      <c r="AU123" s="32"/>
      <c r="AV123" s="32"/>
      <c r="AW123" s="55"/>
      <c r="AX123" s="32"/>
      <c r="AY123" s="54"/>
      <c r="AZ123" s="21" t="str">
        <f>IFERROR(VLOOKUP(September[[#This Row],[Drug Name5]],'Data Options'!$R$1:$S$100,2,FALSE), " ")</f>
        <v xml:space="preserve"> </v>
      </c>
      <c r="BA123" s="55"/>
      <c r="BB123" s="32"/>
      <c r="BC123" s="32"/>
      <c r="BD123" s="55"/>
      <c r="BE123" s="32"/>
      <c r="BF123" s="54"/>
      <c r="BG123" s="21" t="str">
        <f>IFERROR(VLOOKUP(September[[#This Row],[Drug Name6]],'Data Options'!$R$1:$S$100,2,FALSE), " ")</f>
        <v xml:space="preserve"> </v>
      </c>
      <c r="BH123" s="55"/>
      <c r="BI123" s="32"/>
      <c r="BJ123" s="32"/>
      <c r="BK123" s="55"/>
      <c r="BL123" s="32"/>
      <c r="BM123" s="32"/>
      <c r="BN123" s="32"/>
      <c r="BO123" s="32"/>
      <c r="BP123" s="32"/>
      <c r="BQ123" s="31"/>
      <c r="BR123" s="31"/>
      <c r="BS123" s="54"/>
      <c r="BT123" s="21" t="str">
        <f>IFERROR(VLOOKUP(September[[#This Row],[Drug Name7]],'Data Options'!$R$1:$S$100,2,FALSE), " ")</f>
        <v xml:space="preserve"> </v>
      </c>
      <c r="BU123" s="55"/>
      <c r="BV123" s="32"/>
      <c r="BW123" s="32"/>
      <c r="BX123" s="55"/>
      <c r="BY123" s="32"/>
      <c r="BZ123" s="54"/>
      <c r="CA123" s="21" t="str">
        <f>IFERROR(VLOOKUP(September[[#This Row],[Drug Name8]],'Data Options'!$R$1:$S$100,2,FALSE), " ")</f>
        <v xml:space="preserve"> </v>
      </c>
      <c r="CB123" s="55"/>
      <c r="CC123" s="32"/>
      <c r="CD123" s="32"/>
      <c r="CE123" s="55"/>
      <c r="CF123" s="32"/>
      <c r="CG123" s="54"/>
      <c r="CH123" s="21" t="str">
        <f>IFERROR(VLOOKUP(September[[#This Row],[Drug Name9]],'Data Options'!$R$1:$S$100,2,FALSE), " ")</f>
        <v xml:space="preserve"> </v>
      </c>
      <c r="CI123" s="55"/>
      <c r="CJ123" s="32"/>
      <c r="CK123" s="32"/>
      <c r="CL123" s="55"/>
      <c r="CM123" s="32"/>
    </row>
    <row r="124" spans="1:91">
      <c r="A124" s="5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1"/>
      <c r="P124" s="31"/>
      <c r="Q124" s="54"/>
      <c r="R124" s="21" t="str">
        <f>IFERROR(VLOOKUP(September[[#This Row],[Drug Name]],'Data Options'!$R$1:$S$100,2,FALSE), " ")</f>
        <v xml:space="preserve"> </v>
      </c>
      <c r="S124" s="55"/>
      <c r="T124" s="32"/>
      <c r="U124" s="32"/>
      <c r="V124" s="55"/>
      <c r="W124" s="32"/>
      <c r="X124" s="54"/>
      <c r="Y124" s="21" t="str">
        <f>IFERROR(VLOOKUP(September[[#This Row],[Drug Name2]],'Data Options'!$R$1:$S$100,2,FALSE), " ")</f>
        <v xml:space="preserve"> </v>
      </c>
      <c r="Z124" s="55"/>
      <c r="AA124" s="32"/>
      <c r="AB124" s="32"/>
      <c r="AC124" s="55"/>
      <c r="AD124" s="32"/>
      <c r="AE124" s="54"/>
      <c r="AF124" s="21" t="str">
        <f>IFERROR(VLOOKUP(September[[#This Row],[Drug Name3]],'Data Options'!$R$1:$S$100,2,FALSE), " ")</f>
        <v xml:space="preserve"> </v>
      </c>
      <c r="AG124" s="55"/>
      <c r="AH124" s="32"/>
      <c r="AI124" s="32"/>
      <c r="AJ124" s="55"/>
      <c r="AK124" s="32"/>
      <c r="AL124" s="32"/>
      <c r="AM124" s="32"/>
      <c r="AN124" s="32"/>
      <c r="AO124" s="32"/>
      <c r="AP124" s="31"/>
      <c r="AQ124" s="31"/>
      <c r="AR124" s="54"/>
      <c r="AS124" s="21" t="str">
        <f>IFERROR(VLOOKUP(September[[#This Row],[Drug Name4]],'Data Options'!$R$1:$S$100,2,FALSE), " ")</f>
        <v xml:space="preserve"> </v>
      </c>
      <c r="AT124" s="55"/>
      <c r="AU124" s="32"/>
      <c r="AV124" s="32"/>
      <c r="AW124" s="55"/>
      <c r="AX124" s="32"/>
      <c r="AY124" s="54"/>
      <c r="AZ124" s="21" t="str">
        <f>IFERROR(VLOOKUP(September[[#This Row],[Drug Name5]],'Data Options'!$R$1:$S$100,2,FALSE), " ")</f>
        <v xml:space="preserve"> </v>
      </c>
      <c r="BA124" s="55"/>
      <c r="BB124" s="32"/>
      <c r="BC124" s="32"/>
      <c r="BD124" s="55"/>
      <c r="BE124" s="32"/>
      <c r="BF124" s="54"/>
      <c r="BG124" s="21" t="str">
        <f>IFERROR(VLOOKUP(September[[#This Row],[Drug Name6]],'Data Options'!$R$1:$S$100,2,FALSE), " ")</f>
        <v xml:space="preserve"> </v>
      </c>
      <c r="BH124" s="55"/>
      <c r="BI124" s="32"/>
      <c r="BJ124" s="32"/>
      <c r="BK124" s="55"/>
      <c r="BL124" s="32"/>
      <c r="BM124" s="32"/>
      <c r="BN124" s="32"/>
      <c r="BO124" s="32"/>
      <c r="BP124" s="32"/>
      <c r="BQ124" s="31"/>
      <c r="BR124" s="31"/>
      <c r="BS124" s="54"/>
      <c r="BT124" s="21" t="str">
        <f>IFERROR(VLOOKUP(September[[#This Row],[Drug Name7]],'Data Options'!$R$1:$S$100,2,FALSE), " ")</f>
        <v xml:space="preserve"> </v>
      </c>
      <c r="BU124" s="55"/>
      <c r="BV124" s="32"/>
      <c r="BW124" s="32"/>
      <c r="BX124" s="55"/>
      <c r="BY124" s="32"/>
      <c r="BZ124" s="54"/>
      <c r="CA124" s="21" t="str">
        <f>IFERROR(VLOOKUP(September[[#This Row],[Drug Name8]],'Data Options'!$R$1:$S$100,2,FALSE), " ")</f>
        <v xml:space="preserve"> </v>
      </c>
      <c r="CB124" s="55"/>
      <c r="CC124" s="32"/>
      <c r="CD124" s="32"/>
      <c r="CE124" s="55"/>
      <c r="CF124" s="32"/>
      <c r="CG124" s="54"/>
      <c r="CH124" s="21" t="str">
        <f>IFERROR(VLOOKUP(September[[#This Row],[Drug Name9]],'Data Options'!$R$1:$S$100,2,FALSE), " ")</f>
        <v xml:space="preserve"> </v>
      </c>
      <c r="CI124" s="55"/>
      <c r="CJ124" s="32"/>
      <c r="CK124" s="32"/>
      <c r="CL124" s="55"/>
      <c r="CM124" s="32"/>
    </row>
    <row r="125" spans="1:91">
      <c r="A125" s="5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1"/>
      <c r="P125" s="31"/>
      <c r="Q125" s="54"/>
      <c r="R125" s="21" t="str">
        <f>IFERROR(VLOOKUP(September[[#This Row],[Drug Name]],'Data Options'!$R$1:$S$100,2,FALSE), " ")</f>
        <v xml:space="preserve"> </v>
      </c>
      <c r="S125" s="55"/>
      <c r="T125" s="32"/>
      <c r="U125" s="32"/>
      <c r="V125" s="55"/>
      <c r="W125" s="32"/>
      <c r="X125" s="54"/>
      <c r="Y125" s="21" t="str">
        <f>IFERROR(VLOOKUP(September[[#This Row],[Drug Name2]],'Data Options'!$R$1:$S$100,2,FALSE), " ")</f>
        <v xml:space="preserve"> </v>
      </c>
      <c r="Z125" s="55"/>
      <c r="AA125" s="32"/>
      <c r="AB125" s="32"/>
      <c r="AC125" s="55"/>
      <c r="AD125" s="32"/>
      <c r="AE125" s="54"/>
      <c r="AF125" s="21" t="str">
        <f>IFERROR(VLOOKUP(September[[#This Row],[Drug Name3]],'Data Options'!$R$1:$S$100,2,FALSE), " ")</f>
        <v xml:space="preserve"> </v>
      </c>
      <c r="AG125" s="55"/>
      <c r="AH125" s="32"/>
      <c r="AI125" s="32"/>
      <c r="AJ125" s="55"/>
      <c r="AK125" s="32"/>
      <c r="AL125" s="32"/>
      <c r="AM125" s="32"/>
      <c r="AN125" s="32"/>
      <c r="AO125" s="32"/>
      <c r="AP125" s="31"/>
      <c r="AQ125" s="31"/>
      <c r="AR125" s="54"/>
      <c r="AS125" s="21" t="str">
        <f>IFERROR(VLOOKUP(September[[#This Row],[Drug Name4]],'Data Options'!$R$1:$S$100,2,FALSE), " ")</f>
        <v xml:space="preserve"> </v>
      </c>
      <c r="AT125" s="55"/>
      <c r="AU125" s="32"/>
      <c r="AV125" s="32"/>
      <c r="AW125" s="55"/>
      <c r="AX125" s="32"/>
      <c r="AY125" s="54"/>
      <c r="AZ125" s="21" t="str">
        <f>IFERROR(VLOOKUP(September[[#This Row],[Drug Name5]],'Data Options'!$R$1:$S$100,2,FALSE), " ")</f>
        <v xml:space="preserve"> </v>
      </c>
      <c r="BA125" s="55"/>
      <c r="BB125" s="32"/>
      <c r="BC125" s="32"/>
      <c r="BD125" s="55"/>
      <c r="BE125" s="32"/>
      <c r="BF125" s="54"/>
      <c r="BG125" s="21" t="str">
        <f>IFERROR(VLOOKUP(September[[#This Row],[Drug Name6]],'Data Options'!$R$1:$S$100,2,FALSE), " ")</f>
        <v xml:space="preserve"> </v>
      </c>
      <c r="BH125" s="55"/>
      <c r="BI125" s="32"/>
      <c r="BJ125" s="32"/>
      <c r="BK125" s="55"/>
      <c r="BL125" s="32"/>
      <c r="BM125" s="32"/>
      <c r="BN125" s="32"/>
      <c r="BO125" s="32"/>
      <c r="BP125" s="32"/>
      <c r="BQ125" s="31"/>
      <c r="BR125" s="31"/>
      <c r="BS125" s="54"/>
      <c r="BT125" s="21" t="str">
        <f>IFERROR(VLOOKUP(September[[#This Row],[Drug Name7]],'Data Options'!$R$1:$S$100,2,FALSE), " ")</f>
        <v xml:space="preserve"> </v>
      </c>
      <c r="BU125" s="55"/>
      <c r="BV125" s="32"/>
      <c r="BW125" s="32"/>
      <c r="BX125" s="55"/>
      <c r="BY125" s="32"/>
      <c r="BZ125" s="54"/>
      <c r="CA125" s="21" t="str">
        <f>IFERROR(VLOOKUP(September[[#This Row],[Drug Name8]],'Data Options'!$R$1:$S$100,2,FALSE), " ")</f>
        <v xml:space="preserve"> </v>
      </c>
      <c r="CB125" s="55"/>
      <c r="CC125" s="32"/>
      <c r="CD125" s="32"/>
      <c r="CE125" s="55"/>
      <c r="CF125" s="32"/>
      <c r="CG125" s="54"/>
      <c r="CH125" s="21" t="str">
        <f>IFERROR(VLOOKUP(September[[#This Row],[Drug Name9]],'Data Options'!$R$1:$S$100,2,FALSE), " ")</f>
        <v xml:space="preserve"> </v>
      </c>
      <c r="CI125" s="55"/>
      <c r="CJ125" s="32"/>
      <c r="CK125" s="32"/>
      <c r="CL125" s="55"/>
      <c r="CM125" s="32"/>
    </row>
    <row r="126" spans="1:91">
      <c r="A126" s="5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1"/>
      <c r="P126" s="31"/>
      <c r="Q126" s="54"/>
      <c r="R126" s="21" t="str">
        <f>IFERROR(VLOOKUP(September[[#This Row],[Drug Name]],'Data Options'!$R$1:$S$100,2,FALSE), " ")</f>
        <v xml:space="preserve"> </v>
      </c>
      <c r="S126" s="55"/>
      <c r="T126" s="32"/>
      <c r="U126" s="32"/>
      <c r="V126" s="55"/>
      <c r="W126" s="32"/>
      <c r="X126" s="54"/>
      <c r="Y126" s="21" t="str">
        <f>IFERROR(VLOOKUP(September[[#This Row],[Drug Name2]],'Data Options'!$R$1:$S$100,2,FALSE), " ")</f>
        <v xml:space="preserve"> </v>
      </c>
      <c r="Z126" s="55"/>
      <c r="AA126" s="32"/>
      <c r="AB126" s="32"/>
      <c r="AC126" s="55"/>
      <c r="AD126" s="32"/>
      <c r="AE126" s="54"/>
      <c r="AF126" s="21" t="str">
        <f>IFERROR(VLOOKUP(September[[#This Row],[Drug Name3]],'Data Options'!$R$1:$S$100,2,FALSE), " ")</f>
        <v xml:space="preserve"> </v>
      </c>
      <c r="AG126" s="55"/>
      <c r="AH126" s="32"/>
      <c r="AI126" s="32"/>
      <c r="AJ126" s="55"/>
      <c r="AK126" s="32"/>
      <c r="AL126" s="32"/>
      <c r="AM126" s="32"/>
      <c r="AN126" s="32"/>
      <c r="AO126" s="32"/>
      <c r="AP126" s="31"/>
      <c r="AQ126" s="31"/>
      <c r="AR126" s="54"/>
      <c r="AS126" s="21" t="str">
        <f>IFERROR(VLOOKUP(September[[#This Row],[Drug Name4]],'Data Options'!$R$1:$S$100,2,FALSE), " ")</f>
        <v xml:space="preserve"> </v>
      </c>
      <c r="AT126" s="55"/>
      <c r="AU126" s="32"/>
      <c r="AV126" s="32"/>
      <c r="AW126" s="55"/>
      <c r="AX126" s="32"/>
      <c r="AY126" s="54"/>
      <c r="AZ126" s="21" t="str">
        <f>IFERROR(VLOOKUP(September[[#This Row],[Drug Name5]],'Data Options'!$R$1:$S$100,2,FALSE), " ")</f>
        <v xml:space="preserve"> </v>
      </c>
      <c r="BA126" s="55"/>
      <c r="BB126" s="32"/>
      <c r="BC126" s="32"/>
      <c r="BD126" s="55"/>
      <c r="BE126" s="32"/>
      <c r="BF126" s="54"/>
      <c r="BG126" s="21" t="str">
        <f>IFERROR(VLOOKUP(September[[#This Row],[Drug Name6]],'Data Options'!$R$1:$S$100,2,FALSE), " ")</f>
        <v xml:space="preserve"> </v>
      </c>
      <c r="BH126" s="55"/>
      <c r="BI126" s="32"/>
      <c r="BJ126" s="32"/>
      <c r="BK126" s="55"/>
      <c r="BL126" s="32"/>
      <c r="BM126" s="32"/>
      <c r="BN126" s="32"/>
      <c r="BO126" s="32"/>
      <c r="BP126" s="32"/>
      <c r="BQ126" s="31"/>
      <c r="BR126" s="31"/>
      <c r="BS126" s="54"/>
      <c r="BT126" s="21" t="str">
        <f>IFERROR(VLOOKUP(September[[#This Row],[Drug Name7]],'Data Options'!$R$1:$S$100,2,FALSE), " ")</f>
        <v xml:space="preserve"> </v>
      </c>
      <c r="BU126" s="55"/>
      <c r="BV126" s="32"/>
      <c r="BW126" s="32"/>
      <c r="BX126" s="55"/>
      <c r="BY126" s="32"/>
      <c r="BZ126" s="54"/>
      <c r="CA126" s="21" t="str">
        <f>IFERROR(VLOOKUP(September[[#This Row],[Drug Name8]],'Data Options'!$R$1:$S$100,2,FALSE), " ")</f>
        <v xml:space="preserve"> </v>
      </c>
      <c r="CB126" s="55"/>
      <c r="CC126" s="32"/>
      <c r="CD126" s="32"/>
      <c r="CE126" s="55"/>
      <c r="CF126" s="32"/>
      <c r="CG126" s="54"/>
      <c r="CH126" s="21" t="str">
        <f>IFERROR(VLOOKUP(September[[#This Row],[Drug Name9]],'Data Options'!$R$1:$S$100,2,FALSE), " ")</f>
        <v xml:space="preserve"> </v>
      </c>
      <c r="CI126" s="55"/>
      <c r="CJ126" s="32"/>
      <c r="CK126" s="32"/>
      <c r="CL126" s="55"/>
      <c r="CM126" s="32"/>
    </row>
    <row r="127" spans="1:91">
      <c r="A127" s="5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1"/>
      <c r="P127" s="31"/>
      <c r="Q127" s="54"/>
      <c r="R127" s="21" t="str">
        <f>IFERROR(VLOOKUP(September[[#This Row],[Drug Name]],'Data Options'!$R$1:$S$100,2,FALSE), " ")</f>
        <v xml:space="preserve"> </v>
      </c>
      <c r="S127" s="55"/>
      <c r="T127" s="32"/>
      <c r="U127" s="32"/>
      <c r="V127" s="55"/>
      <c r="W127" s="32"/>
      <c r="X127" s="54"/>
      <c r="Y127" s="21" t="str">
        <f>IFERROR(VLOOKUP(September[[#This Row],[Drug Name2]],'Data Options'!$R$1:$S$100,2,FALSE), " ")</f>
        <v xml:space="preserve"> </v>
      </c>
      <c r="Z127" s="55"/>
      <c r="AA127" s="32"/>
      <c r="AB127" s="32"/>
      <c r="AC127" s="55"/>
      <c r="AD127" s="32"/>
      <c r="AE127" s="54"/>
      <c r="AF127" s="21" t="str">
        <f>IFERROR(VLOOKUP(September[[#This Row],[Drug Name3]],'Data Options'!$R$1:$S$100,2,FALSE), " ")</f>
        <v xml:space="preserve"> </v>
      </c>
      <c r="AG127" s="55"/>
      <c r="AH127" s="32"/>
      <c r="AI127" s="32"/>
      <c r="AJ127" s="55"/>
      <c r="AK127" s="32"/>
      <c r="AL127" s="32"/>
      <c r="AM127" s="32"/>
      <c r="AN127" s="32"/>
      <c r="AO127" s="32"/>
      <c r="AP127" s="31"/>
      <c r="AQ127" s="31"/>
      <c r="AR127" s="54"/>
      <c r="AS127" s="21" t="str">
        <f>IFERROR(VLOOKUP(September[[#This Row],[Drug Name4]],'Data Options'!$R$1:$S$100,2,FALSE), " ")</f>
        <v xml:space="preserve"> </v>
      </c>
      <c r="AT127" s="55"/>
      <c r="AU127" s="32"/>
      <c r="AV127" s="32"/>
      <c r="AW127" s="55"/>
      <c r="AX127" s="32"/>
      <c r="AY127" s="54"/>
      <c r="AZ127" s="21" t="str">
        <f>IFERROR(VLOOKUP(September[[#This Row],[Drug Name5]],'Data Options'!$R$1:$S$100,2,FALSE), " ")</f>
        <v xml:space="preserve"> </v>
      </c>
      <c r="BA127" s="55"/>
      <c r="BB127" s="32"/>
      <c r="BC127" s="32"/>
      <c r="BD127" s="55"/>
      <c r="BE127" s="32"/>
      <c r="BF127" s="54"/>
      <c r="BG127" s="21" t="str">
        <f>IFERROR(VLOOKUP(September[[#This Row],[Drug Name6]],'Data Options'!$R$1:$S$100,2,FALSE), " ")</f>
        <v xml:space="preserve"> </v>
      </c>
      <c r="BH127" s="55"/>
      <c r="BI127" s="32"/>
      <c r="BJ127" s="32"/>
      <c r="BK127" s="55"/>
      <c r="BL127" s="32"/>
      <c r="BM127" s="32"/>
      <c r="BN127" s="32"/>
      <c r="BO127" s="32"/>
      <c r="BP127" s="32"/>
      <c r="BQ127" s="31"/>
      <c r="BR127" s="31"/>
      <c r="BS127" s="54"/>
      <c r="BT127" s="21" t="str">
        <f>IFERROR(VLOOKUP(September[[#This Row],[Drug Name7]],'Data Options'!$R$1:$S$100,2,FALSE), " ")</f>
        <v xml:space="preserve"> </v>
      </c>
      <c r="BU127" s="55"/>
      <c r="BV127" s="32"/>
      <c r="BW127" s="32"/>
      <c r="BX127" s="55"/>
      <c r="BY127" s="32"/>
      <c r="BZ127" s="54"/>
      <c r="CA127" s="21" t="str">
        <f>IFERROR(VLOOKUP(September[[#This Row],[Drug Name8]],'Data Options'!$R$1:$S$100,2,FALSE), " ")</f>
        <v xml:space="preserve"> </v>
      </c>
      <c r="CB127" s="55"/>
      <c r="CC127" s="32"/>
      <c r="CD127" s="32"/>
      <c r="CE127" s="55"/>
      <c r="CF127" s="32"/>
      <c r="CG127" s="54"/>
      <c r="CH127" s="21" t="str">
        <f>IFERROR(VLOOKUP(September[[#This Row],[Drug Name9]],'Data Options'!$R$1:$S$100,2,FALSE), " ")</f>
        <v xml:space="preserve"> </v>
      </c>
      <c r="CI127" s="55"/>
      <c r="CJ127" s="32"/>
      <c r="CK127" s="32"/>
      <c r="CL127" s="55"/>
      <c r="CM127" s="32"/>
    </row>
    <row r="128" spans="1:91">
      <c r="A128" s="5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1"/>
      <c r="P128" s="31"/>
      <c r="Q128" s="54"/>
      <c r="R128" s="21" t="str">
        <f>IFERROR(VLOOKUP(September[[#This Row],[Drug Name]],'Data Options'!$R$1:$S$100,2,FALSE), " ")</f>
        <v xml:space="preserve"> </v>
      </c>
      <c r="S128" s="55"/>
      <c r="T128" s="32"/>
      <c r="U128" s="32"/>
      <c r="V128" s="55"/>
      <c r="W128" s="32"/>
      <c r="X128" s="54"/>
      <c r="Y128" s="21" t="str">
        <f>IFERROR(VLOOKUP(September[[#This Row],[Drug Name2]],'Data Options'!$R$1:$S$100,2,FALSE), " ")</f>
        <v xml:space="preserve"> </v>
      </c>
      <c r="Z128" s="55"/>
      <c r="AA128" s="32"/>
      <c r="AB128" s="32"/>
      <c r="AC128" s="55"/>
      <c r="AD128" s="32"/>
      <c r="AE128" s="54"/>
      <c r="AF128" s="21" t="str">
        <f>IFERROR(VLOOKUP(September[[#This Row],[Drug Name3]],'Data Options'!$R$1:$S$100,2,FALSE), " ")</f>
        <v xml:space="preserve"> </v>
      </c>
      <c r="AG128" s="55"/>
      <c r="AH128" s="32"/>
      <c r="AI128" s="32"/>
      <c r="AJ128" s="55"/>
      <c r="AK128" s="32"/>
      <c r="AL128" s="32"/>
      <c r="AM128" s="32"/>
      <c r="AN128" s="32"/>
      <c r="AO128" s="32"/>
      <c r="AP128" s="31"/>
      <c r="AQ128" s="31"/>
      <c r="AR128" s="54"/>
      <c r="AS128" s="21" t="str">
        <f>IFERROR(VLOOKUP(September[[#This Row],[Drug Name4]],'Data Options'!$R$1:$S$100,2,FALSE), " ")</f>
        <v xml:space="preserve"> </v>
      </c>
      <c r="AT128" s="55"/>
      <c r="AU128" s="32"/>
      <c r="AV128" s="32"/>
      <c r="AW128" s="55"/>
      <c r="AX128" s="32"/>
      <c r="AY128" s="54"/>
      <c r="AZ128" s="21" t="str">
        <f>IFERROR(VLOOKUP(September[[#This Row],[Drug Name5]],'Data Options'!$R$1:$S$100,2,FALSE), " ")</f>
        <v xml:space="preserve"> </v>
      </c>
      <c r="BA128" s="55"/>
      <c r="BB128" s="32"/>
      <c r="BC128" s="32"/>
      <c r="BD128" s="55"/>
      <c r="BE128" s="32"/>
      <c r="BF128" s="54"/>
      <c r="BG128" s="21" t="str">
        <f>IFERROR(VLOOKUP(September[[#This Row],[Drug Name6]],'Data Options'!$R$1:$S$100,2,FALSE), " ")</f>
        <v xml:space="preserve"> </v>
      </c>
      <c r="BH128" s="55"/>
      <c r="BI128" s="32"/>
      <c r="BJ128" s="32"/>
      <c r="BK128" s="55"/>
      <c r="BL128" s="32"/>
      <c r="BM128" s="32"/>
      <c r="BN128" s="32"/>
      <c r="BO128" s="32"/>
      <c r="BP128" s="32"/>
      <c r="BQ128" s="31"/>
      <c r="BR128" s="31"/>
      <c r="BS128" s="54"/>
      <c r="BT128" s="21" t="str">
        <f>IFERROR(VLOOKUP(September[[#This Row],[Drug Name7]],'Data Options'!$R$1:$S$100,2,FALSE), " ")</f>
        <v xml:space="preserve"> </v>
      </c>
      <c r="BU128" s="55"/>
      <c r="BV128" s="32"/>
      <c r="BW128" s="32"/>
      <c r="BX128" s="55"/>
      <c r="BY128" s="32"/>
      <c r="BZ128" s="54"/>
      <c r="CA128" s="21" t="str">
        <f>IFERROR(VLOOKUP(September[[#This Row],[Drug Name8]],'Data Options'!$R$1:$S$100,2,FALSE), " ")</f>
        <v xml:space="preserve"> </v>
      </c>
      <c r="CB128" s="55"/>
      <c r="CC128" s="32"/>
      <c r="CD128" s="32"/>
      <c r="CE128" s="55"/>
      <c r="CF128" s="32"/>
      <c r="CG128" s="54"/>
      <c r="CH128" s="21" t="str">
        <f>IFERROR(VLOOKUP(September[[#This Row],[Drug Name9]],'Data Options'!$R$1:$S$100,2,FALSE), " ")</f>
        <v xml:space="preserve"> </v>
      </c>
      <c r="CI128" s="55"/>
      <c r="CJ128" s="32"/>
      <c r="CK128" s="32"/>
      <c r="CL128" s="55"/>
      <c r="CM128" s="32"/>
    </row>
    <row r="129" spans="1:91">
      <c r="A129" s="5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1"/>
      <c r="P129" s="31"/>
      <c r="Q129" s="54"/>
      <c r="R129" s="21" t="str">
        <f>IFERROR(VLOOKUP(September[[#This Row],[Drug Name]],'Data Options'!$R$1:$S$100,2,FALSE), " ")</f>
        <v xml:space="preserve"> </v>
      </c>
      <c r="S129" s="55"/>
      <c r="T129" s="32"/>
      <c r="U129" s="32"/>
      <c r="V129" s="55"/>
      <c r="W129" s="32"/>
      <c r="X129" s="54"/>
      <c r="Y129" s="21" t="str">
        <f>IFERROR(VLOOKUP(September[[#This Row],[Drug Name2]],'Data Options'!$R$1:$S$100,2,FALSE), " ")</f>
        <v xml:space="preserve"> </v>
      </c>
      <c r="Z129" s="55"/>
      <c r="AA129" s="32"/>
      <c r="AB129" s="32"/>
      <c r="AC129" s="55"/>
      <c r="AD129" s="32"/>
      <c r="AE129" s="54"/>
      <c r="AF129" s="21" t="str">
        <f>IFERROR(VLOOKUP(September[[#This Row],[Drug Name3]],'Data Options'!$R$1:$S$100,2,FALSE), " ")</f>
        <v xml:space="preserve"> </v>
      </c>
      <c r="AG129" s="55"/>
      <c r="AH129" s="32"/>
      <c r="AI129" s="32"/>
      <c r="AJ129" s="55"/>
      <c r="AK129" s="32"/>
      <c r="AL129" s="32"/>
      <c r="AM129" s="32"/>
      <c r="AN129" s="32"/>
      <c r="AO129" s="32"/>
      <c r="AP129" s="31"/>
      <c r="AQ129" s="31"/>
      <c r="AR129" s="54"/>
      <c r="AS129" s="21" t="str">
        <f>IFERROR(VLOOKUP(September[[#This Row],[Drug Name4]],'Data Options'!$R$1:$S$100,2,FALSE), " ")</f>
        <v xml:space="preserve"> </v>
      </c>
      <c r="AT129" s="55"/>
      <c r="AU129" s="32"/>
      <c r="AV129" s="32"/>
      <c r="AW129" s="55"/>
      <c r="AX129" s="32"/>
      <c r="AY129" s="54"/>
      <c r="AZ129" s="21" t="str">
        <f>IFERROR(VLOOKUP(September[[#This Row],[Drug Name5]],'Data Options'!$R$1:$S$100,2,FALSE), " ")</f>
        <v xml:space="preserve"> </v>
      </c>
      <c r="BA129" s="55"/>
      <c r="BB129" s="32"/>
      <c r="BC129" s="32"/>
      <c r="BD129" s="55"/>
      <c r="BE129" s="32"/>
      <c r="BF129" s="54"/>
      <c r="BG129" s="21" t="str">
        <f>IFERROR(VLOOKUP(September[[#This Row],[Drug Name6]],'Data Options'!$R$1:$S$100,2,FALSE), " ")</f>
        <v xml:space="preserve"> </v>
      </c>
      <c r="BH129" s="55"/>
      <c r="BI129" s="32"/>
      <c r="BJ129" s="32"/>
      <c r="BK129" s="55"/>
      <c r="BL129" s="32"/>
      <c r="BM129" s="32"/>
      <c r="BN129" s="32"/>
      <c r="BO129" s="32"/>
      <c r="BP129" s="32"/>
      <c r="BQ129" s="31"/>
      <c r="BR129" s="31"/>
      <c r="BS129" s="54"/>
      <c r="BT129" s="21" t="str">
        <f>IFERROR(VLOOKUP(September[[#This Row],[Drug Name7]],'Data Options'!$R$1:$S$100,2,FALSE), " ")</f>
        <v xml:space="preserve"> </v>
      </c>
      <c r="BU129" s="55"/>
      <c r="BV129" s="32"/>
      <c r="BW129" s="32"/>
      <c r="BX129" s="55"/>
      <c r="BY129" s="32"/>
      <c r="BZ129" s="54"/>
      <c r="CA129" s="21" t="str">
        <f>IFERROR(VLOOKUP(September[[#This Row],[Drug Name8]],'Data Options'!$R$1:$S$100,2,FALSE), " ")</f>
        <v xml:space="preserve"> </v>
      </c>
      <c r="CB129" s="55"/>
      <c r="CC129" s="32"/>
      <c r="CD129" s="32"/>
      <c r="CE129" s="55"/>
      <c r="CF129" s="32"/>
      <c r="CG129" s="54"/>
      <c r="CH129" s="21" t="str">
        <f>IFERROR(VLOOKUP(September[[#This Row],[Drug Name9]],'Data Options'!$R$1:$S$100,2,FALSE), " ")</f>
        <v xml:space="preserve"> </v>
      </c>
      <c r="CI129" s="55"/>
      <c r="CJ129" s="32"/>
      <c r="CK129" s="32"/>
      <c r="CL129" s="55"/>
      <c r="CM129" s="32"/>
    </row>
    <row r="130" spans="1:91">
      <c r="A130" s="5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1"/>
      <c r="P130" s="31"/>
      <c r="Q130" s="54"/>
      <c r="R130" s="21" t="str">
        <f>IFERROR(VLOOKUP(September[[#This Row],[Drug Name]],'Data Options'!$R$1:$S$100,2,FALSE), " ")</f>
        <v xml:space="preserve"> </v>
      </c>
      <c r="S130" s="55"/>
      <c r="T130" s="32"/>
      <c r="U130" s="32"/>
      <c r="V130" s="55"/>
      <c r="W130" s="32"/>
      <c r="X130" s="54"/>
      <c r="Y130" s="21" t="str">
        <f>IFERROR(VLOOKUP(September[[#This Row],[Drug Name2]],'Data Options'!$R$1:$S$100,2,FALSE), " ")</f>
        <v xml:space="preserve"> </v>
      </c>
      <c r="Z130" s="55"/>
      <c r="AA130" s="32"/>
      <c r="AB130" s="32"/>
      <c r="AC130" s="55"/>
      <c r="AD130" s="32"/>
      <c r="AE130" s="54"/>
      <c r="AF130" s="21" t="str">
        <f>IFERROR(VLOOKUP(September[[#This Row],[Drug Name3]],'Data Options'!$R$1:$S$100,2,FALSE), " ")</f>
        <v xml:space="preserve"> </v>
      </c>
      <c r="AG130" s="55"/>
      <c r="AH130" s="32"/>
      <c r="AI130" s="32"/>
      <c r="AJ130" s="55"/>
      <c r="AK130" s="32"/>
      <c r="AL130" s="32"/>
      <c r="AM130" s="32"/>
      <c r="AN130" s="32"/>
      <c r="AO130" s="32"/>
      <c r="AP130" s="31"/>
      <c r="AQ130" s="31"/>
      <c r="AR130" s="54"/>
      <c r="AS130" s="21" t="str">
        <f>IFERROR(VLOOKUP(September[[#This Row],[Drug Name4]],'Data Options'!$R$1:$S$100,2,FALSE), " ")</f>
        <v xml:space="preserve"> </v>
      </c>
      <c r="AT130" s="55"/>
      <c r="AU130" s="32"/>
      <c r="AV130" s="32"/>
      <c r="AW130" s="55"/>
      <c r="AX130" s="32"/>
      <c r="AY130" s="54"/>
      <c r="AZ130" s="21" t="str">
        <f>IFERROR(VLOOKUP(September[[#This Row],[Drug Name5]],'Data Options'!$R$1:$S$100,2,FALSE), " ")</f>
        <v xml:space="preserve"> </v>
      </c>
      <c r="BA130" s="55"/>
      <c r="BB130" s="32"/>
      <c r="BC130" s="32"/>
      <c r="BD130" s="55"/>
      <c r="BE130" s="32"/>
      <c r="BF130" s="54"/>
      <c r="BG130" s="21" t="str">
        <f>IFERROR(VLOOKUP(September[[#This Row],[Drug Name6]],'Data Options'!$R$1:$S$100,2,FALSE), " ")</f>
        <v xml:space="preserve"> </v>
      </c>
      <c r="BH130" s="55"/>
      <c r="BI130" s="32"/>
      <c r="BJ130" s="32"/>
      <c r="BK130" s="55"/>
      <c r="BL130" s="32"/>
      <c r="BM130" s="32"/>
      <c r="BN130" s="32"/>
      <c r="BO130" s="32"/>
      <c r="BP130" s="32"/>
      <c r="BQ130" s="31"/>
      <c r="BR130" s="31"/>
      <c r="BS130" s="54"/>
      <c r="BT130" s="21" t="str">
        <f>IFERROR(VLOOKUP(September[[#This Row],[Drug Name7]],'Data Options'!$R$1:$S$100,2,FALSE), " ")</f>
        <v xml:space="preserve"> </v>
      </c>
      <c r="BU130" s="55"/>
      <c r="BV130" s="32"/>
      <c r="BW130" s="32"/>
      <c r="BX130" s="55"/>
      <c r="BY130" s="32"/>
      <c r="BZ130" s="54"/>
      <c r="CA130" s="21" t="str">
        <f>IFERROR(VLOOKUP(September[[#This Row],[Drug Name8]],'Data Options'!$R$1:$S$100,2,FALSE), " ")</f>
        <v xml:space="preserve"> </v>
      </c>
      <c r="CB130" s="55"/>
      <c r="CC130" s="32"/>
      <c r="CD130" s="32"/>
      <c r="CE130" s="55"/>
      <c r="CF130" s="32"/>
      <c r="CG130" s="54"/>
      <c r="CH130" s="21" t="str">
        <f>IFERROR(VLOOKUP(September[[#This Row],[Drug Name9]],'Data Options'!$R$1:$S$100,2,FALSE), " ")</f>
        <v xml:space="preserve"> </v>
      </c>
      <c r="CI130" s="55"/>
      <c r="CJ130" s="32"/>
      <c r="CK130" s="32"/>
      <c r="CL130" s="55"/>
      <c r="CM130" s="32"/>
    </row>
    <row r="131" spans="1:91">
      <c r="A131" s="5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1"/>
      <c r="P131" s="31"/>
      <c r="Q131" s="54"/>
      <c r="R131" s="21" t="str">
        <f>IFERROR(VLOOKUP(September[[#This Row],[Drug Name]],'Data Options'!$R$1:$S$100,2,FALSE), " ")</f>
        <v xml:space="preserve"> </v>
      </c>
      <c r="S131" s="55"/>
      <c r="T131" s="32"/>
      <c r="U131" s="32"/>
      <c r="V131" s="55"/>
      <c r="W131" s="32"/>
      <c r="X131" s="54"/>
      <c r="Y131" s="21" t="str">
        <f>IFERROR(VLOOKUP(September[[#This Row],[Drug Name2]],'Data Options'!$R$1:$S$100,2,FALSE), " ")</f>
        <v xml:space="preserve"> </v>
      </c>
      <c r="Z131" s="55"/>
      <c r="AA131" s="32"/>
      <c r="AB131" s="32"/>
      <c r="AC131" s="55"/>
      <c r="AD131" s="32"/>
      <c r="AE131" s="54"/>
      <c r="AF131" s="21" t="str">
        <f>IFERROR(VLOOKUP(September[[#This Row],[Drug Name3]],'Data Options'!$R$1:$S$100,2,FALSE), " ")</f>
        <v xml:space="preserve"> </v>
      </c>
      <c r="AG131" s="55"/>
      <c r="AH131" s="32"/>
      <c r="AI131" s="32"/>
      <c r="AJ131" s="55"/>
      <c r="AK131" s="32"/>
      <c r="AL131" s="32"/>
      <c r="AM131" s="32"/>
      <c r="AN131" s="32"/>
      <c r="AO131" s="32"/>
      <c r="AP131" s="31"/>
      <c r="AQ131" s="31"/>
      <c r="AR131" s="54"/>
      <c r="AS131" s="21" t="str">
        <f>IFERROR(VLOOKUP(September[[#This Row],[Drug Name4]],'Data Options'!$R$1:$S$100,2,FALSE), " ")</f>
        <v xml:space="preserve"> </v>
      </c>
      <c r="AT131" s="55"/>
      <c r="AU131" s="32"/>
      <c r="AV131" s="32"/>
      <c r="AW131" s="55"/>
      <c r="AX131" s="32"/>
      <c r="AY131" s="54"/>
      <c r="AZ131" s="21" t="str">
        <f>IFERROR(VLOOKUP(September[[#This Row],[Drug Name5]],'Data Options'!$R$1:$S$100,2,FALSE), " ")</f>
        <v xml:space="preserve"> </v>
      </c>
      <c r="BA131" s="55"/>
      <c r="BB131" s="32"/>
      <c r="BC131" s="32"/>
      <c r="BD131" s="55"/>
      <c r="BE131" s="32"/>
      <c r="BF131" s="54"/>
      <c r="BG131" s="21" t="str">
        <f>IFERROR(VLOOKUP(September[[#This Row],[Drug Name6]],'Data Options'!$R$1:$S$100,2,FALSE), " ")</f>
        <v xml:space="preserve"> </v>
      </c>
      <c r="BH131" s="55"/>
      <c r="BI131" s="32"/>
      <c r="BJ131" s="32"/>
      <c r="BK131" s="55"/>
      <c r="BL131" s="32"/>
      <c r="BM131" s="32"/>
      <c r="BN131" s="32"/>
      <c r="BO131" s="32"/>
      <c r="BP131" s="32"/>
      <c r="BQ131" s="31"/>
      <c r="BR131" s="31"/>
      <c r="BS131" s="54"/>
      <c r="BT131" s="21" t="str">
        <f>IFERROR(VLOOKUP(September[[#This Row],[Drug Name7]],'Data Options'!$R$1:$S$100,2,FALSE), " ")</f>
        <v xml:space="preserve"> </v>
      </c>
      <c r="BU131" s="55"/>
      <c r="BV131" s="32"/>
      <c r="BW131" s="32"/>
      <c r="BX131" s="55"/>
      <c r="BY131" s="32"/>
      <c r="BZ131" s="54"/>
      <c r="CA131" s="21" t="str">
        <f>IFERROR(VLOOKUP(September[[#This Row],[Drug Name8]],'Data Options'!$R$1:$S$100,2,FALSE), " ")</f>
        <v xml:space="preserve"> </v>
      </c>
      <c r="CB131" s="55"/>
      <c r="CC131" s="32"/>
      <c r="CD131" s="32"/>
      <c r="CE131" s="55"/>
      <c r="CF131" s="32"/>
      <c r="CG131" s="54"/>
      <c r="CH131" s="21" t="str">
        <f>IFERROR(VLOOKUP(September[[#This Row],[Drug Name9]],'Data Options'!$R$1:$S$100,2,FALSE), " ")</f>
        <v xml:space="preserve"> </v>
      </c>
      <c r="CI131" s="55"/>
      <c r="CJ131" s="32"/>
      <c r="CK131" s="32"/>
      <c r="CL131" s="55"/>
      <c r="CM131" s="32"/>
    </row>
    <row r="132" spans="1:91">
      <c r="A132" s="5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1"/>
      <c r="P132" s="31"/>
      <c r="Q132" s="54"/>
      <c r="R132" s="21" t="str">
        <f>IFERROR(VLOOKUP(September[[#This Row],[Drug Name]],'Data Options'!$R$1:$S$100,2,FALSE), " ")</f>
        <v xml:space="preserve"> </v>
      </c>
      <c r="S132" s="55"/>
      <c r="T132" s="32"/>
      <c r="U132" s="32"/>
      <c r="V132" s="55"/>
      <c r="W132" s="32"/>
      <c r="X132" s="54"/>
      <c r="Y132" s="21" t="str">
        <f>IFERROR(VLOOKUP(September[[#This Row],[Drug Name2]],'Data Options'!$R$1:$S$100,2,FALSE), " ")</f>
        <v xml:space="preserve"> </v>
      </c>
      <c r="Z132" s="55"/>
      <c r="AA132" s="32"/>
      <c r="AB132" s="32"/>
      <c r="AC132" s="55"/>
      <c r="AD132" s="32"/>
      <c r="AE132" s="54"/>
      <c r="AF132" s="21" t="str">
        <f>IFERROR(VLOOKUP(September[[#This Row],[Drug Name3]],'Data Options'!$R$1:$S$100,2,FALSE), " ")</f>
        <v xml:space="preserve"> </v>
      </c>
      <c r="AG132" s="55"/>
      <c r="AH132" s="32"/>
      <c r="AI132" s="32"/>
      <c r="AJ132" s="55"/>
      <c r="AK132" s="32"/>
      <c r="AL132" s="32"/>
      <c r="AM132" s="32"/>
      <c r="AN132" s="32"/>
      <c r="AO132" s="32"/>
      <c r="AP132" s="31"/>
      <c r="AQ132" s="31"/>
      <c r="AR132" s="54"/>
      <c r="AS132" s="21" t="str">
        <f>IFERROR(VLOOKUP(September[[#This Row],[Drug Name4]],'Data Options'!$R$1:$S$100,2,FALSE), " ")</f>
        <v xml:space="preserve"> </v>
      </c>
      <c r="AT132" s="55"/>
      <c r="AU132" s="32"/>
      <c r="AV132" s="32"/>
      <c r="AW132" s="55"/>
      <c r="AX132" s="32"/>
      <c r="AY132" s="54"/>
      <c r="AZ132" s="21" t="str">
        <f>IFERROR(VLOOKUP(September[[#This Row],[Drug Name5]],'Data Options'!$R$1:$S$100,2,FALSE), " ")</f>
        <v xml:space="preserve"> </v>
      </c>
      <c r="BA132" s="55"/>
      <c r="BB132" s="32"/>
      <c r="BC132" s="32"/>
      <c r="BD132" s="55"/>
      <c r="BE132" s="32"/>
      <c r="BF132" s="54"/>
      <c r="BG132" s="21" t="str">
        <f>IFERROR(VLOOKUP(September[[#This Row],[Drug Name6]],'Data Options'!$R$1:$S$100,2,FALSE), " ")</f>
        <v xml:space="preserve"> </v>
      </c>
      <c r="BH132" s="55"/>
      <c r="BI132" s="32"/>
      <c r="BJ132" s="32"/>
      <c r="BK132" s="55"/>
      <c r="BL132" s="32"/>
      <c r="BM132" s="32"/>
      <c r="BN132" s="32"/>
      <c r="BO132" s="32"/>
      <c r="BP132" s="32"/>
      <c r="BQ132" s="31"/>
      <c r="BR132" s="31"/>
      <c r="BS132" s="54"/>
      <c r="BT132" s="21" t="str">
        <f>IFERROR(VLOOKUP(September[[#This Row],[Drug Name7]],'Data Options'!$R$1:$S$100,2,FALSE), " ")</f>
        <v xml:space="preserve"> </v>
      </c>
      <c r="BU132" s="55"/>
      <c r="BV132" s="32"/>
      <c r="BW132" s="32"/>
      <c r="BX132" s="55"/>
      <c r="BY132" s="32"/>
      <c r="BZ132" s="54"/>
      <c r="CA132" s="21" t="str">
        <f>IFERROR(VLOOKUP(September[[#This Row],[Drug Name8]],'Data Options'!$R$1:$S$100,2,FALSE), " ")</f>
        <v xml:space="preserve"> </v>
      </c>
      <c r="CB132" s="55"/>
      <c r="CC132" s="32"/>
      <c r="CD132" s="32"/>
      <c r="CE132" s="55"/>
      <c r="CF132" s="32"/>
      <c r="CG132" s="54"/>
      <c r="CH132" s="21" t="str">
        <f>IFERROR(VLOOKUP(September[[#This Row],[Drug Name9]],'Data Options'!$R$1:$S$100,2,FALSE), " ")</f>
        <v xml:space="preserve"> </v>
      </c>
      <c r="CI132" s="55"/>
      <c r="CJ132" s="32"/>
      <c r="CK132" s="32"/>
      <c r="CL132" s="55"/>
      <c r="CM132" s="32"/>
    </row>
    <row r="133" spans="1:91">
      <c r="A133" s="5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54"/>
      <c r="R133" s="21" t="str">
        <f>IFERROR(VLOOKUP(September[[#This Row],[Drug Name]],'Data Options'!$R$1:$S$100,2,FALSE), " ")</f>
        <v xml:space="preserve"> </v>
      </c>
      <c r="S133" s="55"/>
      <c r="T133" s="32"/>
      <c r="U133" s="32"/>
      <c r="V133" s="55"/>
      <c r="W133" s="32"/>
      <c r="X133" s="54"/>
      <c r="Y133" s="21" t="str">
        <f>IFERROR(VLOOKUP(September[[#This Row],[Drug Name2]],'Data Options'!$R$1:$S$100,2,FALSE), " ")</f>
        <v xml:space="preserve"> </v>
      </c>
      <c r="Z133" s="55"/>
      <c r="AA133" s="32"/>
      <c r="AB133" s="32"/>
      <c r="AC133" s="55"/>
      <c r="AD133" s="32"/>
      <c r="AE133" s="54"/>
      <c r="AF133" s="21" t="str">
        <f>IFERROR(VLOOKUP(September[[#This Row],[Drug Name3]],'Data Options'!$R$1:$S$100,2,FALSE), " ")</f>
        <v xml:space="preserve"> </v>
      </c>
      <c r="AG133" s="55"/>
      <c r="AH133" s="32"/>
      <c r="AI133" s="32"/>
      <c r="AJ133" s="55"/>
      <c r="AK133" s="32"/>
      <c r="AL133" s="32"/>
      <c r="AM133" s="32"/>
      <c r="AN133" s="32"/>
      <c r="AO133" s="32"/>
      <c r="AP133" s="31"/>
      <c r="AQ133" s="31"/>
      <c r="AR133" s="54"/>
      <c r="AS133" s="21" t="str">
        <f>IFERROR(VLOOKUP(September[[#This Row],[Drug Name4]],'Data Options'!$R$1:$S$100,2,FALSE), " ")</f>
        <v xml:space="preserve"> </v>
      </c>
      <c r="AT133" s="55"/>
      <c r="AU133" s="32"/>
      <c r="AV133" s="32"/>
      <c r="AW133" s="55"/>
      <c r="AX133" s="32"/>
      <c r="AY133" s="54"/>
      <c r="AZ133" s="21" t="str">
        <f>IFERROR(VLOOKUP(September[[#This Row],[Drug Name5]],'Data Options'!$R$1:$S$100,2,FALSE), " ")</f>
        <v xml:space="preserve"> </v>
      </c>
      <c r="BA133" s="55"/>
      <c r="BB133" s="32"/>
      <c r="BC133" s="32"/>
      <c r="BD133" s="55"/>
      <c r="BE133" s="32"/>
      <c r="BF133" s="54"/>
      <c r="BG133" s="21" t="str">
        <f>IFERROR(VLOOKUP(September[[#This Row],[Drug Name6]],'Data Options'!$R$1:$S$100,2,FALSE), " ")</f>
        <v xml:space="preserve"> </v>
      </c>
      <c r="BH133" s="55"/>
      <c r="BI133" s="32"/>
      <c r="BJ133" s="32"/>
      <c r="BK133" s="55"/>
      <c r="BL133" s="32"/>
      <c r="BM133" s="32"/>
      <c r="BN133" s="32"/>
      <c r="BO133" s="32"/>
      <c r="BP133" s="32"/>
      <c r="BQ133" s="31"/>
      <c r="BR133" s="31"/>
      <c r="BS133" s="54"/>
      <c r="BT133" s="21" t="str">
        <f>IFERROR(VLOOKUP(September[[#This Row],[Drug Name7]],'Data Options'!$R$1:$S$100,2,FALSE), " ")</f>
        <v xml:space="preserve"> </v>
      </c>
      <c r="BU133" s="55"/>
      <c r="BV133" s="32"/>
      <c r="BW133" s="32"/>
      <c r="BX133" s="55"/>
      <c r="BY133" s="32"/>
      <c r="BZ133" s="54"/>
      <c r="CA133" s="21" t="str">
        <f>IFERROR(VLOOKUP(September[[#This Row],[Drug Name8]],'Data Options'!$R$1:$S$100,2,FALSE), " ")</f>
        <v xml:space="preserve"> </v>
      </c>
      <c r="CB133" s="55"/>
      <c r="CC133" s="32"/>
      <c r="CD133" s="32"/>
      <c r="CE133" s="55"/>
      <c r="CF133" s="32"/>
      <c r="CG133" s="54"/>
      <c r="CH133" s="21" t="str">
        <f>IFERROR(VLOOKUP(September[[#This Row],[Drug Name9]],'Data Options'!$R$1:$S$100,2,FALSE), " ")</f>
        <v xml:space="preserve"> </v>
      </c>
      <c r="CI133" s="55"/>
      <c r="CJ133" s="32"/>
      <c r="CK133" s="32"/>
      <c r="CL133" s="55"/>
      <c r="CM133" s="32"/>
    </row>
    <row r="134" spans="1:91">
      <c r="A134" s="5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54"/>
      <c r="R134" s="21" t="str">
        <f>IFERROR(VLOOKUP(September[[#This Row],[Drug Name]],'Data Options'!$R$1:$S$100,2,FALSE), " ")</f>
        <v xml:space="preserve"> </v>
      </c>
      <c r="S134" s="55"/>
      <c r="T134" s="32"/>
      <c r="U134" s="32"/>
      <c r="V134" s="55"/>
      <c r="W134" s="32"/>
      <c r="X134" s="54"/>
      <c r="Y134" s="21" t="str">
        <f>IFERROR(VLOOKUP(September[[#This Row],[Drug Name2]],'Data Options'!$R$1:$S$100,2,FALSE), " ")</f>
        <v xml:space="preserve"> </v>
      </c>
      <c r="Z134" s="55"/>
      <c r="AA134" s="32"/>
      <c r="AB134" s="32"/>
      <c r="AC134" s="55"/>
      <c r="AD134" s="32"/>
      <c r="AE134" s="54"/>
      <c r="AF134" s="21" t="str">
        <f>IFERROR(VLOOKUP(September[[#This Row],[Drug Name3]],'Data Options'!$R$1:$S$100,2,FALSE), " ")</f>
        <v xml:space="preserve"> </v>
      </c>
      <c r="AG134" s="55"/>
      <c r="AH134" s="32"/>
      <c r="AI134" s="32"/>
      <c r="AJ134" s="55"/>
      <c r="AK134" s="32"/>
      <c r="AL134" s="32"/>
      <c r="AM134" s="32"/>
      <c r="AN134" s="32"/>
      <c r="AO134" s="32"/>
      <c r="AP134" s="31"/>
      <c r="AQ134" s="31"/>
      <c r="AR134" s="54"/>
      <c r="AS134" s="21" t="str">
        <f>IFERROR(VLOOKUP(September[[#This Row],[Drug Name4]],'Data Options'!$R$1:$S$100,2,FALSE), " ")</f>
        <v xml:space="preserve"> </v>
      </c>
      <c r="AT134" s="55"/>
      <c r="AU134" s="32"/>
      <c r="AV134" s="32"/>
      <c r="AW134" s="55"/>
      <c r="AX134" s="32"/>
      <c r="AY134" s="54"/>
      <c r="AZ134" s="21" t="str">
        <f>IFERROR(VLOOKUP(September[[#This Row],[Drug Name5]],'Data Options'!$R$1:$S$100,2,FALSE), " ")</f>
        <v xml:space="preserve"> </v>
      </c>
      <c r="BA134" s="55"/>
      <c r="BB134" s="32"/>
      <c r="BC134" s="32"/>
      <c r="BD134" s="55"/>
      <c r="BE134" s="32"/>
      <c r="BF134" s="54"/>
      <c r="BG134" s="21" t="str">
        <f>IFERROR(VLOOKUP(September[[#This Row],[Drug Name6]],'Data Options'!$R$1:$S$100,2,FALSE), " ")</f>
        <v xml:space="preserve"> </v>
      </c>
      <c r="BH134" s="55"/>
      <c r="BI134" s="32"/>
      <c r="BJ134" s="32"/>
      <c r="BK134" s="55"/>
      <c r="BL134" s="32"/>
      <c r="BM134" s="32"/>
      <c r="BN134" s="32"/>
      <c r="BO134" s="32"/>
      <c r="BP134" s="32"/>
      <c r="BQ134" s="31"/>
      <c r="BR134" s="31"/>
      <c r="BS134" s="54"/>
      <c r="BT134" s="21" t="str">
        <f>IFERROR(VLOOKUP(September[[#This Row],[Drug Name7]],'Data Options'!$R$1:$S$100,2,FALSE), " ")</f>
        <v xml:space="preserve"> </v>
      </c>
      <c r="BU134" s="55"/>
      <c r="BV134" s="32"/>
      <c r="BW134" s="32"/>
      <c r="BX134" s="55"/>
      <c r="BY134" s="32"/>
      <c r="BZ134" s="54"/>
      <c r="CA134" s="21" t="str">
        <f>IFERROR(VLOOKUP(September[[#This Row],[Drug Name8]],'Data Options'!$R$1:$S$100,2,FALSE), " ")</f>
        <v xml:space="preserve"> </v>
      </c>
      <c r="CB134" s="55"/>
      <c r="CC134" s="32"/>
      <c r="CD134" s="32"/>
      <c r="CE134" s="55"/>
      <c r="CF134" s="32"/>
      <c r="CG134" s="54"/>
      <c r="CH134" s="21" t="str">
        <f>IFERROR(VLOOKUP(September[[#This Row],[Drug Name9]],'Data Options'!$R$1:$S$100,2,FALSE), " ")</f>
        <v xml:space="preserve"> </v>
      </c>
      <c r="CI134" s="55"/>
      <c r="CJ134" s="32"/>
      <c r="CK134" s="32"/>
      <c r="CL134" s="55"/>
      <c r="CM134" s="32"/>
    </row>
    <row r="135" spans="1:91">
      <c r="A135" s="5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1"/>
      <c r="P135" s="31"/>
      <c r="Q135" s="54"/>
      <c r="R135" s="21" t="str">
        <f>IFERROR(VLOOKUP(September[[#This Row],[Drug Name]],'Data Options'!$R$1:$S$100,2,FALSE), " ")</f>
        <v xml:space="preserve"> </v>
      </c>
      <c r="S135" s="55"/>
      <c r="T135" s="32"/>
      <c r="U135" s="32"/>
      <c r="V135" s="55"/>
      <c r="W135" s="32"/>
      <c r="X135" s="54"/>
      <c r="Y135" s="21" t="str">
        <f>IFERROR(VLOOKUP(September[[#This Row],[Drug Name2]],'Data Options'!$R$1:$S$100,2,FALSE), " ")</f>
        <v xml:space="preserve"> </v>
      </c>
      <c r="Z135" s="55"/>
      <c r="AA135" s="32"/>
      <c r="AB135" s="32"/>
      <c r="AC135" s="55"/>
      <c r="AD135" s="32"/>
      <c r="AE135" s="54"/>
      <c r="AF135" s="21" t="str">
        <f>IFERROR(VLOOKUP(September[[#This Row],[Drug Name3]],'Data Options'!$R$1:$S$100,2,FALSE), " ")</f>
        <v xml:space="preserve"> </v>
      </c>
      <c r="AG135" s="55"/>
      <c r="AH135" s="32"/>
      <c r="AI135" s="32"/>
      <c r="AJ135" s="55"/>
      <c r="AK135" s="32"/>
      <c r="AL135" s="32"/>
      <c r="AM135" s="32"/>
      <c r="AN135" s="32"/>
      <c r="AO135" s="32"/>
      <c r="AP135" s="31"/>
      <c r="AQ135" s="31"/>
      <c r="AR135" s="54"/>
      <c r="AS135" s="21" t="str">
        <f>IFERROR(VLOOKUP(September[[#This Row],[Drug Name4]],'Data Options'!$R$1:$S$100,2,FALSE), " ")</f>
        <v xml:space="preserve"> </v>
      </c>
      <c r="AT135" s="55"/>
      <c r="AU135" s="32"/>
      <c r="AV135" s="32"/>
      <c r="AW135" s="55"/>
      <c r="AX135" s="32"/>
      <c r="AY135" s="54"/>
      <c r="AZ135" s="21" t="str">
        <f>IFERROR(VLOOKUP(September[[#This Row],[Drug Name5]],'Data Options'!$R$1:$S$100,2,FALSE), " ")</f>
        <v xml:space="preserve"> </v>
      </c>
      <c r="BA135" s="55"/>
      <c r="BB135" s="32"/>
      <c r="BC135" s="32"/>
      <c r="BD135" s="55"/>
      <c r="BE135" s="32"/>
      <c r="BF135" s="54"/>
      <c r="BG135" s="21" t="str">
        <f>IFERROR(VLOOKUP(September[[#This Row],[Drug Name6]],'Data Options'!$R$1:$S$100,2,FALSE), " ")</f>
        <v xml:space="preserve"> </v>
      </c>
      <c r="BH135" s="55"/>
      <c r="BI135" s="32"/>
      <c r="BJ135" s="32"/>
      <c r="BK135" s="55"/>
      <c r="BL135" s="32"/>
      <c r="BM135" s="32"/>
      <c r="BN135" s="32"/>
      <c r="BO135" s="32"/>
      <c r="BP135" s="32"/>
      <c r="BQ135" s="31"/>
      <c r="BR135" s="31"/>
      <c r="BS135" s="54"/>
      <c r="BT135" s="21" t="str">
        <f>IFERROR(VLOOKUP(September[[#This Row],[Drug Name7]],'Data Options'!$R$1:$S$100,2,FALSE), " ")</f>
        <v xml:space="preserve"> </v>
      </c>
      <c r="BU135" s="55"/>
      <c r="BV135" s="32"/>
      <c r="BW135" s="32"/>
      <c r="BX135" s="55"/>
      <c r="BY135" s="32"/>
      <c r="BZ135" s="54"/>
      <c r="CA135" s="21" t="str">
        <f>IFERROR(VLOOKUP(September[[#This Row],[Drug Name8]],'Data Options'!$R$1:$S$100,2,FALSE), " ")</f>
        <v xml:space="preserve"> </v>
      </c>
      <c r="CB135" s="55"/>
      <c r="CC135" s="32"/>
      <c r="CD135" s="32"/>
      <c r="CE135" s="55"/>
      <c r="CF135" s="32"/>
      <c r="CG135" s="54"/>
      <c r="CH135" s="21" t="str">
        <f>IFERROR(VLOOKUP(September[[#This Row],[Drug Name9]],'Data Options'!$R$1:$S$100,2,FALSE), " ")</f>
        <v xml:space="preserve"> </v>
      </c>
      <c r="CI135" s="55"/>
      <c r="CJ135" s="32"/>
      <c r="CK135" s="32"/>
      <c r="CL135" s="55"/>
      <c r="CM135" s="32"/>
    </row>
    <row r="136" spans="1:91">
      <c r="A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1"/>
      <c r="P136" s="31"/>
      <c r="Q136" s="54"/>
      <c r="R136" s="21" t="str">
        <f>IFERROR(VLOOKUP(September[[#This Row],[Drug Name]],'Data Options'!$R$1:$S$100,2,FALSE), " ")</f>
        <v xml:space="preserve"> </v>
      </c>
      <c r="S136" s="55"/>
      <c r="T136" s="32"/>
      <c r="U136" s="32"/>
      <c r="V136" s="55"/>
      <c r="W136" s="32"/>
      <c r="X136" s="54"/>
      <c r="Y136" s="21" t="str">
        <f>IFERROR(VLOOKUP(September[[#This Row],[Drug Name2]],'Data Options'!$R$1:$S$100,2,FALSE), " ")</f>
        <v xml:space="preserve"> </v>
      </c>
      <c r="Z136" s="55"/>
      <c r="AA136" s="32"/>
      <c r="AB136" s="32"/>
      <c r="AC136" s="55"/>
      <c r="AD136" s="32"/>
      <c r="AE136" s="54"/>
      <c r="AF136" s="21" t="str">
        <f>IFERROR(VLOOKUP(September[[#This Row],[Drug Name3]],'Data Options'!$R$1:$S$100,2,FALSE), " ")</f>
        <v xml:space="preserve"> </v>
      </c>
      <c r="AG136" s="55"/>
      <c r="AH136" s="32"/>
      <c r="AI136" s="32"/>
      <c r="AJ136" s="55"/>
      <c r="AK136" s="32"/>
      <c r="AL136" s="32"/>
      <c r="AM136" s="32"/>
      <c r="AN136" s="32"/>
      <c r="AO136" s="32"/>
      <c r="AP136" s="31"/>
      <c r="AQ136" s="31"/>
      <c r="AR136" s="54"/>
      <c r="AS136" s="21" t="str">
        <f>IFERROR(VLOOKUP(September[[#This Row],[Drug Name4]],'Data Options'!$R$1:$S$100,2,FALSE), " ")</f>
        <v xml:space="preserve"> </v>
      </c>
      <c r="AT136" s="55"/>
      <c r="AU136" s="32"/>
      <c r="AV136" s="32"/>
      <c r="AW136" s="55"/>
      <c r="AX136" s="32"/>
      <c r="AY136" s="54"/>
      <c r="AZ136" s="21" t="str">
        <f>IFERROR(VLOOKUP(September[[#This Row],[Drug Name5]],'Data Options'!$R$1:$S$100,2,FALSE), " ")</f>
        <v xml:space="preserve"> </v>
      </c>
      <c r="BA136" s="55"/>
      <c r="BB136" s="32"/>
      <c r="BC136" s="32"/>
      <c r="BD136" s="55"/>
      <c r="BE136" s="32"/>
      <c r="BF136" s="54"/>
      <c r="BG136" s="21" t="str">
        <f>IFERROR(VLOOKUP(September[[#This Row],[Drug Name6]],'Data Options'!$R$1:$S$100,2,FALSE), " ")</f>
        <v xml:space="preserve"> </v>
      </c>
      <c r="BH136" s="55"/>
      <c r="BI136" s="32"/>
      <c r="BJ136" s="32"/>
      <c r="BK136" s="55"/>
      <c r="BL136" s="32"/>
      <c r="BM136" s="32"/>
      <c r="BN136" s="32"/>
      <c r="BO136" s="32"/>
      <c r="BP136" s="32"/>
      <c r="BQ136" s="31"/>
      <c r="BR136" s="31"/>
      <c r="BS136" s="54"/>
      <c r="BT136" s="21" t="str">
        <f>IFERROR(VLOOKUP(September[[#This Row],[Drug Name7]],'Data Options'!$R$1:$S$100,2,FALSE), " ")</f>
        <v xml:space="preserve"> </v>
      </c>
      <c r="BU136" s="55"/>
      <c r="BV136" s="32"/>
      <c r="BW136" s="32"/>
      <c r="BX136" s="55"/>
      <c r="BY136" s="32"/>
      <c r="BZ136" s="54"/>
      <c r="CA136" s="21" t="str">
        <f>IFERROR(VLOOKUP(September[[#This Row],[Drug Name8]],'Data Options'!$R$1:$S$100,2,FALSE), " ")</f>
        <v xml:space="preserve"> </v>
      </c>
      <c r="CB136" s="55"/>
      <c r="CC136" s="32"/>
      <c r="CD136" s="32"/>
      <c r="CE136" s="55"/>
      <c r="CF136" s="32"/>
      <c r="CG136" s="54"/>
      <c r="CH136" s="21" t="str">
        <f>IFERROR(VLOOKUP(September[[#This Row],[Drug Name9]],'Data Options'!$R$1:$S$100,2,FALSE), " ")</f>
        <v xml:space="preserve"> </v>
      </c>
      <c r="CI136" s="55"/>
      <c r="CJ136" s="32"/>
      <c r="CK136" s="32"/>
      <c r="CL136" s="55"/>
      <c r="CM136" s="32"/>
    </row>
    <row r="137" spans="1:91">
      <c r="A137" s="5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/>
      <c r="P137" s="31"/>
      <c r="Q137" s="54"/>
      <c r="R137" s="21" t="str">
        <f>IFERROR(VLOOKUP(September[[#This Row],[Drug Name]],'Data Options'!$R$1:$S$100,2,FALSE), " ")</f>
        <v xml:space="preserve"> </v>
      </c>
      <c r="S137" s="55"/>
      <c r="T137" s="32"/>
      <c r="U137" s="32"/>
      <c r="V137" s="55"/>
      <c r="W137" s="32"/>
      <c r="X137" s="54"/>
      <c r="Y137" s="21" t="str">
        <f>IFERROR(VLOOKUP(September[[#This Row],[Drug Name2]],'Data Options'!$R$1:$S$100,2,FALSE), " ")</f>
        <v xml:space="preserve"> </v>
      </c>
      <c r="Z137" s="55"/>
      <c r="AA137" s="32"/>
      <c r="AB137" s="32"/>
      <c r="AC137" s="55"/>
      <c r="AD137" s="32"/>
      <c r="AE137" s="54"/>
      <c r="AF137" s="21" t="str">
        <f>IFERROR(VLOOKUP(September[[#This Row],[Drug Name3]],'Data Options'!$R$1:$S$100,2,FALSE), " ")</f>
        <v xml:space="preserve"> </v>
      </c>
      <c r="AG137" s="55"/>
      <c r="AH137" s="32"/>
      <c r="AI137" s="32"/>
      <c r="AJ137" s="55"/>
      <c r="AK137" s="32"/>
      <c r="AL137" s="32"/>
      <c r="AM137" s="32"/>
      <c r="AN137" s="32"/>
      <c r="AO137" s="32"/>
      <c r="AP137" s="31"/>
      <c r="AQ137" s="31"/>
      <c r="AR137" s="54"/>
      <c r="AS137" s="21" t="str">
        <f>IFERROR(VLOOKUP(September[[#This Row],[Drug Name4]],'Data Options'!$R$1:$S$100,2,FALSE), " ")</f>
        <v xml:space="preserve"> </v>
      </c>
      <c r="AT137" s="55"/>
      <c r="AU137" s="32"/>
      <c r="AV137" s="32"/>
      <c r="AW137" s="55"/>
      <c r="AX137" s="32"/>
      <c r="AY137" s="54"/>
      <c r="AZ137" s="21" t="str">
        <f>IFERROR(VLOOKUP(September[[#This Row],[Drug Name5]],'Data Options'!$R$1:$S$100,2,FALSE), " ")</f>
        <v xml:space="preserve"> </v>
      </c>
      <c r="BA137" s="55"/>
      <c r="BB137" s="32"/>
      <c r="BC137" s="32"/>
      <c r="BD137" s="55"/>
      <c r="BE137" s="32"/>
      <c r="BF137" s="54"/>
      <c r="BG137" s="21" t="str">
        <f>IFERROR(VLOOKUP(September[[#This Row],[Drug Name6]],'Data Options'!$R$1:$S$100,2,FALSE), " ")</f>
        <v xml:space="preserve"> </v>
      </c>
      <c r="BH137" s="55"/>
      <c r="BI137" s="32"/>
      <c r="BJ137" s="32"/>
      <c r="BK137" s="55"/>
      <c r="BL137" s="32"/>
      <c r="BM137" s="32"/>
      <c r="BN137" s="32"/>
      <c r="BO137" s="32"/>
      <c r="BP137" s="32"/>
      <c r="BQ137" s="31"/>
      <c r="BR137" s="31"/>
      <c r="BS137" s="54"/>
      <c r="BT137" s="21" t="str">
        <f>IFERROR(VLOOKUP(September[[#This Row],[Drug Name7]],'Data Options'!$R$1:$S$100,2,FALSE), " ")</f>
        <v xml:space="preserve"> </v>
      </c>
      <c r="BU137" s="55"/>
      <c r="BV137" s="32"/>
      <c r="BW137" s="32"/>
      <c r="BX137" s="55"/>
      <c r="BY137" s="32"/>
      <c r="BZ137" s="54"/>
      <c r="CA137" s="21" t="str">
        <f>IFERROR(VLOOKUP(September[[#This Row],[Drug Name8]],'Data Options'!$R$1:$S$100,2,FALSE), " ")</f>
        <v xml:space="preserve"> </v>
      </c>
      <c r="CB137" s="55"/>
      <c r="CC137" s="32"/>
      <c r="CD137" s="32"/>
      <c r="CE137" s="55"/>
      <c r="CF137" s="32"/>
      <c r="CG137" s="54"/>
      <c r="CH137" s="21" t="str">
        <f>IFERROR(VLOOKUP(September[[#This Row],[Drug Name9]],'Data Options'!$R$1:$S$100,2,FALSE), " ")</f>
        <v xml:space="preserve"> </v>
      </c>
      <c r="CI137" s="55"/>
      <c r="CJ137" s="32"/>
      <c r="CK137" s="32"/>
      <c r="CL137" s="55"/>
      <c r="CM137" s="32"/>
    </row>
    <row r="138" spans="1:91">
      <c r="A138" s="5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1"/>
      <c r="P138" s="31"/>
      <c r="Q138" s="54"/>
      <c r="R138" s="21" t="str">
        <f>IFERROR(VLOOKUP(September[[#This Row],[Drug Name]],'Data Options'!$R$1:$S$100,2,FALSE), " ")</f>
        <v xml:space="preserve"> </v>
      </c>
      <c r="S138" s="55"/>
      <c r="T138" s="32"/>
      <c r="U138" s="32"/>
      <c r="V138" s="55"/>
      <c r="W138" s="32"/>
      <c r="X138" s="54"/>
      <c r="Y138" s="21" t="str">
        <f>IFERROR(VLOOKUP(September[[#This Row],[Drug Name2]],'Data Options'!$R$1:$S$100,2,FALSE), " ")</f>
        <v xml:space="preserve"> </v>
      </c>
      <c r="Z138" s="55"/>
      <c r="AA138" s="32"/>
      <c r="AB138" s="32"/>
      <c r="AC138" s="55"/>
      <c r="AD138" s="32"/>
      <c r="AE138" s="54"/>
      <c r="AF138" s="21" t="str">
        <f>IFERROR(VLOOKUP(September[[#This Row],[Drug Name3]],'Data Options'!$R$1:$S$100,2,FALSE), " ")</f>
        <v xml:space="preserve"> </v>
      </c>
      <c r="AG138" s="55"/>
      <c r="AH138" s="32"/>
      <c r="AI138" s="32"/>
      <c r="AJ138" s="55"/>
      <c r="AK138" s="32"/>
      <c r="AL138" s="32"/>
      <c r="AM138" s="32"/>
      <c r="AN138" s="32"/>
      <c r="AO138" s="32"/>
      <c r="AP138" s="31"/>
      <c r="AQ138" s="31"/>
      <c r="AR138" s="54"/>
      <c r="AS138" s="21" t="str">
        <f>IFERROR(VLOOKUP(September[[#This Row],[Drug Name4]],'Data Options'!$R$1:$S$100,2,FALSE), " ")</f>
        <v xml:space="preserve"> </v>
      </c>
      <c r="AT138" s="55"/>
      <c r="AU138" s="32"/>
      <c r="AV138" s="32"/>
      <c r="AW138" s="55"/>
      <c r="AX138" s="32"/>
      <c r="AY138" s="54"/>
      <c r="AZ138" s="21" t="str">
        <f>IFERROR(VLOOKUP(September[[#This Row],[Drug Name5]],'Data Options'!$R$1:$S$100,2,FALSE), " ")</f>
        <v xml:space="preserve"> </v>
      </c>
      <c r="BA138" s="55"/>
      <c r="BB138" s="32"/>
      <c r="BC138" s="32"/>
      <c r="BD138" s="55"/>
      <c r="BE138" s="32"/>
      <c r="BF138" s="54"/>
      <c r="BG138" s="21" t="str">
        <f>IFERROR(VLOOKUP(September[[#This Row],[Drug Name6]],'Data Options'!$R$1:$S$100,2,FALSE), " ")</f>
        <v xml:space="preserve"> </v>
      </c>
      <c r="BH138" s="55"/>
      <c r="BI138" s="32"/>
      <c r="BJ138" s="32"/>
      <c r="BK138" s="55"/>
      <c r="BL138" s="32"/>
      <c r="BM138" s="32"/>
      <c r="BN138" s="32"/>
      <c r="BO138" s="32"/>
      <c r="BP138" s="32"/>
      <c r="BQ138" s="31"/>
      <c r="BR138" s="31"/>
      <c r="BS138" s="54"/>
      <c r="BT138" s="21" t="str">
        <f>IFERROR(VLOOKUP(September[[#This Row],[Drug Name7]],'Data Options'!$R$1:$S$100,2,FALSE), " ")</f>
        <v xml:space="preserve"> </v>
      </c>
      <c r="BU138" s="55"/>
      <c r="BV138" s="32"/>
      <c r="BW138" s="32"/>
      <c r="BX138" s="55"/>
      <c r="BY138" s="32"/>
      <c r="BZ138" s="54"/>
      <c r="CA138" s="21" t="str">
        <f>IFERROR(VLOOKUP(September[[#This Row],[Drug Name8]],'Data Options'!$R$1:$S$100,2,FALSE), " ")</f>
        <v xml:space="preserve"> </v>
      </c>
      <c r="CB138" s="55"/>
      <c r="CC138" s="32"/>
      <c r="CD138" s="32"/>
      <c r="CE138" s="55"/>
      <c r="CF138" s="32"/>
      <c r="CG138" s="54"/>
      <c r="CH138" s="21" t="str">
        <f>IFERROR(VLOOKUP(September[[#This Row],[Drug Name9]],'Data Options'!$R$1:$S$100,2,FALSE), " ")</f>
        <v xml:space="preserve"> </v>
      </c>
      <c r="CI138" s="55"/>
      <c r="CJ138" s="32"/>
      <c r="CK138" s="32"/>
      <c r="CL138" s="55"/>
      <c r="CM138" s="32"/>
    </row>
    <row r="139" spans="1:91">
      <c r="A139" s="5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1"/>
      <c r="P139" s="31"/>
      <c r="Q139" s="54"/>
      <c r="R139" s="21" t="str">
        <f>IFERROR(VLOOKUP(September[[#This Row],[Drug Name]],'Data Options'!$R$1:$S$100,2,FALSE), " ")</f>
        <v xml:space="preserve"> </v>
      </c>
      <c r="S139" s="55"/>
      <c r="T139" s="32"/>
      <c r="U139" s="32"/>
      <c r="V139" s="55"/>
      <c r="W139" s="32"/>
      <c r="X139" s="54"/>
      <c r="Y139" s="21" t="str">
        <f>IFERROR(VLOOKUP(September[[#This Row],[Drug Name2]],'Data Options'!$R$1:$S$100,2,FALSE), " ")</f>
        <v xml:space="preserve"> </v>
      </c>
      <c r="Z139" s="55"/>
      <c r="AA139" s="32"/>
      <c r="AB139" s="32"/>
      <c r="AC139" s="55"/>
      <c r="AD139" s="32"/>
      <c r="AE139" s="54"/>
      <c r="AF139" s="21" t="str">
        <f>IFERROR(VLOOKUP(September[[#This Row],[Drug Name3]],'Data Options'!$R$1:$S$100,2,FALSE), " ")</f>
        <v xml:space="preserve"> </v>
      </c>
      <c r="AG139" s="55"/>
      <c r="AH139" s="32"/>
      <c r="AI139" s="32"/>
      <c r="AJ139" s="55"/>
      <c r="AK139" s="32"/>
      <c r="AL139" s="32"/>
      <c r="AM139" s="32"/>
      <c r="AN139" s="32"/>
      <c r="AO139" s="32"/>
      <c r="AP139" s="31"/>
      <c r="AQ139" s="31"/>
      <c r="AR139" s="54"/>
      <c r="AS139" s="21" t="str">
        <f>IFERROR(VLOOKUP(September[[#This Row],[Drug Name4]],'Data Options'!$R$1:$S$100,2,FALSE), " ")</f>
        <v xml:space="preserve"> </v>
      </c>
      <c r="AT139" s="55"/>
      <c r="AU139" s="32"/>
      <c r="AV139" s="32"/>
      <c r="AW139" s="55"/>
      <c r="AX139" s="32"/>
      <c r="AY139" s="54"/>
      <c r="AZ139" s="21" t="str">
        <f>IFERROR(VLOOKUP(September[[#This Row],[Drug Name5]],'Data Options'!$R$1:$S$100,2,FALSE), " ")</f>
        <v xml:space="preserve"> </v>
      </c>
      <c r="BA139" s="55"/>
      <c r="BB139" s="32"/>
      <c r="BC139" s="32"/>
      <c r="BD139" s="55"/>
      <c r="BE139" s="32"/>
      <c r="BF139" s="54"/>
      <c r="BG139" s="21" t="str">
        <f>IFERROR(VLOOKUP(September[[#This Row],[Drug Name6]],'Data Options'!$R$1:$S$100,2,FALSE), " ")</f>
        <v xml:space="preserve"> </v>
      </c>
      <c r="BH139" s="55"/>
      <c r="BI139" s="32"/>
      <c r="BJ139" s="32"/>
      <c r="BK139" s="55"/>
      <c r="BL139" s="32"/>
      <c r="BM139" s="32"/>
      <c r="BN139" s="32"/>
      <c r="BO139" s="32"/>
      <c r="BP139" s="32"/>
      <c r="BQ139" s="31"/>
      <c r="BR139" s="31"/>
      <c r="BS139" s="54"/>
      <c r="BT139" s="21" t="str">
        <f>IFERROR(VLOOKUP(September[[#This Row],[Drug Name7]],'Data Options'!$R$1:$S$100,2,FALSE), " ")</f>
        <v xml:space="preserve"> </v>
      </c>
      <c r="BU139" s="55"/>
      <c r="BV139" s="32"/>
      <c r="BW139" s="32"/>
      <c r="BX139" s="55"/>
      <c r="BY139" s="32"/>
      <c r="BZ139" s="54"/>
      <c r="CA139" s="21" t="str">
        <f>IFERROR(VLOOKUP(September[[#This Row],[Drug Name8]],'Data Options'!$R$1:$S$100,2,FALSE), " ")</f>
        <v xml:space="preserve"> </v>
      </c>
      <c r="CB139" s="55"/>
      <c r="CC139" s="32"/>
      <c r="CD139" s="32"/>
      <c r="CE139" s="55"/>
      <c r="CF139" s="32"/>
      <c r="CG139" s="54"/>
      <c r="CH139" s="21" t="str">
        <f>IFERROR(VLOOKUP(September[[#This Row],[Drug Name9]],'Data Options'!$R$1:$S$100,2,FALSE), " ")</f>
        <v xml:space="preserve"> </v>
      </c>
      <c r="CI139" s="55"/>
      <c r="CJ139" s="32"/>
      <c r="CK139" s="32"/>
      <c r="CL139" s="55"/>
      <c r="CM139" s="32"/>
    </row>
    <row r="140" spans="1:91">
      <c r="A140" s="5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1"/>
      <c r="P140" s="31"/>
      <c r="Q140" s="54"/>
      <c r="R140" s="21" t="str">
        <f>IFERROR(VLOOKUP(September[[#This Row],[Drug Name]],'Data Options'!$R$1:$S$100,2,FALSE), " ")</f>
        <v xml:space="preserve"> </v>
      </c>
      <c r="S140" s="55"/>
      <c r="T140" s="32"/>
      <c r="U140" s="32"/>
      <c r="V140" s="55"/>
      <c r="W140" s="32"/>
      <c r="X140" s="54"/>
      <c r="Y140" s="21" t="str">
        <f>IFERROR(VLOOKUP(September[[#This Row],[Drug Name2]],'Data Options'!$R$1:$S$100,2,FALSE), " ")</f>
        <v xml:space="preserve"> </v>
      </c>
      <c r="Z140" s="55"/>
      <c r="AA140" s="32"/>
      <c r="AB140" s="32"/>
      <c r="AC140" s="55"/>
      <c r="AD140" s="32"/>
      <c r="AE140" s="54"/>
      <c r="AF140" s="21" t="str">
        <f>IFERROR(VLOOKUP(September[[#This Row],[Drug Name3]],'Data Options'!$R$1:$S$100,2,FALSE), " ")</f>
        <v xml:space="preserve"> </v>
      </c>
      <c r="AG140" s="55"/>
      <c r="AH140" s="32"/>
      <c r="AI140" s="32"/>
      <c r="AJ140" s="55"/>
      <c r="AK140" s="32"/>
      <c r="AL140" s="32"/>
      <c r="AM140" s="32"/>
      <c r="AN140" s="32"/>
      <c r="AO140" s="32"/>
      <c r="AP140" s="31"/>
      <c r="AQ140" s="31"/>
      <c r="AR140" s="54"/>
      <c r="AS140" s="21" t="str">
        <f>IFERROR(VLOOKUP(September[[#This Row],[Drug Name4]],'Data Options'!$R$1:$S$100,2,FALSE), " ")</f>
        <v xml:space="preserve"> </v>
      </c>
      <c r="AT140" s="55"/>
      <c r="AU140" s="32"/>
      <c r="AV140" s="32"/>
      <c r="AW140" s="55"/>
      <c r="AX140" s="32"/>
      <c r="AY140" s="54"/>
      <c r="AZ140" s="21" t="str">
        <f>IFERROR(VLOOKUP(September[[#This Row],[Drug Name5]],'Data Options'!$R$1:$S$100,2,FALSE), " ")</f>
        <v xml:space="preserve"> </v>
      </c>
      <c r="BA140" s="55"/>
      <c r="BB140" s="32"/>
      <c r="BC140" s="32"/>
      <c r="BD140" s="55"/>
      <c r="BE140" s="32"/>
      <c r="BF140" s="54"/>
      <c r="BG140" s="21" t="str">
        <f>IFERROR(VLOOKUP(September[[#This Row],[Drug Name6]],'Data Options'!$R$1:$S$100,2,FALSE), " ")</f>
        <v xml:space="preserve"> </v>
      </c>
      <c r="BH140" s="55"/>
      <c r="BI140" s="32"/>
      <c r="BJ140" s="32"/>
      <c r="BK140" s="55"/>
      <c r="BL140" s="32"/>
      <c r="BM140" s="32"/>
      <c r="BN140" s="32"/>
      <c r="BO140" s="32"/>
      <c r="BP140" s="32"/>
      <c r="BQ140" s="31"/>
      <c r="BR140" s="31"/>
      <c r="BS140" s="54"/>
      <c r="BT140" s="21" t="str">
        <f>IFERROR(VLOOKUP(September[[#This Row],[Drug Name7]],'Data Options'!$R$1:$S$100,2,FALSE), " ")</f>
        <v xml:space="preserve"> </v>
      </c>
      <c r="BU140" s="55"/>
      <c r="BV140" s="32"/>
      <c r="BW140" s="32"/>
      <c r="BX140" s="55"/>
      <c r="BY140" s="32"/>
      <c r="BZ140" s="54"/>
      <c r="CA140" s="21" t="str">
        <f>IFERROR(VLOOKUP(September[[#This Row],[Drug Name8]],'Data Options'!$R$1:$S$100,2,FALSE), " ")</f>
        <v xml:space="preserve"> </v>
      </c>
      <c r="CB140" s="55"/>
      <c r="CC140" s="32"/>
      <c r="CD140" s="32"/>
      <c r="CE140" s="55"/>
      <c r="CF140" s="32"/>
      <c r="CG140" s="54"/>
      <c r="CH140" s="21" t="str">
        <f>IFERROR(VLOOKUP(September[[#This Row],[Drug Name9]],'Data Options'!$R$1:$S$100,2,FALSE), " ")</f>
        <v xml:space="preserve"> </v>
      </c>
      <c r="CI140" s="55"/>
      <c r="CJ140" s="32"/>
      <c r="CK140" s="32"/>
      <c r="CL140" s="55"/>
      <c r="CM140" s="32"/>
    </row>
    <row r="141" spans="1:91">
      <c r="A141" s="5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1"/>
      <c r="Q141" s="54"/>
      <c r="R141" s="21" t="str">
        <f>IFERROR(VLOOKUP(September[[#This Row],[Drug Name]],'Data Options'!$R$1:$S$100,2,FALSE), " ")</f>
        <v xml:space="preserve"> </v>
      </c>
      <c r="S141" s="55"/>
      <c r="T141" s="32"/>
      <c r="U141" s="32"/>
      <c r="V141" s="55"/>
      <c r="W141" s="32"/>
      <c r="X141" s="54"/>
      <c r="Y141" s="21" t="str">
        <f>IFERROR(VLOOKUP(September[[#This Row],[Drug Name2]],'Data Options'!$R$1:$S$100,2,FALSE), " ")</f>
        <v xml:space="preserve"> </v>
      </c>
      <c r="Z141" s="55"/>
      <c r="AA141" s="32"/>
      <c r="AB141" s="32"/>
      <c r="AC141" s="55"/>
      <c r="AD141" s="32"/>
      <c r="AE141" s="54"/>
      <c r="AF141" s="21" t="str">
        <f>IFERROR(VLOOKUP(September[[#This Row],[Drug Name3]],'Data Options'!$R$1:$S$100,2,FALSE), " ")</f>
        <v xml:space="preserve"> </v>
      </c>
      <c r="AG141" s="55"/>
      <c r="AH141" s="32"/>
      <c r="AI141" s="32"/>
      <c r="AJ141" s="55"/>
      <c r="AK141" s="32"/>
      <c r="AL141" s="32"/>
      <c r="AM141" s="32"/>
      <c r="AN141" s="32"/>
      <c r="AO141" s="32"/>
      <c r="AP141" s="31"/>
      <c r="AQ141" s="31"/>
      <c r="AR141" s="54"/>
      <c r="AS141" s="21" t="str">
        <f>IFERROR(VLOOKUP(September[[#This Row],[Drug Name4]],'Data Options'!$R$1:$S$100,2,FALSE), " ")</f>
        <v xml:space="preserve"> </v>
      </c>
      <c r="AT141" s="55"/>
      <c r="AU141" s="32"/>
      <c r="AV141" s="32"/>
      <c r="AW141" s="55"/>
      <c r="AX141" s="32"/>
      <c r="AY141" s="54"/>
      <c r="AZ141" s="21" t="str">
        <f>IFERROR(VLOOKUP(September[[#This Row],[Drug Name5]],'Data Options'!$R$1:$S$100,2,FALSE), " ")</f>
        <v xml:space="preserve"> </v>
      </c>
      <c r="BA141" s="55"/>
      <c r="BB141" s="32"/>
      <c r="BC141" s="32"/>
      <c r="BD141" s="55"/>
      <c r="BE141" s="32"/>
      <c r="BF141" s="54"/>
      <c r="BG141" s="21" t="str">
        <f>IFERROR(VLOOKUP(September[[#This Row],[Drug Name6]],'Data Options'!$R$1:$S$100,2,FALSE), " ")</f>
        <v xml:space="preserve"> </v>
      </c>
      <c r="BH141" s="55"/>
      <c r="BI141" s="32"/>
      <c r="BJ141" s="32"/>
      <c r="BK141" s="55"/>
      <c r="BL141" s="32"/>
      <c r="BM141" s="32"/>
      <c r="BN141" s="32"/>
      <c r="BO141" s="32"/>
      <c r="BP141" s="32"/>
      <c r="BQ141" s="31"/>
      <c r="BR141" s="31"/>
      <c r="BS141" s="54"/>
      <c r="BT141" s="21" t="str">
        <f>IFERROR(VLOOKUP(September[[#This Row],[Drug Name7]],'Data Options'!$R$1:$S$100,2,FALSE), " ")</f>
        <v xml:space="preserve"> </v>
      </c>
      <c r="BU141" s="55"/>
      <c r="BV141" s="32"/>
      <c r="BW141" s="32"/>
      <c r="BX141" s="55"/>
      <c r="BY141" s="32"/>
      <c r="BZ141" s="54"/>
      <c r="CA141" s="21" t="str">
        <f>IFERROR(VLOOKUP(September[[#This Row],[Drug Name8]],'Data Options'!$R$1:$S$100,2,FALSE), " ")</f>
        <v xml:space="preserve"> </v>
      </c>
      <c r="CB141" s="55"/>
      <c r="CC141" s="32"/>
      <c r="CD141" s="32"/>
      <c r="CE141" s="55"/>
      <c r="CF141" s="32"/>
      <c r="CG141" s="54"/>
      <c r="CH141" s="21" t="str">
        <f>IFERROR(VLOOKUP(September[[#This Row],[Drug Name9]],'Data Options'!$R$1:$S$100,2,FALSE), " ")</f>
        <v xml:space="preserve"> </v>
      </c>
      <c r="CI141" s="55"/>
      <c r="CJ141" s="32"/>
      <c r="CK141" s="32"/>
      <c r="CL141" s="55"/>
      <c r="CM141" s="32"/>
    </row>
    <row r="142" spans="1:91">
      <c r="A142" s="5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1"/>
      <c r="P142" s="31"/>
      <c r="Q142" s="54"/>
      <c r="R142" s="21" t="str">
        <f>IFERROR(VLOOKUP(September[[#This Row],[Drug Name]],'Data Options'!$R$1:$S$100,2,FALSE), " ")</f>
        <v xml:space="preserve"> </v>
      </c>
      <c r="S142" s="55"/>
      <c r="T142" s="32"/>
      <c r="U142" s="32"/>
      <c r="V142" s="55"/>
      <c r="W142" s="32"/>
      <c r="X142" s="54"/>
      <c r="Y142" s="21" t="str">
        <f>IFERROR(VLOOKUP(September[[#This Row],[Drug Name2]],'Data Options'!$R$1:$S$100,2,FALSE), " ")</f>
        <v xml:space="preserve"> </v>
      </c>
      <c r="Z142" s="55"/>
      <c r="AA142" s="32"/>
      <c r="AB142" s="32"/>
      <c r="AC142" s="55"/>
      <c r="AD142" s="32"/>
      <c r="AE142" s="54"/>
      <c r="AF142" s="21" t="str">
        <f>IFERROR(VLOOKUP(September[[#This Row],[Drug Name3]],'Data Options'!$R$1:$S$100,2,FALSE), " ")</f>
        <v xml:space="preserve"> </v>
      </c>
      <c r="AG142" s="55"/>
      <c r="AH142" s="32"/>
      <c r="AI142" s="32"/>
      <c r="AJ142" s="55"/>
      <c r="AK142" s="32"/>
      <c r="AL142" s="32"/>
      <c r="AM142" s="32"/>
      <c r="AN142" s="32"/>
      <c r="AO142" s="32"/>
      <c r="AP142" s="31"/>
      <c r="AQ142" s="31"/>
      <c r="AR142" s="54"/>
      <c r="AS142" s="21" t="str">
        <f>IFERROR(VLOOKUP(September[[#This Row],[Drug Name4]],'Data Options'!$R$1:$S$100,2,FALSE), " ")</f>
        <v xml:space="preserve"> </v>
      </c>
      <c r="AT142" s="55"/>
      <c r="AU142" s="32"/>
      <c r="AV142" s="32"/>
      <c r="AW142" s="55"/>
      <c r="AX142" s="32"/>
      <c r="AY142" s="54"/>
      <c r="AZ142" s="21" t="str">
        <f>IFERROR(VLOOKUP(September[[#This Row],[Drug Name5]],'Data Options'!$R$1:$S$100,2,FALSE), " ")</f>
        <v xml:space="preserve"> </v>
      </c>
      <c r="BA142" s="55"/>
      <c r="BB142" s="32"/>
      <c r="BC142" s="32"/>
      <c r="BD142" s="55"/>
      <c r="BE142" s="32"/>
      <c r="BF142" s="54"/>
      <c r="BG142" s="21" t="str">
        <f>IFERROR(VLOOKUP(September[[#This Row],[Drug Name6]],'Data Options'!$R$1:$S$100,2,FALSE), " ")</f>
        <v xml:space="preserve"> </v>
      </c>
      <c r="BH142" s="55"/>
      <c r="BI142" s="32"/>
      <c r="BJ142" s="32"/>
      <c r="BK142" s="55"/>
      <c r="BL142" s="32"/>
      <c r="BM142" s="32"/>
      <c r="BN142" s="32"/>
      <c r="BO142" s="32"/>
      <c r="BP142" s="32"/>
      <c r="BQ142" s="31"/>
      <c r="BR142" s="31"/>
      <c r="BS142" s="54"/>
      <c r="BT142" s="21" t="str">
        <f>IFERROR(VLOOKUP(September[[#This Row],[Drug Name7]],'Data Options'!$R$1:$S$100,2,FALSE), " ")</f>
        <v xml:space="preserve"> </v>
      </c>
      <c r="BU142" s="55"/>
      <c r="BV142" s="32"/>
      <c r="BW142" s="32"/>
      <c r="BX142" s="55"/>
      <c r="BY142" s="32"/>
      <c r="BZ142" s="54"/>
      <c r="CA142" s="21" t="str">
        <f>IFERROR(VLOOKUP(September[[#This Row],[Drug Name8]],'Data Options'!$R$1:$S$100,2,FALSE), " ")</f>
        <v xml:space="preserve"> </v>
      </c>
      <c r="CB142" s="55"/>
      <c r="CC142" s="32"/>
      <c r="CD142" s="32"/>
      <c r="CE142" s="55"/>
      <c r="CF142" s="32"/>
      <c r="CG142" s="54"/>
      <c r="CH142" s="21" t="str">
        <f>IFERROR(VLOOKUP(September[[#This Row],[Drug Name9]],'Data Options'!$R$1:$S$100,2,FALSE), " ")</f>
        <v xml:space="preserve"> </v>
      </c>
      <c r="CI142" s="55"/>
      <c r="CJ142" s="32"/>
      <c r="CK142" s="32"/>
      <c r="CL142" s="55"/>
      <c r="CM142" s="32"/>
    </row>
    <row r="143" spans="1:91">
      <c r="A143" s="5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1"/>
      <c r="P143" s="31"/>
      <c r="Q143" s="54"/>
      <c r="R143" s="21" t="str">
        <f>IFERROR(VLOOKUP(September[[#This Row],[Drug Name]],'Data Options'!$R$1:$S$100,2,FALSE), " ")</f>
        <v xml:space="preserve"> </v>
      </c>
      <c r="S143" s="55"/>
      <c r="T143" s="32"/>
      <c r="U143" s="32"/>
      <c r="V143" s="55"/>
      <c r="W143" s="32"/>
      <c r="X143" s="54"/>
      <c r="Y143" s="21" t="str">
        <f>IFERROR(VLOOKUP(September[[#This Row],[Drug Name2]],'Data Options'!$R$1:$S$100,2,FALSE), " ")</f>
        <v xml:space="preserve"> </v>
      </c>
      <c r="Z143" s="55"/>
      <c r="AA143" s="32"/>
      <c r="AB143" s="32"/>
      <c r="AC143" s="55"/>
      <c r="AD143" s="32"/>
      <c r="AE143" s="54"/>
      <c r="AF143" s="21" t="str">
        <f>IFERROR(VLOOKUP(September[[#This Row],[Drug Name3]],'Data Options'!$R$1:$S$100,2,FALSE), " ")</f>
        <v xml:space="preserve"> </v>
      </c>
      <c r="AG143" s="55"/>
      <c r="AH143" s="32"/>
      <c r="AI143" s="32"/>
      <c r="AJ143" s="55"/>
      <c r="AK143" s="32"/>
      <c r="AL143" s="32"/>
      <c r="AM143" s="32"/>
      <c r="AN143" s="32"/>
      <c r="AO143" s="32"/>
      <c r="AP143" s="31"/>
      <c r="AQ143" s="31"/>
      <c r="AR143" s="54"/>
      <c r="AS143" s="21" t="str">
        <f>IFERROR(VLOOKUP(September[[#This Row],[Drug Name4]],'Data Options'!$R$1:$S$100,2,FALSE), " ")</f>
        <v xml:space="preserve"> </v>
      </c>
      <c r="AT143" s="55"/>
      <c r="AU143" s="32"/>
      <c r="AV143" s="32"/>
      <c r="AW143" s="55"/>
      <c r="AX143" s="32"/>
      <c r="AY143" s="54"/>
      <c r="AZ143" s="21" t="str">
        <f>IFERROR(VLOOKUP(September[[#This Row],[Drug Name5]],'Data Options'!$R$1:$S$100,2,FALSE), " ")</f>
        <v xml:space="preserve"> </v>
      </c>
      <c r="BA143" s="55"/>
      <c r="BB143" s="32"/>
      <c r="BC143" s="32"/>
      <c r="BD143" s="55"/>
      <c r="BE143" s="32"/>
      <c r="BF143" s="54"/>
      <c r="BG143" s="21" t="str">
        <f>IFERROR(VLOOKUP(September[[#This Row],[Drug Name6]],'Data Options'!$R$1:$S$100,2,FALSE), " ")</f>
        <v xml:space="preserve"> </v>
      </c>
      <c r="BH143" s="55"/>
      <c r="BI143" s="32"/>
      <c r="BJ143" s="32"/>
      <c r="BK143" s="55"/>
      <c r="BL143" s="32"/>
      <c r="BM143" s="32"/>
      <c r="BN143" s="32"/>
      <c r="BO143" s="32"/>
      <c r="BP143" s="32"/>
      <c r="BQ143" s="31"/>
      <c r="BR143" s="31"/>
      <c r="BS143" s="54"/>
      <c r="BT143" s="21" t="str">
        <f>IFERROR(VLOOKUP(September[[#This Row],[Drug Name7]],'Data Options'!$R$1:$S$100,2,FALSE), " ")</f>
        <v xml:space="preserve"> </v>
      </c>
      <c r="BU143" s="55"/>
      <c r="BV143" s="32"/>
      <c r="BW143" s="32"/>
      <c r="BX143" s="55"/>
      <c r="BY143" s="32"/>
      <c r="BZ143" s="54"/>
      <c r="CA143" s="21" t="str">
        <f>IFERROR(VLOOKUP(September[[#This Row],[Drug Name8]],'Data Options'!$R$1:$S$100,2,FALSE), " ")</f>
        <v xml:space="preserve"> </v>
      </c>
      <c r="CB143" s="55"/>
      <c r="CC143" s="32"/>
      <c r="CD143" s="32"/>
      <c r="CE143" s="55"/>
      <c r="CF143" s="32"/>
      <c r="CG143" s="54"/>
      <c r="CH143" s="21" t="str">
        <f>IFERROR(VLOOKUP(September[[#This Row],[Drug Name9]],'Data Options'!$R$1:$S$100,2,FALSE), " ")</f>
        <v xml:space="preserve"> </v>
      </c>
      <c r="CI143" s="55"/>
      <c r="CJ143" s="32"/>
      <c r="CK143" s="32"/>
      <c r="CL143" s="55"/>
      <c r="CM143" s="32"/>
    </row>
    <row r="144" spans="1:91">
      <c r="A144" s="5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1"/>
      <c r="P144" s="31"/>
      <c r="Q144" s="54"/>
      <c r="R144" s="21" t="str">
        <f>IFERROR(VLOOKUP(September[[#This Row],[Drug Name]],'Data Options'!$R$1:$S$100,2,FALSE), " ")</f>
        <v xml:space="preserve"> </v>
      </c>
      <c r="S144" s="55"/>
      <c r="T144" s="32"/>
      <c r="U144" s="32"/>
      <c r="V144" s="55"/>
      <c r="W144" s="32"/>
      <c r="X144" s="54"/>
      <c r="Y144" s="21" t="str">
        <f>IFERROR(VLOOKUP(September[[#This Row],[Drug Name2]],'Data Options'!$R$1:$S$100,2,FALSE), " ")</f>
        <v xml:space="preserve"> </v>
      </c>
      <c r="Z144" s="55"/>
      <c r="AA144" s="32"/>
      <c r="AB144" s="32"/>
      <c r="AC144" s="55"/>
      <c r="AD144" s="32"/>
      <c r="AE144" s="54"/>
      <c r="AF144" s="21" t="str">
        <f>IFERROR(VLOOKUP(September[[#This Row],[Drug Name3]],'Data Options'!$R$1:$S$100,2,FALSE), " ")</f>
        <v xml:space="preserve"> </v>
      </c>
      <c r="AG144" s="55"/>
      <c r="AH144" s="32"/>
      <c r="AI144" s="32"/>
      <c r="AJ144" s="55"/>
      <c r="AK144" s="32"/>
      <c r="AL144" s="32"/>
      <c r="AM144" s="32"/>
      <c r="AN144" s="32"/>
      <c r="AO144" s="32"/>
      <c r="AP144" s="31"/>
      <c r="AQ144" s="31"/>
      <c r="AR144" s="54"/>
      <c r="AS144" s="21" t="str">
        <f>IFERROR(VLOOKUP(September[[#This Row],[Drug Name4]],'Data Options'!$R$1:$S$100,2,FALSE), " ")</f>
        <v xml:space="preserve"> </v>
      </c>
      <c r="AT144" s="55"/>
      <c r="AU144" s="32"/>
      <c r="AV144" s="32"/>
      <c r="AW144" s="55"/>
      <c r="AX144" s="32"/>
      <c r="AY144" s="54"/>
      <c r="AZ144" s="21" t="str">
        <f>IFERROR(VLOOKUP(September[[#This Row],[Drug Name5]],'Data Options'!$R$1:$S$100,2,FALSE), " ")</f>
        <v xml:space="preserve"> </v>
      </c>
      <c r="BA144" s="55"/>
      <c r="BB144" s="32"/>
      <c r="BC144" s="32"/>
      <c r="BD144" s="55"/>
      <c r="BE144" s="32"/>
      <c r="BF144" s="54"/>
      <c r="BG144" s="21" t="str">
        <f>IFERROR(VLOOKUP(September[[#This Row],[Drug Name6]],'Data Options'!$R$1:$S$100,2,FALSE), " ")</f>
        <v xml:space="preserve"> </v>
      </c>
      <c r="BH144" s="55"/>
      <c r="BI144" s="32"/>
      <c r="BJ144" s="32"/>
      <c r="BK144" s="55"/>
      <c r="BL144" s="32"/>
      <c r="BM144" s="32"/>
      <c r="BN144" s="32"/>
      <c r="BO144" s="32"/>
      <c r="BP144" s="32"/>
      <c r="BQ144" s="31"/>
      <c r="BR144" s="31"/>
      <c r="BS144" s="54"/>
      <c r="BT144" s="21" t="str">
        <f>IFERROR(VLOOKUP(September[[#This Row],[Drug Name7]],'Data Options'!$R$1:$S$100,2,FALSE), " ")</f>
        <v xml:space="preserve"> </v>
      </c>
      <c r="BU144" s="55"/>
      <c r="BV144" s="32"/>
      <c r="BW144" s="32"/>
      <c r="BX144" s="55"/>
      <c r="BY144" s="32"/>
      <c r="BZ144" s="54"/>
      <c r="CA144" s="21" t="str">
        <f>IFERROR(VLOOKUP(September[[#This Row],[Drug Name8]],'Data Options'!$R$1:$S$100,2,FALSE), " ")</f>
        <v xml:space="preserve"> </v>
      </c>
      <c r="CB144" s="55"/>
      <c r="CC144" s="32"/>
      <c r="CD144" s="32"/>
      <c r="CE144" s="55"/>
      <c r="CF144" s="32"/>
      <c r="CG144" s="54"/>
      <c r="CH144" s="21" t="str">
        <f>IFERROR(VLOOKUP(September[[#This Row],[Drug Name9]],'Data Options'!$R$1:$S$100,2,FALSE), " ")</f>
        <v xml:space="preserve"> </v>
      </c>
      <c r="CI144" s="55"/>
      <c r="CJ144" s="32"/>
      <c r="CK144" s="32"/>
      <c r="CL144" s="55"/>
      <c r="CM144" s="32"/>
    </row>
    <row r="145" spans="1:91">
      <c r="A145" s="5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1"/>
      <c r="P145" s="31"/>
      <c r="Q145" s="54"/>
      <c r="R145" s="21" t="str">
        <f>IFERROR(VLOOKUP(September[[#This Row],[Drug Name]],'Data Options'!$R$1:$S$100,2,FALSE), " ")</f>
        <v xml:space="preserve"> </v>
      </c>
      <c r="S145" s="55"/>
      <c r="T145" s="32"/>
      <c r="U145" s="32"/>
      <c r="V145" s="55"/>
      <c r="W145" s="32"/>
      <c r="X145" s="54"/>
      <c r="Y145" s="21" t="str">
        <f>IFERROR(VLOOKUP(September[[#This Row],[Drug Name2]],'Data Options'!$R$1:$S$100,2,FALSE), " ")</f>
        <v xml:space="preserve"> </v>
      </c>
      <c r="Z145" s="55"/>
      <c r="AA145" s="32"/>
      <c r="AB145" s="32"/>
      <c r="AC145" s="55"/>
      <c r="AD145" s="32"/>
      <c r="AE145" s="54"/>
      <c r="AF145" s="21" t="str">
        <f>IFERROR(VLOOKUP(September[[#This Row],[Drug Name3]],'Data Options'!$R$1:$S$100,2,FALSE), " ")</f>
        <v xml:space="preserve"> </v>
      </c>
      <c r="AG145" s="55"/>
      <c r="AH145" s="32"/>
      <c r="AI145" s="32"/>
      <c r="AJ145" s="55"/>
      <c r="AK145" s="32"/>
      <c r="AL145" s="32"/>
      <c r="AM145" s="32"/>
      <c r="AN145" s="32"/>
      <c r="AO145" s="32"/>
      <c r="AP145" s="31"/>
      <c r="AQ145" s="31"/>
      <c r="AR145" s="54"/>
      <c r="AS145" s="21" t="str">
        <f>IFERROR(VLOOKUP(September[[#This Row],[Drug Name4]],'Data Options'!$R$1:$S$100,2,FALSE), " ")</f>
        <v xml:space="preserve"> </v>
      </c>
      <c r="AT145" s="55"/>
      <c r="AU145" s="32"/>
      <c r="AV145" s="32"/>
      <c r="AW145" s="55"/>
      <c r="AX145" s="32"/>
      <c r="AY145" s="54"/>
      <c r="AZ145" s="21" t="str">
        <f>IFERROR(VLOOKUP(September[[#This Row],[Drug Name5]],'Data Options'!$R$1:$S$100,2,FALSE), " ")</f>
        <v xml:space="preserve"> </v>
      </c>
      <c r="BA145" s="55"/>
      <c r="BB145" s="32"/>
      <c r="BC145" s="32"/>
      <c r="BD145" s="55"/>
      <c r="BE145" s="32"/>
      <c r="BF145" s="54"/>
      <c r="BG145" s="21" t="str">
        <f>IFERROR(VLOOKUP(September[[#This Row],[Drug Name6]],'Data Options'!$R$1:$S$100,2,FALSE), " ")</f>
        <v xml:space="preserve"> </v>
      </c>
      <c r="BH145" s="55"/>
      <c r="BI145" s="32"/>
      <c r="BJ145" s="32"/>
      <c r="BK145" s="55"/>
      <c r="BL145" s="32"/>
      <c r="BM145" s="32"/>
      <c r="BN145" s="32"/>
      <c r="BO145" s="32"/>
      <c r="BP145" s="32"/>
      <c r="BQ145" s="31"/>
      <c r="BR145" s="31"/>
      <c r="BS145" s="54"/>
      <c r="BT145" s="21" t="str">
        <f>IFERROR(VLOOKUP(September[[#This Row],[Drug Name7]],'Data Options'!$R$1:$S$100,2,FALSE), " ")</f>
        <v xml:space="preserve"> </v>
      </c>
      <c r="BU145" s="55"/>
      <c r="BV145" s="32"/>
      <c r="BW145" s="32"/>
      <c r="BX145" s="55"/>
      <c r="BY145" s="32"/>
      <c r="BZ145" s="54"/>
      <c r="CA145" s="21" t="str">
        <f>IFERROR(VLOOKUP(September[[#This Row],[Drug Name8]],'Data Options'!$R$1:$S$100,2,FALSE), " ")</f>
        <v xml:space="preserve"> </v>
      </c>
      <c r="CB145" s="55"/>
      <c r="CC145" s="32"/>
      <c r="CD145" s="32"/>
      <c r="CE145" s="55"/>
      <c r="CF145" s="32"/>
      <c r="CG145" s="54"/>
      <c r="CH145" s="21" t="str">
        <f>IFERROR(VLOOKUP(September[[#This Row],[Drug Name9]],'Data Options'!$R$1:$S$100,2,FALSE), " ")</f>
        <v xml:space="preserve"> </v>
      </c>
      <c r="CI145" s="55"/>
      <c r="CJ145" s="32"/>
      <c r="CK145" s="32"/>
      <c r="CL145" s="55"/>
      <c r="CM145" s="32"/>
    </row>
    <row r="146" spans="1:91">
      <c r="A146" s="5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1"/>
      <c r="P146" s="31"/>
      <c r="Q146" s="54"/>
      <c r="R146" s="21" t="str">
        <f>IFERROR(VLOOKUP(September[[#This Row],[Drug Name]],'Data Options'!$R$1:$S$100,2,FALSE), " ")</f>
        <v xml:space="preserve"> </v>
      </c>
      <c r="S146" s="55"/>
      <c r="T146" s="32"/>
      <c r="U146" s="32"/>
      <c r="V146" s="55"/>
      <c r="W146" s="32"/>
      <c r="X146" s="54"/>
      <c r="Y146" s="21" t="str">
        <f>IFERROR(VLOOKUP(September[[#This Row],[Drug Name2]],'Data Options'!$R$1:$S$100,2,FALSE), " ")</f>
        <v xml:space="preserve"> </v>
      </c>
      <c r="Z146" s="55"/>
      <c r="AA146" s="32"/>
      <c r="AB146" s="32"/>
      <c r="AC146" s="55"/>
      <c r="AD146" s="32"/>
      <c r="AE146" s="54"/>
      <c r="AF146" s="21" t="str">
        <f>IFERROR(VLOOKUP(September[[#This Row],[Drug Name3]],'Data Options'!$R$1:$S$100,2,FALSE), " ")</f>
        <v xml:space="preserve"> </v>
      </c>
      <c r="AG146" s="55"/>
      <c r="AH146" s="32"/>
      <c r="AI146" s="32"/>
      <c r="AJ146" s="55"/>
      <c r="AK146" s="32"/>
      <c r="AL146" s="32"/>
      <c r="AM146" s="32"/>
      <c r="AN146" s="32"/>
      <c r="AO146" s="32"/>
      <c r="AP146" s="31"/>
      <c r="AQ146" s="31"/>
      <c r="AR146" s="54"/>
      <c r="AS146" s="21" t="str">
        <f>IFERROR(VLOOKUP(September[[#This Row],[Drug Name4]],'Data Options'!$R$1:$S$100,2,FALSE), " ")</f>
        <v xml:space="preserve"> </v>
      </c>
      <c r="AT146" s="55"/>
      <c r="AU146" s="32"/>
      <c r="AV146" s="32"/>
      <c r="AW146" s="55"/>
      <c r="AX146" s="32"/>
      <c r="AY146" s="54"/>
      <c r="AZ146" s="21" t="str">
        <f>IFERROR(VLOOKUP(September[[#This Row],[Drug Name5]],'Data Options'!$R$1:$S$100,2,FALSE), " ")</f>
        <v xml:space="preserve"> </v>
      </c>
      <c r="BA146" s="55"/>
      <c r="BB146" s="32"/>
      <c r="BC146" s="32"/>
      <c r="BD146" s="55"/>
      <c r="BE146" s="32"/>
      <c r="BF146" s="54"/>
      <c r="BG146" s="21" t="str">
        <f>IFERROR(VLOOKUP(September[[#This Row],[Drug Name6]],'Data Options'!$R$1:$S$100,2,FALSE), " ")</f>
        <v xml:space="preserve"> </v>
      </c>
      <c r="BH146" s="55"/>
      <c r="BI146" s="32"/>
      <c r="BJ146" s="32"/>
      <c r="BK146" s="55"/>
      <c r="BL146" s="32"/>
      <c r="BM146" s="32"/>
      <c r="BN146" s="32"/>
      <c r="BO146" s="32"/>
      <c r="BP146" s="32"/>
      <c r="BQ146" s="31"/>
      <c r="BR146" s="31"/>
      <c r="BS146" s="54"/>
      <c r="BT146" s="21" t="str">
        <f>IFERROR(VLOOKUP(September[[#This Row],[Drug Name7]],'Data Options'!$R$1:$S$100,2,FALSE), " ")</f>
        <v xml:space="preserve"> </v>
      </c>
      <c r="BU146" s="55"/>
      <c r="BV146" s="32"/>
      <c r="BW146" s="32"/>
      <c r="BX146" s="55"/>
      <c r="BY146" s="32"/>
      <c r="BZ146" s="54"/>
      <c r="CA146" s="21" t="str">
        <f>IFERROR(VLOOKUP(September[[#This Row],[Drug Name8]],'Data Options'!$R$1:$S$100,2,FALSE), " ")</f>
        <v xml:space="preserve"> </v>
      </c>
      <c r="CB146" s="55"/>
      <c r="CC146" s="32"/>
      <c r="CD146" s="32"/>
      <c r="CE146" s="55"/>
      <c r="CF146" s="32"/>
      <c r="CG146" s="54"/>
      <c r="CH146" s="21" t="str">
        <f>IFERROR(VLOOKUP(September[[#This Row],[Drug Name9]],'Data Options'!$R$1:$S$100,2,FALSE), " ")</f>
        <v xml:space="preserve"> </v>
      </c>
      <c r="CI146" s="55"/>
      <c r="CJ146" s="32"/>
      <c r="CK146" s="32"/>
      <c r="CL146" s="55"/>
      <c r="CM146" s="32"/>
    </row>
    <row r="147" spans="1:91">
      <c r="A147" s="5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1"/>
      <c r="P147" s="31"/>
      <c r="Q147" s="54"/>
      <c r="R147" s="21" t="str">
        <f>IFERROR(VLOOKUP(September[[#This Row],[Drug Name]],'Data Options'!$R$1:$S$100,2,FALSE), " ")</f>
        <v xml:space="preserve"> </v>
      </c>
      <c r="S147" s="55"/>
      <c r="T147" s="32"/>
      <c r="U147" s="32"/>
      <c r="V147" s="55"/>
      <c r="W147" s="32"/>
      <c r="X147" s="54"/>
      <c r="Y147" s="21" t="str">
        <f>IFERROR(VLOOKUP(September[[#This Row],[Drug Name2]],'Data Options'!$R$1:$S$100,2,FALSE), " ")</f>
        <v xml:space="preserve"> </v>
      </c>
      <c r="Z147" s="55"/>
      <c r="AA147" s="32"/>
      <c r="AB147" s="32"/>
      <c r="AC147" s="55"/>
      <c r="AD147" s="32"/>
      <c r="AE147" s="54"/>
      <c r="AF147" s="21" t="str">
        <f>IFERROR(VLOOKUP(September[[#This Row],[Drug Name3]],'Data Options'!$R$1:$S$100,2,FALSE), " ")</f>
        <v xml:space="preserve"> </v>
      </c>
      <c r="AG147" s="55"/>
      <c r="AH147" s="32"/>
      <c r="AI147" s="32"/>
      <c r="AJ147" s="55"/>
      <c r="AK147" s="32"/>
      <c r="AL147" s="32"/>
      <c r="AM147" s="32"/>
      <c r="AN147" s="32"/>
      <c r="AO147" s="32"/>
      <c r="AP147" s="31"/>
      <c r="AQ147" s="31"/>
      <c r="AR147" s="54"/>
      <c r="AS147" s="21" t="str">
        <f>IFERROR(VLOOKUP(September[[#This Row],[Drug Name4]],'Data Options'!$R$1:$S$100,2,FALSE), " ")</f>
        <v xml:space="preserve"> </v>
      </c>
      <c r="AT147" s="55"/>
      <c r="AU147" s="32"/>
      <c r="AV147" s="32"/>
      <c r="AW147" s="55"/>
      <c r="AX147" s="32"/>
      <c r="AY147" s="54"/>
      <c r="AZ147" s="21" t="str">
        <f>IFERROR(VLOOKUP(September[[#This Row],[Drug Name5]],'Data Options'!$R$1:$S$100,2,FALSE), " ")</f>
        <v xml:space="preserve"> </v>
      </c>
      <c r="BA147" s="55"/>
      <c r="BB147" s="32"/>
      <c r="BC147" s="32"/>
      <c r="BD147" s="55"/>
      <c r="BE147" s="32"/>
      <c r="BF147" s="54"/>
      <c r="BG147" s="21" t="str">
        <f>IFERROR(VLOOKUP(September[[#This Row],[Drug Name6]],'Data Options'!$R$1:$S$100,2,FALSE), " ")</f>
        <v xml:space="preserve"> </v>
      </c>
      <c r="BH147" s="55"/>
      <c r="BI147" s="32"/>
      <c r="BJ147" s="32"/>
      <c r="BK147" s="55"/>
      <c r="BL147" s="32"/>
      <c r="BM147" s="32"/>
      <c r="BN147" s="32"/>
      <c r="BO147" s="32"/>
      <c r="BP147" s="32"/>
      <c r="BQ147" s="31"/>
      <c r="BR147" s="31"/>
      <c r="BS147" s="54"/>
      <c r="BT147" s="21" t="str">
        <f>IFERROR(VLOOKUP(September[[#This Row],[Drug Name7]],'Data Options'!$R$1:$S$100,2,FALSE), " ")</f>
        <v xml:space="preserve"> </v>
      </c>
      <c r="BU147" s="55"/>
      <c r="BV147" s="32"/>
      <c r="BW147" s="32"/>
      <c r="BX147" s="55"/>
      <c r="BY147" s="32"/>
      <c r="BZ147" s="54"/>
      <c r="CA147" s="21" t="str">
        <f>IFERROR(VLOOKUP(September[[#This Row],[Drug Name8]],'Data Options'!$R$1:$S$100,2,FALSE), " ")</f>
        <v xml:space="preserve"> </v>
      </c>
      <c r="CB147" s="55"/>
      <c r="CC147" s="32"/>
      <c r="CD147" s="32"/>
      <c r="CE147" s="55"/>
      <c r="CF147" s="32"/>
      <c r="CG147" s="54"/>
      <c r="CH147" s="21" t="str">
        <f>IFERROR(VLOOKUP(September[[#This Row],[Drug Name9]],'Data Options'!$R$1:$S$100,2,FALSE), " ")</f>
        <v xml:space="preserve"> </v>
      </c>
      <c r="CI147" s="55"/>
      <c r="CJ147" s="32"/>
      <c r="CK147" s="32"/>
      <c r="CL147" s="55"/>
      <c r="CM147" s="32"/>
    </row>
    <row r="148" spans="1:91">
      <c r="A148" s="5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1"/>
      <c r="P148" s="31"/>
      <c r="Q148" s="54"/>
      <c r="R148" s="21" t="str">
        <f>IFERROR(VLOOKUP(September[[#This Row],[Drug Name]],'Data Options'!$R$1:$S$100,2,FALSE), " ")</f>
        <v xml:space="preserve"> </v>
      </c>
      <c r="S148" s="55"/>
      <c r="T148" s="32"/>
      <c r="U148" s="32"/>
      <c r="V148" s="55"/>
      <c r="W148" s="32"/>
      <c r="X148" s="54"/>
      <c r="Y148" s="21" t="str">
        <f>IFERROR(VLOOKUP(September[[#This Row],[Drug Name2]],'Data Options'!$R$1:$S$100,2,FALSE), " ")</f>
        <v xml:space="preserve"> </v>
      </c>
      <c r="Z148" s="55"/>
      <c r="AA148" s="32"/>
      <c r="AB148" s="32"/>
      <c r="AC148" s="55"/>
      <c r="AD148" s="32"/>
      <c r="AE148" s="54"/>
      <c r="AF148" s="21" t="str">
        <f>IFERROR(VLOOKUP(September[[#This Row],[Drug Name3]],'Data Options'!$R$1:$S$100,2,FALSE), " ")</f>
        <v xml:space="preserve"> </v>
      </c>
      <c r="AG148" s="55"/>
      <c r="AH148" s="32"/>
      <c r="AI148" s="32"/>
      <c r="AJ148" s="55"/>
      <c r="AK148" s="32"/>
      <c r="AL148" s="32"/>
      <c r="AM148" s="32"/>
      <c r="AN148" s="32"/>
      <c r="AO148" s="32"/>
      <c r="AP148" s="31"/>
      <c r="AQ148" s="31"/>
      <c r="AR148" s="54"/>
      <c r="AS148" s="21" t="str">
        <f>IFERROR(VLOOKUP(September[[#This Row],[Drug Name4]],'Data Options'!$R$1:$S$100,2,FALSE), " ")</f>
        <v xml:space="preserve"> </v>
      </c>
      <c r="AT148" s="55"/>
      <c r="AU148" s="32"/>
      <c r="AV148" s="32"/>
      <c r="AW148" s="55"/>
      <c r="AX148" s="32"/>
      <c r="AY148" s="54"/>
      <c r="AZ148" s="21" t="str">
        <f>IFERROR(VLOOKUP(September[[#This Row],[Drug Name5]],'Data Options'!$R$1:$S$100,2,FALSE), " ")</f>
        <v xml:space="preserve"> </v>
      </c>
      <c r="BA148" s="55"/>
      <c r="BB148" s="32"/>
      <c r="BC148" s="32"/>
      <c r="BD148" s="55"/>
      <c r="BE148" s="32"/>
      <c r="BF148" s="54"/>
      <c r="BG148" s="21" t="str">
        <f>IFERROR(VLOOKUP(September[[#This Row],[Drug Name6]],'Data Options'!$R$1:$S$100,2,FALSE), " ")</f>
        <v xml:space="preserve"> </v>
      </c>
      <c r="BH148" s="55"/>
      <c r="BI148" s="32"/>
      <c r="BJ148" s="32"/>
      <c r="BK148" s="55"/>
      <c r="BL148" s="32"/>
      <c r="BM148" s="32"/>
      <c r="BN148" s="32"/>
      <c r="BO148" s="32"/>
      <c r="BP148" s="32"/>
      <c r="BQ148" s="31"/>
      <c r="BR148" s="31"/>
      <c r="BS148" s="54"/>
      <c r="BT148" s="21" t="str">
        <f>IFERROR(VLOOKUP(September[[#This Row],[Drug Name7]],'Data Options'!$R$1:$S$100,2,FALSE), " ")</f>
        <v xml:space="preserve"> </v>
      </c>
      <c r="BU148" s="55"/>
      <c r="BV148" s="32"/>
      <c r="BW148" s="32"/>
      <c r="BX148" s="55"/>
      <c r="BY148" s="32"/>
      <c r="BZ148" s="54"/>
      <c r="CA148" s="21" t="str">
        <f>IFERROR(VLOOKUP(September[[#This Row],[Drug Name8]],'Data Options'!$R$1:$S$100,2,FALSE), " ")</f>
        <v xml:space="preserve"> </v>
      </c>
      <c r="CB148" s="55"/>
      <c r="CC148" s="32"/>
      <c r="CD148" s="32"/>
      <c r="CE148" s="55"/>
      <c r="CF148" s="32"/>
      <c r="CG148" s="54"/>
      <c r="CH148" s="21" t="str">
        <f>IFERROR(VLOOKUP(September[[#This Row],[Drug Name9]],'Data Options'!$R$1:$S$100,2,FALSE), " ")</f>
        <v xml:space="preserve"> </v>
      </c>
      <c r="CI148" s="55"/>
      <c r="CJ148" s="32"/>
      <c r="CK148" s="32"/>
      <c r="CL148" s="55"/>
      <c r="CM148" s="32"/>
    </row>
    <row r="149" spans="1:91">
      <c r="A149" s="5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1"/>
      <c r="P149" s="31"/>
      <c r="Q149" s="54"/>
      <c r="R149" s="21" t="str">
        <f>IFERROR(VLOOKUP(September[[#This Row],[Drug Name]],'Data Options'!$R$1:$S$100,2,FALSE), " ")</f>
        <v xml:space="preserve"> </v>
      </c>
      <c r="S149" s="55"/>
      <c r="T149" s="32"/>
      <c r="U149" s="32"/>
      <c r="V149" s="55"/>
      <c r="W149" s="32"/>
      <c r="X149" s="54"/>
      <c r="Y149" s="21" t="str">
        <f>IFERROR(VLOOKUP(September[[#This Row],[Drug Name2]],'Data Options'!$R$1:$S$100,2,FALSE), " ")</f>
        <v xml:space="preserve"> </v>
      </c>
      <c r="Z149" s="55"/>
      <c r="AA149" s="32"/>
      <c r="AB149" s="32"/>
      <c r="AC149" s="55"/>
      <c r="AD149" s="32"/>
      <c r="AE149" s="54"/>
      <c r="AF149" s="21" t="str">
        <f>IFERROR(VLOOKUP(September[[#This Row],[Drug Name3]],'Data Options'!$R$1:$S$100,2,FALSE), " ")</f>
        <v xml:space="preserve"> </v>
      </c>
      <c r="AG149" s="55"/>
      <c r="AH149" s="32"/>
      <c r="AI149" s="32"/>
      <c r="AJ149" s="55"/>
      <c r="AK149" s="32"/>
      <c r="AL149" s="32"/>
      <c r="AM149" s="32"/>
      <c r="AN149" s="32"/>
      <c r="AO149" s="32"/>
      <c r="AP149" s="31"/>
      <c r="AQ149" s="31"/>
      <c r="AR149" s="54"/>
      <c r="AS149" s="21" t="str">
        <f>IFERROR(VLOOKUP(September[[#This Row],[Drug Name4]],'Data Options'!$R$1:$S$100,2,FALSE), " ")</f>
        <v xml:space="preserve"> </v>
      </c>
      <c r="AT149" s="55"/>
      <c r="AU149" s="32"/>
      <c r="AV149" s="32"/>
      <c r="AW149" s="55"/>
      <c r="AX149" s="32"/>
      <c r="AY149" s="54"/>
      <c r="AZ149" s="21" t="str">
        <f>IFERROR(VLOOKUP(September[[#This Row],[Drug Name5]],'Data Options'!$R$1:$S$100,2,FALSE), " ")</f>
        <v xml:space="preserve"> </v>
      </c>
      <c r="BA149" s="55"/>
      <c r="BB149" s="32"/>
      <c r="BC149" s="32"/>
      <c r="BD149" s="55"/>
      <c r="BE149" s="32"/>
      <c r="BF149" s="54"/>
      <c r="BG149" s="21" t="str">
        <f>IFERROR(VLOOKUP(September[[#This Row],[Drug Name6]],'Data Options'!$R$1:$S$100,2,FALSE), " ")</f>
        <v xml:space="preserve"> </v>
      </c>
      <c r="BH149" s="55"/>
      <c r="BI149" s="32"/>
      <c r="BJ149" s="32"/>
      <c r="BK149" s="55"/>
      <c r="BL149" s="32"/>
      <c r="BM149" s="32"/>
      <c r="BN149" s="32"/>
      <c r="BO149" s="32"/>
      <c r="BP149" s="32"/>
      <c r="BQ149" s="31"/>
      <c r="BR149" s="31"/>
      <c r="BS149" s="54"/>
      <c r="BT149" s="21" t="str">
        <f>IFERROR(VLOOKUP(September[[#This Row],[Drug Name7]],'Data Options'!$R$1:$S$100,2,FALSE), " ")</f>
        <v xml:space="preserve"> </v>
      </c>
      <c r="BU149" s="55"/>
      <c r="BV149" s="32"/>
      <c r="BW149" s="32"/>
      <c r="BX149" s="55"/>
      <c r="BY149" s="32"/>
      <c r="BZ149" s="54"/>
      <c r="CA149" s="21" t="str">
        <f>IFERROR(VLOOKUP(September[[#This Row],[Drug Name8]],'Data Options'!$R$1:$S$100,2,FALSE), " ")</f>
        <v xml:space="preserve"> </v>
      </c>
      <c r="CB149" s="55"/>
      <c r="CC149" s="32"/>
      <c r="CD149" s="32"/>
      <c r="CE149" s="55"/>
      <c r="CF149" s="32"/>
      <c r="CG149" s="54"/>
      <c r="CH149" s="21" t="str">
        <f>IFERROR(VLOOKUP(September[[#This Row],[Drug Name9]],'Data Options'!$R$1:$S$100,2,FALSE), " ")</f>
        <v xml:space="preserve"> </v>
      </c>
      <c r="CI149" s="55"/>
      <c r="CJ149" s="32"/>
      <c r="CK149" s="32"/>
      <c r="CL149" s="55"/>
      <c r="CM149" s="32"/>
    </row>
    <row r="150" spans="1:91">
      <c r="A150" s="5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1"/>
      <c r="P150" s="31"/>
      <c r="Q150" s="54"/>
      <c r="R150" s="21" t="str">
        <f>IFERROR(VLOOKUP(September[[#This Row],[Drug Name]],'Data Options'!$R$1:$S$100,2,FALSE), " ")</f>
        <v xml:space="preserve"> </v>
      </c>
      <c r="S150" s="55"/>
      <c r="T150" s="32"/>
      <c r="U150" s="32"/>
      <c r="V150" s="55"/>
      <c r="W150" s="32"/>
      <c r="X150" s="54"/>
      <c r="Y150" s="21" t="str">
        <f>IFERROR(VLOOKUP(September[[#This Row],[Drug Name2]],'Data Options'!$R$1:$S$100,2,FALSE), " ")</f>
        <v xml:space="preserve"> </v>
      </c>
      <c r="Z150" s="55"/>
      <c r="AA150" s="32"/>
      <c r="AB150" s="32"/>
      <c r="AC150" s="55"/>
      <c r="AD150" s="32"/>
      <c r="AE150" s="54"/>
      <c r="AF150" s="21" t="str">
        <f>IFERROR(VLOOKUP(September[[#This Row],[Drug Name3]],'Data Options'!$R$1:$S$100,2,FALSE), " ")</f>
        <v xml:space="preserve"> </v>
      </c>
      <c r="AG150" s="55"/>
      <c r="AH150" s="32"/>
      <c r="AI150" s="32"/>
      <c r="AJ150" s="55"/>
      <c r="AK150" s="32"/>
      <c r="AL150" s="32"/>
      <c r="AM150" s="32"/>
      <c r="AN150" s="32"/>
      <c r="AO150" s="32"/>
      <c r="AP150" s="31"/>
      <c r="AQ150" s="31"/>
      <c r="AR150" s="54"/>
      <c r="AS150" s="21" t="str">
        <f>IFERROR(VLOOKUP(September[[#This Row],[Drug Name4]],'Data Options'!$R$1:$S$100,2,FALSE), " ")</f>
        <v xml:space="preserve"> </v>
      </c>
      <c r="AT150" s="55"/>
      <c r="AU150" s="32"/>
      <c r="AV150" s="32"/>
      <c r="AW150" s="55"/>
      <c r="AX150" s="32"/>
      <c r="AY150" s="54"/>
      <c r="AZ150" s="21" t="str">
        <f>IFERROR(VLOOKUP(September[[#This Row],[Drug Name5]],'Data Options'!$R$1:$S$100,2,FALSE), " ")</f>
        <v xml:space="preserve"> </v>
      </c>
      <c r="BA150" s="55"/>
      <c r="BB150" s="32"/>
      <c r="BC150" s="32"/>
      <c r="BD150" s="55"/>
      <c r="BE150" s="32"/>
      <c r="BF150" s="54"/>
      <c r="BG150" s="21" t="str">
        <f>IFERROR(VLOOKUP(September[[#This Row],[Drug Name6]],'Data Options'!$R$1:$S$100,2,FALSE), " ")</f>
        <v xml:space="preserve"> </v>
      </c>
      <c r="BH150" s="55"/>
      <c r="BI150" s="32"/>
      <c r="BJ150" s="32"/>
      <c r="BK150" s="55"/>
      <c r="BL150" s="32"/>
      <c r="BM150" s="32"/>
      <c r="BN150" s="32"/>
      <c r="BO150" s="32"/>
      <c r="BP150" s="32"/>
      <c r="BQ150" s="31"/>
      <c r="BR150" s="31"/>
      <c r="BS150" s="54"/>
      <c r="BT150" s="21" t="str">
        <f>IFERROR(VLOOKUP(September[[#This Row],[Drug Name7]],'Data Options'!$R$1:$S$100,2,FALSE), " ")</f>
        <v xml:space="preserve"> </v>
      </c>
      <c r="BU150" s="55"/>
      <c r="BV150" s="32"/>
      <c r="BW150" s="32"/>
      <c r="BX150" s="55"/>
      <c r="BY150" s="32"/>
      <c r="BZ150" s="54"/>
      <c r="CA150" s="21" t="str">
        <f>IFERROR(VLOOKUP(September[[#This Row],[Drug Name8]],'Data Options'!$R$1:$S$100,2,FALSE), " ")</f>
        <v xml:space="preserve"> </v>
      </c>
      <c r="CB150" s="55"/>
      <c r="CC150" s="32"/>
      <c r="CD150" s="32"/>
      <c r="CE150" s="55"/>
      <c r="CF150" s="32"/>
      <c r="CG150" s="54"/>
      <c r="CH150" s="21" t="str">
        <f>IFERROR(VLOOKUP(September[[#This Row],[Drug Name9]],'Data Options'!$R$1:$S$100,2,FALSE), " ")</f>
        <v xml:space="preserve"> </v>
      </c>
      <c r="CI150" s="55"/>
      <c r="CJ150" s="32"/>
      <c r="CK150" s="32"/>
      <c r="CL150" s="55"/>
      <c r="CM150" s="32"/>
    </row>
    <row r="151" spans="1:91">
      <c r="A151" s="5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1"/>
      <c r="P151" s="31"/>
      <c r="Q151" s="54"/>
      <c r="R151" s="21" t="str">
        <f>IFERROR(VLOOKUP(September[[#This Row],[Drug Name]],'Data Options'!$R$1:$S$100,2,FALSE), " ")</f>
        <v xml:space="preserve"> </v>
      </c>
      <c r="S151" s="55"/>
      <c r="T151" s="32"/>
      <c r="U151" s="32"/>
      <c r="V151" s="55"/>
      <c r="W151" s="32"/>
      <c r="X151" s="54"/>
      <c r="Y151" s="21" t="str">
        <f>IFERROR(VLOOKUP(September[[#This Row],[Drug Name2]],'Data Options'!$R$1:$S$100,2,FALSE), " ")</f>
        <v xml:space="preserve"> </v>
      </c>
      <c r="Z151" s="55"/>
      <c r="AA151" s="32"/>
      <c r="AB151" s="32"/>
      <c r="AC151" s="55"/>
      <c r="AD151" s="32"/>
      <c r="AE151" s="54"/>
      <c r="AF151" s="21" t="str">
        <f>IFERROR(VLOOKUP(September[[#This Row],[Drug Name3]],'Data Options'!$R$1:$S$100,2,FALSE), " ")</f>
        <v xml:space="preserve"> </v>
      </c>
      <c r="AG151" s="55"/>
      <c r="AH151" s="32"/>
      <c r="AI151" s="32"/>
      <c r="AJ151" s="55"/>
      <c r="AK151" s="32"/>
      <c r="AL151" s="32"/>
      <c r="AM151" s="32"/>
      <c r="AN151" s="32"/>
      <c r="AO151" s="32"/>
      <c r="AP151" s="31"/>
      <c r="AQ151" s="31"/>
      <c r="AR151" s="54"/>
      <c r="AS151" s="21" t="str">
        <f>IFERROR(VLOOKUP(September[[#This Row],[Drug Name4]],'Data Options'!$R$1:$S$100,2,FALSE), " ")</f>
        <v xml:space="preserve"> </v>
      </c>
      <c r="AT151" s="55"/>
      <c r="AU151" s="32"/>
      <c r="AV151" s="32"/>
      <c r="AW151" s="55"/>
      <c r="AX151" s="32"/>
      <c r="AY151" s="54"/>
      <c r="AZ151" s="21" t="str">
        <f>IFERROR(VLOOKUP(September[[#This Row],[Drug Name5]],'Data Options'!$R$1:$S$100,2,FALSE), " ")</f>
        <v xml:space="preserve"> </v>
      </c>
      <c r="BA151" s="55"/>
      <c r="BB151" s="32"/>
      <c r="BC151" s="32"/>
      <c r="BD151" s="55"/>
      <c r="BE151" s="32"/>
      <c r="BF151" s="54"/>
      <c r="BG151" s="21" t="str">
        <f>IFERROR(VLOOKUP(September[[#This Row],[Drug Name6]],'Data Options'!$R$1:$S$100,2,FALSE), " ")</f>
        <v xml:space="preserve"> </v>
      </c>
      <c r="BH151" s="55"/>
      <c r="BI151" s="32"/>
      <c r="BJ151" s="32"/>
      <c r="BK151" s="55"/>
      <c r="BL151" s="32"/>
      <c r="BM151" s="32"/>
      <c r="BN151" s="32"/>
      <c r="BO151" s="32"/>
      <c r="BP151" s="32"/>
      <c r="BQ151" s="31"/>
      <c r="BR151" s="31"/>
      <c r="BS151" s="54"/>
      <c r="BT151" s="21" t="str">
        <f>IFERROR(VLOOKUP(September[[#This Row],[Drug Name7]],'Data Options'!$R$1:$S$100,2,FALSE), " ")</f>
        <v xml:space="preserve"> </v>
      </c>
      <c r="BU151" s="55"/>
      <c r="BV151" s="32"/>
      <c r="BW151" s="32"/>
      <c r="BX151" s="55"/>
      <c r="BY151" s="32"/>
      <c r="BZ151" s="54"/>
      <c r="CA151" s="21" t="str">
        <f>IFERROR(VLOOKUP(September[[#This Row],[Drug Name8]],'Data Options'!$R$1:$S$100,2,FALSE), " ")</f>
        <v xml:space="preserve"> </v>
      </c>
      <c r="CB151" s="55"/>
      <c r="CC151" s="32"/>
      <c r="CD151" s="32"/>
      <c r="CE151" s="55"/>
      <c r="CF151" s="32"/>
      <c r="CG151" s="54"/>
      <c r="CH151" s="21" t="str">
        <f>IFERROR(VLOOKUP(September[[#This Row],[Drug Name9]],'Data Options'!$R$1:$S$100,2,FALSE), " ")</f>
        <v xml:space="preserve"> </v>
      </c>
      <c r="CI151" s="55"/>
      <c r="CJ151" s="32"/>
      <c r="CK151" s="32"/>
      <c r="CL151" s="55"/>
      <c r="CM151" s="32"/>
    </row>
    <row r="152" spans="1:91">
      <c r="A152" s="5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1"/>
      <c r="P152" s="31"/>
      <c r="Q152" s="54"/>
      <c r="R152" s="21" t="str">
        <f>IFERROR(VLOOKUP(September[[#This Row],[Drug Name]],'Data Options'!$R$1:$S$100,2,FALSE), " ")</f>
        <v xml:space="preserve"> </v>
      </c>
      <c r="S152" s="55"/>
      <c r="T152" s="32"/>
      <c r="U152" s="32"/>
      <c r="V152" s="55"/>
      <c r="W152" s="32"/>
      <c r="X152" s="54"/>
      <c r="Y152" s="21" t="str">
        <f>IFERROR(VLOOKUP(September[[#This Row],[Drug Name2]],'Data Options'!$R$1:$S$100,2,FALSE), " ")</f>
        <v xml:space="preserve"> </v>
      </c>
      <c r="Z152" s="55"/>
      <c r="AA152" s="32"/>
      <c r="AB152" s="32"/>
      <c r="AC152" s="55"/>
      <c r="AD152" s="32"/>
      <c r="AE152" s="54"/>
      <c r="AF152" s="21" t="str">
        <f>IFERROR(VLOOKUP(September[[#This Row],[Drug Name3]],'Data Options'!$R$1:$S$100,2,FALSE), " ")</f>
        <v xml:space="preserve"> </v>
      </c>
      <c r="AG152" s="55"/>
      <c r="AH152" s="32"/>
      <c r="AI152" s="32"/>
      <c r="AJ152" s="55"/>
      <c r="AK152" s="32"/>
      <c r="AL152" s="32"/>
      <c r="AM152" s="32"/>
      <c r="AN152" s="32"/>
      <c r="AO152" s="32"/>
      <c r="AP152" s="31"/>
      <c r="AQ152" s="31"/>
      <c r="AR152" s="54"/>
      <c r="AS152" s="21" t="str">
        <f>IFERROR(VLOOKUP(September[[#This Row],[Drug Name4]],'Data Options'!$R$1:$S$100,2,FALSE), " ")</f>
        <v xml:space="preserve"> </v>
      </c>
      <c r="AT152" s="55"/>
      <c r="AU152" s="32"/>
      <c r="AV152" s="32"/>
      <c r="AW152" s="55"/>
      <c r="AX152" s="32"/>
      <c r="AY152" s="54"/>
      <c r="AZ152" s="21" t="str">
        <f>IFERROR(VLOOKUP(September[[#This Row],[Drug Name5]],'Data Options'!$R$1:$S$100,2,FALSE), " ")</f>
        <v xml:space="preserve"> </v>
      </c>
      <c r="BA152" s="55"/>
      <c r="BB152" s="32"/>
      <c r="BC152" s="32"/>
      <c r="BD152" s="55"/>
      <c r="BE152" s="32"/>
      <c r="BF152" s="54"/>
      <c r="BG152" s="21" t="str">
        <f>IFERROR(VLOOKUP(September[[#This Row],[Drug Name6]],'Data Options'!$R$1:$S$100,2,FALSE), " ")</f>
        <v xml:space="preserve"> </v>
      </c>
      <c r="BH152" s="55"/>
      <c r="BI152" s="32"/>
      <c r="BJ152" s="32"/>
      <c r="BK152" s="55"/>
      <c r="BL152" s="32"/>
      <c r="BM152" s="32"/>
      <c r="BN152" s="32"/>
      <c r="BO152" s="32"/>
      <c r="BP152" s="32"/>
      <c r="BQ152" s="31"/>
      <c r="BR152" s="31"/>
      <c r="BS152" s="54"/>
      <c r="BT152" s="21" t="str">
        <f>IFERROR(VLOOKUP(September[[#This Row],[Drug Name7]],'Data Options'!$R$1:$S$100,2,FALSE), " ")</f>
        <v xml:space="preserve"> </v>
      </c>
      <c r="BU152" s="55"/>
      <c r="BV152" s="32"/>
      <c r="BW152" s="32"/>
      <c r="BX152" s="55"/>
      <c r="BY152" s="32"/>
      <c r="BZ152" s="54"/>
      <c r="CA152" s="21" t="str">
        <f>IFERROR(VLOOKUP(September[[#This Row],[Drug Name8]],'Data Options'!$R$1:$S$100,2,FALSE), " ")</f>
        <v xml:space="preserve"> </v>
      </c>
      <c r="CB152" s="55"/>
      <c r="CC152" s="32"/>
      <c r="CD152" s="32"/>
      <c r="CE152" s="55"/>
      <c r="CF152" s="32"/>
      <c r="CG152" s="54"/>
      <c r="CH152" s="21" t="str">
        <f>IFERROR(VLOOKUP(September[[#This Row],[Drug Name9]],'Data Options'!$R$1:$S$100,2,FALSE), " ")</f>
        <v xml:space="preserve"> </v>
      </c>
      <c r="CI152" s="55"/>
      <c r="CJ152" s="32"/>
      <c r="CK152" s="32"/>
      <c r="CL152" s="55"/>
      <c r="CM152" s="32"/>
    </row>
    <row r="153" spans="1:91">
      <c r="A153" s="5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1"/>
      <c r="P153" s="31"/>
      <c r="Q153" s="54"/>
      <c r="R153" s="21" t="str">
        <f>IFERROR(VLOOKUP(September[[#This Row],[Drug Name]],'Data Options'!$R$1:$S$100,2,FALSE), " ")</f>
        <v xml:space="preserve"> </v>
      </c>
      <c r="S153" s="55"/>
      <c r="T153" s="32"/>
      <c r="U153" s="32"/>
      <c r="V153" s="55"/>
      <c r="W153" s="32"/>
      <c r="X153" s="54"/>
      <c r="Y153" s="21" t="str">
        <f>IFERROR(VLOOKUP(September[[#This Row],[Drug Name2]],'Data Options'!$R$1:$S$100,2,FALSE), " ")</f>
        <v xml:space="preserve"> </v>
      </c>
      <c r="Z153" s="55"/>
      <c r="AA153" s="32"/>
      <c r="AB153" s="32"/>
      <c r="AC153" s="55"/>
      <c r="AD153" s="32"/>
      <c r="AE153" s="54"/>
      <c r="AF153" s="21" t="str">
        <f>IFERROR(VLOOKUP(September[[#This Row],[Drug Name3]],'Data Options'!$R$1:$S$100,2,FALSE), " ")</f>
        <v xml:space="preserve"> </v>
      </c>
      <c r="AG153" s="55"/>
      <c r="AH153" s="32"/>
      <c r="AI153" s="32"/>
      <c r="AJ153" s="55"/>
      <c r="AK153" s="32"/>
      <c r="AL153" s="32"/>
      <c r="AM153" s="32"/>
      <c r="AN153" s="32"/>
      <c r="AO153" s="32"/>
      <c r="AP153" s="31"/>
      <c r="AQ153" s="31"/>
      <c r="AR153" s="54"/>
      <c r="AS153" s="21" t="str">
        <f>IFERROR(VLOOKUP(September[[#This Row],[Drug Name4]],'Data Options'!$R$1:$S$100,2,FALSE), " ")</f>
        <v xml:space="preserve"> </v>
      </c>
      <c r="AT153" s="55"/>
      <c r="AU153" s="32"/>
      <c r="AV153" s="32"/>
      <c r="AW153" s="55"/>
      <c r="AX153" s="32"/>
      <c r="AY153" s="54"/>
      <c r="AZ153" s="21" t="str">
        <f>IFERROR(VLOOKUP(September[[#This Row],[Drug Name5]],'Data Options'!$R$1:$S$100,2,FALSE), " ")</f>
        <v xml:space="preserve"> </v>
      </c>
      <c r="BA153" s="55"/>
      <c r="BB153" s="32"/>
      <c r="BC153" s="32"/>
      <c r="BD153" s="55"/>
      <c r="BE153" s="32"/>
      <c r="BF153" s="54"/>
      <c r="BG153" s="21" t="str">
        <f>IFERROR(VLOOKUP(September[[#This Row],[Drug Name6]],'Data Options'!$R$1:$S$100,2,FALSE), " ")</f>
        <v xml:space="preserve"> </v>
      </c>
      <c r="BH153" s="55"/>
      <c r="BI153" s="32"/>
      <c r="BJ153" s="32"/>
      <c r="BK153" s="55"/>
      <c r="BL153" s="32"/>
      <c r="BM153" s="32"/>
      <c r="BN153" s="32"/>
      <c r="BO153" s="32"/>
      <c r="BP153" s="32"/>
      <c r="BQ153" s="31"/>
      <c r="BR153" s="31"/>
      <c r="BS153" s="54"/>
      <c r="BT153" s="21" t="str">
        <f>IFERROR(VLOOKUP(September[[#This Row],[Drug Name7]],'Data Options'!$R$1:$S$100,2,FALSE), " ")</f>
        <v xml:space="preserve"> </v>
      </c>
      <c r="BU153" s="55"/>
      <c r="BV153" s="32"/>
      <c r="BW153" s="32"/>
      <c r="BX153" s="55"/>
      <c r="BY153" s="32"/>
      <c r="BZ153" s="54"/>
      <c r="CA153" s="21" t="str">
        <f>IFERROR(VLOOKUP(September[[#This Row],[Drug Name8]],'Data Options'!$R$1:$S$100,2,FALSE), " ")</f>
        <v xml:space="preserve"> </v>
      </c>
      <c r="CB153" s="55"/>
      <c r="CC153" s="32"/>
      <c r="CD153" s="32"/>
      <c r="CE153" s="55"/>
      <c r="CF153" s="32"/>
      <c r="CG153" s="54"/>
      <c r="CH153" s="21" t="str">
        <f>IFERROR(VLOOKUP(September[[#This Row],[Drug Name9]],'Data Options'!$R$1:$S$100,2,FALSE), " ")</f>
        <v xml:space="preserve"> </v>
      </c>
      <c r="CI153" s="55"/>
      <c r="CJ153" s="32"/>
      <c r="CK153" s="32"/>
      <c r="CL153" s="55"/>
      <c r="CM153" s="32"/>
    </row>
    <row r="154" spans="1:91">
      <c r="A154" s="5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1"/>
      <c r="P154" s="31"/>
      <c r="Q154" s="54"/>
      <c r="R154" s="21" t="str">
        <f>IFERROR(VLOOKUP(September[[#This Row],[Drug Name]],'Data Options'!$R$1:$S$100,2,FALSE), " ")</f>
        <v xml:space="preserve"> </v>
      </c>
      <c r="S154" s="55"/>
      <c r="T154" s="32"/>
      <c r="U154" s="32"/>
      <c r="V154" s="55"/>
      <c r="W154" s="32"/>
      <c r="X154" s="54"/>
      <c r="Y154" s="21" t="str">
        <f>IFERROR(VLOOKUP(September[[#This Row],[Drug Name2]],'Data Options'!$R$1:$S$100,2,FALSE), " ")</f>
        <v xml:space="preserve"> </v>
      </c>
      <c r="Z154" s="55"/>
      <c r="AA154" s="32"/>
      <c r="AB154" s="32"/>
      <c r="AC154" s="55"/>
      <c r="AD154" s="32"/>
      <c r="AE154" s="54"/>
      <c r="AF154" s="21" t="str">
        <f>IFERROR(VLOOKUP(September[[#This Row],[Drug Name3]],'Data Options'!$R$1:$S$100,2,FALSE), " ")</f>
        <v xml:space="preserve"> </v>
      </c>
      <c r="AG154" s="55"/>
      <c r="AH154" s="32"/>
      <c r="AI154" s="32"/>
      <c r="AJ154" s="55"/>
      <c r="AK154" s="32"/>
      <c r="AL154" s="32"/>
      <c r="AM154" s="32"/>
      <c r="AN154" s="32"/>
      <c r="AO154" s="32"/>
      <c r="AP154" s="31"/>
      <c r="AQ154" s="31"/>
      <c r="AR154" s="54"/>
      <c r="AS154" s="21" t="str">
        <f>IFERROR(VLOOKUP(September[[#This Row],[Drug Name4]],'Data Options'!$R$1:$S$100,2,FALSE), " ")</f>
        <v xml:space="preserve"> </v>
      </c>
      <c r="AT154" s="55"/>
      <c r="AU154" s="32"/>
      <c r="AV154" s="32"/>
      <c r="AW154" s="55"/>
      <c r="AX154" s="32"/>
      <c r="AY154" s="54"/>
      <c r="AZ154" s="21" t="str">
        <f>IFERROR(VLOOKUP(September[[#This Row],[Drug Name5]],'Data Options'!$R$1:$S$100,2,FALSE), " ")</f>
        <v xml:space="preserve"> </v>
      </c>
      <c r="BA154" s="55"/>
      <c r="BB154" s="32"/>
      <c r="BC154" s="32"/>
      <c r="BD154" s="55"/>
      <c r="BE154" s="32"/>
      <c r="BF154" s="54"/>
      <c r="BG154" s="21" t="str">
        <f>IFERROR(VLOOKUP(September[[#This Row],[Drug Name6]],'Data Options'!$R$1:$S$100,2,FALSE), " ")</f>
        <v xml:space="preserve"> </v>
      </c>
      <c r="BH154" s="55"/>
      <c r="BI154" s="32"/>
      <c r="BJ154" s="32"/>
      <c r="BK154" s="55"/>
      <c r="BL154" s="32"/>
      <c r="BM154" s="32"/>
      <c r="BN154" s="32"/>
      <c r="BO154" s="32"/>
      <c r="BP154" s="32"/>
      <c r="BQ154" s="31"/>
      <c r="BR154" s="31"/>
      <c r="BS154" s="54"/>
      <c r="BT154" s="21" t="str">
        <f>IFERROR(VLOOKUP(September[[#This Row],[Drug Name7]],'Data Options'!$R$1:$S$100,2,FALSE), " ")</f>
        <v xml:space="preserve"> </v>
      </c>
      <c r="BU154" s="55"/>
      <c r="BV154" s="32"/>
      <c r="BW154" s="32"/>
      <c r="BX154" s="55"/>
      <c r="BY154" s="32"/>
      <c r="BZ154" s="54"/>
      <c r="CA154" s="21" t="str">
        <f>IFERROR(VLOOKUP(September[[#This Row],[Drug Name8]],'Data Options'!$R$1:$S$100,2,FALSE), " ")</f>
        <v xml:space="preserve"> </v>
      </c>
      <c r="CB154" s="55"/>
      <c r="CC154" s="32"/>
      <c r="CD154" s="32"/>
      <c r="CE154" s="55"/>
      <c r="CF154" s="32"/>
      <c r="CG154" s="54"/>
      <c r="CH154" s="21" t="str">
        <f>IFERROR(VLOOKUP(September[[#This Row],[Drug Name9]],'Data Options'!$R$1:$S$100,2,FALSE), " ")</f>
        <v xml:space="preserve"> </v>
      </c>
      <c r="CI154" s="55"/>
      <c r="CJ154" s="32"/>
      <c r="CK154" s="32"/>
      <c r="CL154" s="55"/>
      <c r="CM154" s="32"/>
    </row>
    <row r="155" spans="1:91">
      <c r="A155" s="5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54"/>
      <c r="R155" s="21" t="str">
        <f>IFERROR(VLOOKUP(September[[#This Row],[Drug Name]],'Data Options'!$R$1:$S$100,2,FALSE), " ")</f>
        <v xml:space="preserve"> </v>
      </c>
      <c r="S155" s="55"/>
      <c r="T155" s="32"/>
      <c r="U155" s="32"/>
      <c r="V155" s="55"/>
      <c r="W155" s="32"/>
      <c r="X155" s="54"/>
      <c r="Y155" s="21" t="str">
        <f>IFERROR(VLOOKUP(September[[#This Row],[Drug Name2]],'Data Options'!$R$1:$S$100,2,FALSE), " ")</f>
        <v xml:space="preserve"> </v>
      </c>
      <c r="Z155" s="55"/>
      <c r="AA155" s="32"/>
      <c r="AB155" s="32"/>
      <c r="AC155" s="55"/>
      <c r="AD155" s="32"/>
      <c r="AE155" s="54"/>
      <c r="AF155" s="21" t="str">
        <f>IFERROR(VLOOKUP(September[[#This Row],[Drug Name3]],'Data Options'!$R$1:$S$100,2,FALSE), " ")</f>
        <v xml:space="preserve"> </v>
      </c>
      <c r="AG155" s="55"/>
      <c r="AH155" s="32"/>
      <c r="AI155" s="32"/>
      <c r="AJ155" s="55"/>
      <c r="AK155" s="32"/>
      <c r="AL155" s="32"/>
      <c r="AM155" s="32"/>
      <c r="AN155" s="32"/>
      <c r="AO155" s="32"/>
      <c r="AP155" s="31"/>
      <c r="AQ155" s="31"/>
      <c r="AR155" s="54"/>
      <c r="AS155" s="21" t="str">
        <f>IFERROR(VLOOKUP(September[[#This Row],[Drug Name4]],'Data Options'!$R$1:$S$100,2,FALSE), " ")</f>
        <v xml:space="preserve"> </v>
      </c>
      <c r="AT155" s="55"/>
      <c r="AU155" s="32"/>
      <c r="AV155" s="32"/>
      <c r="AW155" s="55"/>
      <c r="AX155" s="32"/>
      <c r="AY155" s="54"/>
      <c r="AZ155" s="21" t="str">
        <f>IFERROR(VLOOKUP(September[[#This Row],[Drug Name5]],'Data Options'!$R$1:$S$100,2,FALSE), " ")</f>
        <v xml:space="preserve"> </v>
      </c>
      <c r="BA155" s="55"/>
      <c r="BB155" s="32"/>
      <c r="BC155" s="32"/>
      <c r="BD155" s="55"/>
      <c r="BE155" s="32"/>
      <c r="BF155" s="54"/>
      <c r="BG155" s="21" t="str">
        <f>IFERROR(VLOOKUP(September[[#This Row],[Drug Name6]],'Data Options'!$R$1:$S$100,2,FALSE), " ")</f>
        <v xml:space="preserve"> </v>
      </c>
      <c r="BH155" s="55"/>
      <c r="BI155" s="32"/>
      <c r="BJ155" s="32"/>
      <c r="BK155" s="55"/>
      <c r="BL155" s="32"/>
      <c r="BM155" s="32"/>
      <c r="BN155" s="32"/>
      <c r="BO155" s="32"/>
      <c r="BP155" s="32"/>
      <c r="BQ155" s="31"/>
      <c r="BR155" s="31"/>
      <c r="BS155" s="54"/>
      <c r="BT155" s="21" t="str">
        <f>IFERROR(VLOOKUP(September[[#This Row],[Drug Name7]],'Data Options'!$R$1:$S$100,2,FALSE), " ")</f>
        <v xml:space="preserve"> </v>
      </c>
      <c r="BU155" s="55"/>
      <c r="BV155" s="32"/>
      <c r="BW155" s="32"/>
      <c r="BX155" s="55"/>
      <c r="BY155" s="32"/>
      <c r="BZ155" s="54"/>
      <c r="CA155" s="21" t="str">
        <f>IFERROR(VLOOKUP(September[[#This Row],[Drug Name8]],'Data Options'!$R$1:$S$100,2,FALSE), " ")</f>
        <v xml:space="preserve"> </v>
      </c>
      <c r="CB155" s="55"/>
      <c r="CC155" s="32"/>
      <c r="CD155" s="32"/>
      <c r="CE155" s="55"/>
      <c r="CF155" s="32"/>
      <c r="CG155" s="54"/>
      <c r="CH155" s="21" t="str">
        <f>IFERROR(VLOOKUP(September[[#This Row],[Drug Name9]],'Data Options'!$R$1:$S$100,2,FALSE), " ")</f>
        <v xml:space="preserve"> </v>
      </c>
      <c r="CI155" s="55"/>
      <c r="CJ155" s="32"/>
      <c r="CK155" s="32"/>
      <c r="CL155" s="55"/>
      <c r="CM155" s="32"/>
    </row>
    <row r="156" spans="1:91">
      <c r="A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1"/>
      <c r="P156" s="31"/>
      <c r="Q156" s="54"/>
      <c r="R156" s="21" t="str">
        <f>IFERROR(VLOOKUP(September[[#This Row],[Drug Name]],'Data Options'!$R$1:$S$100,2,FALSE), " ")</f>
        <v xml:space="preserve"> </v>
      </c>
      <c r="S156" s="55"/>
      <c r="T156" s="32"/>
      <c r="U156" s="32"/>
      <c r="V156" s="55"/>
      <c r="W156" s="32"/>
      <c r="X156" s="54"/>
      <c r="Y156" s="21" t="str">
        <f>IFERROR(VLOOKUP(September[[#This Row],[Drug Name2]],'Data Options'!$R$1:$S$100,2,FALSE), " ")</f>
        <v xml:space="preserve"> </v>
      </c>
      <c r="Z156" s="55"/>
      <c r="AA156" s="32"/>
      <c r="AB156" s="32"/>
      <c r="AC156" s="55"/>
      <c r="AD156" s="32"/>
      <c r="AE156" s="54"/>
      <c r="AF156" s="21" t="str">
        <f>IFERROR(VLOOKUP(September[[#This Row],[Drug Name3]],'Data Options'!$R$1:$S$100,2,FALSE), " ")</f>
        <v xml:space="preserve"> </v>
      </c>
      <c r="AG156" s="55"/>
      <c r="AH156" s="32"/>
      <c r="AI156" s="32"/>
      <c r="AJ156" s="55"/>
      <c r="AK156" s="32"/>
      <c r="AL156" s="32"/>
      <c r="AM156" s="32"/>
      <c r="AN156" s="32"/>
      <c r="AO156" s="32"/>
      <c r="AP156" s="31"/>
      <c r="AQ156" s="31"/>
      <c r="AR156" s="54"/>
      <c r="AS156" s="21" t="str">
        <f>IFERROR(VLOOKUP(September[[#This Row],[Drug Name4]],'Data Options'!$R$1:$S$100,2,FALSE), " ")</f>
        <v xml:space="preserve"> </v>
      </c>
      <c r="AT156" s="55"/>
      <c r="AU156" s="32"/>
      <c r="AV156" s="32"/>
      <c r="AW156" s="55"/>
      <c r="AX156" s="32"/>
      <c r="AY156" s="54"/>
      <c r="AZ156" s="21" t="str">
        <f>IFERROR(VLOOKUP(September[[#This Row],[Drug Name5]],'Data Options'!$R$1:$S$100,2,FALSE), " ")</f>
        <v xml:space="preserve"> </v>
      </c>
      <c r="BA156" s="55"/>
      <c r="BB156" s="32"/>
      <c r="BC156" s="32"/>
      <c r="BD156" s="55"/>
      <c r="BE156" s="32"/>
      <c r="BF156" s="54"/>
      <c r="BG156" s="21" t="str">
        <f>IFERROR(VLOOKUP(September[[#This Row],[Drug Name6]],'Data Options'!$R$1:$S$100,2,FALSE), " ")</f>
        <v xml:space="preserve"> </v>
      </c>
      <c r="BH156" s="55"/>
      <c r="BI156" s="32"/>
      <c r="BJ156" s="32"/>
      <c r="BK156" s="55"/>
      <c r="BL156" s="32"/>
      <c r="BM156" s="32"/>
      <c r="BN156" s="32"/>
      <c r="BO156" s="32"/>
      <c r="BP156" s="32"/>
      <c r="BQ156" s="31"/>
      <c r="BR156" s="31"/>
      <c r="BS156" s="54"/>
      <c r="BT156" s="21" t="str">
        <f>IFERROR(VLOOKUP(September[[#This Row],[Drug Name7]],'Data Options'!$R$1:$S$100,2,FALSE), " ")</f>
        <v xml:space="preserve"> </v>
      </c>
      <c r="BU156" s="55"/>
      <c r="BV156" s="32"/>
      <c r="BW156" s="32"/>
      <c r="BX156" s="55"/>
      <c r="BY156" s="32"/>
      <c r="BZ156" s="54"/>
      <c r="CA156" s="21" t="str">
        <f>IFERROR(VLOOKUP(September[[#This Row],[Drug Name8]],'Data Options'!$R$1:$S$100,2,FALSE), " ")</f>
        <v xml:space="preserve"> </v>
      </c>
      <c r="CB156" s="55"/>
      <c r="CC156" s="32"/>
      <c r="CD156" s="32"/>
      <c r="CE156" s="55"/>
      <c r="CF156" s="32"/>
      <c r="CG156" s="54"/>
      <c r="CH156" s="21" t="str">
        <f>IFERROR(VLOOKUP(September[[#This Row],[Drug Name9]],'Data Options'!$R$1:$S$100,2,FALSE), " ")</f>
        <v xml:space="preserve"> </v>
      </c>
      <c r="CI156" s="55"/>
      <c r="CJ156" s="32"/>
      <c r="CK156" s="32"/>
      <c r="CL156" s="55"/>
      <c r="CM156" s="32"/>
    </row>
    <row r="157" spans="1:91">
      <c r="A157" s="5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1"/>
      <c r="P157" s="31"/>
      <c r="Q157" s="54"/>
      <c r="R157" s="21" t="str">
        <f>IFERROR(VLOOKUP(September[[#This Row],[Drug Name]],'Data Options'!$R$1:$S$100,2,FALSE), " ")</f>
        <v xml:space="preserve"> </v>
      </c>
      <c r="S157" s="55"/>
      <c r="T157" s="32"/>
      <c r="U157" s="32"/>
      <c r="V157" s="55"/>
      <c r="W157" s="32"/>
      <c r="X157" s="54"/>
      <c r="Y157" s="21" t="str">
        <f>IFERROR(VLOOKUP(September[[#This Row],[Drug Name2]],'Data Options'!$R$1:$S$100,2,FALSE), " ")</f>
        <v xml:space="preserve"> </v>
      </c>
      <c r="Z157" s="55"/>
      <c r="AA157" s="32"/>
      <c r="AB157" s="32"/>
      <c r="AC157" s="55"/>
      <c r="AD157" s="32"/>
      <c r="AE157" s="54"/>
      <c r="AF157" s="21" t="str">
        <f>IFERROR(VLOOKUP(September[[#This Row],[Drug Name3]],'Data Options'!$R$1:$S$100,2,FALSE), " ")</f>
        <v xml:space="preserve"> </v>
      </c>
      <c r="AG157" s="55"/>
      <c r="AH157" s="32"/>
      <c r="AI157" s="32"/>
      <c r="AJ157" s="55"/>
      <c r="AK157" s="32"/>
      <c r="AL157" s="32"/>
      <c r="AM157" s="32"/>
      <c r="AN157" s="32"/>
      <c r="AO157" s="32"/>
      <c r="AP157" s="31"/>
      <c r="AQ157" s="31"/>
      <c r="AR157" s="54"/>
      <c r="AS157" s="21" t="str">
        <f>IFERROR(VLOOKUP(September[[#This Row],[Drug Name4]],'Data Options'!$R$1:$S$100,2,FALSE), " ")</f>
        <v xml:space="preserve"> </v>
      </c>
      <c r="AT157" s="55"/>
      <c r="AU157" s="32"/>
      <c r="AV157" s="32"/>
      <c r="AW157" s="55"/>
      <c r="AX157" s="32"/>
      <c r="AY157" s="54"/>
      <c r="AZ157" s="21" t="str">
        <f>IFERROR(VLOOKUP(September[[#This Row],[Drug Name5]],'Data Options'!$R$1:$S$100,2,FALSE), " ")</f>
        <v xml:space="preserve"> </v>
      </c>
      <c r="BA157" s="55"/>
      <c r="BB157" s="32"/>
      <c r="BC157" s="32"/>
      <c r="BD157" s="55"/>
      <c r="BE157" s="32"/>
      <c r="BF157" s="54"/>
      <c r="BG157" s="21" t="str">
        <f>IFERROR(VLOOKUP(September[[#This Row],[Drug Name6]],'Data Options'!$R$1:$S$100,2,FALSE), " ")</f>
        <v xml:space="preserve"> </v>
      </c>
      <c r="BH157" s="55"/>
      <c r="BI157" s="32"/>
      <c r="BJ157" s="32"/>
      <c r="BK157" s="55"/>
      <c r="BL157" s="32"/>
      <c r="BM157" s="32"/>
      <c r="BN157" s="32"/>
      <c r="BO157" s="32"/>
      <c r="BP157" s="32"/>
      <c r="BQ157" s="31"/>
      <c r="BR157" s="31"/>
      <c r="BS157" s="54"/>
      <c r="BT157" s="21" t="str">
        <f>IFERROR(VLOOKUP(September[[#This Row],[Drug Name7]],'Data Options'!$R$1:$S$100,2,FALSE), " ")</f>
        <v xml:space="preserve"> </v>
      </c>
      <c r="BU157" s="55"/>
      <c r="BV157" s="32"/>
      <c r="BW157" s="32"/>
      <c r="BX157" s="55"/>
      <c r="BY157" s="32"/>
      <c r="BZ157" s="54"/>
      <c r="CA157" s="21" t="str">
        <f>IFERROR(VLOOKUP(September[[#This Row],[Drug Name8]],'Data Options'!$R$1:$S$100,2,FALSE), " ")</f>
        <v xml:space="preserve"> </v>
      </c>
      <c r="CB157" s="55"/>
      <c r="CC157" s="32"/>
      <c r="CD157" s="32"/>
      <c r="CE157" s="55"/>
      <c r="CF157" s="32"/>
      <c r="CG157" s="54"/>
      <c r="CH157" s="21" t="str">
        <f>IFERROR(VLOOKUP(September[[#This Row],[Drug Name9]],'Data Options'!$R$1:$S$100,2,FALSE), " ")</f>
        <v xml:space="preserve"> </v>
      </c>
      <c r="CI157" s="55"/>
      <c r="CJ157" s="32"/>
      <c r="CK157" s="32"/>
      <c r="CL157" s="55"/>
      <c r="CM157" s="32"/>
    </row>
    <row r="158" spans="1:91">
      <c r="A158" s="5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1"/>
      <c r="P158" s="31"/>
      <c r="Q158" s="54"/>
      <c r="R158" s="21" t="str">
        <f>IFERROR(VLOOKUP(September[[#This Row],[Drug Name]],'Data Options'!$R$1:$S$100,2,FALSE), " ")</f>
        <v xml:space="preserve"> </v>
      </c>
      <c r="S158" s="55"/>
      <c r="T158" s="32"/>
      <c r="U158" s="32"/>
      <c r="V158" s="55"/>
      <c r="W158" s="32"/>
      <c r="X158" s="54"/>
      <c r="Y158" s="21" t="str">
        <f>IFERROR(VLOOKUP(September[[#This Row],[Drug Name2]],'Data Options'!$R$1:$S$100,2,FALSE), " ")</f>
        <v xml:space="preserve"> </v>
      </c>
      <c r="Z158" s="55"/>
      <c r="AA158" s="32"/>
      <c r="AB158" s="32"/>
      <c r="AC158" s="55"/>
      <c r="AD158" s="32"/>
      <c r="AE158" s="54"/>
      <c r="AF158" s="21" t="str">
        <f>IFERROR(VLOOKUP(September[[#This Row],[Drug Name3]],'Data Options'!$R$1:$S$100,2,FALSE), " ")</f>
        <v xml:space="preserve"> </v>
      </c>
      <c r="AG158" s="55"/>
      <c r="AH158" s="32"/>
      <c r="AI158" s="32"/>
      <c r="AJ158" s="55"/>
      <c r="AK158" s="32"/>
      <c r="AL158" s="32"/>
      <c r="AM158" s="32"/>
      <c r="AN158" s="32"/>
      <c r="AO158" s="32"/>
      <c r="AP158" s="31"/>
      <c r="AQ158" s="31"/>
      <c r="AR158" s="54"/>
      <c r="AS158" s="21" t="str">
        <f>IFERROR(VLOOKUP(September[[#This Row],[Drug Name4]],'Data Options'!$R$1:$S$100,2,FALSE), " ")</f>
        <v xml:space="preserve"> </v>
      </c>
      <c r="AT158" s="55"/>
      <c r="AU158" s="32"/>
      <c r="AV158" s="32"/>
      <c r="AW158" s="55"/>
      <c r="AX158" s="32"/>
      <c r="AY158" s="54"/>
      <c r="AZ158" s="21" t="str">
        <f>IFERROR(VLOOKUP(September[[#This Row],[Drug Name5]],'Data Options'!$R$1:$S$100,2,FALSE), " ")</f>
        <v xml:space="preserve"> </v>
      </c>
      <c r="BA158" s="55"/>
      <c r="BB158" s="32"/>
      <c r="BC158" s="32"/>
      <c r="BD158" s="55"/>
      <c r="BE158" s="32"/>
      <c r="BF158" s="54"/>
      <c r="BG158" s="21" t="str">
        <f>IFERROR(VLOOKUP(September[[#This Row],[Drug Name6]],'Data Options'!$R$1:$S$100,2,FALSE), " ")</f>
        <v xml:space="preserve"> </v>
      </c>
      <c r="BH158" s="55"/>
      <c r="BI158" s="32"/>
      <c r="BJ158" s="32"/>
      <c r="BK158" s="55"/>
      <c r="BL158" s="32"/>
      <c r="BM158" s="32"/>
      <c r="BN158" s="32"/>
      <c r="BO158" s="32"/>
      <c r="BP158" s="32"/>
      <c r="BQ158" s="31"/>
      <c r="BR158" s="31"/>
      <c r="BS158" s="54"/>
      <c r="BT158" s="21" t="str">
        <f>IFERROR(VLOOKUP(September[[#This Row],[Drug Name7]],'Data Options'!$R$1:$S$100,2,FALSE), " ")</f>
        <v xml:space="preserve"> </v>
      </c>
      <c r="BU158" s="55"/>
      <c r="BV158" s="32"/>
      <c r="BW158" s="32"/>
      <c r="BX158" s="55"/>
      <c r="BY158" s="32"/>
      <c r="BZ158" s="54"/>
      <c r="CA158" s="21" t="str">
        <f>IFERROR(VLOOKUP(September[[#This Row],[Drug Name8]],'Data Options'!$R$1:$S$100,2,FALSE), " ")</f>
        <v xml:space="preserve"> </v>
      </c>
      <c r="CB158" s="55"/>
      <c r="CC158" s="32"/>
      <c r="CD158" s="32"/>
      <c r="CE158" s="55"/>
      <c r="CF158" s="32"/>
      <c r="CG158" s="54"/>
      <c r="CH158" s="21" t="str">
        <f>IFERROR(VLOOKUP(September[[#This Row],[Drug Name9]],'Data Options'!$R$1:$S$100,2,FALSE), " ")</f>
        <v xml:space="preserve"> </v>
      </c>
      <c r="CI158" s="55"/>
      <c r="CJ158" s="32"/>
      <c r="CK158" s="32"/>
      <c r="CL158" s="55"/>
      <c r="CM158" s="32"/>
    </row>
    <row r="159" spans="1:91">
      <c r="A159" s="5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1"/>
      <c r="P159" s="31"/>
      <c r="Q159" s="54"/>
      <c r="R159" s="21" t="str">
        <f>IFERROR(VLOOKUP(September[[#This Row],[Drug Name]],'Data Options'!$R$1:$S$100,2,FALSE), " ")</f>
        <v xml:space="preserve"> </v>
      </c>
      <c r="S159" s="55"/>
      <c r="T159" s="32"/>
      <c r="U159" s="32"/>
      <c r="V159" s="55"/>
      <c r="W159" s="32"/>
      <c r="X159" s="54"/>
      <c r="Y159" s="21" t="str">
        <f>IFERROR(VLOOKUP(September[[#This Row],[Drug Name2]],'Data Options'!$R$1:$S$100,2,FALSE), " ")</f>
        <v xml:space="preserve"> </v>
      </c>
      <c r="Z159" s="55"/>
      <c r="AA159" s="32"/>
      <c r="AB159" s="32"/>
      <c r="AC159" s="55"/>
      <c r="AD159" s="32"/>
      <c r="AE159" s="54"/>
      <c r="AF159" s="21" t="str">
        <f>IFERROR(VLOOKUP(September[[#This Row],[Drug Name3]],'Data Options'!$R$1:$S$100,2,FALSE), " ")</f>
        <v xml:space="preserve"> </v>
      </c>
      <c r="AG159" s="55"/>
      <c r="AH159" s="32"/>
      <c r="AI159" s="32"/>
      <c r="AJ159" s="55"/>
      <c r="AK159" s="32"/>
      <c r="AL159" s="32"/>
      <c r="AM159" s="32"/>
      <c r="AN159" s="32"/>
      <c r="AO159" s="32"/>
      <c r="AP159" s="31"/>
      <c r="AQ159" s="31"/>
      <c r="AR159" s="54"/>
      <c r="AS159" s="21" t="str">
        <f>IFERROR(VLOOKUP(September[[#This Row],[Drug Name4]],'Data Options'!$R$1:$S$100,2,FALSE), " ")</f>
        <v xml:space="preserve"> </v>
      </c>
      <c r="AT159" s="55"/>
      <c r="AU159" s="32"/>
      <c r="AV159" s="32"/>
      <c r="AW159" s="55"/>
      <c r="AX159" s="32"/>
      <c r="AY159" s="54"/>
      <c r="AZ159" s="21" t="str">
        <f>IFERROR(VLOOKUP(September[[#This Row],[Drug Name5]],'Data Options'!$R$1:$S$100,2,FALSE), " ")</f>
        <v xml:space="preserve"> </v>
      </c>
      <c r="BA159" s="55"/>
      <c r="BB159" s="32"/>
      <c r="BC159" s="32"/>
      <c r="BD159" s="55"/>
      <c r="BE159" s="32"/>
      <c r="BF159" s="54"/>
      <c r="BG159" s="21" t="str">
        <f>IFERROR(VLOOKUP(September[[#This Row],[Drug Name6]],'Data Options'!$R$1:$S$100,2,FALSE), " ")</f>
        <v xml:space="preserve"> </v>
      </c>
      <c r="BH159" s="55"/>
      <c r="BI159" s="32"/>
      <c r="BJ159" s="32"/>
      <c r="BK159" s="55"/>
      <c r="BL159" s="32"/>
      <c r="BM159" s="32"/>
      <c r="BN159" s="32"/>
      <c r="BO159" s="32"/>
      <c r="BP159" s="32"/>
      <c r="BQ159" s="31"/>
      <c r="BR159" s="31"/>
      <c r="BS159" s="54"/>
      <c r="BT159" s="21" t="str">
        <f>IFERROR(VLOOKUP(September[[#This Row],[Drug Name7]],'Data Options'!$R$1:$S$100,2,FALSE), " ")</f>
        <v xml:space="preserve"> </v>
      </c>
      <c r="BU159" s="55"/>
      <c r="BV159" s="32"/>
      <c r="BW159" s="32"/>
      <c r="BX159" s="55"/>
      <c r="BY159" s="32"/>
      <c r="BZ159" s="54"/>
      <c r="CA159" s="21" t="str">
        <f>IFERROR(VLOOKUP(September[[#This Row],[Drug Name8]],'Data Options'!$R$1:$S$100,2,FALSE), " ")</f>
        <v xml:space="preserve"> </v>
      </c>
      <c r="CB159" s="55"/>
      <c r="CC159" s="32"/>
      <c r="CD159" s="32"/>
      <c r="CE159" s="55"/>
      <c r="CF159" s="32"/>
      <c r="CG159" s="54"/>
      <c r="CH159" s="21" t="str">
        <f>IFERROR(VLOOKUP(September[[#This Row],[Drug Name9]],'Data Options'!$R$1:$S$100,2,FALSE), " ")</f>
        <v xml:space="preserve"> </v>
      </c>
      <c r="CI159" s="55"/>
      <c r="CJ159" s="32"/>
      <c r="CK159" s="32"/>
      <c r="CL159" s="55"/>
      <c r="CM159" s="32"/>
    </row>
    <row r="160" spans="1:91">
      <c r="A160" s="5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1"/>
      <c r="P160" s="31"/>
      <c r="Q160" s="54"/>
      <c r="R160" s="21" t="str">
        <f>IFERROR(VLOOKUP(September[[#This Row],[Drug Name]],'Data Options'!$R$1:$S$100,2,FALSE), " ")</f>
        <v xml:space="preserve"> </v>
      </c>
      <c r="S160" s="55"/>
      <c r="T160" s="32"/>
      <c r="U160" s="32"/>
      <c r="V160" s="55"/>
      <c r="W160" s="32"/>
      <c r="X160" s="54"/>
      <c r="Y160" s="21" t="str">
        <f>IFERROR(VLOOKUP(September[[#This Row],[Drug Name2]],'Data Options'!$R$1:$S$100,2,FALSE), " ")</f>
        <v xml:space="preserve"> </v>
      </c>
      <c r="Z160" s="55"/>
      <c r="AA160" s="32"/>
      <c r="AB160" s="32"/>
      <c r="AC160" s="55"/>
      <c r="AD160" s="32"/>
      <c r="AE160" s="54"/>
      <c r="AF160" s="21" t="str">
        <f>IFERROR(VLOOKUP(September[[#This Row],[Drug Name3]],'Data Options'!$R$1:$S$100,2,FALSE), " ")</f>
        <v xml:space="preserve"> </v>
      </c>
      <c r="AG160" s="55"/>
      <c r="AH160" s="32"/>
      <c r="AI160" s="32"/>
      <c r="AJ160" s="55"/>
      <c r="AK160" s="32"/>
      <c r="AL160" s="32"/>
      <c r="AM160" s="32"/>
      <c r="AN160" s="32"/>
      <c r="AO160" s="32"/>
      <c r="AP160" s="31"/>
      <c r="AQ160" s="31"/>
      <c r="AR160" s="54"/>
      <c r="AS160" s="21" t="str">
        <f>IFERROR(VLOOKUP(September[[#This Row],[Drug Name4]],'Data Options'!$R$1:$S$100,2,FALSE), " ")</f>
        <v xml:space="preserve"> </v>
      </c>
      <c r="AT160" s="55"/>
      <c r="AU160" s="32"/>
      <c r="AV160" s="32"/>
      <c r="AW160" s="55"/>
      <c r="AX160" s="32"/>
      <c r="AY160" s="54"/>
      <c r="AZ160" s="21" t="str">
        <f>IFERROR(VLOOKUP(September[[#This Row],[Drug Name5]],'Data Options'!$R$1:$S$100,2,FALSE), " ")</f>
        <v xml:space="preserve"> </v>
      </c>
      <c r="BA160" s="55"/>
      <c r="BB160" s="32"/>
      <c r="BC160" s="32"/>
      <c r="BD160" s="55"/>
      <c r="BE160" s="32"/>
      <c r="BF160" s="54"/>
      <c r="BG160" s="21" t="str">
        <f>IFERROR(VLOOKUP(September[[#This Row],[Drug Name6]],'Data Options'!$R$1:$S$100,2,FALSE), " ")</f>
        <v xml:space="preserve"> </v>
      </c>
      <c r="BH160" s="55"/>
      <c r="BI160" s="32"/>
      <c r="BJ160" s="32"/>
      <c r="BK160" s="55"/>
      <c r="BL160" s="32"/>
      <c r="BM160" s="32"/>
      <c r="BN160" s="32"/>
      <c r="BO160" s="32"/>
      <c r="BP160" s="32"/>
      <c r="BQ160" s="31"/>
      <c r="BR160" s="31"/>
      <c r="BS160" s="54"/>
      <c r="BT160" s="21" t="str">
        <f>IFERROR(VLOOKUP(September[[#This Row],[Drug Name7]],'Data Options'!$R$1:$S$100,2,FALSE), " ")</f>
        <v xml:space="preserve"> </v>
      </c>
      <c r="BU160" s="55"/>
      <c r="BV160" s="32"/>
      <c r="BW160" s="32"/>
      <c r="BX160" s="55"/>
      <c r="BY160" s="32"/>
      <c r="BZ160" s="54"/>
      <c r="CA160" s="21" t="str">
        <f>IFERROR(VLOOKUP(September[[#This Row],[Drug Name8]],'Data Options'!$R$1:$S$100,2,FALSE), " ")</f>
        <v xml:space="preserve"> </v>
      </c>
      <c r="CB160" s="55"/>
      <c r="CC160" s="32"/>
      <c r="CD160" s="32"/>
      <c r="CE160" s="55"/>
      <c r="CF160" s="32"/>
      <c r="CG160" s="54"/>
      <c r="CH160" s="21" t="str">
        <f>IFERROR(VLOOKUP(September[[#This Row],[Drug Name9]],'Data Options'!$R$1:$S$100,2,FALSE), " ")</f>
        <v xml:space="preserve"> </v>
      </c>
      <c r="CI160" s="55"/>
      <c r="CJ160" s="32"/>
      <c r="CK160" s="32"/>
      <c r="CL160" s="55"/>
      <c r="CM160" s="32"/>
    </row>
    <row r="161" spans="1:91">
      <c r="A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1"/>
      <c r="P161" s="31"/>
      <c r="Q161" s="54"/>
      <c r="R161" s="21" t="str">
        <f>IFERROR(VLOOKUP(September[[#This Row],[Drug Name]],'Data Options'!$R$1:$S$100,2,FALSE), " ")</f>
        <v xml:space="preserve"> </v>
      </c>
      <c r="S161" s="55"/>
      <c r="T161" s="32"/>
      <c r="U161" s="32"/>
      <c r="V161" s="55"/>
      <c r="W161" s="32"/>
      <c r="X161" s="54"/>
      <c r="Y161" s="21" t="str">
        <f>IFERROR(VLOOKUP(September[[#This Row],[Drug Name2]],'Data Options'!$R$1:$S$100,2,FALSE), " ")</f>
        <v xml:space="preserve"> </v>
      </c>
      <c r="Z161" s="55"/>
      <c r="AA161" s="32"/>
      <c r="AB161" s="32"/>
      <c r="AC161" s="55"/>
      <c r="AD161" s="32"/>
      <c r="AE161" s="54"/>
      <c r="AF161" s="21" t="str">
        <f>IFERROR(VLOOKUP(September[[#This Row],[Drug Name3]],'Data Options'!$R$1:$S$100,2,FALSE), " ")</f>
        <v xml:space="preserve"> </v>
      </c>
      <c r="AG161" s="55"/>
      <c r="AH161" s="32"/>
      <c r="AI161" s="32"/>
      <c r="AJ161" s="55"/>
      <c r="AK161" s="32"/>
      <c r="AL161" s="32"/>
      <c r="AM161" s="32"/>
      <c r="AN161" s="32"/>
      <c r="AO161" s="32"/>
      <c r="AP161" s="31"/>
      <c r="AQ161" s="31"/>
      <c r="AR161" s="54"/>
      <c r="AS161" s="21" t="str">
        <f>IFERROR(VLOOKUP(September[[#This Row],[Drug Name4]],'Data Options'!$R$1:$S$100,2,FALSE), " ")</f>
        <v xml:space="preserve"> </v>
      </c>
      <c r="AT161" s="55"/>
      <c r="AU161" s="32"/>
      <c r="AV161" s="32"/>
      <c r="AW161" s="55"/>
      <c r="AX161" s="32"/>
      <c r="AY161" s="54"/>
      <c r="AZ161" s="21" t="str">
        <f>IFERROR(VLOOKUP(September[[#This Row],[Drug Name5]],'Data Options'!$R$1:$S$100,2,FALSE), " ")</f>
        <v xml:space="preserve"> </v>
      </c>
      <c r="BA161" s="55"/>
      <c r="BB161" s="32"/>
      <c r="BC161" s="32"/>
      <c r="BD161" s="55"/>
      <c r="BE161" s="32"/>
      <c r="BF161" s="54"/>
      <c r="BG161" s="21" t="str">
        <f>IFERROR(VLOOKUP(September[[#This Row],[Drug Name6]],'Data Options'!$R$1:$S$100,2,FALSE), " ")</f>
        <v xml:space="preserve"> </v>
      </c>
      <c r="BH161" s="55"/>
      <c r="BI161" s="32"/>
      <c r="BJ161" s="32"/>
      <c r="BK161" s="55"/>
      <c r="BL161" s="32"/>
      <c r="BM161" s="32"/>
      <c r="BN161" s="32"/>
      <c r="BO161" s="32"/>
      <c r="BP161" s="32"/>
      <c r="BQ161" s="31"/>
      <c r="BR161" s="31"/>
      <c r="BS161" s="54"/>
      <c r="BT161" s="21" t="str">
        <f>IFERROR(VLOOKUP(September[[#This Row],[Drug Name7]],'Data Options'!$R$1:$S$100,2,FALSE), " ")</f>
        <v xml:space="preserve"> </v>
      </c>
      <c r="BU161" s="55"/>
      <c r="BV161" s="32"/>
      <c r="BW161" s="32"/>
      <c r="BX161" s="55"/>
      <c r="BY161" s="32"/>
      <c r="BZ161" s="54"/>
      <c r="CA161" s="21" t="str">
        <f>IFERROR(VLOOKUP(September[[#This Row],[Drug Name8]],'Data Options'!$R$1:$S$100,2,FALSE), " ")</f>
        <v xml:space="preserve"> </v>
      </c>
      <c r="CB161" s="55"/>
      <c r="CC161" s="32"/>
      <c r="CD161" s="32"/>
      <c r="CE161" s="55"/>
      <c r="CF161" s="32"/>
      <c r="CG161" s="54"/>
      <c r="CH161" s="21" t="str">
        <f>IFERROR(VLOOKUP(September[[#This Row],[Drug Name9]],'Data Options'!$R$1:$S$100,2,FALSE), " ")</f>
        <v xml:space="preserve"> </v>
      </c>
      <c r="CI161" s="55"/>
      <c r="CJ161" s="32"/>
      <c r="CK161" s="32"/>
      <c r="CL161" s="55"/>
      <c r="CM161" s="32"/>
    </row>
    <row r="162" spans="1:91">
      <c r="A162" s="5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1"/>
      <c r="P162" s="31"/>
      <c r="Q162" s="54"/>
      <c r="R162" s="21" t="str">
        <f>IFERROR(VLOOKUP(September[[#This Row],[Drug Name]],'Data Options'!$R$1:$S$100,2,FALSE), " ")</f>
        <v xml:space="preserve"> </v>
      </c>
      <c r="S162" s="55"/>
      <c r="T162" s="32"/>
      <c r="U162" s="32"/>
      <c r="V162" s="55"/>
      <c r="W162" s="32"/>
      <c r="X162" s="54"/>
      <c r="Y162" s="21" t="str">
        <f>IFERROR(VLOOKUP(September[[#This Row],[Drug Name2]],'Data Options'!$R$1:$S$100,2,FALSE), " ")</f>
        <v xml:space="preserve"> </v>
      </c>
      <c r="Z162" s="55"/>
      <c r="AA162" s="32"/>
      <c r="AB162" s="32"/>
      <c r="AC162" s="55"/>
      <c r="AD162" s="32"/>
      <c r="AE162" s="54"/>
      <c r="AF162" s="21" t="str">
        <f>IFERROR(VLOOKUP(September[[#This Row],[Drug Name3]],'Data Options'!$R$1:$S$100,2,FALSE), " ")</f>
        <v xml:space="preserve"> </v>
      </c>
      <c r="AG162" s="55"/>
      <c r="AH162" s="32"/>
      <c r="AI162" s="32"/>
      <c r="AJ162" s="55"/>
      <c r="AK162" s="32"/>
      <c r="AL162" s="32"/>
      <c r="AM162" s="32"/>
      <c r="AN162" s="32"/>
      <c r="AO162" s="32"/>
      <c r="AP162" s="31"/>
      <c r="AQ162" s="31"/>
      <c r="AR162" s="54"/>
      <c r="AS162" s="21" t="str">
        <f>IFERROR(VLOOKUP(September[[#This Row],[Drug Name4]],'Data Options'!$R$1:$S$100,2,FALSE), " ")</f>
        <v xml:space="preserve"> </v>
      </c>
      <c r="AT162" s="55"/>
      <c r="AU162" s="32"/>
      <c r="AV162" s="32"/>
      <c r="AW162" s="55"/>
      <c r="AX162" s="32"/>
      <c r="AY162" s="54"/>
      <c r="AZ162" s="21" t="str">
        <f>IFERROR(VLOOKUP(September[[#This Row],[Drug Name5]],'Data Options'!$R$1:$S$100,2,FALSE), " ")</f>
        <v xml:space="preserve"> </v>
      </c>
      <c r="BA162" s="55"/>
      <c r="BB162" s="32"/>
      <c r="BC162" s="32"/>
      <c r="BD162" s="55"/>
      <c r="BE162" s="32"/>
      <c r="BF162" s="54"/>
      <c r="BG162" s="21" t="str">
        <f>IFERROR(VLOOKUP(September[[#This Row],[Drug Name6]],'Data Options'!$R$1:$S$100,2,FALSE), " ")</f>
        <v xml:space="preserve"> </v>
      </c>
      <c r="BH162" s="55"/>
      <c r="BI162" s="32"/>
      <c r="BJ162" s="32"/>
      <c r="BK162" s="55"/>
      <c r="BL162" s="32"/>
      <c r="BM162" s="32"/>
      <c r="BN162" s="32"/>
      <c r="BO162" s="32"/>
      <c r="BP162" s="32"/>
      <c r="BQ162" s="31"/>
      <c r="BR162" s="31"/>
      <c r="BS162" s="54"/>
      <c r="BT162" s="21" t="str">
        <f>IFERROR(VLOOKUP(September[[#This Row],[Drug Name7]],'Data Options'!$R$1:$S$100,2,FALSE), " ")</f>
        <v xml:space="preserve"> </v>
      </c>
      <c r="BU162" s="55"/>
      <c r="BV162" s="32"/>
      <c r="BW162" s="32"/>
      <c r="BX162" s="55"/>
      <c r="BY162" s="32"/>
      <c r="BZ162" s="54"/>
      <c r="CA162" s="21" t="str">
        <f>IFERROR(VLOOKUP(September[[#This Row],[Drug Name8]],'Data Options'!$R$1:$S$100,2,FALSE), " ")</f>
        <v xml:space="preserve"> </v>
      </c>
      <c r="CB162" s="55"/>
      <c r="CC162" s="32"/>
      <c r="CD162" s="32"/>
      <c r="CE162" s="55"/>
      <c r="CF162" s="32"/>
      <c r="CG162" s="54"/>
      <c r="CH162" s="21" t="str">
        <f>IFERROR(VLOOKUP(September[[#This Row],[Drug Name9]],'Data Options'!$R$1:$S$100,2,FALSE), " ")</f>
        <v xml:space="preserve"> </v>
      </c>
      <c r="CI162" s="55"/>
      <c r="CJ162" s="32"/>
      <c r="CK162" s="32"/>
      <c r="CL162" s="55"/>
      <c r="CM162" s="32"/>
    </row>
    <row r="163" spans="1:91">
      <c r="A163" s="5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1"/>
      <c r="P163" s="31"/>
      <c r="Q163" s="54"/>
      <c r="R163" s="21" t="str">
        <f>IFERROR(VLOOKUP(September[[#This Row],[Drug Name]],'Data Options'!$R$1:$S$100,2,FALSE), " ")</f>
        <v xml:space="preserve"> </v>
      </c>
      <c r="S163" s="55"/>
      <c r="T163" s="32"/>
      <c r="U163" s="32"/>
      <c r="V163" s="55"/>
      <c r="W163" s="32"/>
      <c r="X163" s="54"/>
      <c r="Y163" s="21" t="str">
        <f>IFERROR(VLOOKUP(September[[#This Row],[Drug Name2]],'Data Options'!$R$1:$S$100,2,FALSE), " ")</f>
        <v xml:space="preserve"> </v>
      </c>
      <c r="Z163" s="55"/>
      <c r="AA163" s="32"/>
      <c r="AB163" s="32"/>
      <c r="AC163" s="55"/>
      <c r="AD163" s="32"/>
      <c r="AE163" s="54"/>
      <c r="AF163" s="21" t="str">
        <f>IFERROR(VLOOKUP(September[[#This Row],[Drug Name3]],'Data Options'!$R$1:$S$100,2,FALSE), " ")</f>
        <v xml:space="preserve"> </v>
      </c>
      <c r="AG163" s="55"/>
      <c r="AH163" s="32"/>
      <c r="AI163" s="32"/>
      <c r="AJ163" s="55"/>
      <c r="AK163" s="32"/>
      <c r="AL163" s="32"/>
      <c r="AM163" s="32"/>
      <c r="AN163" s="32"/>
      <c r="AO163" s="32"/>
      <c r="AP163" s="31"/>
      <c r="AQ163" s="31"/>
      <c r="AR163" s="54"/>
      <c r="AS163" s="21" t="str">
        <f>IFERROR(VLOOKUP(September[[#This Row],[Drug Name4]],'Data Options'!$R$1:$S$100,2,FALSE), " ")</f>
        <v xml:space="preserve"> </v>
      </c>
      <c r="AT163" s="55"/>
      <c r="AU163" s="32"/>
      <c r="AV163" s="32"/>
      <c r="AW163" s="55"/>
      <c r="AX163" s="32"/>
      <c r="AY163" s="54"/>
      <c r="AZ163" s="21" t="str">
        <f>IFERROR(VLOOKUP(September[[#This Row],[Drug Name5]],'Data Options'!$R$1:$S$100,2,FALSE), " ")</f>
        <v xml:space="preserve"> </v>
      </c>
      <c r="BA163" s="55"/>
      <c r="BB163" s="32"/>
      <c r="BC163" s="32"/>
      <c r="BD163" s="55"/>
      <c r="BE163" s="32"/>
      <c r="BF163" s="54"/>
      <c r="BG163" s="21" t="str">
        <f>IFERROR(VLOOKUP(September[[#This Row],[Drug Name6]],'Data Options'!$R$1:$S$100,2,FALSE), " ")</f>
        <v xml:space="preserve"> </v>
      </c>
      <c r="BH163" s="55"/>
      <c r="BI163" s="32"/>
      <c r="BJ163" s="32"/>
      <c r="BK163" s="55"/>
      <c r="BL163" s="32"/>
      <c r="BM163" s="32"/>
      <c r="BN163" s="32"/>
      <c r="BO163" s="32"/>
      <c r="BP163" s="32"/>
      <c r="BQ163" s="31"/>
      <c r="BR163" s="31"/>
      <c r="BS163" s="54"/>
      <c r="BT163" s="21" t="str">
        <f>IFERROR(VLOOKUP(September[[#This Row],[Drug Name7]],'Data Options'!$R$1:$S$100,2,FALSE), " ")</f>
        <v xml:space="preserve"> </v>
      </c>
      <c r="BU163" s="55"/>
      <c r="BV163" s="32"/>
      <c r="BW163" s="32"/>
      <c r="BX163" s="55"/>
      <c r="BY163" s="32"/>
      <c r="BZ163" s="54"/>
      <c r="CA163" s="21" t="str">
        <f>IFERROR(VLOOKUP(September[[#This Row],[Drug Name8]],'Data Options'!$R$1:$S$100,2,FALSE), " ")</f>
        <v xml:space="preserve"> </v>
      </c>
      <c r="CB163" s="55"/>
      <c r="CC163" s="32"/>
      <c r="CD163" s="32"/>
      <c r="CE163" s="55"/>
      <c r="CF163" s="32"/>
      <c r="CG163" s="54"/>
      <c r="CH163" s="21" t="str">
        <f>IFERROR(VLOOKUP(September[[#This Row],[Drug Name9]],'Data Options'!$R$1:$S$100,2,FALSE), " ")</f>
        <v xml:space="preserve"> </v>
      </c>
      <c r="CI163" s="55"/>
      <c r="CJ163" s="32"/>
      <c r="CK163" s="32"/>
      <c r="CL163" s="55"/>
      <c r="CM163" s="32"/>
    </row>
    <row r="164" spans="1:91">
      <c r="A164" s="5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1"/>
      <c r="P164" s="31"/>
      <c r="Q164" s="54"/>
      <c r="R164" s="21" t="str">
        <f>IFERROR(VLOOKUP(September[[#This Row],[Drug Name]],'Data Options'!$R$1:$S$100,2,FALSE), " ")</f>
        <v xml:space="preserve"> </v>
      </c>
      <c r="S164" s="55"/>
      <c r="T164" s="32"/>
      <c r="U164" s="32"/>
      <c r="V164" s="55"/>
      <c r="W164" s="32"/>
      <c r="X164" s="54"/>
      <c r="Y164" s="21" t="str">
        <f>IFERROR(VLOOKUP(September[[#This Row],[Drug Name2]],'Data Options'!$R$1:$S$100,2,FALSE), " ")</f>
        <v xml:space="preserve"> </v>
      </c>
      <c r="Z164" s="55"/>
      <c r="AA164" s="32"/>
      <c r="AB164" s="32"/>
      <c r="AC164" s="55"/>
      <c r="AD164" s="32"/>
      <c r="AE164" s="54"/>
      <c r="AF164" s="21" t="str">
        <f>IFERROR(VLOOKUP(September[[#This Row],[Drug Name3]],'Data Options'!$R$1:$S$100,2,FALSE), " ")</f>
        <v xml:space="preserve"> </v>
      </c>
      <c r="AG164" s="55"/>
      <c r="AH164" s="32"/>
      <c r="AI164" s="32"/>
      <c r="AJ164" s="55"/>
      <c r="AK164" s="32"/>
      <c r="AL164" s="32"/>
      <c r="AM164" s="32"/>
      <c r="AN164" s="32"/>
      <c r="AO164" s="32"/>
      <c r="AP164" s="31"/>
      <c r="AQ164" s="31"/>
      <c r="AR164" s="54"/>
      <c r="AS164" s="21" t="str">
        <f>IFERROR(VLOOKUP(September[[#This Row],[Drug Name4]],'Data Options'!$R$1:$S$100,2,FALSE), " ")</f>
        <v xml:space="preserve"> </v>
      </c>
      <c r="AT164" s="55"/>
      <c r="AU164" s="32"/>
      <c r="AV164" s="32"/>
      <c r="AW164" s="55"/>
      <c r="AX164" s="32"/>
      <c r="AY164" s="54"/>
      <c r="AZ164" s="21" t="str">
        <f>IFERROR(VLOOKUP(September[[#This Row],[Drug Name5]],'Data Options'!$R$1:$S$100,2,FALSE), " ")</f>
        <v xml:space="preserve"> </v>
      </c>
      <c r="BA164" s="55"/>
      <c r="BB164" s="32"/>
      <c r="BC164" s="32"/>
      <c r="BD164" s="55"/>
      <c r="BE164" s="32"/>
      <c r="BF164" s="54"/>
      <c r="BG164" s="21" t="str">
        <f>IFERROR(VLOOKUP(September[[#This Row],[Drug Name6]],'Data Options'!$R$1:$S$100,2,FALSE), " ")</f>
        <v xml:space="preserve"> </v>
      </c>
      <c r="BH164" s="55"/>
      <c r="BI164" s="32"/>
      <c r="BJ164" s="32"/>
      <c r="BK164" s="55"/>
      <c r="BL164" s="32"/>
      <c r="BM164" s="32"/>
      <c r="BN164" s="32"/>
      <c r="BO164" s="32"/>
      <c r="BP164" s="32"/>
      <c r="BQ164" s="31"/>
      <c r="BR164" s="31"/>
      <c r="BS164" s="54"/>
      <c r="BT164" s="21" t="str">
        <f>IFERROR(VLOOKUP(September[[#This Row],[Drug Name7]],'Data Options'!$R$1:$S$100,2,FALSE), " ")</f>
        <v xml:space="preserve"> </v>
      </c>
      <c r="BU164" s="55"/>
      <c r="BV164" s="32"/>
      <c r="BW164" s="32"/>
      <c r="BX164" s="55"/>
      <c r="BY164" s="32"/>
      <c r="BZ164" s="54"/>
      <c r="CA164" s="21" t="str">
        <f>IFERROR(VLOOKUP(September[[#This Row],[Drug Name8]],'Data Options'!$R$1:$S$100,2,FALSE), " ")</f>
        <v xml:space="preserve"> </v>
      </c>
      <c r="CB164" s="55"/>
      <c r="CC164" s="32"/>
      <c r="CD164" s="32"/>
      <c r="CE164" s="55"/>
      <c r="CF164" s="32"/>
      <c r="CG164" s="54"/>
      <c r="CH164" s="21" t="str">
        <f>IFERROR(VLOOKUP(September[[#This Row],[Drug Name9]],'Data Options'!$R$1:$S$100,2,FALSE), " ")</f>
        <v xml:space="preserve"> </v>
      </c>
      <c r="CI164" s="55"/>
      <c r="CJ164" s="32"/>
      <c r="CK164" s="32"/>
      <c r="CL164" s="55"/>
      <c r="CM164" s="32"/>
    </row>
    <row r="165" spans="1:91">
      <c r="A165" s="5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1"/>
      <c r="P165" s="31"/>
      <c r="Q165" s="54"/>
      <c r="R165" s="21" t="str">
        <f>IFERROR(VLOOKUP(September[[#This Row],[Drug Name]],'Data Options'!$R$1:$S$100,2,FALSE), " ")</f>
        <v xml:space="preserve"> </v>
      </c>
      <c r="S165" s="55"/>
      <c r="T165" s="32"/>
      <c r="U165" s="32"/>
      <c r="V165" s="55"/>
      <c r="W165" s="32"/>
      <c r="X165" s="54"/>
      <c r="Y165" s="21" t="str">
        <f>IFERROR(VLOOKUP(September[[#This Row],[Drug Name2]],'Data Options'!$R$1:$S$100,2,FALSE), " ")</f>
        <v xml:space="preserve"> </v>
      </c>
      <c r="Z165" s="55"/>
      <c r="AA165" s="32"/>
      <c r="AB165" s="32"/>
      <c r="AC165" s="55"/>
      <c r="AD165" s="32"/>
      <c r="AE165" s="54"/>
      <c r="AF165" s="21" t="str">
        <f>IFERROR(VLOOKUP(September[[#This Row],[Drug Name3]],'Data Options'!$R$1:$S$100,2,FALSE), " ")</f>
        <v xml:space="preserve"> </v>
      </c>
      <c r="AG165" s="55"/>
      <c r="AH165" s="32"/>
      <c r="AI165" s="32"/>
      <c r="AJ165" s="55"/>
      <c r="AK165" s="32"/>
      <c r="AL165" s="32"/>
      <c r="AM165" s="32"/>
      <c r="AN165" s="32"/>
      <c r="AO165" s="32"/>
      <c r="AP165" s="31"/>
      <c r="AQ165" s="31"/>
      <c r="AR165" s="54"/>
      <c r="AS165" s="21" t="str">
        <f>IFERROR(VLOOKUP(September[[#This Row],[Drug Name4]],'Data Options'!$R$1:$S$100,2,FALSE), " ")</f>
        <v xml:space="preserve"> </v>
      </c>
      <c r="AT165" s="55"/>
      <c r="AU165" s="32"/>
      <c r="AV165" s="32"/>
      <c r="AW165" s="55"/>
      <c r="AX165" s="32"/>
      <c r="AY165" s="54"/>
      <c r="AZ165" s="21" t="str">
        <f>IFERROR(VLOOKUP(September[[#This Row],[Drug Name5]],'Data Options'!$R$1:$S$100,2,FALSE), " ")</f>
        <v xml:space="preserve"> </v>
      </c>
      <c r="BA165" s="55"/>
      <c r="BB165" s="32"/>
      <c r="BC165" s="32"/>
      <c r="BD165" s="55"/>
      <c r="BE165" s="32"/>
      <c r="BF165" s="54"/>
      <c r="BG165" s="21" t="str">
        <f>IFERROR(VLOOKUP(September[[#This Row],[Drug Name6]],'Data Options'!$R$1:$S$100,2,FALSE), " ")</f>
        <v xml:space="preserve"> </v>
      </c>
      <c r="BH165" s="55"/>
      <c r="BI165" s="32"/>
      <c r="BJ165" s="32"/>
      <c r="BK165" s="55"/>
      <c r="BL165" s="32"/>
      <c r="BM165" s="32"/>
      <c r="BN165" s="32"/>
      <c r="BO165" s="32"/>
      <c r="BP165" s="32"/>
      <c r="BQ165" s="31"/>
      <c r="BR165" s="31"/>
      <c r="BS165" s="54"/>
      <c r="BT165" s="21" t="str">
        <f>IFERROR(VLOOKUP(September[[#This Row],[Drug Name7]],'Data Options'!$R$1:$S$100,2,FALSE), " ")</f>
        <v xml:space="preserve"> </v>
      </c>
      <c r="BU165" s="55"/>
      <c r="BV165" s="32"/>
      <c r="BW165" s="32"/>
      <c r="BX165" s="55"/>
      <c r="BY165" s="32"/>
      <c r="BZ165" s="54"/>
      <c r="CA165" s="21" t="str">
        <f>IFERROR(VLOOKUP(September[[#This Row],[Drug Name8]],'Data Options'!$R$1:$S$100,2,FALSE), " ")</f>
        <v xml:space="preserve"> </v>
      </c>
      <c r="CB165" s="55"/>
      <c r="CC165" s="32"/>
      <c r="CD165" s="32"/>
      <c r="CE165" s="55"/>
      <c r="CF165" s="32"/>
      <c r="CG165" s="54"/>
      <c r="CH165" s="21" t="str">
        <f>IFERROR(VLOOKUP(September[[#This Row],[Drug Name9]],'Data Options'!$R$1:$S$100,2,FALSE), " ")</f>
        <v xml:space="preserve"> </v>
      </c>
      <c r="CI165" s="55"/>
      <c r="CJ165" s="32"/>
      <c r="CK165" s="32"/>
      <c r="CL165" s="55"/>
      <c r="CM165" s="32"/>
    </row>
    <row r="166" spans="1:91">
      <c r="A166" s="5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1"/>
      <c r="P166" s="31"/>
      <c r="Q166" s="54"/>
      <c r="R166" s="21" t="str">
        <f>IFERROR(VLOOKUP(September[[#This Row],[Drug Name]],'Data Options'!$R$1:$S$100,2,FALSE), " ")</f>
        <v xml:space="preserve"> </v>
      </c>
      <c r="S166" s="55"/>
      <c r="T166" s="32"/>
      <c r="U166" s="32"/>
      <c r="V166" s="55"/>
      <c r="W166" s="32"/>
      <c r="X166" s="54"/>
      <c r="Y166" s="21" t="str">
        <f>IFERROR(VLOOKUP(September[[#This Row],[Drug Name2]],'Data Options'!$R$1:$S$100,2,FALSE), " ")</f>
        <v xml:space="preserve"> </v>
      </c>
      <c r="Z166" s="55"/>
      <c r="AA166" s="32"/>
      <c r="AB166" s="32"/>
      <c r="AC166" s="55"/>
      <c r="AD166" s="32"/>
      <c r="AE166" s="54"/>
      <c r="AF166" s="21" t="str">
        <f>IFERROR(VLOOKUP(September[[#This Row],[Drug Name3]],'Data Options'!$R$1:$S$100,2,FALSE), " ")</f>
        <v xml:space="preserve"> </v>
      </c>
      <c r="AG166" s="55"/>
      <c r="AH166" s="32"/>
      <c r="AI166" s="32"/>
      <c r="AJ166" s="55"/>
      <c r="AK166" s="32"/>
      <c r="AL166" s="32"/>
      <c r="AM166" s="32"/>
      <c r="AN166" s="32"/>
      <c r="AO166" s="32"/>
      <c r="AP166" s="31"/>
      <c r="AQ166" s="31"/>
      <c r="AR166" s="54"/>
      <c r="AS166" s="21" t="str">
        <f>IFERROR(VLOOKUP(September[[#This Row],[Drug Name4]],'Data Options'!$R$1:$S$100,2,FALSE), " ")</f>
        <v xml:space="preserve"> </v>
      </c>
      <c r="AT166" s="55"/>
      <c r="AU166" s="32"/>
      <c r="AV166" s="32"/>
      <c r="AW166" s="55"/>
      <c r="AX166" s="32"/>
      <c r="AY166" s="54"/>
      <c r="AZ166" s="21" t="str">
        <f>IFERROR(VLOOKUP(September[[#This Row],[Drug Name5]],'Data Options'!$R$1:$S$100,2,FALSE), " ")</f>
        <v xml:space="preserve"> </v>
      </c>
      <c r="BA166" s="55"/>
      <c r="BB166" s="32"/>
      <c r="BC166" s="32"/>
      <c r="BD166" s="55"/>
      <c r="BE166" s="32"/>
      <c r="BF166" s="54"/>
      <c r="BG166" s="21" t="str">
        <f>IFERROR(VLOOKUP(September[[#This Row],[Drug Name6]],'Data Options'!$R$1:$S$100,2,FALSE), " ")</f>
        <v xml:space="preserve"> </v>
      </c>
      <c r="BH166" s="55"/>
      <c r="BI166" s="32"/>
      <c r="BJ166" s="32"/>
      <c r="BK166" s="55"/>
      <c r="BL166" s="32"/>
      <c r="BM166" s="32"/>
      <c r="BN166" s="32"/>
      <c r="BO166" s="32"/>
      <c r="BP166" s="32"/>
      <c r="BQ166" s="31"/>
      <c r="BR166" s="31"/>
      <c r="BS166" s="54"/>
      <c r="BT166" s="21" t="str">
        <f>IFERROR(VLOOKUP(September[[#This Row],[Drug Name7]],'Data Options'!$R$1:$S$100,2,FALSE), " ")</f>
        <v xml:space="preserve"> </v>
      </c>
      <c r="BU166" s="55"/>
      <c r="BV166" s="32"/>
      <c r="BW166" s="32"/>
      <c r="BX166" s="55"/>
      <c r="BY166" s="32"/>
      <c r="BZ166" s="54"/>
      <c r="CA166" s="21" t="str">
        <f>IFERROR(VLOOKUP(September[[#This Row],[Drug Name8]],'Data Options'!$R$1:$S$100,2,FALSE), " ")</f>
        <v xml:space="preserve"> </v>
      </c>
      <c r="CB166" s="55"/>
      <c r="CC166" s="32"/>
      <c r="CD166" s="32"/>
      <c r="CE166" s="55"/>
      <c r="CF166" s="32"/>
      <c r="CG166" s="54"/>
      <c r="CH166" s="21" t="str">
        <f>IFERROR(VLOOKUP(September[[#This Row],[Drug Name9]],'Data Options'!$R$1:$S$100,2,FALSE), " ")</f>
        <v xml:space="preserve"> </v>
      </c>
      <c r="CI166" s="55"/>
      <c r="CJ166" s="32"/>
      <c r="CK166" s="32"/>
      <c r="CL166" s="55"/>
      <c r="CM166" s="32"/>
    </row>
    <row r="167" spans="1:91">
      <c r="A167" s="5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1"/>
      <c r="P167" s="31"/>
      <c r="Q167" s="54"/>
      <c r="R167" s="21" t="str">
        <f>IFERROR(VLOOKUP(September[[#This Row],[Drug Name]],'Data Options'!$R$1:$S$100,2,FALSE), " ")</f>
        <v xml:space="preserve"> </v>
      </c>
      <c r="S167" s="55"/>
      <c r="T167" s="32"/>
      <c r="U167" s="32"/>
      <c r="V167" s="55"/>
      <c r="W167" s="32"/>
      <c r="X167" s="54"/>
      <c r="Y167" s="21" t="str">
        <f>IFERROR(VLOOKUP(September[[#This Row],[Drug Name2]],'Data Options'!$R$1:$S$100,2,FALSE), " ")</f>
        <v xml:space="preserve"> </v>
      </c>
      <c r="Z167" s="55"/>
      <c r="AA167" s="32"/>
      <c r="AB167" s="32"/>
      <c r="AC167" s="55"/>
      <c r="AD167" s="32"/>
      <c r="AE167" s="54"/>
      <c r="AF167" s="21" t="str">
        <f>IFERROR(VLOOKUP(September[[#This Row],[Drug Name3]],'Data Options'!$R$1:$S$100,2,FALSE), " ")</f>
        <v xml:space="preserve"> </v>
      </c>
      <c r="AG167" s="55"/>
      <c r="AH167" s="32"/>
      <c r="AI167" s="32"/>
      <c r="AJ167" s="55"/>
      <c r="AK167" s="32"/>
      <c r="AL167" s="32"/>
      <c r="AM167" s="32"/>
      <c r="AN167" s="32"/>
      <c r="AO167" s="32"/>
      <c r="AP167" s="31"/>
      <c r="AQ167" s="31"/>
      <c r="AR167" s="54"/>
      <c r="AS167" s="21" t="str">
        <f>IFERROR(VLOOKUP(September[[#This Row],[Drug Name4]],'Data Options'!$R$1:$S$100,2,FALSE), " ")</f>
        <v xml:space="preserve"> </v>
      </c>
      <c r="AT167" s="55"/>
      <c r="AU167" s="32"/>
      <c r="AV167" s="32"/>
      <c r="AW167" s="55"/>
      <c r="AX167" s="32"/>
      <c r="AY167" s="54"/>
      <c r="AZ167" s="21" t="str">
        <f>IFERROR(VLOOKUP(September[[#This Row],[Drug Name5]],'Data Options'!$R$1:$S$100,2,FALSE), " ")</f>
        <v xml:space="preserve"> </v>
      </c>
      <c r="BA167" s="55"/>
      <c r="BB167" s="32"/>
      <c r="BC167" s="32"/>
      <c r="BD167" s="55"/>
      <c r="BE167" s="32"/>
      <c r="BF167" s="54"/>
      <c r="BG167" s="21" t="str">
        <f>IFERROR(VLOOKUP(September[[#This Row],[Drug Name6]],'Data Options'!$R$1:$S$100,2,FALSE), " ")</f>
        <v xml:space="preserve"> </v>
      </c>
      <c r="BH167" s="55"/>
      <c r="BI167" s="32"/>
      <c r="BJ167" s="32"/>
      <c r="BK167" s="55"/>
      <c r="BL167" s="32"/>
      <c r="BM167" s="32"/>
      <c r="BN167" s="32"/>
      <c r="BO167" s="32"/>
      <c r="BP167" s="32"/>
      <c r="BQ167" s="31"/>
      <c r="BR167" s="31"/>
      <c r="BS167" s="54"/>
      <c r="BT167" s="21" t="str">
        <f>IFERROR(VLOOKUP(September[[#This Row],[Drug Name7]],'Data Options'!$R$1:$S$100,2,FALSE), " ")</f>
        <v xml:space="preserve"> </v>
      </c>
      <c r="BU167" s="55"/>
      <c r="BV167" s="32"/>
      <c r="BW167" s="32"/>
      <c r="BX167" s="55"/>
      <c r="BY167" s="32"/>
      <c r="BZ167" s="54"/>
      <c r="CA167" s="21" t="str">
        <f>IFERROR(VLOOKUP(September[[#This Row],[Drug Name8]],'Data Options'!$R$1:$S$100,2,FALSE), " ")</f>
        <v xml:space="preserve"> </v>
      </c>
      <c r="CB167" s="55"/>
      <c r="CC167" s="32"/>
      <c r="CD167" s="32"/>
      <c r="CE167" s="55"/>
      <c r="CF167" s="32"/>
      <c r="CG167" s="54"/>
      <c r="CH167" s="21" t="str">
        <f>IFERROR(VLOOKUP(September[[#This Row],[Drug Name9]],'Data Options'!$R$1:$S$100,2,FALSE), " ")</f>
        <v xml:space="preserve"> </v>
      </c>
      <c r="CI167" s="55"/>
      <c r="CJ167" s="32"/>
      <c r="CK167" s="32"/>
      <c r="CL167" s="55"/>
      <c r="CM167" s="32"/>
    </row>
    <row r="168" spans="1:91">
      <c r="A168" s="5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1"/>
      <c r="P168" s="31"/>
      <c r="Q168" s="54"/>
      <c r="R168" s="21" t="str">
        <f>IFERROR(VLOOKUP(September[[#This Row],[Drug Name]],'Data Options'!$R$1:$S$100,2,FALSE), " ")</f>
        <v xml:space="preserve"> </v>
      </c>
      <c r="S168" s="55"/>
      <c r="T168" s="32"/>
      <c r="U168" s="32"/>
      <c r="V168" s="55"/>
      <c r="W168" s="32"/>
      <c r="X168" s="54"/>
      <c r="Y168" s="21" t="str">
        <f>IFERROR(VLOOKUP(September[[#This Row],[Drug Name2]],'Data Options'!$R$1:$S$100,2,FALSE), " ")</f>
        <v xml:space="preserve"> </v>
      </c>
      <c r="Z168" s="55"/>
      <c r="AA168" s="32"/>
      <c r="AB168" s="32"/>
      <c r="AC168" s="55"/>
      <c r="AD168" s="32"/>
      <c r="AE168" s="54"/>
      <c r="AF168" s="21" t="str">
        <f>IFERROR(VLOOKUP(September[[#This Row],[Drug Name3]],'Data Options'!$R$1:$S$100,2,FALSE), " ")</f>
        <v xml:space="preserve"> </v>
      </c>
      <c r="AG168" s="55"/>
      <c r="AH168" s="32"/>
      <c r="AI168" s="32"/>
      <c r="AJ168" s="55"/>
      <c r="AK168" s="32"/>
      <c r="AL168" s="32"/>
      <c r="AM168" s="32"/>
      <c r="AN168" s="32"/>
      <c r="AO168" s="32"/>
      <c r="AP168" s="31"/>
      <c r="AQ168" s="31"/>
      <c r="AR168" s="54"/>
      <c r="AS168" s="21" t="str">
        <f>IFERROR(VLOOKUP(September[[#This Row],[Drug Name4]],'Data Options'!$R$1:$S$100,2,FALSE), " ")</f>
        <v xml:space="preserve"> </v>
      </c>
      <c r="AT168" s="55"/>
      <c r="AU168" s="32"/>
      <c r="AV168" s="32"/>
      <c r="AW168" s="55"/>
      <c r="AX168" s="32"/>
      <c r="AY168" s="54"/>
      <c r="AZ168" s="21" t="str">
        <f>IFERROR(VLOOKUP(September[[#This Row],[Drug Name5]],'Data Options'!$R$1:$S$100,2,FALSE), " ")</f>
        <v xml:space="preserve"> </v>
      </c>
      <c r="BA168" s="55"/>
      <c r="BB168" s="32"/>
      <c r="BC168" s="32"/>
      <c r="BD168" s="55"/>
      <c r="BE168" s="32"/>
      <c r="BF168" s="54"/>
      <c r="BG168" s="21" t="str">
        <f>IFERROR(VLOOKUP(September[[#This Row],[Drug Name6]],'Data Options'!$R$1:$S$100,2,FALSE), " ")</f>
        <v xml:space="preserve"> </v>
      </c>
      <c r="BH168" s="55"/>
      <c r="BI168" s="32"/>
      <c r="BJ168" s="32"/>
      <c r="BK168" s="55"/>
      <c r="BL168" s="32"/>
      <c r="BM168" s="32"/>
      <c r="BN168" s="32"/>
      <c r="BO168" s="32"/>
      <c r="BP168" s="32"/>
      <c r="BQ168" s="31"/>
      <c r="BR168" s="31"/>
      <c r="BS168" s="54"/>
      <c r="BT168" s="21" t="str">
        <f>IFERROR(VLOOKUP(September[[#This Row],[Drug Name7]],'Data Options'!$R$1:$S$100,2,FALSE), " ")</f>
        <v xml:space="preserve"> </v>
      </c>
      <c r="BU168" s="55"/>
      <c r="BV168" s="32"/>
      <c r="BW168" s="32"/>
      <c r="BX168" s="55"/>
      <c r="BY168" s="32"/>
      <c r="BZ168" s="54"/>
      <c r="CA168" s="21" t="str">
        <f>IFERROR(VLOOKUP(September[[#This Row],[Drug Name8]],'Data Options'!$R$1:$S$100,2,FALSE), " ")</f>
        <v xml:space="preserve"> </v>
      </c>
      <c r="CB168" s="55"/>
      <c r="CC168" s="32"/>
      <c r="CD168" s="32"/>
      <c r="CE168" s="55"/>
      <c r="CF168" s="32"/>
      <c r="CG168" s="54"/>
      <c r="CH168" s="21" t="str">
        <f>IFERROR(VLOOKUP(September[[#This Row],[Drug Name9]],'Data Options'!$R$1:$S$100,2,FALSE), " ")</f>
        <v xml:space="preserve"> </v>
      </c>
      <c r="CI168" s="55"/>
      <c r="CJ168" s="32"/>
      <c r="CK168" s="32"/>
      <c r="CL168" s="55"/>
      <c r="CM168" s="32"/>
    </row>
    <row r="169" spans="1:91">
      <c r="A169" s="5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1"/>
      <c r="P169" s="31"/>
      <c r="Q169" s="54"/>
      <c r="R169" s="21" t="str">
        <f>IFERROR(VLOOKUP(September[[#This Row],[Drug Name]],'Data Options'!$R$1:$S$100,2,FALSE), " ")</f>
        <v xml:space="preserve"> </v>
      </c>
      <c r="S169" s="55"/>
      <c r="T169" s="32"/>
      <c r="U169" s="32"/>
      <c r="V169" s="55"/>
      <c r="W169" s="32"/>
      <c r="X169" s="54"/>
      <c r="Y169" s="21" t="str">
        <f>IFERROR(VLOOKUP(September[[#This Row],[Drug Name2]],'Data Options'!$R$1:$S$100,2,FALSE), " ")</f>
        <v xml:space="preserve"> </v>
      </c>
      <c r="Z169" s="55"/>
      <c r="AA169" s="32"/>
      <c r="AB169" s="32"/>
      <c r="AC169" s="55"/>
      <c r="AD169" s="32"/>
      <c r="AE169" s="54"/>
      <c r="AF169" s="21" t="str">
        <f>IFERROR(VLOOKUP(September[[#This Row],[Drug Name3]],'Data Options'!$R$1:$S$100,2,FALSE), " ")</f>
        <v xml:space="preserve"> </v>
      </c>
      <c r="AG169" s="55"/>
      <c r="AH169" s="32"/>
      <c r="AI169" s="32"/>
      <c r="AJ169" s="55"/>
      <c r="AK169" s="32"/>
      <c r="AL169" s="32"/>
      <c r="AM169" s="32"/>
      <c r="AN169" s="32"/>
      <c r="AO169" s="32"/>
      <c r="AP169" s="31"/>
      <c r="AQ169" s="31"/>
      <c r="AR169" s="54"/>
      <c r="AS169" s="21" t="str">
        <f>IFERROR(VLOOKUP(September[[#This Row],[Drug Name4]],'Data Options'!$R$1:$S$100,2,FALSE), " ")</f>
        <v xml:space="preserve"> </v>
      </c>
      <c r="AT169" s="55"/>
      <c r="AU169" s="32"/>
      <c r="AV169" s="32"/>
      <c r="AW169" s="55"/>
      <c r="AX169" s="32"/>
      <c r="AY169" s="54"/>
      <c r="AZ169" s="21" t="str">
        <f>IFERROR(VLOOKUP(September[[#This Row],[Drug Name5]],'Data Options'!$R$1:$S$100,2,FALSE), " ")</f>
        <v xml:space="preserve"> </v>
      </c>
      <c r="BA169" s="55"/>
      <c r="BB169" s="32"/>
      <c r="BC169" s="32"/>
      <c r="BD169" s="55"/>
      <c r="BE169" s="32"/>
      <c r="BF169" s="54"/>
      <c r="BG169" s="21" t="str">
        <f>IFERROR(VLOOKUP(September[[#This Row],[Drug Name6]],'Data Options'!$R$1:$S$100,2,FALSE), " ")</f>
        <v xml:space="preserve"> </v>
      </c>
      <c r="BH169" s="55"/>
      <c r="BI169" s="32"/>
      <c r="BJ169" s="32"/>
      <c r="BK169" s="55"/>
      <c r="BL169" s="32"/>
      <c r="BM169" s="32"/>
      <c r="BN169" s="32"/>
      <c r="BO169" s="32"/>
      <c r="BP169" s="32"/>
      <c r="BQ169" s="31"/>
      <c r="BR169" s="31"/>
      <c r="BS169" s="54"/>
      <c r="BT169" s="21" t="str">
        <f>IFERROR(VLOOKUP(September[[#This Row],[Drug Name7]],'Data Options'!$R$1:$S$100,2,FALSE), " ")</f>
        <v xml:space="preserve"> </v>
      </c>
      <c r="BU169" s="55"/>
      <c r="BV169" s="32"/>
      <c r="BW169" s="32"/>
      <c r="BX169" s="55"/>
      <c r="BY169" s="32"/>
      <c r="BZ169" s="54"/>
      <c r="CA169" s="21" t="str">
        <f>IFERROR(VLOOKUP(September[[#This Row],[Drug Name8]],'Data Options'!$R$1:$S$100,2,FALSE), " ")</f>
        <v xml:space="preserve"> </v>
      </c>
      <c r="CB169" s="55"/>
      <c r="CC169" s="32"/>
      <c r="CD169" s="32"/>
      <c r="CE169" s="55"/>
      <c r="CF169" s="32"/>
      <c r="CG169" s="54"/>
      <c r="CH169" s="21" t="str">
        <f>IFERROR(VLOOKUP(September[[#This Row],[Drug Name9]],'Data Options'!$R$1:$S$100,2,FALSE), " ")</f>
        <v xml:space="preserve"> </v>
      </c>
      <c r="CI169" s="55"/>
      <c r="CJ169" s="32"/>
      <c r="CK169" s="32"/>
      <c r="CL169" s="55"/>
      <c r="CM169" s="32"/>
    </row>
    <row r="170" spans="1:91">
      <c r="A170" s="5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1"/>
      <c r="P170" s="31"/>
      <c r="Q170" s="54"/>
      <c r="R170" s="21" t="str">
        <f>IFERROR(VLOOKUP(September[[#This Row],[Drug Name]],'Data Options'!$R$1:$S$100,2,FALSE), " ")</f>
        <v xml:space="preserve"> </v>
      </c>
      <c r="S170" s="55"/>
      <c r="T170" s="32"/>
      <c r="U170" s="32"/>
      <c r="V170" s="55"/>
      <c r="W170" s="32"/>
      <c r="X170" s="54"/>
      <c r="Y170" s="21" t="str">
        <f>IFERROR(VLOOKUP(September[[#This Row],[Drug Name2]],'Data Options'!$R$1:$S$100,2,FALSE), " ")</f>
        <v xml:space="preserve"> </v>
      </c>
      <c r="Z170" s="55"/>
      <c r="AA170" s="32"/>
      <c r="AB170" s="32"/>
      <c r="AC170" s="55"/>
      <c r="AD170" s="32"/>
      <c r="AE170" s="54"/>
      <c r="AF170" s="21" t="str">
        <f>IFERROR(VLOOKUP(September[[#This Row],[Drug Name3]],'Data Options'!$R$1:$S$100,2,FALSE), " ")</f>
        <v xml:space="preserve"> </v>
      </c>
      <c r="AG170" s="55"/>
      <c r="AH170" s="32"/>
      <c r="AI170" s="32"/>
      <c r="AJ170" s="55"/>
      <c r="AK170" s="32"/>
      <c r="AL170" s="32"/>
      <c r="AM170" s="32"/>
      <c r="AN170" s="32"/>
      <c r="AO170" s="32"/>
      <c r="AP170" s="31"/>
      <c r="AQ170" s="31"/>
      <c r="AR170" s="54"/>
      <c r="AS170" s="21" t="str">
        <f>IFERROR(VLOOKUP(September[[#This Row],[Drug Name4]],'Data Options'!$R$1:$S$100,2,FALSE), " ")</f>
        <v xml:space="preserve"> </v>
      </c>
      <c r="AT170" s="55"/>
      <c r="AU170" s="32"/>
      <c r="AV170" s="32"/>
      <c r="AW170" s="55"/>
      <c r="AX170" s="32"/>
      <c r="AY170" s="54"/>
      <c r="AZ170" s="21" t="str">
        <f>IFERROR(VLOOKUP(September[[#This Row],[Drug Name5]],'Data Options'!$R$1:$S$100,2,FALSE), " ")</f>
        <v xml:space="preserve"> </v>
      </c>
      <c r="BA170" s="55"/>
      <c r="BB170" s="32"/>
      <c r="BC170" s="32"/>
      <c r="BD170" s="55"/>
      <c r="BE170" s="32"/>
      <c r="BF170" s="54"/>
      <c r="BG170" s="21" t="str">
        <f>IFERROR(VLOOKUP(September[[#This Row],[Drug Name6]],'Data Options'!$R$1:$S$100,2,FALSE), " ")</f>
        <v xml:space="preserve"> </v>
      </c>
      <c r="BH170" s="55"/>
      <c r="BI170" s="32"/>
      <c r="BJ170" s="32"/>
      <c r="BK170" s="55"/>
      <c r="BL170" s="32"/>
      <c r="BM170" s="32"/>
      <c r="BN170" s="32"/>
      <c r="BO170" s="32"/>
      <c r="BP170" s="32"/>
      <c r="BQ170" s="31"/>
      <c r="BR170" s="31"/>
      <c r="BS170" s="54"/>
      <c r="BT170" s="21" t="str">
        <f>IFERROR(VLOOKUP(September[[#This Row],[Drug Name7]],'Data Options'!$R$1:$S$100,2,FALSE), " ")</f>
        <v xml:space="preserve"> </v>
      </c>
      <c r="BU170" s="55"/>
      <c r="BV170" s="32"/>
      <c r="BW170" s="32"/>
      <c r="BX170" s="55"/>
      <c r="BY170" s="32"/>
      <c r="BZ170" s="54"/>
      <c r="CA170" s="21" t="str">
        <f>IFERROR(VLOOKUP(September[[#This Row],[Drug Name8]],'Data Options'!$R$1:$S$100,2,FALSE), " ")</f>
        <v xml:space="preserve"> </v>
      </c>
      <c r="CB170" s="55"/>
      <c r="CC170" s="32"/>
      <c r="CD170" s="32"/>
      <c r="CE170" s="55"/>
      <c r="CF170" s="32"/>
      <c r="CG170" s="54"/>
      <c r="CH170" s="21" t="str">
        <f>IFERROR(VLOOKUP(September[[#This Row],[Drug Name9]],'Data Options'!$R$1:$S$100,2,FALSE), " ")</f>
        <v xml:space="preserve"> </v>
      </c>
      <c r="CI170" s="55"/>
      <c r="CJ170" s="32"/>
      <c r="CK170" s="32"/>
      <c r="CL170" s="55"/>
      <c r="CM170" s="32"/>
    </row>
    <row r="171" spans="1:91">
      <c r="A171" s="5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1"/>
      <c r="P171" s="31"/>
      <c r="Q171" s="54"/>
      <c r="R171" s="21" t="str">
        <f>IFERROR(VLOOKUP(September[[#This Row],[Drug Name]],'Data Options'!$R$1:$S$100,2,FALSE), " ")</f>
        <v xml:space="preserve"> </v>
      </c>
      <c r="S171" s="55"/>
      <c r="T171" s="32"/>
      <c r="U171" s="32"/>
      <c r="V171" s="55"/>
      <c r="W171" s="32"/>
      <c r="X171" s="54"/>
      <c r="Y171" s="21" t="str">
        <f>IFERROR(VLOOKUP(September[[#This Row],[Drug Name2]],'Data Options'!$R$1:$S$100,2,FALSE), " ")</f>
        <v xml:space="preserve"> </v>
      </c>
      <c r="Z171" s="55"/>
      <c r="AA171" s="32"/>
      <c r="AB171" s="32"/>
      <c r="AC171" s="55"/>
      <c r="AD171" s="32"/>
      <c r="AE171" s="54"/>
      <c r="AF171" s="21" t="str">
        <f>IFERROR(VLOOKUP(September[[#This Row],[Drug Name3]],'Data Options'!$R$1:$S$100,2,FALSE), " ")</f>
        <v xml:space="preserve"> </v>
      </c>
      <c r="AG171" s="55"/>
      <c r="AH171" s="32"/>
      <c r="AI171" s="32"/>
      <c r="AJ171" s="55"/>
      <c r="AK171" s="32"/>
      <c r="AL171" s="32"/>
      <c r="AM171" s="32"/>
      <c r="AN171" s="32"/>
      <c r="AO171" s="32"/>
      <c r="AP171" s="31"/>
      <c r="AQ171" s="31"/>
      <c r="AR171" s="54"/>
      <c r="AS171" s="21" t="str">
        <f>IFERROR(VLOOKUP(September[[#This Row],[Drug Name4]],'Data Options'!$R$1:$S$100,2,FALSE), " ")</f>
        <v xml:space="preserve"> </v>
      </c>
      <c r="AT171" s="55"/>
      <c r="AU171" s="32"/>
      <c r="AV171" s="32"/>
      <c r="AW171" s="55"/>
      <c r="AX171" s="32"/>
      <c r="AY171" s="54"/>
      <c r="AZ171" s="21" t="str">
        <f>IFERROR(VLOOKUP(September[[#This Row],[Drug Name5]],'Data Options'!$R$1:$S$100,2,FALSE), " ")</f>
        <v xml:space="preserve"> </v>
      </c>
      <c r="BA171" s="55"/>
      <c r="BB171" s="32"/>
      <c r="BC171" s="32"/>
      <c r="BD171" s="55"/>
      <c r="BE171" s="32"/>
      <c r="BF171" s="54"/>
      <c r="BG171" s="21" t="str">
        <f>IFERROR(VLOOKUP(September[[#This Row],[Drug Name6]],'Data Options'!$R$1:$S$100,2,FALSE), " ")</f>
        <v xml:space="preserve"> </v>
      </c>
      <c r="BH171" s="55"/>
      <c r="BI171" s="32"/>
      <c r="BJ171" s="32"/>
      <c r="BK171" s="55"/>
      <c r="BL171" s="32"/>
      <c r="BM171" s="32"/>
      <c r="BN171" s="32"/>
      <c r="BO171" s="32"/>
      <c r="BP171" s="32"/>
      <c r="BQ171" s="31"/>
      <c r="BR171" s="31"/>
      <c r="BS171" s="54"/>
      <c r="BT171" s="21" t="str">
        <f>IFERROR(VLOOKUP(September[[#This Row],[Drug Name7]],'Data Options'!$R$1:$S$100,2,FALSE), " ")</f>
        <v xml:space="preserve"> </v>
      </c>
      <c r="BU171" s="55"/>
      <c r="BV171" s="32"/>
      <c r="BW171" s="32"/>
      <c r="BX171" s="55"/>
      <c r="BY171" s="32"/>
      <c r="BZ171" s="54"/>
      <c r="CA171" s="21" t="str">
        <f>IFERROR(VLOOKUP(September[[#This Row],[Drug Name8]],'Data Options'!$R$1:$S$100,2,FALSE), " ")</f>
        <v xml:space="preserve"> </v>
      </c>
      <c r="CB171" s="55"/>
      <c r="CC171" s="32"/>
      <c r="CD171" s="32"/>
      <c r="CE171" s="55"/>
      <c r="CF171" s="32"/>
      <c r="CG171" s="54"/>
      <c r="CH171" s="21" t="str">
        <f>IFERROR(VLOOKUP(September[[#This Row],[Drug Name9]],'Data Options'!$R$1:$S$100,2,FALSE), " ")</f>
        <v xml:space="preserve"> </v>
      </c>
      <c r="CI171" s="55"/>
      <c r="CJ171" s="32"/>
      <c r="CK171" s="32"/>
      <c r="CL171" s="55"/>
      <c r="CM171" s="32"/>
    </row>
    <row r="172" spans="1:91">
      <c r="A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1"/>
      <c r="P172" s="31"/>
      <c r="Q172" s="54"/>
      <c r="R172" s="21" t="str">
        <f>IFERROR(VLOOKUP(September[[#This Row],[Drug Name]],'Data Options'!$R$1:$S$100,2,FALSE), " ")</f>
        <v xml:space="preserve"> </v>
      </c>
      <c r="S172" s="55"/>
      <c r="T172" s="32"/>
      <c r="U172" s="32"/>
      <c r="V172" s="55"/>
      <c r="W172" s="32"/>
      <c r="X172" s="54"/>
      <c r="Y172" s="21" t="str">
        <f>IFERROR(VLOOKUP(September[[#This Row],[Drug Name2]],'Data Options'!$R$1:$S$100,2,FALSE), " ")</f>
        <v xml:space="preserve"> </v>
      </c>
      <c r="Z172" s="55"/>
      <c r="AA172" s="32"/>
      <c r="AB172" s="32"/>
      <c r="AC172" s="55"/>
      <c r="AD172" s="32"/>
      <c r="AE172" s="54"/>
      <c r="AF172" s="21" t="str">
        <f>IFERROR(VLOOKUP(September[[#This Row],[Drug Name3]],'Data Options'!$R$1:$S$100,2,FALSE), " ")</f>
        <v xml:space="preserve"> </v>
      </c>
      <c r="AG172" s="55"/>
      <c r="AH172" s="32"/>
      <c r="AI172" s="32"/>
      <c r="AJ172" s="55"/>
      <c r="AK172" s="32"/>
      <c r="AL172" s="32"/>
      <c r="AM172" s="32"/>
      <c r="AN172" s="32"/>
      <c r="AO172" s="32"/>
      <c r="AP172" s="31"/>
      <c r="AQ172" s="31"/>
      <c r="AR172" s="54"/>
      <c r="AS172" s="21" t="str">
        <f>IFERROR(VLOOKUP(September[[#This Row],[Drug Name4]],'Data Options'!$R$1:$S$100,2,FALSE), " ")</f>
        <v xml:space="preserve"> </v>
      </c>
      <c r="AT172" s="55"/>
      <c r="AU172" s="32"/>
      <c r="AV172" s="32"/>
      <c r="AW172" s="55"/>
      <c r="AX172" s="32"/>
      <c r="AY172" s="54"/>
      <c r="AZ172" s="21" t="str">
        <f>IFERROR(VLOOKUP(September[[#This Row],[Drug Name5]],'Data Options'!$R$1:$S$100,2,FALSE), " ")</f>
        <v xml:space="preserve"> </v>
      </c>
      <c r="BA172" s="55"/>
      <c r="BB172" s="32"/>
      <c r="BC172" s="32"/>
      <c r="BD172" s="55"/>
      <c r="BE172" s="32"/>
      <c r="BF172" s="54"/>
      <c r="BG172" s="21" t="str">
        <f>IFERROR(VLOOKUP(September[[#This Row],[Drug Name6]],'Data Options'!$R$1:$S$100,2,FALSE), " ")</f>
        <v xml:space="preserve"> </v>
      </c>
      <c r="BH172" s="55"/>
      <c r="BI172" s="32"/>
      <c r="BJ172" s="32"/>
      <c r="BK172" s="55"/>
      <c r="BL172" s="32"/>
      <c r="BM172" s="32"/>
      <c r="BN172" s="32"/>
      <c r="BO172" s="32"/>
      <c r="BP172" s="32"/>
      <c r="BQ172" s="31"/>
      <c r="BR172" s="31"/>
      <c r="BS172" s="54"/>
      <c r="BT172" s="21" t="str">
        <f>IFERROR(VLOOKUP(September[[#This Row],[Drug Name7]],'Data Options'!$R$1:$S$100,2,FALSE), " ")</f>
        <v xml:space="preserve"> </v>
      </c>
      <c r="BU172" s="55"/>
      <c r="BV172" s="32"/>
      <c r="BW172" s="32"/>
      <c r="BX172" s="55"/>
      <c r="BY172" s="32"/>
      <c r="BZ172" s="54"/>
      <c r="CA172" s="21" t="str">
        <f>IFERROR(VLOOKUP(September[[#This Row],[Drug Name8]],'Data Options'!$R$1:$S$100,2,FALSE), " ")</f>
        <v xml:space="preserve"> </v>
      </c>
      <c r="CB172" s="55"/>
      <c r="CC172" s="32"/>
      <c r="CD172" s="32"/>
      <c r="CE172" s="55"/>
      <c r="CF172" s="32"/>
      <c r="CG172" s="54"/>
      <c r="CH172" s="21" t="str">
        <f>IFERROR(VLOOKUP(September[[#This Row],[Drug Name9]],'Data Options'!$R$1:$S$100,2,FALSE), " ")</f>
        <v xml:space="preserve"> </v>
      </c>
      <c r="CI172" s="55"/>
      <c r="CJ172" s="32"/>
      <c r="CK172" s="32"/>
      <c r="CL172" s="55"/>
      <c r="CM172" s="32"/>
    </row>
    <row r="173" spans="1:91">
      <c r="A173" s="5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1"/>
      <c r="P173" s="31"/>
      <c r="Q173" s="54"/>
      <c r="R173" s="21" t="str">
        <f>IFERROR(VLOOKUP(September[[#This Row],[Drug Name]],'Data Options'!$R$1:$S$100,2,FALSE), " ")</f>
        <v xml:space="preserve"> </v>
      </c>
      <c r="S173" s="55"/>
      <c r="T173" s="32"/>
      <c r="U173" s="32"/>
      <c r="V173" s="55"/>
      <c r="W173" s="32"/>
      <c r="X173" s="54"/>
      <c r="Y173" s="21" t="str">
        <f>IFERROR(VLOOKUP(September[[#This Row],[Drug Name2]],'Data Options'!$R$1:$S$100,2,FALSE), " ")</f>
        <v xml:space="preserve"> </v>
      </c>
      <c r="Z173" s="55"/>
      <c r="AA173" s="32"/>
      <c r="AB173" s="32"/>
      <c r="AC173" s="55"/>
      <c r="AD173" s="32"/>
      <c r="AE173" s="54"/>
      <c r="AF173" s="21" t="str">
        <f>IFERROR(VLOOKUP(September[[#This Row],[Drug Name3]],'Data Options'!$R$1:$S$100,2,FALSE), " ")</f>
        <v xml:space="preserve"> </v>
      </c>
      <c r="AG173" s="55"/>
      <c r="AH173" s="32"/>
      <c r="AI173" s="32"/>
      <c r="AJ173" s="55"/>
      <c r="AK173" s="32"/>
      <c r="AL173" s="32"/>
      <c r="AM173" s="32"/>
      <c r="AN173" s="32"/>
      <c r="AO173" s="32"/>
      <c r="AP173" s="31"/>
      <c r="AQ173" s="31"/>
      <c r="AR173" s="54"/>
      <c r="AS173" s="21" t="str">
        <f>IFERROR(VLOOKUP(September[[#This Row],[Drug Name4]],'Data Options'!$R$1:$S$100,2,FALSE), " ")</f>
        <v xml:space="preserve"> </v>
      </c>
      <c r="AT173" s="55"/>
      <c r="AU173" s="32"/>
      <c r="AV173" s="32"/>
      <c r="AW173" s="55"/>
      <c r="AX173" s="32"/>
      <c r="AY173" s="54"/>
      <c r="AZ173" s="21" t="str">
        <f>IFERROR(VLOOKUP(September[[#This Row],[Drug Name5]],'Data Options'!$R$1:$S$100,2,FALSE), " ")</f>
        <v xml:space="preserve"> </v>
      </c>
      <c r="BA173" s="55"/>
      <c r="BB173" s="32"/>
      <c r="BC173" s="32"/>
      <c r="BD173" s="55"/>
      <c r="BE173" s="32"/>
      <c r="BF173" s="54"/>
      <c r="BG173" s="21" t="str">
        <f>IFERROR(VLOOKUP(September[[#This Row],[Drug Name6]],'Data Options'!$R$1:$S$100,2,FALSE), " ")</f>
        <v xml:space="preserve"> </v>
      </c>
      <c r="BH173" s="55"/>
      <c r="BI173" s="32"/>
      <c r="BJ173" s="32"/>
      <c r="BK173" s="55"/>
      <c r="BL173" s="32"/>
      <c r="BM173" s="32"/>
      <c r="BN173" s="32"/>
      <c r="BO173" s="32"/>
      <c r="BP173" s="32"/>
      <c r="BQ173" s="31"/>
      <c r="BR173" s="31"/>
      <c r="BS173" s="54"/>
      <c r="BT173" s="21" t="str">
        <f>IFERROR(VLOOKUP(September[[#This Row],[Drug Name7]],'Data Options'!$R$1:$S$100,2,FALSE), " ")</f>
        <v xml:space="preserve"> </v>
      </c>
      <c r="BU173" s="55"/>
      <c r="BV173" s="32"/>
      <c r="BW173" s="32"/>
      <c r="BX173" s="55"/>
      <c r="BY173" s="32"/>
      <c r="BZ173" s="54"/>
      <c r="CA173" s="21" t="str">
        <f>IFERROR(VLOOKUP(September[[#This Row],[Drug Name8]],'Data Options'!$R$1:$S$100,2,FALSE), " ")</f>
        <v xml:space="preserve"> </v>
      </c>
      <c r="CB173" s="55"/>
      <c r="CC173" s="32"/>
      <c r="CD173" s="32"/>
      <c r="CE173" s="55"/>
      <c r="CF173" s="32"/>
      <c r="CG173" s="54"/>
      <c r="CH173" s="21" t="str">
        <f>IFERROR(VLOOKUP(September[[#This Row],[Drug Name9]],'Data Options'!$R$1:$S$100,2,FALSE), " ")</f>
        <v xml:space="preserve"> </v>
      </c>
      <c r="CI173" s="55"/>
      <c r="CJ173" s="32"/>
      <c r="CK173" s="32"/>
      <c r="CL173" s="55"/>
      <c r="CM173" s="32"/>
    </row>
    <row r="174" spans="1:91">
      <c r="A174" s="5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1"/>
      <c r="P174" s="31"/>
      <c r="Q174" s="54"/>
      <c r="R174" s="21" t="str">
        <f>IFERROR(VLOOKUP(September[[#This Row],[Drug Name]],'Data Options'!$R$1:$S$100,2,FALSE), " ")</f>
        <v xml:space="preserve"> </v>
      </c>
      <c r="S174" s="55"/>
      <c r="T174" s="32"/>
      <c r="U174" s="32"/>
      <c r="V174" s="55"/>
      <c r="W174" s="32"/>
      <c r="X174" s="54"/>
      <c r="Y174" s="21" t="str">
        <f>IFERROR(VLOOKUP(September[[#This Row],[Drug Name2]],'Data Options'!$R$1:$S$100,2,FALSE), " ")</f>
        <v xml:space="preserve"> </v>
      </c>
      <c r="Z174" s="55"/>
      <c r="AA174" s="32"/>
      <c r="AB174" s="32"/>
      <c r="AC174" s="55"/>
      <c r="AD174" s="32"/>
      <c r="AE174" s="54"/>
      <c r="AF174" s="21" t="str">
        <f>IFERROR(VLOOKUP(September[[#This Row],[Drug Name3]],'Data Options'!$R$1:$S$100,2,FALSE), " ")</f>
        <v xml:space="preserve"> </v>
      </c>
      <c r="AG174" s="55"/>
      <c r="AH174" s="32"/>
      <c r="AI174" s="32"/>
      <c r="AJ174" s="55"/>
      <c r="AK174" s="32"/>
      <c r="AL174" s="32"/>
      <c r="AM174" s="32"/>
      <c r="AN174" s="32"/>
      <c r="AO174" s="32"/>
      <c r="AP174" s="31"/>
      <c r="AQ174" s="31"/>
      <c r="AR174" s="54"/>
      <c r="AS174" s="21" t="str">
        <f>IFERROR(VLOOKUP(September[[#This Row],[Drug Name4]],'Data Options'!$R$1:$S$100,2,FALSE), " ")</f>
        <v xml:space="preserve"> </v>
      </c>
      <c r="AT174" s="55"/>
      <c r="AU174" s="32"/>
      <c r="AV174" s="32"/>
      <c r="AW174" s="55"/>
      <c r="AX174" s="32"/>
      <c r="AY174" s="54"/>
      <c r="AZ174" s="21" t="str">
        <f>IFERROR(VLOOKUP(September[[#This Row],[Drug Name5]],'Data Options'!$R$1:$S$100,2,FALSE), " ")</f>
        <v xml:space="preserve"> </v>
      </c>
      <c r="BA174" s="55"/>
      <c r="BB174" s="32"/>
      <c r="BC174" s="32"/>
      <c r="BD174" s="55"/>
      <c r="BE174" s="32"/>
      <c r="BF174" s="54"/>
      <c r="BG174" s="21" t="str">
        <f>IFERROR(VLOOKUP(September[[#This Row],[Drug Name6]],'Data Options'!$R$1:$S$100,2,FALSE), " ")</f>
        <v xml:space="preserve"> </v>
      </c>
      <c r="BH174" s="55"/>
      <c r="BI174" s="32"/>
      <c r="BJ174" s="32"/>
      <c r="BK174" s="55"/>
      <c r="BL174" s="32"/>
      <c r="BM174" s="32"/>
      <c r="BN174" s="32"/>
      <c r="BO174" s="32"/>
      <c r="BP174" s="32"/>
      <c r="BQ174" s="31"/>
      <c r="BR174" s="31"/>
      <c r="BS174" s="54"/>
      <c r="BT174" s="21" t="str">
        <f>IFERROR(VLOOKUP(September[[#This Row],[Drug Name7]],'Data Options'!$R$1:$S$100,2,FALSE), " ")</f>
        <v xml:space="preserve"> </v>
      </c>
      <c r="BU174" s="55"/>
      <c r="BV174" s="32"/>
      <c r="BW174" s="32"/>
      <c r="BX174" s="55"/>
      <c r="BY174" s="32"/>
      <c r="BZ174" s="54"/>
      <c r="CA174" s="21" t="str">
        <f>IFERROR(VLOOKUP(September[[#This Row],[Drug Name8]],'Data Options'!$R$1:$S$100,2,FALSE), " ")</f>
        <v xml:space="preserve"> </v>
      </c>
      <c r="CB174" s="55"/>
      <c r="CC174" s="32"/>
      <c r="CD174" s="32"/>
      <c r="CE174" s="55"/>
      <c r="CF174" s="32"/>
      <c r="CG174" s="54"/>
      <c r="CH174" s="21" t="str">
        <f>IFERROR(VLOOKUP(September[[#This Row],[Drug Name9]],'Data Options'!$R$1:$S$100,2,FALSE), " ")</f>
        <v xml:space="preserve"> </v>
      </c>
      <c r="CI174" s="55"/>
      <c r="CJ174" s="32"/>
      <c r="CK174" s="32"/>
      <c r="CL174" s="55"/>
      <c r="CM174" s="32"/>
    </row>
    <row r="175" spans="1:91">
      <c r="A175" s="5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1"/>
      <c r="P175" s="31"/>
      <c r="Q175" s="54"/>
      <c r="R175" s="21" t="str">
        <f>IFERROR(VLOOKUP(September[[#This Row],[Drug Name]],'Data Options'!$R$1:$S$100,2,FALSE), " ")</f>
        <v xml:space="preserve"> </v>
      </c>
      <c r="S175" s="55"/>
      <c r="T175" s="32"/>
      <c r="U175" s="32"/>
      <c r="V175" s="55"/>
      <c r="W175" s="32"/>
      <c r="X175" s="54"/>
      <c r="Y175" s="21" t="str">
        <f>IFERROR(VLOOKUP(September[[#This Row],[Drug Name2]],'Data Options'!$R$1:$S$100,2,FALSE), " ")</f>
        <v xml:space="preserve"> </v>
      </c>
      <c r="Z175" s="55"/>
      <c r="AA175" s="32"/>
      <c r="AB175" s="32"/>
      <c r="AC175" s="55"/>
      <c r="AD175" s="32"/>
      <c r="AE175" s="54"/>
      <c r="AF175" s="21" t="str">
        <f>IFERROR(VLOOKUP(September[[#This Row],[Drug Name3]],'Data Options'!$R$1:$S$100,2,FALSE), " ")</f>
        <v xml:space="preserve"> </v>
      </c>
      <c r="AG175" s="55"/>
      <c r="AH175" s="32"/>
      <c r="AI175" s="32"/>
      <c r="AJ175" s="55"/>
      <c r="AK175" s="32"/>
      <c r="AL175" s="32"/>
      <c r="AM175" s="32"/>
      <c r="AN175" s="32"/>
      <c r="AO175" s="32"/>
      <c r="AP175" s="31"/>
      <c r="AQ175" s="31"/>
      <c r="AR175" s="54"/>
      <c r="AS175" s="21" t="str">
        <f>IFERROR(VLOOKUP(September[[#This Row],[Drug Name4]],'Data Options'!$R$1:$S$100,2,FALSE), " ")</f>
        <v xml:space="preserve"> </v>
      </c>
      <c r="AT175" s="55"/>
      <c r="AU175" s="32"/>
      <c r="AV175" s="32"/>
      <c r="AW175" s="55"/>
      <c r="AX175" s="32"/>
      <c r="AY175" s="54"/>
      <c r="AZ175" s="21" t="str">
        <f>IFERROR(VLOOKUP(September[[#This Row],[Drug Name5]],'Data Options'!$R$1:$S$100,2,FALSE), " ")</f>
        <v xml:space="preserve"> </v>
      </c>
      <c r="BA175" s="55"/>
      <c r="BB175" s="32"/>
      <c r="BC175" s="32"/>
      <c r="BD175" s="55"/>
      <c r="BE175" s="32"/>
      <c r="BF175" s="54"/>
      <c r="BG175" s="21" t="str">
        <f>IFERROR(VLOOKUP(September[[#This Row],[Drug Name6]],'Data Options'!$R$1:$S$100,2,FALSE), " ")</f>
        <v xml:space="preserve"> </v>
      </c>
      <c r="BH175" s="55"/>
      <c r="BI175" s="32"/>
      <c r="BJ175" s="32"/>
      <c r="BK175" s="55"/>
      <c r="BL175" s="32"/>
      <c r="BM175" s="32"/>
      <c r="BN175" s="32"/>
      <c r="BO175" s="32"/>
      <c r="BP175" s="32"/>
      <c r="BQ175" s="31"/>
      <c r="BR175" s="31"/>
      <c r="BS175" s="54"/>
      <c r="BT175" s="21" t="str">
        <f>IFERROR(VLOOKUP(September[[#This Row],[Drug Name7]],'Data Options'!$R$1:$S$100,2,FALSE), " ")</f>
        <v xml:space="preserve"> </v>
      </c>
      <c r="BU175" s="55"/>
      <c r="BV175" s="32"/>
      <c r="BW175" s="32"/>
      <c r="BX175" s="55"/>
      <c r="BY175" s="32"/>
      <c r="BZ175" s="54"/>
      <c r="CA175" s="21" t="str">
        <f>IFERROR(VLOOKUP(September[[#This Row],[Drug Name8]],'Data Options'!$R$1:$S$100,2,FALSE), " ")</f>
        <v xml:space="preserve"> </v>
      </c>
      <c r="CB175" s="55"/>
      <c r="CC175" s="32"/>
      <c r="CD175" s="32"/>
      <c r="CE175" s="55"/>
      <c r="CF175" s="32"/>
      <c r="CG175" s="54"/>
      <c r="CH175" s="21" t="str">
        <f>IFERROR(VLOOKUP(September[[#This Row],[Drug Name9]],'Data Options'!$R$1:$S$100,2,FALSE), " ")</f>
        <v xml:space="preserve"> </v>
      </c>
      <c r="CI175" s="55"/>
      <c r="CJ175" s="32"/>
      <c r="CK175" s="32"/>
      <c r="CL175" s="55"/>
      <c r="CM175" s="32"/>
    </row>
    <row r="176" spans="1:91">
      <c r="A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1"/>
      <c r="P176" s="31"/>
      <c r="Q176" s="54"/>
      <c r="R176" s="21" t="str">
        <f>IFERROR(VLOOKUP(September[[#This Row],[Drug Name]],'Data Options'!$R$1:$S$100,2,FALSE), " ")</f>
        <v xml:space="preserve"> </v>
      </c>
      <c r="S176" s="55"/>
      <c r="T176" s="32"/>
      <c r="U176" s="32"/>
      <c r="V176" s="55"/>
      <c r="W176" s="32"/>
      <c r="X176" s="54"/>
      <c r="Y176" s="21" t="str">
        <f>IFERROR(VLOOKUP(September[[#This Row],[Drug Name2]],'Data Options'!$R$1:$S$100,2,FALSE), " ")</f>
        <v xml:space="preserve"> </v>
      </c>
      <c r="Z176" s="55"/>
      <c r="AA176" s="32"/>
      <c r="AB176" s="32"/>
      <c r="AC176" s="55"/>
      <c r="AD176" s="32"/>
      <c r="AE176" s="54"/>
      <c r="AF176" s="21" t="str">
        <f>IFERROR(VLOOKUP(September[[#This Row],[Drug Name3]],'Data Options'!$R$1:$S$100,2,FALSE), " ")</f>
        <v xml:space="preserve"> </v>
      </c>
      <c r="AG176" s="55"/>
      <c r="AH176" s="32"/>
      <c r="AI176" s="32"/>
      <c r="AJ176" s="55"/>
      <c r="AK176" s="32"/>
      <c r="AL176" s="32"/>
      <c r="AM176" s="32"/>
      <c r="AN176" s="32"/>
      <c r="AO176" s="32"/>
      <c r="AP176" s="31"/>
      <c r="AQ176" s="31"/>
      <c r="AR176" s="54"/>
      <c r="AS176" s="21" t="str">
        <f>IFERROR(VLOOKUP(September[[#This Row],[Drug Name4]],'Data Options'!$R$1:$S$100,2,FALSE), " ")</f>
        <v xml:space="preserve"> </v>
      </c>
      <c r="AT176" s="55"/>
      <c r="AU176" s="32"/>
      <c r="AV176" s="32"/>
      <c r="AW176" s="55"/>
      <c r="AX176" s="32"/>
      <c r="AY176" s="54"/>
      <c r="AZ176" s="21" t="str">
        <f>IFERROR(VLOOKUP(September[[#This Row],[Drug Name5]],'Data Options'!$R$1:$S$100,2,FALSE), " ")</f>
        <v xml:space="preserve"> </v>
      </c>
      <c r="BA176" s="55"/>
      <c r="BB176" s="32"/>
      <c r="BC176" s="32"/>
      <c r="BD176" s="55"/>
      <c r="BE176" s="32"/>
      <c r="BF176" s="54"/>
      <c r="BG176" s="21" t="str">
        <f>IFERROR(VLOOKUP(September[[#This Row],[Drug Name6]],'Data Options'!$R$1:$S$100,2,FALSE), " ")</f>
        <v xml:space="preserve"> </v>
      </c>
      <c r="BH176" s="55"/>
      <c r="BI176" s="32"/>
      <c r="BJ176" s="32"/>
      <c r="BK176" s="55"/>
      <c r="BL176" s="32"/>
      <c r="BM176" s="32"/>
      <c r="BN176" s="32"/>
      <c r="BO176" s="32"/>
      <c r="BP176" s="32"/>
      <c r="BQ176" s="31"/>
      <c r="BR176" s="31"/>
      <c r="BS176" s="54"/>
      <c r="BT176" s="21" t="str">
        <f>IFERROR(VLOOKUP(September[[#This Row],[Drug Name7]],'Data Options'!$R$1:$S$100,2,FALSE), " ")</f>
        <v xml:space="preserve"> </v>
      </c>
      <c r="BU176" s="55"/>
      <c r="BV176" s="32"/>
      <c r="BW176" s="32"/>
      <c r="BX176" s="55"/>
      <c r="BY176" s="32"/>
      <c r="BZ176" s="54"/>
      <c r="CA176" s="21" t="str">
        <f>IFERROR(VLOOKUP(September[[#This Row],[Drug Name8]],'Data Options'!$R$1:$S$100,2,FALSE), " ")</f>
        <v xml:space="preserve"> </v>
      </c>
      <c r="CB176" s="55"/>
      <c r="CC176" s="32"/>
      <c r="CD176" s="32"/>
      <c r="CE176" s="55"/>
      <c r="CF176" s="32"/>
      <c r="CG176" s="54"/>
      <c r="CH176" s="21" t="str">
        <f>IFERROR(VLOOKUP(September[[#This Row],[Drug Name9]],'Data Options'!$R$1:$S$100,2,FALSE), " ")</f>
        <v xml:space="preserve"> </v>
      </c>
      <c r="CI176" s="55"/>
      <c r="CJ176" s="32"/>
      <c r="CK176" s="32"/>
      <c r="CL176" s="55"/>
      <c r="CM176" s="32"/>
    </row>
    <row r="177" spans="1:91">
      <c r="A177" s="5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1"/>
      <c r="P177" s="31"/>
      <c r="Q177" s="54"/>
      <c r="R177" s="21" t="str">
        <f>IFERROR(VLOOKUP(September[[#This Row],[Drug Name]],'Data Options'!$R$1:$S$100,2,FALSE), " ")</f>
        <v xml:space="preserve"> </v>
      </c>
      <c r="S177" s="55"/>
      <c r="T177" s="32"/>
      <c r="U177" s="32"/>
      <c r="V177" s="55"/>
      <c r="W177" s="32"/>
      <c r="X177" s="54"/>
      <c r="Y177" s="21" t="str">
        <f>IFERROR(VLOOKUP(September[[#This Row],[Drug Name2]],'Data Options'!$R$1:$S$100,2,FALSE), " ")</f>
        <v xml:space="preserve"> </v>
      </c>
      <c r="Z177" s="55"/>
      <c r="AA177" s="32"/>
      <c r="AB177" s="32"/>
      <c r="AC177" s="55"/>
      <c r="AD177" s="32"/>
      <c r="AE177" s="54"/>
      <c r="AF177" s="21" t="str">
        <f>IFERROR(VLOOKUP(September[[#This Row],[Drug Name3]],'Data Options'!$R$1:$S$100,2,FALSE), " ")</f>
        <v xml:space="preserve"> </v>
      </c>
      <c r="AG177" s="55"/>
      <c r="AH177" s="32"/>
      <c r="AI177" s="32"/>
      <c r="AJ177" s="55"/>
      <c r="AK177" s="32"/>
      <c r="AL177" s="32"/>
      <c r="AM177" s="32"/>
      <c r="AN177" s="32"/>
      <c r="AO177" s="32"/>
      <c r="AP177" s="31"/>
      <c r="AQ177" s="31"/>
      <c r="AR177" s="54"/>
      <c r="AS177" s="21" t="str">
        <f>IFERROR(VLOOKUP(September[[#This Row],[Drug Name4]],'Data Options'!$R$1:$S$100,2,FALSE), " ")</f>
        <v xml:space="preserve"> </v>
      </c>
      <c r="AT177" s="55"/>
      <c r="AU177" s="32"/>
      <c r="AV177" s="32"/>
      <c r="AW177" s="55"/>
      <c r="AX177" s="32"/>
      <c r="AY177" s="54"/>
      <c r="AZ177" s="21" t="str">
        <f>IFERROR(VLOOKUP(September[[#This Row],[Drug Name5]],'Data Options'!$R$1:$S$100,2,FALSE), " ")</f>
        <v xml:space="preserve"> </v>
      </c>
      <c r="BA177" s="55"/>
      <c r="BB177" s="32"/>
      <c r="BC177" s="32"/>
      <c r="BD177" s="55"/>
      <c r="BE177" s="32"/>
      <c r="BF177" s="54"/>
      <c r="BG177" s="21" t="str">
        <f>IFERROR(VLOOKUP(September[[#This Row],[Drug Name6]],'Data Options'!$R$1:$S$100,2,FALSE), " ")</f>
        <v xml:space="preserve"> </v>
      </c>
      <c r="BH177" s="55"/>
      <c r="BI177" s="32"/>
      <c r="BJ177" s="32"/>
      <c r="BK177" s="55"/>
      <c r="BL177" s="32"/>
      <c r="BM177" s="32"/>
      <c r="BN177" s="32"/>
      <c r="BO177" s="32"/>
      <c r="BP177" s="32"/>
      <c r="BQ177" s="31"/>
      <c r="BR177" s="31"/>
      <c r="BS177" s="54"/>
      <c r="BT177" s="21" t="str">
        <f>IFERROR(VLOOKUP(September[[#This Row],[Drug Name7]],'Data Options'!$R$1:$S$100,2,FALSE), " ")</f>
        <v xml:space="preserve"> </v>
      </c>
      <c r="BU177" s="55"/>
      <c r="BV177" s="32"/>
      <c r="BW177" s="32"/>
      <c r="BX177" s="55"/>
      <c r="BY177" s="32"/>
      <c r="BZ177" s="54"/>
      <c r="CA177" s="21" t="str">
        <f>IFERROR(VLOOKUP(September[[#This Row],[Drug Name8]],'Data Options'!$R$1:$S$100,2,FALSE), " ")</f>
        <v xml:space="preserve"> </v>
      </c>
      <c r="CB177" s="55"/>
      <c r="CC177" s="32"/>
      <c r="CD177" s="32"/>
      <c r="CE177" s="55"/>
      <c r="CF177" s="32"/>
      <c r="CG177" s="54"/>
      <c r="CH177" s="21" t="str">
        <f>IFERROR(VLOOKUP(September[[#This Row],[Drug Name9]],'Data Options'!$R$1:$S$100,2,FALSE), " ")</f>
        <v xml:space="preserve"> </v>
      </c>
      <c r="CI177" s="55"/>
      <c r="CJ177" s="32"/>
      <c r="CK177" s="32"/>
      <c r="CL177" s="55"/>
      <c r="CM177" s="32"/>
    </row>
    <row r="178" spans="1:91">
      <c r="A178" s="5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1"/>
      <c r="P178" s="31"/>
      <c r="Q178" s="54"/>
      <c r="R178" s="21" t="str">
        <f>IFERROR(VLOOKUP(September[[#This Row],[Drug Name]],'Data Options'!$R$1:$S$100,2,FALSE), " ")</f>
        <v xml:space="preserve"> </v>
      </c>
      <c r="S178" s="55"/>
      <c r="T178" s="32"/>
      <c r="U178" s="32"/>
      <c r="V178" s="55"/>
      <c r="W178" s="32"/>
      <c r="X178" s="54"/>
      <c r="Y178" s="21" t="str">
        <f>IFERROR(VLOOKUP(September[[#This Row],[Drug Name2]],'Data Options'!$R$1:$S$100,2,FALSE), " ")</f>
        <v xml:space="preserve"> </v>
      </c>
      <c r="Z178" s="55"/>
      <c r="AA178" s="32"/>
      <c r="AB178" s="32"/>
      <c r="AC178" s="55"/>
      <c r="AD178" s="32"/>
      <c r="AE178" s="54"/>
      <c r="AF178" s="21" t="str">
        <f>IFERROR(VLOOKUP(September[[#This Row],[Drug Name3]],'Data Options'!$R$1:$S$100,2,FALSE), " ")</f>
        <v xml:space="preserve"> </v>
      </c>
      <c r="AG178" s="55"/>
      <c r="AH178" s="32"/>
      <c r="AI178" s="32"/>
      <c r="AJ178" s="55"/>
      <c r="AK178" s="32"/>
      <c r="AL178" s="32"/>
      <c r="AM178" s="32"/>
      <c r="AN178" s="32"/>
      <c r="AO178" s="32"/>
      <c r="AP178" s="31"/>
      <c r="AQ178" s="31"/>
      <c r="AR178" s="54"/>
      <c r="AS178" s="21" t="str">
        <f>IFERROR(VLOOKUP(September[[#This Row],[Drug Name4]],'Data Options'!$R$1:$S$100,2,FALSE), " ")</f>
        <v xml:space="preserve"> </v>
      </c>
      <c r="AT178" s="55"/>
      <c r="AU178" s="32"/>
      <c r="AV178" s="32"/>
      <c r="AW178" s="55"/>
      <c r="AX178" s="32"/>
      <c r="AY178" s="54"/>
      <c r="AZ178" s="21" t="str">
        <f>IFERROR(VLOOKUP(September[[#This Row],[Drug Name5]],'Data Options'!$R$1:$S$100,2,FALSE), " ")</f>
        <v xml:space="preserve"> </v>
      </c>
      <c r="BA178" s="55"/>
      <c r="BB178" s="32"/>
      <c r="BC178" s="32"/>
      <c r="BD178" s="55"/>
      <c r="BE178" s="32"/>
      <c r="BF178" s="54"/>
      <c r="BG178" s="21" t="str">
        <f>IFERROR(VLOOKUP(September[[#This Row],[Drug Name6]],'Data Options'!$R$1:$S$100,2,FALSE), " ")</f>
        <v xml:space="preserve"> </v>
      </c>
      <c r="BH178" s="55"/>
      <c r="BI178" s="32"/>
      <c r="BJ178" s="32"/>
      <c r="BK178" s="55"/>
      <c r="BL178" s="32"/>
      <c r="BM178" s="32"/>
      <c r="BN178" s="32"/>
      <c r="BO178" s="32"/>
      <c r="BP178" s="32"/>
      <c r="BQ178" s="31"/>
      <c r="BR178" s="31"/>
      <c r="BS178" s="54"/>
      <c r="BT178" s="21" t="str">
        <f>IFERROR(VLOOKUP(September[[#This Row],[Drug Name7]],'Data Options'!$R$1:$S$100,2,FALSE), " ")</f>
        <v xml:space="preserve"> </v>
      </c>
      <c r="BU178" s="55"/>
      <c r="BV178" s="32"/>
      <c r="BW178" s="32"/>
      <c r="BX178" s="55"/>
      <c r="BY178" s="32"/>
      <c r="BZ178" s="54"/>
      <c r="CA178" s="21" t="str">
        <f>IFERROR(VLOOKUP(September[[#This Row],[Drug Name8]],'Data Options'!$R$1:$S$100,2,FALSE), " ")</f>
        <v xml:space="preserve"> </v>
      </c>
      <c r="CB178" s="55"/>
      <c r="CC178" s="32"/>
      <c r="CD178" s="32"/>
      <c r="CE178" s="55"/>
      <c r="CF178" s="32"/>
      <c r="CG178" s="54"/>
      <c r="CH178" s="21" t="str">
        <f>IFERROR(VLOOKUP(September[[#This Row],[Drug Name9]],'Data Options'!$R$1:$S$100,2,FALSE), " ")</f>
        <v xml:space="preserve"> </v>
      </c>
      <c r="CI178" s="55"/>
      <c r="CJ178" s="32"/>
      <c r="CK178" s="32"/>
      <c r="CL178" s="55"/>
      <c r="CM178" s="32"/>
    </row>
    <row r="179" spans="1:91">
      <c r="A179" s="5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1"/>
      <c r="P179" s="31"/>
      <c r="Q179" s="54"/>
      <c r="R179" s="21" t="str">
        <f>IFERROR(VLOOKUP(September[[#This Row],[Drug Name]],'Data Options'!$R$1:$S$100,2,FALSE), " ")</f>
        <v xml:space="preserve"> </v>
      </c>
      <c r="S179" s="55"/>
      <c r="T179" s="32"/>
      <c r="U179" s="32"/>
      <c r="V179" s="55"/>
      <c r="W179" s="32"/>
      <c r="X179" s="54"/>
      <c r="Y179" s="21" t="str">
        <f>IFERROR(VLOOKUP(September[[#This Row],[Drug Name2]],'Data Options'!$R$1:$S$100,2,FALSE), " ")</f>
        <v xml:space="preserve"> </v>
      </c>
      <c r="Z179" s="55"/>
      <c r="AA179" s="32"/>
      <c r="AB179" s="32"/>
      <c r="AC179" s="55"/>
      <c r="AD179" s="32"/>
      <c r="AE179" s="54"/>
      <c r="AF179" s="21" t="str">
        <f>IFERROR(VLOOKUP(September[[#This Row],[Drug Name3]],'Data Options'!$R$1:$S$100,2,FALSE), " ")</f>
        <v xml:space="preserve"> </v>
      </c>
      <c r="AG179" s="55"/>
      <c r="AH179" s="32"/>
      <c r="AI179" s="32"/>
      <c r="AJ179" s="55"/>
      <c r="AK179" s="32"/>
      <c r="AL179" s="32"/>
      <c r="AM179" s="32"/>
      <c r="AN179" s="32"/>
      <c r="AO179" s="32"/>
      <c r="AP179" s="31"/>
      <c r="AQ179" s="31"/>
      <c r="AR179" s="54"/>
      <c r="AS179" s="21" t="str">
        <f>IFERROR(VLOOKUP(September[[#This Row],[Drug Name4]],'Data Options'!$R$1:$S$100,2,FALSE), " ")</f>
        <v xml:space="preserve"> </v>
      </c>
      <c r="AT179" s="55"/>
      <c r="AU179" s="32"/>
      <c r="AV179" s="32"/>
      <c r="AW179" s="55"/>
      <c r="AX179" s="32"/>
      <c r="AY179" s="54"/>
      <c r="AZ179" s="21" t="str">
        <f>IFERROR(VLOOKUP(September[[#This Row],[Drug Name5]],'Data Options'!$R$1:$S$100,2,FALSE), " ")</f>
        <v xml:space="preserve"> </v>
      </c>
      <c r="BA179" s="55"/>
      <c r="BB179" s="32"/>
      <c r="BC179" s="32"/>
      <c r="BD179" s="55"/>
      <c r="BE179" s="32"/>
      <c r="BF179" s="54"/>
      <c r="BG179" s="21" t="str">
        <f>IFERROR(VLOOKUP(September[[#This Row],[Drug Name6]],'Data Options'!$R$1:$S$100,2,FALSE), " ")</f>
        <v xml:space="preserve"> </v>
      </c>
      <c r="BH179" s="55"/>
      <c r="BI179" s="32"/>
      <c r="BJ179" s="32"/>
      <c r="BK179" s="55"/>
      <c r="BL179" s="32"/>
      <c r="BM179" s="32"/>
      <c r="BN179" s="32"/>
      <c r="BO179" s="32"/>
      <c r="BP179" s="32"/>
      <c r="BQ179" s="31"/>
      <c r="BR179" s="31"/>
      <c r="BS179" s="54"/>
      <c r="BT179" s="21" t="str">
        <f>IFERROR(VLOOKUP(September[[#This Row],[Drug Name7]],'Data Options'!$R$1:$S$100,2,FALSE), " ")</f>
        <v xml:space="preserve"> </v>
      </c>
      <c r="BU179" s="55"/>
      <c r="BV179" s="32"/>
      <c r="BW179" s="32"/>
      <c r="BX179" s="55"/>
      <c r="BY179" s="32"/>
      <c r="BZ179" s="54"/>
      <c r="CA179" s="21" t="str">
        <f>IFERROR(VLOOKUP(September[[#This Row],[Drug Name8]],'Data Options'!$R$1:$S$100,2,FALSE), " ")</f>
        <v xml:space="preserve"> </v>
      </c>
      <c r="CB179" s="55"/>
      <c r="CC179" s="32"/>
      <c r="CD179" s="32"/>
      <c r="CE179" s="55"/>
      <c r="CF179" s="32"/>
      <c r="CG179" s="54"/>
      <c r="CH179" s="21" t="str">
        <f>IFERROR(VLOOKUP(September[[#This Row],[Drug Name9]],'Data Options'!$R$1:$S$100,2,FALSE), " ")</f>
        <v xml:space="preserve"> </v>
      </c>
      <c r="CI179" s="55"/>
      <c r="CJ179" s="32"/>
      <c r="CK179" s="32"/>
      <c r="CL179" s="55"/>
      <c r="CM179" s="32"/>
    </row>
    <row r="180" spans="1:91">
      <c r="A180" s="5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1"/>
      <c r="P180" s="31"/>
      <c r="Q180" s="54"/>
      <c r="R180" s="21" t="str">
        <f>IFERROR(VLOOKUP(September[[#This Row],[Drug Name]],'Data Options'!$R$1:$S$100,2,FALSE), " ")</f>
        <v xml:space="preserve"> </v>
      </c>
      <c r="S180" s="55"/>
      <c r="T180" s="32"/>
      <c r="U180" s="32"/>
      <c r="V180" s="55"/>
      <c r="W180" s="32"/>
      <c r="X180" s="54"/>
      <c r="Y180" s="21" t="str">
        <f>IFERROR(VLOOKUP(September[[#This Row],[Drug Name2]],'Data Options'!$R$1:$S$100,2,FALSE), " ")</f>
        <v xml:space="preserve"> </v>
      </c>
      <c r="Z180" s="55"/>
      <c r="AA180" s="32"/>
      <c r="AB180" s="32"/>
      <c r="AC180" s="55"/>
      <c r="AD180" s="32"/>
      <c r="AE180" s="54"/>
      <c r="AF180" s="21" t="str">
        <f>IFERROR(VLOOKUP(September[[#This Row],[Drug Name3]],'Data Options'!$R$1:$S$100,2,FALSE), " ")</f>
        <v xml:space="preserve"> </v>
      </c>
      <c r="AG180" s="55"/>
      <c r="AH180" s="32"/>
      <c r="AI180" s="32"/>
      <c r="AJ180" s="55"/>
      <c r="AK180" s="32"/>
      <c r="AL180" s="32"/>
      <c r="AM180" s="32"/>
      <c r="AN180" s="32"/>
      <c r="AO180" s="32"/>
      <c r="AP180" s="31"/>
      <c r="AQ180" s="31"/>
      <c r="AR180" s="54"/>
      <c r="AS180" s="21" t="str">
        <f>IFERROR(VLOOKUP(September[[#This Row],[Drug Name4]],'Data Options'!$R$1:$S$100,2,FALSE), " ")</f>
        <v xml:space="preserve"> </v>
      </c>
      <c r="AT180" s="55"/>
      <c r="AU180" s="32"/>
      <c r="AV180" s="32"/>
      <c r="AW180" s="55"/>
      <c r="AX180" s="32"/>
      <c r="AY180" s="54"/>
      <c r="AZ180" s="21" t="str">
        <f>IFERROR(VLOOKUP(September[[#This Row],[Drug Name5]],'Data Options'!$R$1:$S$100,2,FALSE), " ")</f>
        <v xml:space="preserve"> </v>
      </c>
      <c r="BA180" s="55"/>
      <c r="BB180" s="32"/>
      <c r="BC180" s="32"/>
      <c r="BD180" s="55"/>
      <c r="BE180" s="32"/>
      <c r="BF180" s="54"/>
      <c r="BG180" s="21" t="str">
        <f>IFERROR(VLOOKUP(September[[#This Row],[Drug Name6]],'Data Options'!$R$1:$S$100,2,FALSE), " ")</f>
        <v xml:space="preserve"> </v>
      </c>
      <c r="BH180" s="55"/>
      <c r="BI180" s="32"/>
      <c r="BJ180" s="32"/>
      <c r="BK180" s="55"/>
      <c r="BL180" s="32"/>
      <c r="BM180" s="32"/>
      <c r="BN180" s="32"/>
      <c r="BO180" s="32"/>
      <c r="BP180" s="32"/>
      <c r="BQ180" s="31"/>
      <c r="BR180" s="31"/>
      <c r="BS180" s="54"/>
      <c r="BT180" s="21" t="str">
        <f>IFERROR(VLOOKUP(September[[#This Row],[Drug Name7]],'Data Options'!$R$1:$S$100,2,FALSE), " ")</f>
        <v xml:space="preserve"> </v>
      </c>
      <c r="BU180" s="55"/>
      <c r="BV180" s="32"/>
      <c r="BW180" s="32"/>
      <c r="BX180" s="55"/>
      <c r="BY180" s="32"/>
      <c r="BZ180" s="54"/>
      <c r="CA180" s="21" t="str">
        <f>IFERROR(VLOOKUP(September[[#This Row],[Drug Name8]],'Data Options'!$R$1:$S$100,2,FALSE), " ")</f>
        <v xml:space="preserve"> </v>
      </c>
      <c r="CB180" s="55"/>
      <c r="CC180" s="32"/>
      <c r="CD180" s="32"/>
      <c r="CE180" s="55"/>
      <c r="CF180" s="32"/>
      <c r="CG180" s="54"/>
      <c r="CH180" s="21" t="str">
        <f>IFERROR(VLOOKUP(September[[#This Row],[Drug Name9]],'Data Options'!$R$1:$S$100,2,FALSE), " ")</f>
        <v xml:space="preserve"> </v>
      </c>
      <c r="CI180" s="55"/>
      <c r="CJ180" s="32"/>
      <c r="CK180" s="32"/>
      <c r="CL180" s="55"/>
      <c r="CM180" s="32"/>
    </row>
    <row r="181" spans="1:91">
      <c r="A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1"/>
      <c r="P181" s="31"/>
      <c r="Q181" s="54"/>
      <c r="R181" s="21" t="str">
        <f>IFERROR(VLOOKUP(September[[#This Row],[Drug Name]],'Data Options'!$R$1:$S$100,2,FALSE), " ")</f>
        <v xml:space="preserve"> </v>
      </c>
      <c r="S181" s="55"/>
      <c r="T181" s="32"/>
      <c r="U181" s="32"/>
      <c r="V181" s="55"/>
      <c r="W181" s="32"/>
      <c r="X181" s="54"/>
      <c r="Y181" s="21" t="str">
        <f>IFERROR(VLOOKUP(September[[#This Row],[Drug Name2]],'Data Options'!$R$1:$S$100,2,FALSE), " ")</f>
        <v xml:space="preserve"> </v>
      </c>
      <c r="Z181" s="55"/>
      <c r="AA181" s="32"/>
      <c r="AB181" s="32"/>
      <c r="AC181" s="55"/>
      <c r="AD181" s="32"/>
      <c r="AE181" s="54"/>
      <c r="AF181" s="21" t="str">
        <f>IFERROR(VLOOKUP(September[[#This Row],[Drug Name3]],'Data Options'!$R$1:$S$100,2,FALSE), " ")</f>
        <v xml:space="preserve"> </v>
      </c>
      <c r="AG181" s="55"/>
      <c r="AH181" s="32"/>
      <c r="AI181" s="32"/>
      <c r="AJ181" s="55"/>
      <c r="AK181" s="32"/>
      <c r="AL181" s="32"/>
      <c r="AM181" s="32"/>
      <c r="AN181" s="32"/>
      <c r="AO181" s="32"/>
      <c r="AP181" s="31"/>
      <c r="AQ181" s="31"/>
      <c r="AR181" s="54"/>
      <c r="AS181" s="21" t="str">
        <f>IFERROR(VLOOKUP(September[[#This Row],[Drug Name4]],'Data Options'!$R$1:$S$100,2,FALSE), " ")</f>
        <v xml:space="preserve"> </v>
      </c>
      <c r="AT181" s="55"/>
      <c r="AU181" s="32"/>
      <c r="AV181" s="32"/>
      <c r="AW181" s="55"/>
      <c r="AX181" s="32"/>
      <c r="AY181" s="54"/>
      <c r="AZ181" s="21" t="str">
        <f>IFERROR(VLOOKUP(September[[#This Row],[Drug Name5]],'Data Options'!$R$1:$S$100,2,FALSE), " ")</f>
        <v xml:space="preserve"> </v>
      </c>
      <c r="BA181" s="55"/>
      <c r="BB181" s="32"/>
      <c r="BC181" s="32"/>
      <c r="BD181" s="55"/>
      <c r="BE181" s="32"/>
      <c r="BF181" s="54"/>
      <c r="BG181" s="21" t="str">
        <f>IFERROR(VLOOKUP(September[[#This Row],[Drug Name6]],'Data Options'!$R$1:$S$100,2,FALSE), " ")</f>
        <v xml:space="preserve"> </v>
      </c>
      <c r="BH181" s="55"/>
      <c r="BI181" s="32"/>
      <c r="BJ181" s="32"/>
      <c r="BK181" s="55"/>
      <c r="BL181" s="32"/>
      <c r="BM181" s="32"/>
      <c r="BN181" s="32"/>
      <c r="BO181" s="32"/>
      <c r="BP181" s="32"/>
      <c r="BQ181" s="31"/>
      <c r="BR181" s="31"/>
      <c r="BS181" s="54"/>
      <c r="BT181" s="21" t="str">
        <f>IFERROR(VLOOKUP(September[[#This Row],[Drug Name7]],'Data Options'!$R$1:$S$100,2,FALSE), " ")</f>
        <v xml:space="preserve"> </v>
      </c>
      <c r="BU181" s="55"/>
      <c r="BV181" s="32"/>
      <c r="BW181" s="32"/>
      <c r="BX181" s="55"/>
      <c r="BY181" s="32"/>
      <c r="BZ181" s="54"/>
      <c r="CA181" s="21" t="str">
        <f>IFERROR(VLOOKUP(September[[#This Row],[Drug Name8]],'Data Options'!$R$1:$S$100,2,FALSE), " ")</f>
        <v xml:space="preserve"> </v>
      </c>
      <c r="CB181" s="55"/>
      <c r="CC181" s="32"/>
      <c r="CD181" s="32"/>
      <c r="CE181" s="55"/>
      <c r="CF181" s="32"/>
      <c r="CG181" s="54"/>
      <c r="CH181" s="21" t="str">
        <f>IFERROR(VLOOKUP(September[[#This Row],[Drug Name9]],'Data Options'!$R$1:$S$100,2,FALSE), " ")</f>
        <v xml:space="preserve"> </v>
      </c>
      <c r="CI181" s="55"/>
      <c r="CJ181" s="32"/>
      <c r="CK181" s="32"/>
      <c r="CL181" s="55"/>
      <c r="CM181" s="32"/>
    </row>
    <row r="182" spans="1:91">
      <c r="A182" s="5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1"/>
      <c r="P182" s="31"/>
      <c r="Q182" s="54"/>
      <c r="R182" s="21" t="str">
        <f>IFERROR(VLOOKUP(September[[#This Row],[Drug Name]],'Data Options'!$R$1:$S$100,2,FALSE), " ")</f>
        <v xml:space="preserve"> </v>
      </c>
      <c r="S182" s="55"/>
      <c r="T182" s="32"/>
      <c r="U182" s="32"/>
      <c r="V182" s="55"/>
      <c r="W182" s="32"/>
      <c r="X182" s="54"/>
      <c r="Y182" s="21" t="str">
        <f>IFERROR(VLOOKUP(September[[#This Row],[Drug Name2]],'Data Options'!$R$1:$S$100,2,FALSE), " ")</f>
        <v xml:space="preserve"> </v>
      </c>
      <c r="Z182" s="55"/>
      <c r="AA182" s="32"/>
      <c r="AB182" s="32"/>
      <c r="AC182" s="55"/>
      <c r="AD182" s="32"/>
      <c r="AE182" s="54"/>
      <c r="AF182" s="21" t="str">
        <f>IFERROR(VLOOKUP(September[[#This Row],[Drug Name3]],'Data Options'!$R$1:$S$100,2,FALSE), " ")</f>
        <v xml:space="preserve"> </v>
      </c>
      <c r="AG182" s="55"/>
      <c r="AH182" s="32"/>
      <c r="AI182" s="32"/>
      <c r="AJ182" s="55"/>
      <c r="AK182" s="32"/>
      <c r="AL182" s="32"/>
      <c r="AM182" s="32"/>
      <c r="AN182" s="32"/>
      <c r="AO182" s="32"/>
      <c r="AP182" s="31"/>
      <c r="AQ182" s="31"/>
      <c r="AR182" s="54"/>
      <c r="AS182" s="21" t="str">
        <f>IFERROR(VLOOKUP(September[[#This Row],[Drug Name4]],'Data Options'!$R$1:$S$100,2,FALSE), " ")</f>
        <v xml:space="preserve"> </v>
      </c>
      <c r="AT182" s="55"/>
      <c r="AU182" s="32"/>
      <c r="AV182" s="32"/>
      <c r="AW182" s="55"/>
      <c r="AX182" s="32"/>
      <c r="AY182" s="54"/>
      <c r="AZ182" s="21" t="str">
        <f>IFERROR(VLOOKUP(September[[#This Row],[Drug Name5]],'Data Options'!$R$1:$S$100,2,FALSE), " ")</f>
        <v xml:space="preserve"> </v>
      </c>
      <c r="BA182" s="55"/>
      <c r="BB182" s="32"/>
      <c r="BC182" s="32"/>
      <c r="BD182" s="55"/>
      <c r="BE182" s="32"/>
      <c r="BF182" s="54"/>
      <c r="BG182" s="21" t="str">
        <f>IFERROR(VLOOKUP(September[[#This Row],[Drug Name6]],'Data Options'!$R$1:$S$100,2,FALSE), " ")</f>
        <v xml:space="preserve"> </v>
      </c>
      <c r="BH182" s="55"/>
      <c r="BI182" s="32"/>
      <c r="BJ182" s="32"/>
      <c r="BK182" s="55"/>
      <c r="BL182" s="32"/>
      <c r="BM182" s="32"/>
      <c r="BN182" s="32"/>
      <c r="BO182" s="32"/>
      <c r="BP182" s="32"/>
      <c r="BQ182" s="31"/>
      <c r="BR182" s="31"/>
      <c r="BS182" s="54"/>
      <c r="BT182" s="21" t="str">
        <f>IFERROR(VLOOKUP(September[[#This Row],[Drug Name7]],'Data Options'!$R$1:$S$100,2,FALSE), " ")</f>
        <v xml:space="preserve"> </v>
      </c>
      <c r="BU182" s="55"/>
      <c r="BV182" s="32"/>
      <c r="BW182" s="32"/>
      <c r="BX182" s="55"/>
      <c r="BY182" s="32"/>
      <c r="BZ182" s="54"/>
      <c r="CA182" s="21" t="str">
        <f>IFERROR(VLOOKUP(September[[#This Row],[Drug Name8]],'Data Options'!$R$1:$S$100,2,FALSE), " ")</f>
        <v xml:space="preserve"> </v>
      </c>
      <c r="CB182" s="55"/>
      <c r="CC182" s="32"/>
      <c r="CD182" s="32"/>
      <c r="CE182" s="55"/>
      <c r="CF182" s="32"/>
      <c r="CG182" s="54"/>
      <c r="CH182" s="21" t="str">
        <f>IFERROR(VLOOKUP(September[[#This Row],[Drug Name9]],'Data Options'!$R$1:$S$100,2,FALSE), " ")</f>
        <v xml:space="preserve"> </v>
      </c>
      <c r="CI182" s="55"/>
      <c r="CJ182" s="32"/>
      <c r="CK182" s="32"/>
      <c r="CL182" s="55"/>
      <c r="CM182" s="32"/>
    </row>
    <row r="183" spans="1:91">
      <c r="A183" s="5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1"/>
      <c r="P183" s="31"/>
      <c r="Q183" s="54"/>
      <c r="R183" s="21" t="str">
        <f>IFERROR(VLOOKUP(September[[#This Row],[Drug Name]],'Data Options'!$R$1:$S$100,2,FALSE), " ")</f>
        <v xml:space="preserve"> </v>
      </c>
      <c r="S183" s="55"/>
      <c r="T183" s="32"/>
      <c r="U183" s="32"/>
      <c r="V183" s="55"/>
      <c r="W183" s="32"/>
      <c r="X183" s="54"/>
      <c r="Y183" s="21" t="str">
        <f>IFERROR(VLOOKUP(September[[#This Row],[Drug Name2]],'Data Options'!$R$1:$S$100,2,FALSE), " ")</f>
        <v xml:space="preserve"> </v>
      </c>
      <c r="Z183" s="55"/>
      <c r="AA183" s="32"/>
      <c r="AB183" s="32"/>
      <c r="AC183" s="55"/>
      <c r="AD183" s="32"/>
      <c r="AE183" s="54"/>
      <c r="AF183" s="21" t="str">
        <f>IFERROR(VLOOKUP(September[[#This Row],[Drug Name3]],'Data Options'!$R$1:$S$100,2,FALSE), " ")</f>
        <v xml:space="preserve"> </v>
      </c>
      <c r="AG183" s="55"/>
      <c r="AH183" s="32"/>
      <c r="AI183" s="32"/>
      <c r="AJ183" s="55"/>
      <c r="AK183" s="32"/>
      <c r="AL183" s="32"/>
      <c r="AM183" s="32"/>
      <c r="AN183" s="32"/>
      <c r="AO183" s="32"/>
      <c r="AP183" s="31"/>
      <c r="AQ183" s="31"/>
      <c r="AR183" s="54"/>
      <c r="AS183" s="21" t="str">
        <f>IFERROR(VLOOKUP(September[[#This Row],[Drug Name4]],'Data Options'!$R$1:$S$100,2,FALSE), " ")</f>
        <v xml:space="preserve"> </v>
      </c>
      <c r="AT183" s="55"/>
      <c r="AU183" s="32"/>
      <c r="AV183" s="32"/>
      <c r="AW183" s="55"/>
      <c r="AX183" s="32"/>
      <c r="AY183" s="54"/>
      <c r="AZ183" s="21" t="str">
        <f>IFERROR(VLOOKUP(September[[#This Row],[Drug Name5]],'Data Options'!$R$1:$S$100,2,FALSE), " ")</f>
        <v xml:space="preserve"> </v>
      </c>
      <c r="BA183" s="55"/>
      <c r="BB183" s="32"/>
      <c r="BC183" s="32"/>
      <c r="BD183" s="55"/>
      <c r="BE183" s="32"/>
      <c r="BF183" s="54"/>
      <c r="BG183" s="21" t="str">
        <f>IFERROR(VLOOKUP(September[[#This Row],[Drug Name6]],'Data Options'!$R$1:$S$100,2,FALSE), " ")</f>
        <v xml:space="preserve"> </v>
      </c>
      <c r="BH183" s="55"/>
      <c r="BI183" s="32"/>
      <c r="BJ183" s="32"/>
      <c r="BK183" s="55"/>
      <c r="BL183" s="32"/>
      <c r="BM183" s="32"/>
      <c r="BN183" s="32"/>
      <c r="BO183" s="32"/>
      <c r="BP183" s="32"/>
      <c r="BQ183" s="31"/>
      <c r="BR183" s="31"/>
      <c r="BS183" s="54"/>
      <c r="BT183" s="21" t="str">
        <f>IFERROR(VLOOKUP(September[[#This Row],[Drug Name7]],'Data Options'!$R$1:$S$100,2,FALSE), " ")</f>
        <v xml:space="preserve"> </v>
      </c>
      <c r="BU183" s="55"/>
      <c r="BV183" s="32"/>
      <c r="BW183" s="32"/>
      <c r="BX183" s="55"/>
      <c r="BY183" s="32"/>
      <c r="BZ183" s="54"/>
      <c r="CA183" s="21" t="str">
        <f>IFERROR(VLOOKUP(September[[#This Row],[Drug Name8]],'Data Options'!$R$1:$S$100,2,FALSE), " ")</f>
        <v xml:space="preserve"> </v>
      </c>
      <c r="CB183" s="55"/>
      <c r="CC183" s="32"/>
      <c r="CD183" s="32"/>
      <c r="CE183" s="55"/>
      <c r="CF183" s="32"/>
      <c r="CG183" s="54"/>
      <c r="CH183" s="21" t="str">
        <f>IFERROR(VLOOKUP(September[[#This Row],[Drug Name9]],'Data Options'!$R$1:$S$100,2,FALSE), " ")</f>
        <v xml:space="preserve"> </v>
      </c>
      <c r="CI183" s="55"/>
      <c r="CJ183" s="32"/>
      <c r="CK183" s="32"/>
      <c r="CL183" s="55"/>
      <c r="CM183" s="32"/>
    </row>
    <row r="184" spans="1:91">
      <c r="A184" s="5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1"/>
      <c r="P184" s="31"/>
      <c r="Q184" s="54"/>
      <c r="R184" s="21" t="str">
        <f>IFERROR(VLOOKUP(September[[#This Row],[Drug Name]],'Data Options'!$R$1:$S$100,2,FALSE), " ")</f>
        <v xml:space="preserve"> </v>
      </c>
      <c r="S184" s="55"/>
      <c r="T184" s="32"/>
      <c r="U184" s="32"/>
      <c r="V184" s="55"/>
      <c r="W184" s="32"/>
      <c r="X184" s="54"/>
      <c r="Y184" s="21" t="str">
        <f>IFERROR(VLOOKUP(September[[#This Row],[Drug Name2]],'Data Options'!$R$1:$S$100,2,FALSE), " ")</f>
        <v xml:space="preserve"> </v>
      </c>
      <c r="Z184" s="55"/>
      <c r="AA184" s="32"/>
      <c r="AB184" s="32"/>
      <c r="AC184" s="55"/>
      <c r="AD184" s="32"/>
      <c r="AE184" s="54"/>
      <c r="AF184" s="21" t="str">
        <f>IFERROR(VLOOKUP(September[[#This Row],[Drug Name3]],'Data Options'!$R$1:$S$100,2,FALSE), " ")</f>
        <v xml:space="preserve"> </v>
      </c>
      <c r="AG184" s="55"/>
      <c r="AH184" s="32"/>
      <c r="AI184" s="32"/>
      <c r="AJ184" s="55"/>
      <c r="AK184" s="32"/>
      <c r="AL184" s="32"/>
      <c r="AM184" s="32"/>
      <c r="AN184" s="32"/>
      <c r="AO184" s="32"/>
      <c r="AP184" s="31"/>
      <c r="AQ184" s="31"/>
      <c r="AR184" s="54"/>
      <c r="AS184" s="21" t="str">
        <f>IFERROR(VLOOKUP(September[[#This Row],[Drug Name4]],'Data Options'!$R$1:$S$100,2,FALSE), " ")</f>
        <v xml:space="preserve"> </v>
      </c>
      <c r="AT184" s="55"/>
      <c r="AU184" s="32"/>
      <c r="AV184" s="32"/>
      <c r="AW184" s="55"/>
      <c r="AX184" s="32"/>
      <c r="AY184" s="54"/>
      <c r="AZ184" s="21" t="str">
        <f>IFERROR(VLOOKUP(September[[#This Row],[Drug Name5]],'Data Options'!$R$1:$S$100,2,FALSE), " ")</f>
        <v xml:space="preserve"> </v>
      </c>
      <c r="BA184" s="55"/>
      <c r="BB184" s="32"/>
      <c r="BC184" s="32"/>
      <c r="BD184" s="55"/>
      <c r="BE184" s="32"/>
      <c r="BF184" s="54"/>
      <c r="BG184" s="21" t="str">
        <f>IFERROR(VLOOKUP(September[[#This Row],[Drug Name6]],'Data Options'!$R$1:$S$100,2,FALSE), " ")</f>
        <v xml:space="preserve"> </v>
      </c>
      <c r="BH184" s="55"/>
      <c r="BI184" s="32"/>
      <c r="BJ184" s="32"/>
      <c r="BK184" s="55"/>
      <c r="BL184" s="32"/>
      <c r="BM184" s="32"/>
      <c r="BN184" s="32"/>
      <c r="BO184" s="32"/>
      <c r="BP184" s="32"/>
      <c r="BQ184" s="31"/>
      <c r="BR184" s="31"/>
      <c r="BS184" s="54"/>
      <c r="BT184" s="21" t="str">
        <f>IFERROR(VLOOKUP(September[[#This Row],[Drug Name7]],'Data Options'!$R$1:$S$100,2,FALSE), " ")</f>
        <v xml:space="preserve"> </v>
      </c>
      <c r="BU184" s="55"/>
      <c r="BV184" s="32"/>
      <c r="BW184" s="32"/>
      <c r="BX184" s="55"/>
      <c r="BY184" s="32"/>
      <c r="BZ184" s="54"/>
      <c r="CA184" s="21" t="str">
        <f>IFERROR(VLOOKUP(September[[#This Row],[Drug Name8]],'Data Options'!$R$1:$S$100,2,FALSE), " ")</f>
        <v xml:space="preserve"> </v>
      </c>
      <c r="CB184" s="55"/>
      <c r="CC184" s="32"/>
      <c r="CD184" s="32"/>
      <c r="CE184" s="55"/>
      <c r="CF184" s="32"/>
      <c r="CG184" s="54"/>
      <c r="CH184" s="21" t="str">
        <f>IFERROR(VLOOKUP(September[[#This Row],[Drug Name9]],'Data Options'!$R$1:$S$100,2,FALSE), " ")</f>
        <v xml:space="preserve"> </v>
      </c>
      <c r="CI184" s="55"/>
      <c r="CJ184" s="32"/>
      <c r="CK184" s="32"/>
      <c r="CL184" s="55"/>
      <c r="CM184" s="32"/>
    </row>
    <row r="185" spans="1:91">
      <c r="A185" s="5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1"/>
      <c r="P185" s="31"/>
      <c r="Q185" s="54"/>
      <c r="R185" s="21" t="str">
        <f>IFERROR(VLOOKUP(September[[#This Row],[Drug Name]],'Data Options'!$R$1:$S$100,2,FALSE), " ")</f>
        <v xml:space="preserve"> </v>
      </c>
      <c r="S185" s="55"/>
      <c r="T185" s="32"/>
      <c r="U185" s="32"/>
      <c r="V185" s="55"/>
      <c r="W185" s="32"/>
      <c r="X185" s="54"/>
      <c r="Y185" s="21" t="str">
        <f>IFERROR(VLOOKUP(September[[#This Row],[Drug Name2]],'Data Options'!$R$1:$S$100,2,FALSE), " ")</f>
        <v xml:space="preserve"> </v>
      </c>
      <c r="Z185" s="55"/>
      <c r="AA185" s="32"/>
      <c r="AB185" s="32"/>
      <c r="AC185" s="55"/>
      <c r="AD185" s="32"/>
      <c r="AE185" s="54"/>
      <c r="AF185" s="21" t="str">
        <f>IFERROR(VLOOKUP(September[[#This Row],[Drug Name3]],'Data Options'!$R$1:$S$100,2,FALSE), " ")</f>
        <v xml:space="preserve"> </v>
      </c>
      <c r="AG185" s="55"/>
      <c r="AH185" s="32"/>
      <c r="AI185" s="32"/>
      <c r="AJ185" s="55"/>
      <c r="AK185" s="32"/>
      <c r="AL185" s="32"/>
      <c r="AM185" s="32"/>
      <c r="AN185" s="32"/>
      <c r="AO185" s="32"/>
      <c r="AP185" s="31"/>
      <c r="AQ185" s="31"/>
      <c r="AR185" s="54"/>
      <c r="AS185" s="21" t="str">
        <f>IFERROR(VLOOKUP(September[[#This Row],[Drug Name4]],'Data Options'!$R$1:$S$100,2,FALSE), " ")</f>
        <v xml:space="preserve"> </v>
      </c>
      <c r="AT185" s="55"/>
      <c r="AU185" s="32"/>
      <c r="AV185" s="32"/>
      <c r="AW185" s="55"/>
      <c r="AX185" s="32"/>
      <c r="AY185" s="54"/>
      <c r="AZ185" s="21" t="str">
        <f>IFERROR(VLOOKUP(September[[#This Row],[Drug Name5]],'Data Options'!$R$1:$S$100,2,FALSE), " ")</f>
        <v xml:space="preserve"> </v>
      </c>
      <c r="BA185" s="55"/>
      <c r="BB185" s="32"/>
      <c r="BC185" s="32"/>
      <c r="BD185" s="55"/>
      <c r="BE185" s="32"/>
      <c r="BF185" s="54"/>
      <c r="BG185" s="21" t="str">
        <f>IFERROR(VLOOKUP(September[[#This Row],[Drug Name6]],'Data Options'!$R$1:$S$100,2,FALSE), " ")</f>
        <v xml:space="preserve"> </v>
      </c>
      <c r="BH185" s="55"/>
      <c r="BI185" s="32"/>
      <c r="BJ185" s="32"/>
      <c r="BK185" s="55"/>
      <c r="BL185" s="32"/>
      <c r="BM185" s="32"/>
      <c r="BN185" s="32"/>
      <c r="BO185" s="32"/>
      <c r="BP185" s="32"/>
      <c r="BQ185" s="31"/>
      <c r="BR185" s="31"/>
      <c r="BS185" s="54"/>
      <c r="BT185" s="21" t="str">
        <f>IFERROR(VLOOKUP(September[[#This Row],[Drug Name7]],'Data Options'!$R$1:$S$100,2,FALSE), " ")</f>
        <v xml:space="preserve"> </v>
      </c>
      <c r="BU185" s="55"/>
      <c r="BV185" s="32"/>
      <c r="BW185" s="32"/>
      <c r="BX185" s="55"/>
      <c r="BY185" s="32"/>
      <c r="BZ185" s="54"/>
      <c r="CA185" s="21" t="str">
        <f>IFERROR(VLOOKUP(September[[#This Row],[Drug Name8]],'Data Options'!$R$1:$S$100,2,FALSE), " ")</f>
        <v xml:space="preserve"> </v>
      </c>
      <c r="CB185" s="55"/>
      <c r="CC185" s="32"/>
      <c r="CD185" s="32"/>
      <c r="CE185" s="55"/>
      <c r="CF185" s="32"/>
      <c r="CG185" s="54"/>
      <c r="CH185" s="21" t="str">
        <f>IFERROR(VLOOKUP(September[[#This Row],[Drug Name9]],'Data Options'!$R$1:$S$100,2,FALSE), " ")</f>
        <v xml:space="preserve"> </v>
      </c>
      <c r="CI185" s="55"/>
      <c r="CJ185" s="32"/>
      <c r="CK185" s="32"/>
      <c r="CL185" s="55"/>
      <c r="CM185" s="32"/>
    </row>
    <row r="186" spans="1:91">
      <c r="A186" s="5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1"/>
      <c r="P186" s="31"/>
      <c r="Q186" s="54"/>
      <c r="R186" s="21" t="str">
        <f>IFERROR(VLOOKUP(September[[#This Row],[Drug Name]],'Data Options'!$R$1:$S$100,2,FALSE), " ")</f>
        <v xml:space="preserve"> </v>
      </c>
      <c r="S186" s="55"/>
      <c r="T186" s="32"/>
      <c r="U186" s="32"/>
      <c r="V186" s="55"/>
      <c r="W186" s="32"/>
      <c r="X186" s="54"/>
      <c r="Y186" s="21" t="str">
        <f>IFERROR(VLOOKUP(September[[#This Row],[Drug Name2]],'Data Options'!$R$1:$S$100,2,FALSE), " ")</f>
        <v xml:space="preserve"> </v>
      </c>
      <c r="Z186" s="55"/>
      <c r="AA186" s="32"/>
      <c r="AB186" s="32"/>
      <c r="AC186" s="55"/>
      <c r="AD186" s="32"/>
      <c r="AE186" s="54"/>
      <c r="AF186" s="21" t="str">
        <f>IFERROR(VLOOKUP(September[[#This Row],[Drug Name3]],'Data Options'!$R$1:$S$100,2,FALSE), " ")</f>
        <v xml:space="preserve"> </v>
      </c>
      <c r="AG186" s="55"/>
      <c r="AH186" s="32"/>
      <c r="AI186" s="32"/>
      <c r="AJ186" s="55"/>
      <c r="AK186" s="32"/>
      <c r="AL186" s="32"/>
      <c r="AM186" s="32"/>
      <c r="AN186" s="32"/>
      <c r="AO186" s="32"/>
      <c r="AP186" s="31"/>
      <c r="AQ186" s="31"/>
      <c r="AR186" s="54"/>
      <c r="AS186" s="21" t="str">
        <f>IFERROR(VLOOKUP(September[[#This Row],[Drug Name4]],'Data Options'!$R$1:$S$100,2,FALSE), " ")</f>
        <v xml:space="preserve"> </v>
      </c>
      <c r="AT186" s="55"/>
      <c r="AU186" s="32"/>
      <c r="AV186" s="32"/>
      <c r="AW186" s="55"/>
      <c r="AX186" s="32"/>
      <c r="AY186" s="54"/>
      <c r="AZ186" s="21" t="str">
        <f>IFERROR(VLOOKUP(September[[#This Row],[Drug Name5]],'Data Options'!$R$1:$S$100,2,FALSE), " ")</f>
        <v xml:space="preserve"> </v>
      </c>
      <c r="BA186" s="55"/>
      <c r="BB186" s="32"/>
      <c r="BC186" s="32"/>
      <c r="BD186" s="55"/>
      <c r="BE186" s="32"/>
      <c r="BF186" s="54"/>
      <c r="BG186" s="21" t="str">
        <f>IFERROR(VLOOKUP(September[[#This Row],[Drug Name6]],'Data Options'!$R$1:$S$100,2,FALSE), " ")</f>
        <v xml:space="preserve"> </v>
      </c>
      <c r="BH186" s="55"/>
      <c r="BI186" s="32"/>
      <c r="BJ186" s="32"/>
      <c r="BK186" s="55"/>
      <c r="BL186" s="32"/>
      <c r="BM186" s="32"/>
      <c r="BN186" s="32"/>
      <c r="BO186" s="32"/>
      <c r="BP186" s="32"/>
      <c r="BQ186" s="31"/>
      <c r="BR186" s="31"/>
      <c r="BS186" s="54"/>
      <c r="BT186" s="21" t="str">
        <f>IFERROR(VLOOKUP(September[[#This Row],[Drug Name7]],'Data Options'!$R$1:$S$100,2,FALSE), " ")</f>
        <v xml:space="preserve"> </v>
      </c>
      <c r="BU186" s="55"/>
      <c r="BV186" s="32"/>
      <c r="BW186" s="32"/>
      <c r="BX186" s="55"/>
      <c r="BY186" s="32"/>
      <c r="BZ186" s="54"/>
      <c r="CA186" s="21" t="str">
        <f>IFERROR(VLOOKUP(September[[#This Row],[Drug Name8]],'Data Options'!$R$1:$S$100,2,FALSE), " ")</f>
        <v xml:space="preserve"> </v>
      </c>
      <c r="CB186" s="55"/>
      <c r="CC186" s="32"/>
      <c r="CD186" s="32"/>
      <c r="CE186" s="55"/>
      <c r="CF186" s="32"/>
      <c r="CG186" s="54"/>
      <c r="CH186" s="21" t="str">
        <f>IFERROR(VLOOKUP(September[[#This Row],[Drug Name9]],'Data Options'!$R$1:$S$100,2,FALSE), " ")</f>
        <v xml:space="preserve"> </v>
      </c>
      <c r="CI186" s="55"/>
      <c r="CJ186" s="32"/>
      <c r="CK186" s="32"/>
      <c r="CL186" s="55"/>
      <c r="CM186" s="32"/>
    </row>
    <row r="187" spans="1:91">
      <c r="A187" s="5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1"/>
      <c r="P187" s="31"/>
      <c r="Q187" s="54"/>
      <c r="R187" s="21" t="str">
        <f>IFERROR(VLOOKUP(September[[#This Row],[Drug Name]],'Data Options'!$R$1:$S$100,2,FALSE), " ")</f>
        <v xml:space="preserve"> </v>
      </c>
      <c r="S187" s="55"/>
      <c r="T187" s="32"/>
      <c r="U187" s="32"/>
      <c r="V187" s="55"/>
      <c r="W187" s="32"/>
      <c r="X187" s="54"/>
      <c r="Y187" s="21" t="str">
        <f>IFERROR(VLOOKUP(September[[#This Row],[Drug Name2]],'Data Options'!$R$1:$S$100,2,FALSE), " ")</f>
        <v xml:space="preserve"> </v>
      </c>
      <c r="Z187" s="55"/>
      <c r="AA187" s="32"/>
      <c r="AB187" s="32"/>
      <c r="AC187" s="55"/>
      <c r="AD187" s="32"/>
      <c r="AE187" s="54"/>
      <c r="AF187" s="21" t="str">
        <f>IFERROR(VLOOKUP(September[[#This Row],[Drug Name3]],'Data Options'!$R$1:$S$100,2,FALSE), " ")</f>
        <v xml:space="preserve"> </v>
      </c>
      <c r="AG187" s="55"/>
      <c r="AH187" s="32"/>
      <c r="AI187" s="32"/>
      <c r="AJ187" s="55"/>
      <c r="AK187" s="32"/>
      <c r="AL187" s="32"/>
      <c r="AM187" s="32"/>
      <c r="AN187" s="32"/>
      <c r="AO187" s="32"/>
      <c r="AP187" s="31"/>
      <c r="AQ187" s="31"/>
      <c r="AR187" s="54"/>
      <c r="AS187" s="21" t="str">
        <f>IFERROR(VLOOKUP(September[[#This Row],[Drug Name4]],'Data Options'!$R$1:$S$100,2,FALSE), " ")</f>
        <v xml:space="preserve"> </v>
      </c>
      <c r="AT187" s="55"/>
      <c r="AU187" s="32"/>
      <c r="AV187" s="32"/>
      <c r="AW187" s="55"/>
      <c r="AX187" s="32"/>
      <c r="AY187" s="54"/>
      <c r="AZ187" s="21" t="str">
        <f>IFERROR(VLOOKUP(September[[#This Row],[Drug Name5]],'Data Options'!$R$1:$S$100,2,FALSE), " ")</f>
        <v xml:space="preserve"> </v>
      </c>
      <c r="BA187" s="55"/>
      <c r="BB187" s="32"/>
      <c r="BC187" s="32"/>
      <c r="BD187" s="55"/>
      <c r="BE187" s="32"/>
      <c r="BF187" s="54"/>
      <c r="BG187" s="21" t="str">
        <f>IFERROR(VLOOKUP(September[[#This Row],[Drug Name6]],'Data Options'!$R$1:$S$100,2,FALSE), " ")</f>
        <v xml:space="preserve"> </v>
      </c>
      <c r="BH187" s="55"/>
      <c r="BI187" s="32"/>
      <c r="BJ187" s="32"/>
      <c r="BK187" s="55"/>
      <c r="BL187" s="32"/>
      <c r="BM187" s="32"/>
      <c r="BN187" s="32"/>
      <c r="BO187" s="32"/>
      <c r="BP187" s="32"/>
      <c r="BQ187" s="31"/>
      <c r="BR187" s="31"/>
      <c r="BS187" s="54"/>
      <c r="BT187" s="21" t="str">
        <f>IFERROR(VLOOKUP(September[[#This Row],[Drug Name7]],'Data Options'!$R$1:$S$100,2,FALSE), " ")</f>
        <v xml:space="preserve"> </v>
      </c>
      <c r="BU187" s="55"/>
      <c r="BV187" s="32"/>
      <c r="BW187" s="32"/>
      <c r="BX187" s="55"/>
      <c r="BY187" s="32"/>
      <c r="BZ187" s="54"/>
      <c r="CA187" s="21" t="str">
        <f>IFERROR(VLOOKUP(September[[#This Row],[Drug Name8]],'Data Options'!$R$1:$S$100,2,FALSE), " ")</f>
        <v xml:space="preserve"> </v>
      </c>
      <c r="CB187" s="55"/>
      <c r="CC187" s="32"/>
      <c r="CD187" s="32"/>
      <c r="CE187" s="55"/>
      <c r="CF187" s="32"/>
      <c r="CG187" s="54"/>
      <c r="CH187" s="21" t="str">
        <f>IFERROR(VLOOKUP(September[[#This Row],[Drug Name9]],'Data Options'!$R$1:$S$100,2,FALSE), " ")</f>
        <v xml:space="preserve"> </v>
      </c>
      <c r="CI187" s="55"/>
      <c r="CJ187" s="32"/>
      <c r="CK187" s="32"/>
      <c r="CL187" s="55"/>
      <c r="CM187" s="32"/>
    </row>
    <row r="188" spans="1:91">
      <c r="A188" s="5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1"/>
      <c r="P188" s="31"/>
      <c r="Q188" s="54"/>
      <c r="R188" s="21" t="str">
        <f>IFERROR(VLOOKUP(September[[#This Row],[Drug Name]],'Data Options'!$R$1:$S$100,2,FALSE), " ")</f>
        <v xml:space="preserve"> </v>
      </c>
      <c r="S188" s="55"/>
      <c r="T188" s="32"/>
      <c r="U188" s="32"/>
      <c r="V188" s="55"/>
      <c r="W188" s="32"/>
      <c r="X188" s="54"/>
      <c r="Y188" s="21" t="str">
        <f>IFERROR(VLOOKUP(September[[#This Row],[Drug Name2]],'Data Options'!$R$1:$S$100,2,FALSE), " ")</f>
        <v xml:space="preserve"> </v>
      </c>
      <c r="Z188" s="55"/>
      <c r="AA188" s="32"/>
      <c r="AB188" s="32"/>
      <c r="AC188" s="55"/>
      <c r="AD188" s="32"/>
      <c r="AE188" s="54"/>
      <c r="AF188" s="21" t="str">
        <f>IFERROR(VLOOKUP(September[[#This Row],[Drug Name3]],'Data Options'!$R$1:$S$100,2,FALSE), " ")</f>
        <v xml:space="preserve"> </v>
      </c>
      <c r="AG188" s="55"/>
      <c r="AH188" s="32"/>
      <c r="AI188" s="32"/>
      <c r="AJ188" s="55"/>
      <c r="AK188" s="32"/>
      <c r="AL188" s="32"/>
      <c r="AM188" s="32"/>
      <c r="AN188" s="32"/>
      <c r="AO188" s="32"/>
      <c r="AP188" s="31"/>
      <c r="AQ188" s="31"/>
      <c r="AR188" s="54"/>
      <c r="AS188" s="21" t="str">
        <f>IFERROR(VLOOKUP(September[[#This Row],[Drug Name4]],'Data Options'!$R$1:$S$100,2,FALSE), " ")</f>
        <v xml:space="preserve"> </v>
      </c>
      <c r="AT188" s="55"/>
      <c r="AU188" s="32"/>
      <c r="AV188" s="32"/>
      <c r="AW188" s="55"/>
      <c r="AX188" s="32"/>
      <c r="AY188" s="54"/>
      <c r="AZ188" s="21" t="str">
        <f>IFERROR(VLOOKUP(September[[#This Row],[Drug Name5]],'Data Options'!$R$1:$S$100,2,FALSE), " ")</f>
        <v xml:space="preserve"> </v>
      </c>
      <c r="BA188" s="55"/>
      <c r="BB188" s="32"/>
      <c r="BC188" s="32"/>
      <c r="BD188" s="55"/>
      <c r="BE188" s="32"/>
      <c r="BF188" s="54"/>
      <c r="BG188" s="21" t="str">
        <f>IFERROR(VLOOKUP(September[[#This Row],[Drug Name6]],'Data Options'!$R$1:$S$100,2,FALSE), " ")</f>
        <v xml:space="preserve"> </v>
      </c>
      <c r="BH188" s="55"/>
      <c r="BI188" s="32"/>
      <c r="BJ188" s="32"/>
      <c r="BK188" s="55"/>
      <c r="BL188" s="32"/>
      <c r="BM188" s="32"/>
      <c r="BN188" s="32"/>
      <c r="BO188" s="32"/>
      <c r="BP188" s="32"/>
      <c r="BQ188" s="31"/>
      <c r="BR188" s="31"/>
      <c r="BS188" s="54"/>
      <c r="BT188" s="21" t="str">
        <f>IFERROR(VLOOKUP(September[[#This Row],[Drug Name7]],'Data Options'!$R$1:$S$100,2,FALSE), " ")</f>
        <v xml:space="preserve"> </v>
      </c>
      <c r="BU188" s="55"/>
      <c r="BV188" s="32"/>
      <c r="BW188" s="32"/>
      <c r="BX188" s="55"/>
      <c r="BY188" s="32"/>
      <c r="BZ188" s="54"/>
      <c r="CA188" s="21" t="str">
        <f>IFERROR(VLOOKUP(September[[#This Row],[Drug Name8]],'Data Options'!$R$1:$S$100,2,FALSE), " ")</f>
        <v xml:space="preserve"> </v>
      </c>
      <c r="CB188" s="55"/>
      <c r="CC188" s="32"/>
      <c r="CD188" s="32"/>
      <c r="CE188" s="55"/>
      <c r="CF188" s="32"/>
      <c r="CG188" s="54"/>
      <c r="CH188" s="21" t="str">
        <f>IFERROR(VLOOKUP(September[[#This Row],[Drug Name9]],'Data Options'!$R$1:$S$100,2,FALSE), " ")</f>
        <v xml:space="preserve"> </v>
      </c>
      <c r="CI188" s="55"/>
      <c r="CJ188" s="32"/>
      <c r="CK188" s="32"/>
      <c r="CL188" s="55"/>
      <c r="CM188" s="32"/>
    </row>
    <row r="189" spans="1:91">
      <c r="A189" s="5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/>
      <c r="P189" s="31"/>
      <c r="Q189" s="54"/>
      <c r="R189" s="21" t="str">
        <f>IFERROR(VLOOKUP(September[[#This Row],[Drug Name]],'Data Options'!$R$1:$S$100,2,FALSE), " ")</f>
        <v xml:space="preserve"> </v>
      </c>
      <c r="S189" s="55"/>
      <c r="T189" s="32"/>
      <c r="U189" s="32"/>
      <c r="V189" s="55"/>
      <c r="W189" s="32"/>
      <c r="X189" s="54"/>
      <c r="Y189" s="21" t="str">
        <f>IFERROR(VLOOKUP(September[[#This Row],[Drug Name2]],'Data Options'!$R$1:$S$100,2,FALSE), " ")</f>
        <v xml:space="preserve"> </v>
      </c>
      <c r="Z189" s="55"/>
      <c r="AA189" s="32"/>
      <c r="AB189" s="32"/>
      <c r="AC189" s="55"/>
      <c r="AD189" s="32"/>
      <c r="AE189" s="54"/>
      <c r="AF189" s="21" t="str">
        <f>IFERROR(VLOOKUP(September[[#This Row],[Drug Name3]],'Data Options'!$R$1:$S$100,2,FALSE), " ")</f>
        <v xml:space="preserve"> </v>
      </c>
      <c r="AG189" s="55"/>
      <c r="AH189" s="32"/>
      <c r="AI189" s="32"/>
      <c r="AJ189" s="55"/>
      <c r="AK189" s="32"/>
      <c r="AL189" s="32"/>
      <c r="AM189" s="32"/>
      <c r="AN189" s="32"/>
      <c r="AO189" s="32"/>
      <c r="AP189" s="31"/>
      <c r="AQ189" s="31"/>
      <c r="AR189" s="54"/>
      <c r="AS189" s="21" t="str">
        <f>IFERROR(VLOOKUP(September[[#This Row],[Drug Name4]],'Data Options'!$R$1:$S$100,2,FALSE), " ")</f>
        <v xml:space="preserve"> </v>
      </c>
      <c r="AT189" s="55"/>
      <c r="AU189" s="32"/>
      <c r="AV189" s="32"/>
      <c r="AW189" s="55"/>
      <c r="AX189" s="32"/>
      <c r="AY189" s="54"/>
      <c r="AZ189" s="21" t="str">
        <f>IFERROR(VLOOKUP(September[[#This Row],[Drug Name5]],'Data Options'!$R$1:$S$100,2,FALSE), " ")</f>
        <v xml:space="preserve"> </v>
      </c>
      <c r="BA189" s="55"/>
      <c r="BB189" s="32"/>
      <c r="BC189" s="32"/>
      <c r="BD189" s="55"/>
      <c r="BE189" s="32"/>
      <c r="BF189" s="54"/>
      <c r="BG189" s="21" t="str">
        <f>IFERROR(VLOOKUP(September[[#This Row],[Drug Name6]],'Data Options'!$R$1:$S$100,2,FALSE), " ")</f>
        <v xml:space="preserve"> </v>
      </c>
      <c r="BH189" s="55"/>
      <c r="BI189" s="32"/>
      <c r="BJ189" s="32"/>
      <c r="BK189" s="55"/>
      <c r="BL189" s="32"/>
      <c r="BM189" s="32"/>
      <c r="BN189" s="32"/>
      <c r="BO189" s="32"/>
      <c r="BP189" s="32"/>
      <c r="BQ189" s="31"/>
      <c r="BR189" s="31"/>
      <c r="BS189" s="54"/>
      <c r="BT189" s="21" t="str">
        <f>IFERROR(VLOOKUP(September[[#This Row],[Drug Name7]],'Data Options'!$R$1:$S$100,2,FALSE), " ")</f>
        <v xml:space="preserve"> </v>
      </c>
      <c r="BU189" s="55"/>
      <c r="BV189" s="32"/>
      <c r="BW189" s="32"/>
      <c r="BX189" s="55"/>
      <c r="BY189" s="32"/>
      <c r="BZ189" s="54"/>
      <c r="CA189" s="21" t="str">
        <f>IFERROR(VLOOKUP(September[[#This Row],[Drug Name8]],'Data Options'!$R$1:$S$100,2,FALSE), " ")</f>
        <v xml:space="preserve"> </v>
      </c>
      <c r="CB189" s="55"/>
      <c r="CC189" s="32"/>
      <c r="CD189" s="32"/>
      <c r="CE189" s="55"/>
      <c r="CF189" s="32"/>
      <c r="CG189" s="54"/>
      <c r="CH189" s="21" t="str">
        <f>IFERROR(VLOOKUP(September[[#This Row],[Drug Name9]],'Data Options'!$R$1:$S$100,2,FALSE), " ")</f>
        <v xml:space="preserve"> </v>
      </c>
      <c r="CI189" s="55"/>
      <c r="CJ189" s="32"/>
      <c r="CK189" s="32"/>
      <c r="CL189" s="55"/>
      <c r="CM189" s="32"/>
    </row>
    <row r="190" spans="1:91">
      <c r="A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54"/>
      <c r="R190" s="21" t="str">
        <f>IFERROR(VLOOKUP(September[[#This Row],[Drug Name]],'Data Options'!$R$1:$S$100,2,FALSE), " ")</f>
        <v xml:space="preserve"> </v>
      </c>
      <c r="S190" s="55"/>
      <c r="T190" s="32"/>
      <c r="U190" s="32"/>
      <c r="V190" s="55"/>
      <c r="W190" s="32"/>
      <c r="X190" s="54"/>
      <c r="Y190" s="21" t="str">
        <f>IFERROR(VLOOKUP(September[[#This Row],[Drug Name2]],'Data Options'!$R$1:$S$100,2,FALSE), " ")</f>
        <v xml:space="preserve"> </v>
      </c>
      <c r="Z190" s="55"/>
      <c r="AA190" s="32"/>
      <c r="AB190" s="32"/>
      <c r="AC190" s="55"/>
      <c r="AD190" s="32"/>
      <c r="AE190" s="54"/>
      <c r="AF190" s="21" t="str">
        <f>IFERROR(VLOOKUP(September[[#This Row],[Drug Name3]],'Data Options'!$R$1:$S$100,2,FALSE), " ")</f>
        <v xml:space="preserve"> </v>
      </c>
      <c r="AG190" s="55"/>
      <c r="AH190" s="32"/>
      <c r="AI190" s="32"/>
      <c r="AJ190" s="55"/>
      <c r="AK190" s="32"/>
      <c r="AL190" s="32"/>
      <c r="AM190" s="32"/>
      <c r="AN190" s="32"/>
      <c r="AO190" s="32"/>
      <c r="AP190" s="31"/>
      <c r="AQ190" s="31"/>
      <c r="AR190" s="54"/>
      <c r="AS190" s="21" t="str">
        <f>IFERROR(VLOOKUP(September[[#This Row],[Drug Name4]],'Data Options'!$R$1:$S$100,2,FALSE), " ")</f>
        <v xml:space="preserve"> </v>
      </c>
      <c r="AT190" s="55"/>
      <c r="AU190" s="32"/>
      <c r="AV190" s="32"/>
      <c r="AW190" s="55"/>
      <c r="AX190" s="32"/>
      <c r="AY190" s="54"/>
      <c r="AZ190" s="21" t="str">
        <f>IFERROR(VLOOKUP(September[[#This Row],[Drug Name5]],'Data Options'!$R$1:$S$100,2,FALSE), " ")</f>
        <v xml:space="preserve"> </v>
      </c>
      <c r="BA190" s="55"/>
      <c r="BB190" s="32"/>
      <c r="BC190" s="32"/>
      <c r="BD190" s="55"/>
      <c r="BE190" s="32"/>
      <c r="BF190" s="54"/>
      <c r="BG190" s="21" t="str">
        <f>IFERROR(VLOOKUP(September[[#This Row],[Drug Name6]],'Data Options'!$R$1:$S$100,2,FALSE), " ")</f>
        <v xml:space="preserve"> </v>
      </c>
      <c r="BH190" s="55"/>
      <c r="BI190" s="32"/>
      <c r="BJ190" s="32"/>
      <c r="BK190" s="55"/>
      <c r="BL190" s="32"/>
      <c r="BM190" s="32"/>
      <c r="BN190" s="32"/>
      <c r="BO190" s="32"/>
      <c r="BP190" s="32"/>
      <c r="BQ190" s="31"/>
      <c r="BR190" s="31"/>
      <c r="BS190" s="54"/>
      <c r="BT190" s="21" t="str">
        <f>IFERROR(VLOOKUP(September[[#This Row],[Drug Name7]],'Data Options'!$R$1:$S$100,2,FALSE), " ")</f>
        <v xml:space="preserve"> </v>
      </c>
      <c r="BU190" s="55"/>
      <c r="BV190" s="32"/>
      <c r="BW190" s="32"/>
      <c r="BX190" s="55"/>
      <c r="BY190" s="32"/>
      <c r="BZ190" s="54"/>
      <c r="CA190" s="21" t="str">
        <f>IFERROR(VLOOKUP(September[[#This Row],[Drug Name8]],'Data Options'!$R$1:$S$100,2,FALSE), " ")</f>
        <v xml:space="preserve"> </v>
      </c>
      <c r="CB190" s="55"/>
      <c r="CC190" s="32"/>
      <c r="CD190" s="32"/>
      <c r="CE190" s="55"/>
      <c r="CF190" s="32"/>
      <c r="CG190" s="54"/>
      <c r="CH190" s="21" t="str">
        <f>IFERROR(VLOOKUP(September[[#This Row],[Drug Name9]],'Data Options'!$R$1:$S$100,2,FALSE), " ")</f>
        <v xml:space="preserve"> </v>
      </c>
      <c r="CI190" s="55"/>
      <c r="CJ190" s="32"/>
      <c r="CK190" s="32"/>
      <c r="CL190" s="55"/>
      <c r="CM190" s="32"/>
    </row>
    <row r="191" spans="1:91">
      <c r="A191" s="5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1"/>
      <c r="P191" s="31"/>
      <c r="Q191" s="54"/>
      <c r="R191" s="21" t="str">
        <f>IFERROR(VLOOKUP(September[[#This Row],[Drug Name]],'Data Options'!$R$1:$S$100,2,FALSE), " ")</f>
        <v xml:space="preserve"> </v>
      </c>
      <c r="S191" s="55"/>
      <c r="T191" s="32"/>
      <c r="U191" s="32"/>
      <c r="V191" s="55"/>
      <c r="W191" s="32"/>
      <c r="X191" s="54"/>
      <c r="Y191" s="21" t="str">
        <f>IFERROR(VLOOKUP(September[[#This Row],[Drug Name2]],'Data Options'!$R$1:$S$100,2,FALSE), " ")</f>
        <v xml:space="preserve"> </v>
      </c>
      <c r="Z191" s="55"/>
      <c r="AA191" s="32"/>
      <c r="AB191" s="32"/>
      <c r="AC191" s="55"/>
      <c r="AD191" s="32"/>
      <c r="AE191" s="54"/>
      <c r="AF191" s="21" t="str">
        <f>IFERROR(VLOOKUP(September[[#This Row],[Drug Name3]],'Data Options'!$R$1:$S$100,2,FALSE), " ")</f>
        <v xml:space="preserve"> </v>
      </c>
      <c r="AG191" s="55"/>
      <c r="AH191" s="32"/>
      <c r="AI191" s="32"/>
      <c r="AJ191" s="55"/>
      <c r="AK191" s="32"/>
      <c r="AL191" s="32"/>
      <c r="AM191" s="32"/>
      <c r="AN191" s="32"/>
      <c r="AO191" s="32"/>
      <c r="AP191" s="31"/>
      <c r="AQ191" s="31"/>
      <c r="AR191" s="54"/>
      <c r="AS191" s="21" t="str">
        <f>IFERROR(VLOOKUP(September[[#This Row],[Drug Name4]],'Data Options'!$R$1:$S$100,2,FALSE), " ")</f>
        <v xml:space="preserve"> </v>
      </c>
      <c r="AT191" s="55"/>
      <c r="AU191" s="32"/>
      <c r="AV191" s="32"/>
      <c r="AW191" s="55"/>
      <c r="AX191" s="32"/>
      <c r="AY191" s="54"/>
      <c r="AZ191" s="21" t="str">
        <f>IFERROR(VLOOKUP(September[[#This Row],[Drug Name5]],'Data Options'!$R$1:$S$100,2,FALSE), " ")</f>
        <v xml:space="preserve"> </v>
      </c>
      <c r="BA191" s="55"/>
      <c r="BB191" s="32"/>
      <c r="BC191" s="32"/>
      <c r="BD191" s="55"/>
      <c r="BE191" s="32"/>
      <c r="BF191" s="54"/>
      <c r="BG191" s="21" t="str">
        <f>IFERROR(VLOOKUP(September[[#This Row],[Drug Name6]],'Data Options'!$R$1:$S$100,2,FALSE), " ")</f>
        <v xml:space="preserve"> </v>
      </c>
      <c r="BH191" s="55"/>
      <c r="BI191" s="32"/>
      <c r="BJ191" s="32"/>
      <c r="BK191" s="55"/>
      <c r="BL191" s="32"/>
      <c r="BM191" s="32"/>
      <c r="BN191" s="32"/>
      <c r="BO191" s="32"/>
      <c r="BP191" s="32"/>
      <c r="BQ191" s="31"/>
      <c r="BR191" s="31"/>
      <c r="BS191" s="54"/>
      <c r="BT191" s="21" t="str">
        <f>IFERROR(VLOOKUP(September[[#This Row],[Drug Name7]],'Data Options'!$R$1:$S$100,2,FALSE), " ")</f>
        <v xml:space="preserve"> </v>
      </c>
      <c r="BU191" s="55"/>
      <c r="BV191" s="32"/>
      <c r="BW191" s="32"/>
      <c r="BX191" s="55"/>
      <c r="BY191" s="32"/>
      <c r="BZ191" s="54"/>
      <c r="CA191" s="21" t="str">
        <f>IFERROR(VLOOKUP(September[[#This Row],[Drug Name8]],'Data Options'!$R$1:$S$100,2,FALSE), " ")</f>
        <v xml:space="preserve"> </v>
      </c>
      <c r="CB191" s="55"/>
      <c r="CC191" s="32"/>
      <c r="CD191" s="32"/>
      <c r="CE191" s="55"/>
      <c r="CF191" s="32"/>
      <c r="CG191" s="54"/>
      <c r="CH191" s="21" t="str">
        <f>IFERROR(VLOOKUP(September[[#This Row],[Drug Name9]],'Data Options'!$R$1:$S$100,2,FALSE), " ")</f>
        <v xml:space="preserve"> </v>
      </c>
      <c r="CI191" s="55"/>
      <c r="CJ191" s="32"/>
      <c r="CK191" s="32"/>
      <c r="CL191" s="55"/>
      <c r="CM191" s="32"/>
    </row>
    <row r="192" spans="1:91">
      <c r="A192" s="5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1"/>
      <c r="P192" s="31"/>
      <c r="Q192" s="54"/>
      <c r="R192" s="21" t="str">
        <f>IFERROR(VLOOKUP(September[[#This Row],[Drug Name]],'Data Options'!$R$1:$S$100,2,FALSE), " ")</f>
        <v xml:space="preserve"> </v>
      </c>
      <c r="S192" s="55"/>
      <c r="T192" s="32"/>
      <c r="U192" s="32"/>
      <c r="V192" s="55"/>
      <c r="W192" s="32"/>
      <c r="X192" s="54"/>
      <c r="Y192" s="21" t="str">
        <f>IFERROR(VLOOKUP(September[[#This Row],[Drug Name2]],'Data Options'!$R$1:$S$100,2,FALSE), " ")</f>
        <v xml:space="preserve"> </v>
      </c>
      <c r="Z192" s="55"/>
      <c r="AA192" s="32"/>
      <c r="AB192" s="32"/>
      <c r="AC192" s="55"/>
      <c r="AD192" s="32"/>
      <c r="AE192" s="54"/>
      <c r="AF192" s="21" t="str">
        <f>IFERROR(VLOOKUP(September[[#This Row],[Drug Name3]],'Data Options'!$R$1:$S$100,2,FALSE), " ")</f>
        <v xml:space="preserve"> </v>
      </c>
      <c r="AG192" s="55"/>
      <c r="AH192" s="32"/>
      <c r="AI192" s="32"/>
      <c r="AJ192" s="55"/>
      <c r="AK192" s="32"/>
      <c r="AL192" s="32"/>
      <c r="AM192" s="32"/>
      <c r="AN192" s="32"/>
      <c r="AO192" s="32"/>
      <c r="AP192" s="31"/>
      <c r="AQ192" s="31"/>
      <c r="AR192" s="54"/>
      <c r="AS192" s="21" t="str">
        <f>IFERROR(VLOOKUP(September[[#This Row],[Drug Name4]],'Data Options'!$R$1:$S$100,2,FALSE), " ")</f>
        <v xml:space="preserve"> </v>
      </c>
      <c r="AT192" s="55"/>
      <c r="AU192" s="32"/>
      <c r="AV192" s="32"/>
      <c r="AW192" s="55"/>
      <c r="AX192" s="32"/>
      <c r="AY192" s="54"/>
      <c r="AZ192" s="21" t="str">
        <f>IFERROR(VLOOKUP(September[[#This Row],[Drug Name5]],'Data Options'!$R$1:$S$100,2,FALSE), " ")</f>
        <v xml:space="preserve"> </v>
      </c>
      <c r="BA192" s="55"/>
      <c r="BB192" s="32"/>
      <c r="BC192" s="32"/>
      <c r="BD192" s="55"/>
      <c r="BE192" s="32"/>
      <c r="BF192" s="54"/>
      <c r="BG192" s="21" t="str">
        <f>IFERROR(VLOOKUP(September[[#This Row],[Drug Name6]],'Data Options'!$R$1:$S$100,2,FALSE), " ")</f>
        <v xml:space="preserve"> </v>
      </c>
      <c r="BH192" s="55"/>
      <c r="BI192" s="32"/>
      <c r="BJ192" s="32"/>
      <c r="BK192" s="55"/>
      <c r="BL192" s="32"/>
      <c r="BM192" s="32"/>
      <c r="BN192" s="32"/>
      <c r="BO192" s="32"/>
      <c r="BP192" s="32"/>
      <c r="BQ192" s="31"/>
      <c r="BR192" s="31"/>
      <c r="BS192" s="54"/>
      <c r="BT192" s="21" t="str">
        <f>IFERROR(VLOOKUP(September[[#This Row],[Drug Name7]],'Data Options'!$R$1:$S$100,2,FALSE), " ")</f>
        <v xml:space="preserve"> </v>
      </c>
      <c r="BU192" s="55"/>
      <c r="BV192" s="32"/>
      <c r="BW192" s="32"/>
      <c r="BX192" s="55"/>
      <c r="BY192" s="32"/>
      <c r="BZ192" s="54"/>
      <c r="CA192" s="21" t="str">
        <f>IFERROR(VLOOKUP(September[[#This Row],[Drug Name8]],'Data Options'!$R$1:$S$100,2,FALSE), " ")</f>
        <v xml:space="preserve"> </v>
      </c>
      <c r="CB192" s="55"/>
      <c r="CC192" s="32"/>
      <c r="CD192" s="32"/>
      <c r="CE192" s="55"/>
      <c r="CF192" s="32"/>
      <c r="CG192" s="54"/>
      <c r="CH192" s="21" t="str">
        <f>IFERROR(VLOOKUP(September[[#This Row],[Drug Name9]],'Data Options'!$R$1:$S$100,2,FALSE), " ")</f>
        <v xml:space="preserve"> </v>
      </c>
      <c r="CI192" s="55"/>
      <c r="CJ192" s="32"/>
      <c r="CK192" s="32"/>
      <c r="CL192" s="55"/>
      <c r="CM192" s="32"/>
    </row>
    <row r="193" spans="1:91">
      <c r="A193" s="5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1"/>
      <c r="P193" s="31"/>
      <c r="Q193" s="54"/>
      <c r="R193" s="21" t="str">
        <f>IFERROR(VLOOKUP(September[[#This Row],[Drug Name]],'Data Options'!$R$1:$S$100,2,FALSE), " ")</f>
        <v xml:space="preserve"> </v>
      </c>
      <c r="S193" s="55"/>
      <c r="T193" s="32"/>
      <c r="U193" s="32"/>
      <c r="V193" s="55"/>
      <c r="W193" s="32"/>
      <c r="X193" s="54"/>
      <c r="Y193" s="21" t="str">
        <f>IFERROR(VLOOKUP(September[[#This Row],[Drug Name2]],'Data Options'!$R$1:$S$100,2,FALSE), " ")</f>
        <v xml:space="preserve"> </v>
      </c>
      <c r="Z193" s="55"/>
      <c r="AA193" s="32"/>
      <c r="AB193" s="32"/>
      <c r="AC193" s="55"/>
      <c r="AD193" s="32"/>
      <c r="AE193" s="54"/>
      <c r="AF193" s="21" t="str">
        <f>IFERROR(VLOOKUP(September[[#This Row],[Drug Name3]],'Data Options'!$R$1:$S$100,2,FALSE), " ")</f>
        <v xml:space="preserve"> </v>
      </c>
      <c r="AG193" s="55"/>
      <c r="AH193" s="32"/>
      <c r="AI193" s="32"/>
      <c r="AJ193" s="55"/>
      <c r="AK193" s="32"/>
      <c r="AL193" s="32"/>
      <c r="AM193" s="32"/>
      <c r="AN193" s="32"/>
      <c r="AO193" s="32"/>
      <c r="AP193" s="31"/>
      <c r="AQ193" s="31"/>
      <c r="AR193" s="54"/>
      <c r="AS193" s="21" t="str">
        <f>IFERROR(VLOOKUP(September[[#This Row],[Drug Name4]],'Data Options'!$R$1:$S$100,2,FALSE), " ")</f>
        <v xml:space="preserve"> </v>
      </c>
      <c r="AT193" s="55"/>
      <c r="AU193" s="32"/>
      <c r="AV193" s="32"/>
      <c r="AW193" s="55"/>
      <c r="AX193" s="32"/>
      <c r="AY193" s="54"/>
      <c r="AZ193" s="21" t="str">
        <f>IFERROR(VLOOKUP(September[[#This Row],[Drug Name5]],'Data Options'!$R$1:$S$100,2,FALSE), " ")</f>
        <v xml:space="preserve"> </v>
      </c>
      <c r="BA193" s="55"/>
      <c r="BB193" s="32"/>
      <c r="BC193" s="32"/>
      <c r="BD193" s="55"/>
      <c r="BE193" s="32"/>
      <c r="BF193" s="54"/>
      <c r="BG193" s="21" t="str">
        <f>IFERROR(VLOOKUP(September[[#This Row],[Drug Name6]],'Data Options'!$R$1:$S$100,2,FALSE), " ")</f>
        <v xml:space="preserve"> </v>
      </c>
      <c r="BH193" s="55"/>
      <c r="BI193" s="32"/>
      <c r="BJ193" s="32"/>
      <c r="BK193" s="55"/>
      <c r="BL193" s="32"/>
      <c r="BM193" s="32"/>
      <c r="BN193" s="32"/>
      <c r="BO193" s="32"/>
      <c r="BP193" s="32"/>
      <c r="BQ193" s="31"/>
      <c r="BR193" s="31"/>
      <c r="BS193" s="54"/>
      <c r="BT193" s="21" t="str">
        <f>IFERROR(VLOOKUP(September[[#This Row],[Drug Name7]],'Data Options'!$R$1:$S$100,2,FALSE), " ")</f>
        <v xml:space="preserve"> </v>
      </c>
      <c r="BU193" s="55"/>
      <c r="BV193" s="32"/>
      <c r="BW193" s="32"/>
      <c r="BX193" s="55"/>
      <c r="BY193" s="32"/>
      <c r="BZ193" s="54"/>
      <c r="CA193" s="21" t="str">
        <f>IFERROR(VLOOKUP(September[[#This Row],[Drug Name8]],'Data Options'!$R$1:$S$100,2,FALSE), " ")</f>
        <v xml:space="preserve"> </v>
      </c>
      <c r="CB193" s="55"/>
      <c r="CC193" s="32"/>
      <c r="CD193" s="32"/>
      <c r="CE193" s="55"/>
      <c r="CF193" s="32"/>
      <c r="CG193" s="54"/>
      <c r="CH193" s="21" t="str">
        <f>IFERROR(VLOOKUP(September[[#This Row],[Drug Name9]],'Data Options'!$R$1:$S$100,2,FALSE), " ")</f>
        <v xml:space="preserve"> </v>
      </c>
      <c r="CI193" s="55"/>
      <c r="CJ193" s="32"/>
      <c r="CK193" s="32"/>
      <c r="CL193" s="55"/>
      <c r="CM193" s="32"/>
    </row>
    <row r="194" spans="1:91">
      <c r="A194" s="5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1"/>
      <c r="P194" s="31"/>
      <c r="Q194" s="54"/>
      <c r="R194" s="21" t="str">
        <f>IFERROR(VLOOKUP(September[[#This Row],[Drug Name]],'Data Options'!$R$1:$S$100,2,FALSE), " ")</f>
        <v xml:space="preserve"> </v>
      </c>
      <c r="S194" s="55"/>
      <c r="T194" s="32"/>
      <c r="U194" s="32"/>
      <c r="V194" s="55"/>
      <c r="W194" s="32"/>
      <c r="X194" s="54"/>
      <c r="Y194" s="21" t="str">
        <f>IFERROR(VLOOKUP(September[[#This Row],[Drug Name2]],'Data Options'!$R$1:$S$100,2,FALSE), " ")</f>
        <v xml:space="preserve"> </v>
      </c>
      <c r="Z194" s="55"/>
      <c r="AA194" s="32"/>
      <c r="AB194" s="32"/>
      <c r="AC194" s="55"/>
      <c r="AD194" s="32"/>
      <c r="AE194" s="54"/>
      <c r="AF194" s="21" t="str">
        <f>IFERROR(VLOOKUP(September[[#This Row],[Drug Name3]],'Data Options'!$R$1:$S$100,2,FALSE), " ")</f>
        <v xml:space="preserve"> </v>
      </c>
      <c r="AG194" s="55"/>
      <c r="AH194" s="32"/>
      <c r="AI194" s="32"/>
      <c r="AJ194" s="55"/>
      <c r="AK194" s="32"/>
      <c r="AL194" s="32"/>
      <c r="AM194" s="32"/>
      <c r="AN194" s="32"/>
      <c r="AO194" s="32"/>
      <c r="AP194" s="31"/>
      <c r="AQ194" s="31"/>
      <c r="AR194" s="54"/>
      <c r="AS194" s="21" t="str">
        <f>IFERROR(VLOOKUP(September[[#This Row],[Drug Name4]],'Data Options'!$R$1:$S$100,2,FALSE), " ")</f>
        <v xml:space="preserve"> </v>
      </c>
      <c r="AT194" s="55"/>
      <c r="AU194" s="32"/>
      <c r="AV194" s="32"/>
      <c r="AW194" s="55"/>
      <c r="AX194" s="32"/>
      <c r="AY194" s="54"/>
      <c r="AZ194" s="21" t="str">
        <f>IFERROR(VLOOKUP(September[[#This Row],[Drug Name5]],'Data Options'!$R$1:$S$100,2,FALSE), " ")</f>
        <v xml:space="preserve"> </v>
      </c>
      <c r="BA194" s="55"/>
      <c r="BB194" s="32"/>
      <c r="BC194" s="32"/>
      <c r="BD194" s="55"/>
      <c r="BE194" s="32"/>
      <c r="BF194" s="54"/>
      <c r="BG194" s="21" t="str">
        <f>IFERROR(VLOOKUP(September[[#This Row],[Drug Name6]],'Data Options'!$R$1:$S$100,2,FALSE), " ")</f>
        <v xml:space="preserve"> </v>
      </c>
      <c r="BH194" s="55"/>
      <c r="BI194" s="32"/>
      <c r="BJ194" s="32"/>
      <c r="BK194" s="55"/>
      <c r="BL194" s="32"/>
      <c r="BM194" s="32"/>
      <c r="BN194" s="32"/>
      <c r="BO194" s="32"/>
      <c r="BP194" s="32"/>
      <c r="BQ194" s="31"/>
      <c r="BR194" s="31"/>
      <c r="BS194" s="54"/>
      <c r="BT194" s="21" t="str">
        <f>IFERROR(VLOOKUP(September[[#This Row],[Drug Name7]],'Data Options'!$R$1:$S$100,2,FALSE), " ")</f>
        <v xml:space="preserve"> </v>
      </c>
      <c r="BU194" s="55"/>
      <c r="BV194" s="32"/>
      <c r="BW194" s="32"/>
      <c r="BX194" s="55"/>
      <c r="BY194" s="32"/>
      <c r="BZ194" s="54"/>
      <c r="CA194" s="21" t="str">
        <f>IFERROR(VLOOKUP(September[[#This Row],[Drug Name8]],'Data Options'!$R$1:$S$100,2,FALSE), " ")</f>
        <v xml:space="preserve"> </v>
      </c>
      <c r="CB194" s="55"/>
      <c r="CC194" s="32"/>
      <c r="CD194" s="32"/>
      <c r="CE194" s="55"/>
      <c r="CF194" s="32"/>
      <c r="CG194" s="54"/>
      <c r="CH194" s="21" t="str">
        <f>IFERROR(VLOOKUP(September[[#This Row],[Drug Name9]],'Data Options'!$R$1:$S$100,2,FALSE), " ")</f>
        <v xml:space="preserve"> </v>
      </c>
      <c r="CI194" s="55"/>
      <c r="CJ194" s="32"/>
      <c r="CK194" s="32"/>
      <c r="CL194" s="55"/>
      <c r="CM194" s="32"/>
    </row>
    <row r="195" spans="1:91">
      <c r="A195" s="5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1"/>
      <c r="P195" s="31"/>
      <c r="Q195" s="54"/>
      <c r="R195" s="21" t="str">
        <f>IFERROR(VLOOKUP(September[[#This Row],[Drug Name]],'Data Options'!$R$1:$S$100,2,FALSE), " ")</f>
        <v xml:space="preserve"> </v>
      </c>
      <c r="S195" s="55"/>
      <c r="T195" s="32"/>
      <c r="U195" s="32"/>
      <c r="V195" s="55"/>
      <c r="W195" s="32"/>
      <c r="X195" s="54"/>
      <c r="Y195" s="21" t="str">
        <f>IFERROR(VLOOKUP(September[[#This Row],[Drug Name2]],'Data Options'!$R$1:$S$100,2,FALSE), " ")</f>
        <v xml:space="preserve"> </v>
      </c>
      <c r="Z195" s="55"/>
      <c r="AA195" s="32"/>
      <c r="AB195" s="32"/>
      <c r="AC195" s="55"/>
      <c r="AD195" s="32"/>
      <c r="AE195" s="54"/>
      <c r="AF195" s="21" t="str">
        <f>IFERROR(VLOOKUP(September[[#This Row],[Drug Name3]],'Data Options'!$R$1:$S$100,2,FALSE), " ")</f>
        <v xml:space="preserve"> </v>
      </c>
      <c r="AG195" s="55"/>
      <c r="AH195" s="32"/>
      <c r="AI195" s="32"/>
      <c r="AJ195" s="55"/>
      <c r="AK195" s="32"/>
      <c r="AL195" s="32"/>
      <c r="AM195" s="32"/>
      <c r="AN195" s="32"/>
      <c r="AO195" s="32"/>
      <c r="AP195" s="31"/>
      <c r="AQ195" s="31"/>
      <c r="AR195" s="54"/>
      <c r="AS195" s="21" t="str">
        <f>IFERROR(VLOOKUP(September[[#This Row],[Drug Name4]],'Data Options'!$R$1:$S$100,2,FALSE), " ")</f>
        <v xml:space="preserve"> </v>
      </c>
      <c r="AT195" s="55"/>
      <c r="AU195" s="32"/>
      <c r="AV195" s="32"/>
      <c r="AW195" s="55"/>
      <c r="AX195" s="32"/>
      <c r="AY195" s="54"/>
      <c r="AZ195" s="21" t="str">
        <f>IFERROR(VLOOKUP(September[[#This Row],[Drug Name5]],'Data Options'!$R$1:$S$100,2,FALSE), " ")</f>
        <v xml:space="preserve"> </v>
      </c>
      <c r="BA195" s="55"/>
      <c r="BB195" s="32"/>
      <c r="BC195" s="32"/>
      <c r="BD195" s="55"/>
      <c r="BE195" s="32"/>
      <c r="BF195" s="54"/>
      <c r="BG195" s="21" t="str">
        <f>IFERROR(VLOOKUP(September[[#This Row],[Drug Name6]],'Data Options'!$R$1:$S$100,2,FALSE), " ")</f>
        <v xml:space="preserve"> </v>
      </c>
      <c r="BH195" s="55"/>
      <c r="BI195" s="32"/>
      <c r="BJ195" s="32"/>
      <c r="BK195" s="55"/>
      <c r="BL195" s="32"/>
      <c r="BM195" s="32"/>
      <c r="BN195" s="32"/>
      <c r="BO195" s="32"/>
      <c r="BP195" s="32"/>
      <c r="BQ195" s="31"/>
      <c r="BR195" s="31"/>
      <c r="BS195" s="54"/>
      <c r="BT195" s="21" t="str">
        <f>IFERROR(VLOOKUP(September[[#This Row],[Drug Name7]],'Data Options'!$R$1:$S$100,2,FALSE), " ")</f>
        <v xml:space="preserve"> </v>
      </c>
      <c r="BU195" s="55"/>
      <c r="BV195" s="32"/>
      <c r="BW195" s="32"/>
      <c r="BX195" s="55"/>
      <c r="BY195" s="32"/>
      <c r="BZ195" s="54"/>
      <c r="CA195" s="21" t="str">
        <f>IFERROR(VLOOKUP(September[[#This Row],[Drug Name8]],'Data Options'!$R$1:$S$100,2,FALSE), " ")</f>
        <v xml:space="preserve"> </v>
      </c>
      <c r="CB195" s="55"/>
      <c r="CC195" s="32"/>
      <c r="CD195" s="32"/>
      <c r="CE195" s="55"/>
      <c r="CF195" s="32"/>
      <c r="CG195" s="54"/>
      <c r="CH195" s="21" t="str">
        <f>IFERROR(VLOOKUP(September[[#This Row],[Drug Name9]],'Data Options'!$R$1:$S$100,2,FALSE), " ")</f>
        <v xml:space="preserve"> </v>
      </c>
      <c r="CI195" s="55"/>
      <c r="CJ195" s="32"/>
      <c r="CK195" s="32"/>
      <c r="CL195" s="55"/>
      <c r="CM195" s="32"/>
    </row>
    <row r="196" spans="1:91">
      <c r="A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1"/>
      <c r="P196" s="31"/>
      <c r="Q196" s="54"/>
      <c r="R196" s="21" t="str">
        <f>IFERROR(VLOOKUP(September[[#This Row],[Drug Name]],'Data Options'!$R$1:$S$100,2,FALSE), " ")</f>
        <v xml:space="preserve"> </v>
      </c>
      <c r="S196" s="55"/>
      <c r="T196" s="32"/>
      <c r="U196" s="32"/>
      <c r="V196" s="55"/>
      <c r="W196" s="32"/>
      <c r="X196" s="54"/>
      <c r="Y196" s="21" t="str">
        <f>IFERROR(VLOOKUP(September[[#This Row],[Drug Name2]],'Data Options'!$R$1:$S$100,2,FALSE), " ")</f>
        <v xml:space="preserve"> </v>
      </c>
      <c r="Z196" s="55"/>
      <c r="AA196" s="32"/>
      <c r="AB196" s="32"/>
      <c r="AC196" s="55"/>
      <c r="AD196" s="32"/>
      <c r="AE196" s="54"/>
      <c r="AF196" s="21" t="str">
        <f>IFERROR(VLOOKUP(September[[#This Row],[Drug Name3]],'Data Options'!$R$1:$S$100,2,FALSE), " ")</f>
        <v xml:space="preserve"> </v>
      </c>
      <c r="AG196" s="55"/>
      <c r="AH196" s="32"/>
      <c r="AI196" s="32"/>
      <c r="AJ196" s="55"/>
      <c r="AK196" s="32"/>
      <c r="AL196" s="32"/>
      <c r="AM196" s="32"/>
      <c r="AN196" s="32"/>
      <c r="AO196" s="32"/>
      <c r="AP196" s="31"/>
      <c r="AQ196" s="31"/>
      <c r="AR196" s="54"/>
      <c r="AS196" s="21" t="str">
        <f>IFERROR(VLOOKUP(September[[#This Row],[Drug Name4]],'Data Options'!$R$1:$S$100,2,FALSE), " ")</f>
        <v xml:space="preserve"> </v>
      </c>
      <c r="AT196" s="55"/>
      <c r="AU196" s="32"/>
      <c r="AV196" s="32"/>
      <c r="AW196" s="55"/>
      <c r="AX196" s="32"/>
      <c r="AY196" s="54"/>
      <c r="AZ196" s="21" t="str">
        <f>IFERROR(VLOOKUP(September[[#This Row],[Drug Name5]],'Data Options'!$R$1:$S$100,2,FALSE), " ")</f>
        <v xml:space="preserve"> </v>
      </c>
      <c r="BA196" s="55"/>
      <c r="BB196" s="32"/>
      <c r="BC196" s="32"/>
      <c r="BD196" s="55"/>
      <c r="BE196" s="32"/>
      <c r="BF196" s="54"/>
      <c r="BG196" s="21" t="str">
        <f>IFERROR(VLOOKUP(September[[#This Row],[Drug Name6]],'Data Options'!$R$1:$S$100,2,FALSE), " ")</f>
        <v xml:space="preserve"> </v>
      </c>
      <c r="BH196" s="55"/>
      <c r="BI196" s="32"/>
      <c r="BJ196" s="32"/>
      <c r="BK196" s="55"/>
      <c r="BL196" s="32"/>
      <c r="BM196" s="32"/>
      <c r="BN196" s="32"/>
      <c r="BO196" s="32"/>
      <c r="BP196" s="32"/>
      <c r="BQ196" s="31"/>
      <c r="BR196" s="31"/>
      <c r="BS196" s="54"/>
      <c r="BT196" s="21" t="str">
        <f>IFERROR(VLOOKUP(September[[#This Row],[Drug Name7]],'Data Options'!$R$1:$S$100,2,FALSE), " ")</f>
        <v xml:space="preserve"> </v>
      </c>
      <c r="BU196" s="55"/>
      <c r="BV196" s="32"/>
      <c r="BW196" s="32"/>
      <c r="BX196" s="55"/>
      <c r="BY196" s="32"/>
      <c r="BZ196" s="54"/>
      <c r="CA196" s="21" t="str">
        <f>IFERROR(VLOOKUP(September[[#This Row],[Drug Name8]],'Data Options'!$R$1:$S$100,2,FALSE), " ")</f>
        <v xml:space="preserve"> </v>
      </c>
      <c r="CB196" s="55"/>
      <c r="CC196" s="32"/>
      <c r="CD196" s="32"/>
      <c r="CE196" s="55"/>
      <c r="CF196" s="32"/>
      <c r="CG196" s="54"/>
      <c r="CH196" s="21" t="str">
        <f>IFERROR(VLOOKUP(September[[#This Row],[Drug Name9]],'Data Options'!$R$1:$S$100,2,FALSE), " ")</f>
        <v xml:space="preserve"> </v>
      </c>
      <c r="CI196" s="55"/>
      <c r="CJ196" s="32"/>
      <c r="CK196" s="32"/>
      <c r="CL196" s="55"/>
      <c r="CM196" s="32"/>
    </row>
    <row r="197" spans="1:91">
      <c r="A197" s="5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1"/>
      <c r="P197" s="31"/>
      <c r="Q197" s="54"/>
      <c r="R197" s="21" t="str">
        <f>IFERROR(VLOOKUP(September[[#This Row],[Drug Name]],'Data Options'!$R$1:$S$100,2,FALSE), " ")</f>
        <v xml:space="preserve"> </v>
      </c>
      <c r="S197" s="55"/>
      <c r="T197" s="32"/>
      <c r="U197" s="32"/>
      <c r="V197" s="55"/>
      <c r="W197" s="32"/>
      <c r="X197" s="54"/>
      <c r="Y197" s="21" t="str">
        <f>IFERROR(VLOOKUP(September[[#This Row],[Drug Name2]],'Data Options'!$R$1:$S$100,2,FALSE), " ")</f>
        <v xml:space="preserve"> </v>
      </c>
      <c r="Z197" s="55"/>
      <c r="AA197" s="32"/>
      <c r="AB197" s="32"/>
      <c r="AC197" s="55"/>
      <c r="AD197" s="32"/>
      <c r="AE197" s="54"/>
      <c r="AF197" s="21" t="str">
        <f>IFERROR(VLOOKUP(September[[#This Row],[Drug Name3]],'Data Options'!$R$1:$S$100,2,FALSE), " ")</f>
        <v xml:space="preserve"> </v>
      </c>
      <c r="AG197" s="55"/>
      <c r="AH197" s="32"/>
      <c r="AI197" s="32"/>
      <c r="AJ197" s="55"/>
      <c r="AK197" s="32"/>
      <c r="AL197" s="32"/>
      <c r="AM197" s="32"/>
      <c r="AN197" s="32"/>
      <c r="AO197" s="32"/>
      <c r="AP197" s="31"/>
      <c r="AQ197" s="31"/>
      <c r="AR197" s="54"/>
      <c r="AS197" s="21" t="str">
        <f>IFERROR(VLOOKUP(September[[#This Row],[Drug Name4]],'Data Options'!$R$1:$S$100,2,FALSE), " ")</f>
        <v xml:space="preserve"> </v>
      </c>
      <c r="AT197" s="55"/>
      <c r="AU197" s="32"/>
      <c r="AV197" s="32"/>
      <c r="AW197" s="55"/>
      <c r="AX197" s="32"/>
      <c r="AY197" s="54"/>
      <c r="AZ197" s="21" t="str">
        <f>IFERROR(VLOOKUP(September[[#This Row],[Drug Name5]],'Data Options'!$R$1:$S$100,2,FALSE), " ")</f>
        <v xml:space="preserve"> </v>
      </c>
      <c r="BA197" s="55"/>
      <c r="BB197" s="32"/>
      <c r="BC197" s="32"/>
      <c r="BD197" s="55"/>
      <c r="BE197" s="32"/>
      <c r="BF197" s="54"/>
      <c r="BG197" s="21" t="str">
        <f>IFERROR(VLOOKUP(September[[#This Row],[Drug Name6]],'Data Options'!$R$1:$S$100,2,FALSE), " ")</f>
        <v xml:space="preserve"> </v>
      </c>
      <c r="BH197" s="55"/>
      <c r="BI197" s="32"/>
      <c r="BJ197" s="32"/>
      <c r="BK197" s="55"/>
      <c r="BL197" s="32"/>
      <c r="BM197" s="32"/>
      <c r="BN197" s="32"/>
      <c r="BO197" s="32"/>
      <c r="BP197" s="32"/>
      <c r="BQ197" s="31"/>
      <c r="BR197" s="31"/>
      <c r="BS197" s="54"/>
      <c r="BT197" s="21" t="str">
        <f>IFERROR(VLOOKUP(September[[#This Row],[Drug Name7]],'Data Options'!$R$1:$S$100,2,FALSE), " ")</f>
        <v xml:space="preserve"> </v>
      </c>
      <c r="BU197" s="55"/>
      <c r="BV197" s="32"/>
      <c r="BW197" s="32"/>
      <c r="BX197" s="55"/>
      <c r="BY197" s="32"/>
      <c r="BZ197" s="54"/>
      <c r="CA197" s="21" t="str">
        <f>IFERROR(VLOOKUP(September[[#This Row],[Drug Name8]],'Data Options'!$R$1:$S$100,2,FALSE), " ")</f>
        <v xml:space="preserve"> </v>
      </c>
      <c r="CB197" s="55"/>
      <c r="CC197" s="32"/>
      <c r="CD197" s="32"/>
      <c r="CE197" s="55"/>
      <c r="CF197" s="32"/>
      <c r="CG197" s="54"/>
      <c r="CH197" s="21" t="str">
        <f>IFERROR(VLOOKUP(September[[#This Row],[Drug Name9]],'Data Options'!$R$1:$S$100,2,FALSE), " ")</f>
        <v xml:space="preserve"> </v>
      </c>
      <c r="CI197" s="55"/>
      <c r="CJ197" s="32"/>
      <c r="CK197" s="32"/>
      <c r="CL197" s="55"/>
      <c r="CM197" s="32"/>
    </row>
    <row r="198" spans="1:91">
      <c r="A198" s="5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1"/>
      <c r="P198" s="31"/>
      <c r="Q198" s="54"/>
      <c r="R198" s="21" t="str">
        <f>IFERROR(VLOOKUP(September[[#This Row],[Drug Name]],'Data Options'!$R$1:$S$100,2,FALSE), " ")</f>
        <v xml:space="preserve"> </v>
      </c>
      <c r="S198" s="55"/>
      <c r="T198" s="32"/>
      <c r="U198" s="32"/>
      <c r="V198" s="55"/>
      <c r="W198" s="32"/>
      <c r="X198" s="54"/>
      <c r="Y198" s="21" t="str">
        <f>IFERROR(VLOOKUP(September[[#This Row],[Drug Name2]],'Data Options'!$R$1:$S$100,2,FALSE), " ")</f>
        <v xml:space="preserve"> </v>
      </c>
      <c r="Z198" s="55"/>
      <c r="AA198" s="32"/>
      <c r="AB198" s="32"/>
      <c r="AC198" s="55"/>
      <c r="AD198" s="32"/>
      <c r="AE198" s="54"/>
      <c r="AF198" s="21" t="str">
        <f>IFERROR(VLOOKUP(September[[#This Row],[Drug Name3]],'Data Options'!$R$1:$S$100,2,FALSE), " ")</f>
        <v xml:space="preserve"> </v>
      </c>
      <c r="AG198" s="55"/>
      <c r="AH198" s="32"/>
      <c r="AI198" s="32"/>
      <c r="AJ198" s="55"/>
      <c r="AK198" s="32"/>
      <c r="AL198" s="32"/>
      <c r="AM198" s="32"/>
      <c r="AN198" s="32"/>
      <c r="AO198" s="32"/>
      <c r="AP198" s="31"/>
      <c r="AQ198" s="31"/>
      <c r="AR198" s="54"/>
      <c r="AS198" s="21" t="str">
        <f>IFERROR(VLOOKUP(September[[#This Row],[Drug Name4]],'Data Options'!$R$1:$S$100,2,FALSE), " ")</f>
        <v xml:space="preserve"> </v>
      </c>
      <c r="AT198" s="55"/>
      <c r="AU198" s="32"/>
      <c r="AV198" s="32"/>
      <c r="AW198" s="55"/>
      <c r="AX198" s="32"/>
      <c r="AY198" s="54"/>
      <c r="AZ198" s="21" t="str">
        <f>IFERROR(VLOOKUP(September[[#This Row],[Drug Name5]],'Data Options'!$R$1:$S$100,2,FALSE), " ")</f>
        <v xml:space="preserve"> </v>
      </c>
      <c r="BA198" s="55"/>
      <c r="BB198" s="32"/>
      <c r="BC198" s="32"/>
      <c r="BD198" s="55"/>
      <c r="BE198" s="32"/>
      <c r="BF198" s="54"/>
      <c r="BG198" s="21" t="str">
        <f>IFERROR(VLOOKUP(September[[#This Row],[Drug Name6]],'Data Options'!$R$1:$S$100,2,FALSE), " ")</f>
        <v xml:space="preserve"> </v>
      </c>
      <c r="BH198" s="55"/>
      <c r="BI198" s="32"/>
      <c r="BJ198" s="32"/>
      <c r="BK198" s="55"/>
      <c r="BL198" s="32"/>
      <c r="BM198" s="32"/>
      <c r="BN198" s="32"/>
      <c r="BO198" s="32"/>
      <c r="BP198" s="32"/>
      <c r="BQ198" s="31"/>
      <c r="BR198" s="31"/>
      <c r="BS198" s="54"/>
      <c r="BT198" s="21" t="str">
        <f>IFERROR(VLOOKUP(September[[#This Row],[Drug Name7]],'Data Options'!$R$1:$S$100,2,FALSE), " ")</f>
        <v xml:space="preserve"> </v>
      </c>
      <c r="BU198" s="55"/>
      <c r="BV198" s="32"/>
      <c r="BW198" s="32"/>
      <c r="BX198" s="55"/>
      <c r="BY198" s="32"/>
      <c r="BZ198" s="54"/>
      <c r="CA198" s="21" t="str">
        <f>IFERROR(VLOOKUP(September[[#This Row],[Drug Name8]],'Data Options'!$R$1:$S$100,2,FALSE), " ")</f>
        <v xml:space="preserve"> </v>
      </c>
      <c r="CB198" s="55"/>
      <c r="CC198" s="32"/>
      <c r="CD198" s="32"/>
      <c r="CE198" s="55"/>
      <c r="CF198" s="32"/>
      <c r="CG198" s="54"/>
      <c r="CH198" s="21" t="str">
        <f>IFERROR(VLOOKUP(September[[#This Row],[Drug Name9]],'Data Options'!$R$1:$S$100,2,FALSE), " ")</f>
        <v xml:space="preserve"> </v>
      </c>
      <c r="CI198" s="55"/>
      <c r="CJ198" s="32"/>
      <c r="CK198" s="32"/>
      <c r="CL198" s="55"/>
      <c r="CM198" s="32"/>
    </row>
    <row r="199" spans="1:91">
      <c r="A199" s="5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1"/>
      <c r="P199" s="31"/>
      <c r="Q199" s="54"/>
      <c r="R199" s="21" t="str">
        <f>IFERROR(VLOOKUP(September[[#This Row],[Drug Name]],'Data Options'!$R$1:$S$100,2,FALSE), " ")</f>
        <v xml:space="preserve"> </v>
      </c>
      <c r="S199" s="55"/>
      <c r="T199" s="32"/>
      <c r="U199" s="32"/>
      <c r="V199" s="55"/>
      <c r="W199" s="32"/>
      <c r="X199" s="54"/>
      <c r="Y199" s="21" t="str">
        <f>IFERROR(VLOOKUP(September[[#This Row],[Drug Name2]],'Data Options'!$R$1:$S$100,2,FALSE), " ")</f>
        <v xml:space="preserve"> </v>
      </c>
      <c r="Z199" s="55"/>
      <c r="AA199" s="32"/>
      <c r="AB199" s="32"/>
      <c r="AC199" s="55"/>
      <c r="AD199" s="32"/>
      <c r="AE199" s="54"/>
      <c r="AF199" s="21" t="str">
        <f>IFERROR(VLOOKUP(September[[#This Row],[Drug Name3]],'Data Options'!$R$1:$S$100,2,FALSE), " ")</f>
        <v xml:space="preserve"> </v>
      </c>
      <c r="AG199" s="55"/>
      <c r="AH199" s="32"/>
      <c r="AI199" s="32"/>
      <c r="AJ199" s="55"/>
      <c r="AK199" s="32"/>
      <c r="AL199" s="32"/>
      <c r="AM199" s="32"/>
      <c r="AN199" s="32"/>
      <c r="AO199" s="32"/>
      <c r="AP199" s="31"/>
      <c r="AQ199" s="31"/>
      <c r="AR199" s="54"/>
      <c r="AS199" s="21" t="str">
        <f>IFERROR(VLOOKUP(September[[#This Row],[Drug Name4]],'Data Options'!$R$1:$S$100,2,FALSE), " ")</f>
        <v xml:space="preserve"> </v>
      </c>
      <c r="AT199" s="55"/>
      <c r="AU199" s="32"/>
      <c r="AV199" s="32"/>
      <c r="AW199" s="55"/>
      <c r="AX199" s="32"/>
      <c r="AY199" s="54"/>
      <c r="AZ199" s="21" t="str">
        <f>IFERROR(VLOOKUP(September[[#This Row],[Drug Name5]],'Data Options'!$R$1:$S$100,2,FALSE), " ")</f>
        <v xml:space="preserve"> </v>
      </c>
      <c r="BA199" s="55"/>
      <c r="BB199" s="32"/>
      <c r="BC199" s="32"/>
      <c r="BD199" s="55"/>
      <c r="BE199" s="32"/>
      <c r="BF199" s="54"/>
      <c r="BG199" s="21" t="str">
        <f>IFERROR(VLOOKUP(September[[#This Row],[Drug Name6]],'Data Options'!$R$1:$S$100,2,FALSE), " ")</f>
        <v xml:space="preserve"> </v>
      </c>
      <c r="BH199" s="55"/>
      <c r="BI199" s="32"/>
      <c r="BJ199" s="32"/>
      <c r="BK199" s="55"/>
      <c r="BL199" s="32"/>
      <c r="BM199" s="32"/>
      <c r="BN199" s="32"/>
      <c r="BO199" s="32"/>
      <c r="BP199" s="32"/>
      <c r="BQ199" s="31"/>
      <c r="BR199" s="31"/>
      <c r="BS199" s="54"/>
      <c r="BT199" s="21" t="str">
        <f>IFERROR(VLOOKUP(September[[#This Row],[Drug Name7]],'Data Options'!$R$1:$S$100,2,FALSE), " ")</f>
        <v xml:space="preserve"> </v>
      </c>
      <c r="BU199" s="55"/>
      <c r="BV199" s="32"/>
      <c r="BW199" s="32"/>
      <c r="BX199" s="55"/>
      <c r="BY199" s="32"/>
      <c r="BZ199" s="54"/>
      <c r="CA199" s="21" t="str">
        <f>IFERROR(VLOOKUP(September[[#This Row],[Drug Name8]],'Data Options'!$R$1:$S$100,2,FALSE), " ")</f>
        <v xml:space="preserve"> </v>
      </c>
      <c r="CB199" s="55"/>
      <c r="CC199" s="32"/>
      <c r="CD199" s="32"/>
      <c r="CE199" s="55"/>
      <c r="CF199" s="32"/>
      <c r="CG199" s="54"/>
      <c r="CH199" s="21" t="str">
        <f>IFERROR(VLOOKUP(September[[#This Row],[Drug Name9]],'Data Options'!$R$1:$S$100,2,FALSE), " ")</f>
        <v xml:space="preserve"> </v>
      </c>
      <c r="CI199" s="55"/>
      <c r="CJ199" s="32"/>
      <c r="CK199" s="32"/>
      <c r="CL199" s="55"/>
      <c r="CM199" s="32"/>
    </row>
    <row r="200" spans="1:91">
      <c r="A200" s="5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1"/>
      <c r="P200" s="31"/>
      <c r="Q200" s="54"/>
      <c r="R200" s="21" t="str">
        <f>IFERROR(VLOOKUP(September[[#This Row],[Drug Name]],'Data Options'!$R$1:$S$100,2,FALSE), " ")</f>
        <v xml:space="preserve"> </v>
      </c>
      <c r="S200" s="55"/>
      <c r="T200" s="32"/>
      <c r="U200" s="32"/>
      <c r="V200" s="55"/>
      <c r="W200" s="32"/>
      <c r="X200" s="54"/>
      <c r="Y200" s="21" t="str">
        <f>IFERROR(VLOOKUP(September[[#This Row],[Drug Name2]],'Data Options'!$R$1:$S$100,2,FALSE), " ")</f>
        <v xml:space="preserve"> </v>
      </c>
      <c r="Z200" s="55"/>
      <c r="AA200" s="32"/>
      <c r="AB200" s="32"/>
      <c r="AC200" s="55"/>
      <c r="AD200" s="32"/>
      <c r="AE200" s="54"/>
      <c r="AF200" s="21" t="str">
        <f>IFERROR(VLOOKUP(September[[#This Row],[Drug Name3]],'Data Options'!$R$1:$S$100,2,FALSE), " ")</f>
        <v xml:space="preserve"> </v>
      </c>
      <c r="AG200" s="55"/>
      <c r="AH200" s="32"/>
      <c r="AI200" s="32"/>
      <c r="AJ200" s="55"/>
      <c r="AK200" s="32"/>
      <c r="AL200" s="32"/>
      <c r="AM200" s="32"/>
      <c r="AN200" s="32"/>
      <c r="AO200" s="32"/>
      <c r="AP200" s="31"/>
      <c r="AQ200" s="31"/>
      <c r="AR200" s="54"/>
      <c r="AS200" s="21" t="str">
        <f>IFERROR(VLOOKUP(September[[#This Row],[Drug Name4]],'Data Options'!$R$1:$S$100,2,FALSE), " ")</f>
        <v xml:space="preserve"> </v>
      </c>
      <c r="AT200" s="55"/>
      <c r="AU200" s="32"/>
      <c r="AV200" s="32"/>
      <c r="AW200" s="55"/>
      <c r="AX200" s="32"/>
      <c r="AY200" s="54"/>
      <c r="AZ200" s="21" t="str">
        <f>IFERROR(VLOOKUP(September[[#This Row],[Drug Name5]],'Data Options'!$R$1:$S$100,2,FALSE), " ")</f>
        <v xml:space="preserve"> </v>
      </c>
      <c r="BA200" s="55"/>
      <c r="BB200" s="32"/>
      <c r="BC200" s="32"/>
      <c r="BD200" s="55"/>
      <c r="BE200" s="32"/>
      <c r="BF200" s="54"/>
      <c r="BG200" s="21" t="str">
        <f>IFERROR(VLOOKUP(September[[#This Row],[Drug Name6]],'Data Options'!$R$1:$S$100,2,FALSE), " ")</f>
        <v xml:space="preserve"> </v>
      </c>
      <c r="BH200" s="55"/>
      <c r="BI200" s="32"/>
      <c r="BJ200" s="32"/>
      <c r="BK200" s="55"/>
      <c r="BL200" s="32"/>
      <c r="BM200" s="32"/>
      <c r="BN200" s="32"/>
      <c r="BO200" s="32"/>
      <c r="BP200" s="32"/>
      <c r="BQ200" s="31"/>
      <c r="BR200" s="31"/>
      <c r="BS200" s="54"/>
      <c r="BT200" s="21" t="str">
        <f>IFERROR(VLOOKUP(September[[#This Row],[Drug Name7]],'Data Options'!$R$1:$S$100,2,FALSE), " ")</f>
        <v xml:space="preserve"> </v>
      </c>
      <c r="BU200" s="55"/>
      <c r="BV200" s="32"/>
      <c r="BW200" s="32"/>
      <c r="BX200" s="55"/>
      <c r="BY200" s="32"/>
      <c r="BZ200" s="54"/>
      <c r="CA200" s="21" t="str">
        <f>IFERROR(VLOOKUP(September[[#This Row],[Drug Name8]],'Data Options'!$R$1:$S$100,2,FALSE), " ")</f>
        <v xml:space="preserve"> </v>
      </c>
      <c r="CB200" s="55"/>
      <c r="CC200" s="32"/>
      <c r="CD200" s="32"/>
      <c r="CE200" s="55"/>
      <c r="CF200" s="32"/>
      <c r="CG200" s="54"/>
      <c r="CH200" s="21" t="str">
        <f>IFERROR(VLOOKUP(September[[#This Row],[Drug Name9]],'Data Options'!$R$1:$S$100,2,FALSE), " ")</f>
        <v xml:space="preserve"> </v>
      </c>
      <c r="CI200" s="55"/>
      <c r="CJ200" s="32"/>
      <c r="CK200" s="32"/>
      <c r="CL200" s="55"/>
      <c r="CM200" s="32"/>
    </row>
    <row r="201" spans="1:91">
      <c r="A201" s="5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1"/>
      <c r="P201" s="31"/>
      <c r="Q201" s="54"/>
      <c r="R201" s="21" t="str">
        <f>IFERROR(VLOOKUP(September[[#This Row],[Drug Name]],'Data Options'!$R$1:$S$100,2,FALSE), " ")</f>
        <v xml:space="preserve"> </v>
      </c>
      <c r="S201" s="55"/>
      <c r="T201" s="32"/>
      <c r="U201" s="32"/>
      <c r="V201" s="55"/>
      <c r="W201" s="32"/>
      <c r="X201" s="54"/>
      <c r="Y201" s="21" t="str">
        <f>IFERROR(VLOOKUP(September[[#This Row],[Drug Name2]],'Data Options'!$R$1:$S$100,2,FALSE), " ")</f>
        <v xml:space="preserve"> </v>
      </c>
      <c r="Z201" s="55"/>
      <c r="AA201" s="32"/>
      <c r="AB201" s="32"/>
      <c r="AC201" s="55"/>
      <c r="AD201" s="32"/>
      <c r="AE201" s="54"/>
      <c r="AF201" s="21" t="str">
        <f>IFERROR(VLOOKUP(September[[#This Row],[Drug Name3]],'Data Options'!$R$1:$S$100,2,FALSE), " ")</f>
        <v xml:space="preserve"> </v>
      </c>
      <c r="AG201" s="55"/>
      <c r="AH201" s="32"/>
      <c r="AI201" s="32"/>
      <c r="AJ201" s="55"/>
      <c r="AK201" s="32"/>
      <c r="AL201" s="32"/>
      <c r="AM201" s="32"/>
      <c r="AN201" s="32"/>
      <c r="AO201" s="32"/>
      <c r="AP201" s="31"/>
      <c r="AQ201" s="31"/>
      <c r="AR201" s="54"/>
      <c r="AS201" s="21" t="str">
        <f>IFERROR(VLOOKUP(September[[#This Row],[Drug Name4]],'Data Options'!$R$1:$S$100,2,FALSE), " ")</f>
        <v xml:space="preserve"> </v>
      </c>
      <c r="AT201" s="55"/>
      <c r="AU201" s="32"/>
      <c r="AV201" s="32"/>
      <c r="AW201" s="55"/>
      <c r="AX201" s="32"/>
      <c r="AY201" s="54"/>
      <c r="AZ201" s="21" t="str">
        <f>IFERROR(VLOOKUP(September[[#This Row],[Drug Name5]],'Data Options'!$R$1:$S$100,2,FALSE), " ")</f>
        <v xml:space="preserve"> </v>
      </c>
      <c r="BA201" s="55"/>
      <c r="BB201" s="32"/>
      <c r="BC201" s="32"/>
      <c r="BD201" s="55"/>
      <c r="BE201" s="32"/>
      <c r="BF201" s="54"/>
      <c r="BG201" s="21" t="str">
        <f>IFERROR(VLOOKUP(September[[#This Row],[Drug Name6]],'Data Options'!$R$1:$S$100,2,FALSE), " ")</f>
        <v xml:space="preserve"> </v>
      </c>
      <c r="BH201" s="55"/>
      <c r="BI201" s="32"/>
      <c r="BJ201" s="32"/>
      <c r="BK201" s="55"/>
      <c r="BL201" s="32"/>
      <c r="BM201" s="32"/>
      <c r="BN201" s="32"/>
      <c r="BO201" s="32"/>
      <c r="BP201" s="32"/>
      <c r="BQ201" s="31"/>
      <c r="BR201" s="31"/>
      <c r="BS201" s="54"/>
      <c r="BT201" s="21" t="str">
        <f>IFERROR(VLOOKUP(September[[#This Row],[Drug Name7]],'Data Options'!$R$1:$S$100,2,FALSE), " ")</f>
        <v xml:space="preserve"> </v>
      </c>
      <c r="BU201" s="55"/>
      <c r="BV201" s="32"/>
      <c r="BW201" s="32"/>
      <c r="BX201" s="55"/>
      <c r="BY201" s="32"/>
      <c r="BZ201" s="54"/>
      <c r="CA201" s="21" t="str">
        <f>IFERROR(VLOOKUP(September[[#This Row],[Drug Name8]],'Data Options'!$R$1:$S$100,2,FALSE), " ")</f>
        <v xml:space="preserve"> </v>
      </c>
      <c r="CB201" s="55"/>
      <c r="CC201" s="32"/>
      <c r="CD201" s="32"/>
      <c r="CE201" s="55"/>
      <c r="CF201" s="32"/>
      <c r="CG201" s="54"/>
      <c r="CH201" s="21" t="str">
        <f>IFERROR(VLOOKUP(September[[#This Row],[Drug Name9]],'Data Options'!$R$1:$S$100,2,FALSE), " ")</f>
        <v xml:space="preserve"> </v>
      </c>
      <c r="CI201" s="55"/>
      <c r="CJ201" s="32"/>
      <c r="CK201" s="32"/>
      <c r="CL201" s="55"/>
      <c r="CM201" s="32"/>
    </row>
    <row r="202" spans="1:91">
      <c r="A202" s="24" t="s">
        <v>239</v>
      </c>
      <c r="X202" s="54"/>
      <c r="Z202" s="32"/>
      <c r="AA202" s="32"/>
      <c r="AB202" s="32"/>
      <c r="AC202" s="32"/>
      <c r="AD202" s="32"/>
      <c r="AE202" s="54"/>
      <c r="AG202" s="32"/>
      <c r="AH202" s="32"/>
      <c r="AI202" s="32"/>
      <c r="AJ202" s="32"/>
      <c r="AK202" s="32"/>
      <c r="AL202" s="32"/>
      <c r="AN202" s="32"/>
      <c r="AO202" s="32"/>
      <c r="AP202" s="31"/>
      <c r="AQ202" s="31"/>
      <c r="AR202" s="54"/>
      <c r="AT202" s="32"/>
      <c r="AU202" s="32"/>
      <c r="AV202" s="32"/>
      <c r="AW202" s="32"/>
      <c r="AX202" s="32"/>
      <c r="AY202" s="54"/>
      <c r="BA202" s="32"/>
      <c r="BB202" s="32"/>
      <c r="BC202" s="32"/>
      <c r="BD202" s="32"/>
      <c r="BE202" s="32"/>
      <c r="BF202" s="54"/>
      <c r="BH202" s="32"/>
      <c r="BI202" s="32"/>
      <c r="BJ202" s="32"/>
      <c r="BK202" s="32"/>
      <c r="BL202" s="32"/>
      <c r="BM202" s="32"/>
      <c r="BO202" s="32"/>
      <c r="BP202" s="32"/>
      <c r="BQ202" s="31"/>
      <c r="BR202" s="31"/>
      <c r="BS202" s="54"/>
      <c r="BU202" s="32"/>
      <c r="BV202" s="32"/>
      <c r="BW202" s="32"/>
      <c r="BX202" s="32"/>
      <c r="BY202" s="32"/>
      <c r="BZ202" s="54"/>
      <c r="CB202" s="32"/>
      <c r="CC202" s="32"/>
      <c r="CD202" s="32"/>
      <c r="CE202" s="32"/>
      <c r="CF202" s="32"/>
      <c r="CG202" s="54"/>
      <c r="CI202" s="32"/>
      <c r="CJ202" s="32"/>
      <c r="CK202" s="32"/>
      <c r="CL202" s="32"/>
      <c r="CM202" s="40">
        <f>SUBTOTAL(103,September[Location Filled9])</f>
        <v>0</v>
      </c>
    </row>
  </sheetData>
  <sheetProtection algorithmName="SHA-512" hashValue="+zHnvu+UPelzo+Zyl9lqrijWLJcUs1TQrVPCMwOQ3kiPKbp5CyUyxCMaek6NmvglJZYdhiuMId3GmD1wVTmJfA==" saltValue="Sh++e5+kj6D68A2PtpLsjQ==" spinCount="100000" sheet="1" objects="1" scenarios="1"/>
  <mergeCells count="13">
    <mergeCell ref="AR2:AX2"/>
    <mergeCell ref="BS2:BY2"/>
    <mergeCell ref="BZ2:CF2"/>
    <mergeCell ref="CG2:CM2"/>
    <mergeCell ref="AL1:AQ2"/>
    <mergeCell ref="BM1:BR2"/>
    <mergeCell ref="BF2:BL2"/>
    <mergeCell ref="A1:J2"/>
    <mergeCell ref="K1:AF1"/>
    <mergeCell ref="K2:P2"/>
    <mergeCell ref="Q2:V2"/>
    <mergeCell ref="X2:AD2"/>
    <mergeCell ref="AE2:AK2"/>
  </mergeCells>
  <dataValidations count="19">
    <dataValidation type="list" allowBlank="1" showInputMessage="1" showErrorMessage="1" sqref="D4:D201">
      <formula1>INDIRECT("Species")</formula1>
    </dataValidation>
    <dataValidation type="list" allowBlank="1" showInputMessage="1" showErrorMessage="1" sqref="E4:E201">
      <formula1>INDIRECT("Sex")</formula1>
    </dataValidation>
    <dataValidation type="list" allowBlank="1" showInputMessage="1" showErrorMessage="1" sqref="F4:F201">
      <formula1>INDIRECT("Age")</formula1>
    </dataValidation>
    <dataValidation type="list" allowBlank="1" showInputMessage="1" showErrorMessage="1" sqref="G4:G201">
      <formula1>INDIRECT("Visit_Reason")</formula1>
    </dataValidation>
    <dataValidation type="list" allowBlank="1" showInputMessage="1" showErrorMessage="1" sqref="I4:I201">
      <formula1>INDIRECT("ABX_YN")</formula1>
    </dataValidation>
    <dataValidation type="list" allowBlank="1" showInputMessage="1" showErrorMessage="1" sqref="K4:K201 AL4:AL201 BM4:BM201">
      <formula1>INDIRECT("Disease_Type")</formula1>
    </dataValidation>
    <dataValidation type="list" allowBlank="1" showInputMessage="1" showErrorMessage="1" sqref="M4:M201 AN4:AN201 BO4:BO201">
      <formula1>INDIRECT("Disease_Descrip")</formula1>
    </dataValidation>
    <dataValidation type="list" allowBlank="1" showInputMessage="1" showErrorMessage="1" sqref="N4:N201 AO4:AO201 BP4:BP201">
      <formula1>INDIRECT("Dz_Abx_Num")</formula1>
    </dataValidation>
    <dataValidation type="list" allowBlank="1" showInputMessage="1" showErrorMessage="1" sqref="O4:O201 AP4:AP201 BQ4:BQ201">
      <formula1>INDIRECT("Diagnostics_Offer_YN")</formula1>
    </dataValidation>
    <dataValidation type="list" allowBlank="1" showInputMessage="1" showErrorMessage="1" sqref="P4:P201 AQ4:AQ201 BR4:BR201">
      <formula1>INDIRECT("Diagnostics_Performed_YN")</formula1>
    </dataValidation>
    <dataValidation type="list" allowBlank="1" showInputMessage="1" showErrorMessage="1" sqref="Q4:Q201 X4:X201 AE4:AE201 AR4:AR201 AY4:AY201 BF4:BF201 BS4:BS201 BZ4:BZ201 CG4:CG201">
      <formula1>INDIRECT("Drug_Name")</formula1>
    </dataValidation>
    <dataValidation type="list" allowBlank="1" showInputMessage="1" showErrorMessage="1" sqref="T4:T201 AA4:AA201 AH4:AH201 AU4:AU201 BB4:BB201 BI4:BI201 BV4:BV201 CC4:CC201 CJ4:CJ201">
      <formula1>INDIRECT("Abx_Freq")</formula1>
    </dataValidation>
    <dataValidation type="list" allowBlank="1" showInputMessage="1" showErrorMessage="1" sqref="U4:U201 AB4:AB201 AI4:AI201 AV4:AV201 BC4:BC201 BJ4:BJ201 BW4:BW201 CD4:CD201 CK4:CK201">
      <formula1>INDIRECT("Abx_Route")</formula1>
    </dataValidation>
    <dataValidation type="list" allowBlank="1" showInputMessage="1" showErrorMessage="1" sqref="W4:W201 AD4:AD201 AK4:AK201 AX4:AX201 BE4:BE201 BL4:BL201 BY4:BY201 CF4:CF201 CM4:CM201">
      <formula1>INDIRECT("Prescription_Type")</formula1>
    </dataValidation>
    <dataValidation allowBlank="1" showInputMessage="1" showErrorMessage="1" prompt="Only type here IF Reason for Visit is Other " sqref="H5:H201"/>
    <dataValidation type="whole" allowBlank="1" showInputMessage="1" showErrorMessage="1" promptTitle="Total Number of Antibiotics" prompt="This should include ALL antibiotics prescribed to this patient during this visit for ALL conditions. " sqref="J4:J201">
      <formula1>0</formula1>
      <formula2>9</formula2>
    </dataValidation>
    <dataValidation allowBlank="1" showInputMessage="1" showErrorMessage="1" prompt="Only type in this column IF Disease/Infection Type is Other" sqref="L4:L201 AM4:AM201 BN4:BN201"/>
    <dataValidation allowBlank="1" showInputMessage="1" showErrorMessage="1" prompt="Only type in this column IF Reason for Visit is Other " sqref="H4"/>
    <dataValidation type="decimal" allowBlank="1" showInputMessage="1" showErrorMessage="1" sqref="S4:S201 Z4:Z201 V4:V201 AC4:AC201 AG4:AG201 AJ4:AJ201 AT4:AT201 AW4:AW201 BD4:BD201 BA4:BA201 BH4:BH201 BK4:BK201 BU4:BU201 BX4:BX201 CB4:CB201 CE4:CE201 CI4:CI201 CL4:CL201">
      <formula1>0</formula1>
      <formula2>5000</formula2>
    </dataValidation>
  </dataValidation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02"/>
  <sheetViews>
    <sheetView workbookViewId="0">
      <pane ySplit="3" topLeftCell="A4" activePane="bottomLeft" state="frozen"/>
      <selection pane="bottomLeft" activeCell="A4" sqref="A4"/>
    </sheetView>
  </sheetViews>
  <sheetFormatPr defaultColWidth="10.83203125" defaultRowHeight="15.5"/>
  <cols>
    <col min="1" max="16384" width="10.83203125" style="24"/>
  </cols>
  <sheetData>
    <row r="1" spans="1:91" ht="21">
      <c r="A1" s="60" t="s">
        <v>103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43"/>
      <c r="AH1" s="43"/>
      <c r="AI1" s="43"/>
      <c r="AJ1" s="43"/>
      <c r="AK1" s="43"/>
      <c r="AL1" s="70" t="s">
        <v>154</v>
      </c>
      <c r="AM1" s="70"/>
      <c r="AN1" s="70"/>
      <c r="AO1" s="70"/>
      <c r="AP1" s="70"/>
      <c r="AQ1" s="70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5"/>
      <c r="BI1" s="45"/>
      <c r="BJ1" s="45"/>
      <c r="BK1" s="45"/>
      <c r="BL1" s="45"/>
      <c r="BM1" s="71" t="s">
        <v>156</v>
      </c>
      <c r="BN1" s="71"/>
      <c r="BO1" s="71"/>
      <c r="BP1" s="71"/>
      <c r="BQ1" s="71"/>
      <c r="BR1" s="71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7"/>
      <c r="CJ1" s="47"/>
      <c r="CK1" s="47"/>
      <c r="CL1" s="47"/>
      <c r="CM1" s="47"/>
    </row>
    <row r="2" spans="1:91" ht="21">
      <c r="A2" s="60"/>
      <c r="B2" s="60"/>
      <c r="C2" s="60"/>
      <c r="D2" s="60"/>
      <c r="E2" s="60"/>
      <c r="F2" s="60"/>
      <c r="G2" s="60"/>
      <c r="H2" s="60"/>
      <c r="I2" s="60"/>
      <c r="J2" s="60"/>
      <c r="K2" s="62" t="s">
        <v>153</v>
      </c>
      <c r="L2" s="62"/>
      <c r="M2" s="62"/>
      <c r="N2" s="62"/>
      <c r="O2" s="62"/>
      <c r="P2" s="62"/>
      <c r="Q2" s="63" t="s">
        <v>104</v>
      </c>
      <c r="R2" s="63"/>
      <c r="S2" s="63"/>
      <c r="T2" s="63"/>
      <c r="U2" s="63"/>
      <c r="V2" s="63"/>
      <c r="W2" s="48"/>
      <c r="X2" s="64" t="s">
        <v>105</v>
      </c>
      <c r="Y2" s="64"/>
      <c r="Z2" s="64"/>
      <c r="AA2" s="64"/>
      <c r="AB2" s="64"/>
      <c r="AC2" s="64"/>
      <c r="AD2" s="64"/>
      <c r="AE2" s="65" t="s">
        <v>106</v>
      </c>
      <c r="AF2" s="65"/>
      <c r="AG2" s="65"/>
      <c r="AH2" s="65"/>
      <c r="AI2" s="65"/>
      <c r="AJ2" s="65"/>
      <c r="AK2" s="65"/>
      <c r="AL2" s="70"/>
      <c r="AM2" s="70"/>
      <c r="AN2" s="70"/>
      <c r="AO2" s="70"/>
      <c r="AP2" s="70"/>
      <c r="AQ2" s="70"/>
      <c r="AR2" s="66" t="s">
        <v>107</v>
      </c>
      <c r="AS2" s="66"/>
      <c r="AT2" s="66"/>
      <c r="AU2" s="66"/>
      <c r="AV2" s="66"/>
      <c r="AW2" s="66"/>
      <c r="AX2" s="66"/>
      <c r="AY2" s="49" t="s">
        <v>216</v>
      </c>
      <c r="AZ2" s="49"/>
      <c r="BA2" s="49"/>
      <c r="BB2" s="49"/>
      <c r="BC2" s="49"/>
      <c r="BD2" s="49"/>
      <c r="BE2" s="49"/>
      <c r="BF2" s="69" t="s">
        <v>155</v>
      </c>
      <c r="BG2" s="69"/>
      <c r="BH2" s="69"/>
      <c r="BI2" s="69"/>
      <c r="BJ2" s="69"/>
      <c r="BK2" s="69"/>
      <c r="BL2" s="69"/>
      <c r="BM2" s="71"/>
      <c r="BN2" s="71"/>
      <c r="BO2" s="71"/>
      <c r="BP2" s="71"/>
      <c r="BQ2" s="71"/>
      <c r="BR2" s="71"/>
      <c r="BS2" s="67" t="s">
        <v>109</v>
      </c>
      <c r="BT2" s="67"/>
      <c r="BU2" s="67"/>
      <c r="BV2" s="67"/>
      <c r="BW2" s="67"/>
      <c r="BX2" s="67"/>
      <c r="BY2" s="67"/>
      <c r="BZ2" s="68" t="s">
        <v>110</v>
      </c>
      <c r="CA2" s="68"/>
      <c r="CB2" s="68"/>
      <c r="CC2" s="68"/>
      <c r="CD2" s="68"/>
      <c r="CE2" s="68"/>
      <c r="CF2" s="68"/>
      <c r="CG2" s="69" t="s">
        <v>108</v>
      </c>
      <c r="CH2" s="69"/>
      <c r="CI2" s="69"/>
      <c r="CJ2" s="69"/>
      <c r="CK2" s="69"/>
      <c r="CL2" s="69"/>
      <c r="CM2" s="69"/>
    </row>
    <row r="3" spans="1:91" ht="93.5" thickBot="1">
      <c r="A3" s="50" t="s">
        <v>4</v>
      </c>
      <c r="B3" s="50" t="s">
        <v>217</v>
      </c>
      <c r="C3" s="50" t="s">
        <v>5</v>
      </c>
      <c r="D3" s="50" t="s">
        <v>6</v>
      </c>
      <c r="E3" s="50" t="s">
        <v>0</v>
      </c>
      <c r="F3" s="50" t="s">
        <v>111</v>
      </c>
      <c r="G3" s="50" t="s">
        <v>1</v>
      </c>
      <c r="H3" s="50" t="s">
        <v>150</v>
      </c>
      <c r="I3" s="50" t="s">
        <v>218</v>
      </c>
      <c r="J3" s="50" t="s">
        <v>214</v>
      </c>
      <c r="K3" s="50" t="s">
        <v>82</v>
      </c>
      <c r="L3" s="50" t="s">
        <v>215</v>
      </c>
      <c r="M3" s="50" t="s">
        <v>83</v>
      </c>
      <c r="N3" s="50" t="s">
        <v>211</v>
      </c>
      <c r="O3" s="50" t="s">
        <v>212</v>
      </c>
      <c r="P3" s="50" t="s">
        <v>213</v>
      </c>
      <c r="Q3" s="51" t="s">
        <v>8</v>
      </c>
      <c r="R3" s="51" t="s">
        <v>3</v>
      </c>
      <c r="S3" s="50" t="s">
        <v>84</v>
      </c>
      <c r="T3" s="50" t="s">
        <v>65</v>
      </c>
      <c r="U3" s="50" t="s">
        <v>85</v>
      </c>
      <c r="V3" s="50" t="s">
        <v>9</v>
      </c>
      <c r="W3" s="50" t="s">
        <v>219</v>
      </c>
      <c r="X3" s="51" t="s">
        <v>157</v>
      </c>
      <c r="Y3" s="51" t="s">
        <v>164</v>
      </c>
      <c r="Z3" s="50" t="s">
        <v>163</v>
      </c>
      <c r="AA3" s="50" t="s">
        <v>166</v>
      </c>
      <c r="AB3" s="50" t="s">
        <v>167</v>
      </c>
      <c r="AC3" s="50" t="s">
        <v>171</v>
      </c>
      <c r="AD3" s="50" t="s">
        <v>220</v>
      </c>
      <c r="AE3" s="51" t="s">
        <v>168</v>
      </c>
      <c r="AF3" s="51" t="s">
        <v>158</v>
      </c>
      <c r="AG3" s="50" t="s">
        <v>169</v>
      </c>
      <c r="AH3" s="50" t="s">
        <v>165</v>
      </c>
      <c r="AI3" s="50" t="s">
        <v>170</v>
      </c>
      <c r="AJ3" s="50" t="s">
        <v>172</v>
      </c>
      <c r="AK3" s="50" t="s">
        <v>221</v>
      </c>
      <c r="AL3" s="50" t="s">
        <v>173</v>
      </c>
      <c r="AM3" s="50" t="s">
        <v>222</v>
      </c>
      <c r="AN3" s="50" t="s">
        <v>174</v>
      </c>
      <c r="AO3" s="50" t="s">
        <v>175</v>
      </c>
      <c r="AP3" s="50" t="s">
        <v>223</v>
      </c>
      <c r="AQ3" s="50" t="s">
        <v>224</v>
      </c>
      <c r="AR3" s="51" t="s">
        <v>176</v>
      </c>
      <c r="AS3" s="51" t="s">
        <v>177</v>
      </c>
      <c r="AT3" s="50" t="s">
        <v>159</v>
      </c>
      <c r="AU3" s="50" t="s">
        <v>178</v>
      </c>
      <c r="AV3" s="50" t="s">
        <v>179</v>
      </c>
      <c r="AW3" s="50" t="s">
        <v>180</v>
      </c>
      <c r="AX3" s="50" t="s">
        <v>225</v>
      </c>
      <c r="AY3" s="51" t="s">
        <v>181</v>
      </c>
      <c r="AZ3" s="51" t="s">
        <v>182</v>
      </c>
      <c r="BA3" s="50" t="s">
        <v>183</v>
      </c>
      <c r="BB3" s="50" t="s">
        <v>160</v>
      </c>
      <c r="BC3" s="50" t="s">
        <v>184</v>
      </c>
      <c r="BD3" s="50" t="s">
        <v>185</v>
      </c>
      <c r="BE3" s="50" t="s">
        <v>226</v>
      </c>
      <c r="BF3" s="51" t="s">
        <v>186</v>
      </c>
      <c r="BG3" s="51" t="s">
        <v>187</v>
      </c>
      <c r="BH3" s="50" t="s">
        <v>188</v>
      </c>
      <c r="BI3" s="50" t="s">
        <v>189</v>
      </c>
      <c r="BJ3" s="50" t="s">
        <v>161</v>
      </c>
      <c r="BK3" s="50" t="s">
        <v>190</v>
      </c>
      <c r="BL3" s="50" t="s">
        <v>227</v>
      </c>
      <c r="BM3" s="50" t="s">
        <v>191</v>
      </c>
      <c r="BN3" s="50" t="s">
        <v>233</v>
      </c>
      <c r="BO3" s="50" t="s">
        <v>192</v>
      </c>
      <c r="BP3" s="50" t="s">
        <v>193</v>
      </c>
      <c r="BQ3" s="50" t="s">
        <v>228</v>
      </c>
      <c r="BR3" s="50" t="s">
        <v>229</v>
      </c>
      <c r="BS3" s="50" t="s">
        <v>194</v>
      </c>
      <c r="BT3" s="50" t="s">
        <v>195</v>
      </c>
      <c r="BU3" s="50" t="s">
        <v>196</v>
      </c>
      <c r="BV3" s="50" t="s">
        <v>197</v>
      </c>
      <c r="BW3" s="50" t="s">
        <v>198</v>
      </c>
      <c r="BX3" s="50" t="s">
        <v>162</v>
      </c>
      <c r="BY3" s="50" t="s">
        <v>230</v>
      </c>
      <c r="BZ3" s="50" t="s">
        <v>199</v>
      </c>
      <c r="CA3" s="50" t="s">
        <v>200</v>
      </c>
      <c r="CB3" s="50" t="s">
        <v>201</v>
      </c>
      <c r="CC3" s="50" t="s">
        <v>202</v>
      </c>
      <c r="CD3" s="50" t="s">
        <v>203</v>
      </c>
      <c r="CE3" s="50" t="s">
        <v>204</v>
      </c>
      <c r="CF3" s="50" t="s">
        <v>231</v>
      </c>
      <c r="CG3" s="50" t="s">
        <v>205</v>
      </c>
      <c r="CH3" s="50" t="s">
        <v>206</v>
      </c>
      <c r="CI3" s="50" t="s">
        <v>207</v>
      </c>
      <c r="CJ3" s="50" t="s">
        <v>208</v>
      </c>
      <c r="CK3" s="50" t="s">
        <v>209</v>
      </c>
      <c r="CL3" s="50" t="s">
        <v>210</v>
      </c>
      <c r="CM3" s="50" t="s">
        <v>232</v>
      </c>
    </row>
    <row r="4" spans="1:91">
      <c r="A4" s="52"/>
      <c r="B4" s="5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1"/>
      <c r="P4" s="31"/>
      <c r="Q4" s="54"/>
      <c r="R4" s="21" t="str">
        <f>IFERROR(VLOOKUP(October[[#This Row],[Drug Name]],'Data Options'!$R$1:$S$100,2,FALSE), " ")</f>
        <v xml:space="preserve"> </v>
      </c>
      <c r="S4" s="55"/>
      <c r="T4" s="32"/>
      <c r="U4" s="32"/>
      <c r="V4" s="55"/>
      <c r="W4" s="32"/>
      <c r="X4" s="54"/>
      <c r="Y4" s="21" t="str">
        <f>IFERROR(VLOOKUP(October[[#This Row],[Drug Name2]],'Data Options'!$R$1:$S$100,2,FALSE), " ")</f>
        <v xml:space="preserve"> </v>
      </c>
      <c r="Z4" s="55"/>
      <c r="AA4" s="32"/>
      <c r="AB4" s="32"/>
      <c r="AC4" s="55"/>
      <c r="AD4" s="32"/>
      <c r="AE4" s="54"/>
      <c r="AF4" s="21" t="str">
        <f>IFERROR(VLOOKUP(October[[#This Row],[Drug Name3]],'Data Options'!$R$1:$S$100,2,FALSE), " ")</f>
        <v xml:space="preserve"> </v>
      </c>
      <c r="AG4" s="55"/>
      <c r="AH4" s="32"/>
      <c r="AI4" s="32"/>
      <c r="AJ4" s="55"/>
      <c r="AK4" s="32"/>
      <c r="AL4" s="32"/>
      <c r="AM4" s="32"/>
      <c r="AN4" s="32"/>
      <c r="AO4" s="32"/>
      <c r="AP4" s="31"/>
      <c r="AQ4" s="31"/>
      <c r="AR4" s="54"/>
      <c r="AS4" s="21" t="str">
        <f>IFERROR(VLOOKUP(October[[#This Row],[Drug Name4]],'Data Options'!$R$1:$S$100,2,FALSE), " ")</f>
        <v xml:space="preserve"> </v>
      </c>
      <c r="AT4" s="55"/>
      <c r="AU4" s="32"/>
      <c r="AV4" s="32"/>
      <c r="AW4" s="55"/>
      <c r="AX4" s="32"/>
      <c r="AY4" s="54"/>
      <c r="AZ4" s="21" t="str">
        <f>IFERROR(VLOOKUP(October[[#This Row],[Drug Name5]],'Data Options'!$R$1:$S$100,2,FALSE), " ")</f>
        <v xml:space="preserve"> </v>
      </c>
      <c r="BA4" s="55"/>
      <c r="BB4" s="32"/>
      <c r="BC4" s="32"/>
      <c r="BD4" s="55"/>
      <c r="BE4" s="32"/>
      <c r="BF4" s="54"/>
      <c r="BG4" s="21" t="str">
        <f>IFERROR(VLOOKUP(October[[#This Row],[Drug Name6]],'Data Options'!$R$1:$S$100,2,FALSE), " ")</f>
        <v xml:space="preserve"> </v>
      </c>
      <c r="BH4" s="55"/>
      <c r="BI4" s="32"/>
      <c r="BJ4" s="32"/>
      <c r="BK4" s="55"/>
      <c r="BL4" s="32"/>
      <c r="BM4" s="32"/>
      <c r="BN4" s="32"/>
      <c r="BO4" s="32"/>
      <c r="BP4" s="32"/>
      <c r="BQ4" s="31"/>
      <c r="BR4" s="31"/>
      <c r="BS4" s="54"/>
      <c r="BT4" s="21" t="str">
        <f>IFERROR(VLOOKUP(October[[#This Row],[Drug Name7]],'Data Options'!$R$1:$S$100,2,FALSE), " ")</f>
        <v xml:space="preserve"> </v>
      </c>
      <c r="BU4" s="55"/>
      <c r="BV4" s="32"/>
      <c r="BW4" s="32"/>
      <c r="BX4" s="55"/>
      <c r="BY4" s="32"/>
      <c r="BZ4" s="54"/>
      <c r="CA4" s="21" t="str">
        <f>IFERROR(VLOOKUP(October[[#This Row],[Drug Name8]],'Data Options'!$R$1:$S$100,2,FALSE), " ")</f>
        <v xml:space="preserve"> </v>
      </c>
      <c r="CB4" s="55"/>
      <c r="CC4" s="32"/>
      <c r="CD4" s="32"/>
      <c r="CE4" s="55"/>
      <c r="CF4" s="32"/>
      <c r="CG4" s="54"/>
      <c r="CH4" s="21" t="str">
        <f>IFERROR(VLOOKUP(October[[#This Row],[Drug Name9]],'Data Options'!$R$1:$S$100,2,FALSE), " ")</f>
        <v xml:space="preserve"> </v>
      </c>
      <c r="CI4" s="55"/>
      <c r="CJ4" s="32"/>
      <c r="CK4" s="32"/>
      <c r="CL4" s="55"/>
      <c r="CM4" s="32"/>
    </row>
    <row r="5" spans="1:91">
      <c r="A5" s="5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1"/>
      <c r="P5" s="31"/>
      <c r="Q5" s="54"/>
      <c r="R5" s="21" t="str">
        <f>IFERROR(VLOOKUP(October[[#This Row],[Drug Name]],'Data Options'!$R$1:$S$100,2,FALSE), " ")</f>
        <v xml:space="preserve"> </v>
      </c>
      <c r="S5" s="55"/>
      <c r="T5" s="32"/>
      <c r="U5" s="32"/>
      <c r="V5" s="55"/>
      <c r="W5" s="32"/>
      <c r="X5" s="54"/>
      <c r="Y5" s="21" t="str">
        <f>IFERROR(VLOOKUP(October[[#This Row],[Drug Name2]],'Data Options'!$R$1:$S$100,2,FALSE), " ")</f>
        <v xml:space="preserve"> </v>
      </c>
      <c r="Z5" s="55"/>
      <c r="AA5" s="32"/>
      <c r="AB5" s="32"/>
      <c r="AC5" s="55"/>
      <c r="AD5" s="32"/>
      <c r="AE5" s="54"/>
      <c r="AF5" s="21" t="str">
        <f>IFERROR(VLOOKUP(October[[#This Row],[Drug Name3]],'Data Options'!$R$1:$S$100,2,FALSE), " ")</f>
        <v xml:space="preserve"> </v>
      </c>
      <c r="AG5" s="55"/>
      <c r="AH5" s="32"/>
      <c r="AI5" s="32"/>
      <c r="AJ5" s="55"/>
      <c r="AK5" s="32"/>
      <c r="AL5" s="32"/>
      <c r="AM5" s="32"/>
      <c r="AN5" s="32"/>
      <c r="AO5" s="32"/>
      <c r="AP5" s="31"/>
      <c r="AQ5" s="31"/>
      <c r="AR5" s="54"/>
      <c r="AS5" s="21" t="str">
        <f>IFERROR(VLOOKUP(October[[#This Row],[Drug Name4]],'Data Options'!$R$1:$S$100,2,FALSE), " ")</f>
        <v xml:space="preserve"> </v>
      </c>
      <c r="AT5" s="55"/>
      <c r="AU5" s="32"/>
      <c r="AV5" s="32"/>
      <c r="AW5" s="55"/>
      <c r="AX5" s="32"/>
      <c r="AY5" s="54"/>
      <c r="AZ5" s="21" t="str">
        <f>IFERROR(VLOOKUP(October[[#This Row],[Drug Name5]],'Data Options'!$R$1:$S$100,2,FALSE), " ")</f>
        <v xml:space="preserve"> </v>
      </c>
      <c r="BA5" s="55"/>
      <c r="BB5" s="32"/>
      <c r="BC5" s="32"/>
      <c r="BD5" s="55"/>
      <c r="BE5" s="32"/>
      <c r="BF5" s="54"/>
      <c r="BG5" s="21" t="str">
        <f>IFERROR(VLOOKUP(October[[#This Row],[Drug Name6]],'Data Options'!$R$1:$S$100,2,FALSE), " ")</f>
        <v xml:space="preserve"> </v>
      </c>
      <c r="BH5" s="55"/>
      <c r="BI5" s="32"/>
      <c r="BJ5" s="32"/>
      <c r="BK5" s="55"/>
      <c r="BL5" s="32"/>
      <c r="BM5" s="32"/>
      <c r="BN5" s="32"/>
      <c r="BO5" s="32"/>
      <c r="BP5" s="32"/>
      <c r="BQ5" s="31"/>
      <c r="BR5" s="31"/>
      <c r="BS5" s="54"/>
      <c r="BT5" s="21" t="str">
        <f>IFERROR(VLOOKUP(October[[#This Row],[Drug Name7]],'Data Options'!$R$1:$S$100,2,FALSE), " ")</f>
        <v xml:space="preserve"> </v>
      </c>
      <c r="BU5" s="55"/>
      <c r="BV5" s="32"/>
      <c r="BW5" s="32"/>
      <c r="BX5" s="55"/>
      <c r="BY5" s="32"/>
      <c r="BZ5" s="54"/>
      <c r="CA5" s="21" t="str">
        <f>IFERROR(VLOOKUP(October[[#This Row],[Drug Name8]],'Data Options'!$R$1:$S$100,2,FALSE), " ")</f>
        <v xml:space="preserve"> </v>
      </c>
      <c r="CB5" s="55"/>
      <c r="CC5" s="32"/>
      <c r="CD5" s="32"/>
      <c r="CE5" s="55"/>
      <c r="CF5" s="32"/>
      <c r="CG5" s="54"/>
      <c r="CH5" s="21" t="str">
        <f>IFERROR(VLOOKUP(October[[#This Row],[Drug Name9]],'Data Options'!$R$1:$S$100,2,FALSE), " ")</f>
        <v xml:space="preserve"> </v>
      </c>
      <c r="CI5" s="55"/>
      <c r="CJ5" s="32"/>
      <c r="CK5" s="32"/>
      <c r="CL5" s="55"/>
      <c r="CM5" s="32"/>
    </row>
    <row r="6" spans="1:91">
      <c r="A6" s="5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1"/>
      <c r="P6" s="31"/>
      <c r="Q6" s="54"/>
      <c r="R6" s="21" t="str">
        <f>IFERROR(VLOOKUP(October[[#This Row],[Drug Name]],'Data Options'!$R$1:$S$100,2,FALSE), " ")</f>
        <v xml:space="preserve"> </v>
      </c>
      <c r="S6" s="55"/>
      <c r="T6" s="32"/>
      <c r="U6" s="32"/>
      <c r="V6" s="55"/>
      <c r="W6" s="32"/>
      <c r="X6" s="54"/>
      <c r="Y6" s="21" t="str">
        <f>IFERROR(VLOOKUP(October[[#This Row],[Drug Name2]],'Data Options'!$R$1:$S$100,2,FALSE), " ")</f>
        <v xml:space="preserve"> </v>
      </c>
      <c r="Z6" s="55"/>
      <c r="AA6" s="32"/>
      <c r="AB6" s="32"/>
      <c r="AC6" s="55"/>
      <c r="AD6" s="32"/>
      <c r="AE6" s="54"/>
      <c r="AF6" s="21" t="str">
        <f>IFERROR(VLOOKUP(October[[#This Row],[Drug Name3]],'Data Options'!$R$1:$S$100,2,FALSE), " ")</f>
        <v xml:space="preserve"> </v>
      </c>
      <c r="AG6" s="55"/>
      <c r="AH6" s="32"/>
      <c r="AI6" s="32"/>
      <c r="AJ6" s="55"/>
      <c r="AK6" s="32"/>
      <c r="AL6" s="32"/>
      <c r="AM6" s="32"/>
      <c r="AN6" s="32"/>
      <c r="AO6" s="32"/>
      <c r="AP6" s="31"/>
      <c r="AQ6" s="31"/>
      <c r="AR6" s="54"/>
      <c r="AS6" s="21" t="str">
        <f>IFERROR(VLOOKUP(October[[#This Row],[Drug Name4]],'Data Options'!$R$1:$S$100,2,FALSE), " ")</f>
        <v xml:space="preserve"> </v>
      </c>
      <c r="AT6" s="55"/>
      <c r="AU6" s="32"/>
      <c r="AV6" s="32"/>
      <c r="AW6" s="55"/>
      <c r="AX6" s="32"/>
      <c r="AY6" s="54"/>
      <c r="AZ6" s="21" t="str">
        <f>IFERROR(VLOOKUP(October[[#This Row],[Drug Name5]],'Data Options'!$R$1:$S$100,2,FALSE), " ")</f>
        <v xml:space="preserve"> </v>
      </c>
      <c r="BA6" s="55"/>
      <c r="BB6" s="32"/>
      <c r="BC6" s="32"/>
      <c r="BD6" s="55"/>
      <c r="BE6" s="32"/>
      <c r="BF6" s="54"/>
      <c r="BG6" s="21" t="str">
        <f>IFERROR(VLOOKUP(October[[#This Row],[Drug Name6]],'Data Options'!$R$1:$S$100,2,FALSE), " ")</f>
        <v xml:space="preserve"> </v>
      </c>
      <c r="BH6" s="55"/>
      <c r="BI6" s="32"/>
      <c r="BJ6" s="32"/>
      <c r="BK6" s="55"/>
      <c r="BL6" s="32"/>
      <c r="BM6" s="32"/>
      <c r="BN6" s="32"/>
      <c r="BO6" s="32"/>
      <c r="BP6" s="32"/>
      <c r="BQ6" s="31"/>
      <c r="BR6" s="31"/>
      <c r="BS6" s="54"/>
      <c r="BT6" s="21" t="str">
        <f>IFERROR(VLOOKUP(October[[#This Row],[Drug Name7]],'Data Options'!$R$1:$S$100,2,FALSE), " ")</f>
        <v xml:space="preserve"> </v>
      </c>
      <c r="BU6" s="55"/>
      <c r="BV6" s="32"/>
      <c r="BW6" s="32"/>
      <c r="BX6" s="55"/>
      <c r="BY6" s="32"/>
      <c r="BZ6" s="54"/>
      <c r="CA6" s="21" t="str">
        <f>IFERROR(VLOOKUP(October[[#This Row],[Drug Name8]],'Data Options'!$R$1:$S$100,2,FALSE), " ")</f>
        <v xml:space="preserve"> </v>
      </c>
      <c r="CB6" s="55"/>
      <c r="CC6" s="32"/>
      <c r="CD6" s="32"/>
      <c r="CE6" s="55"/>
      <c r="CF6" s="32"/>
      <c r="CG6" s="54"/>
      <c r="CH6" s="21" t="str">
        <f>IFERROR(VLOOKUP(October[[#This Row],[Drug Name9]],'Data Options'!$R$1:$S$100,2,FALSE), " ")</f>
        <v xml:space="preserve"> </v>
      </c>
      <c r="CI6" s="55"/>
      <c r="CJ6" s="32"/>
      <c r="CK6" s="32"/>
      <c r="CL6" s="55"/>
      <c r="CM6" s="32"/>
    </row>
    <row r="7" spans="1:91">
      <c r="A7" s="5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1"/>
      <c r="P7" s="31"/>
      <c r="Q7" s="54"/>
      <c r="R7" s="21" t="str">
        <f>IFERROR(VLOOKUP(October[[#This Row],[Drug Name]],'Data Options'!$R$1:$S$100,2,FALSE), " ")</f>
        <v xml:space="preserve"> </v>
      </c>
      <c r="S7" s="55"/>
      <c r="T7" s="32"/>
      <c r="U7" s="32"/>
      <c r="V7" s="55"/>
      <c r="W7" s="32"/>
      <c r="X7" s="54"/>
      <c r="Y7" s="21" t="str">
        <f>IFERROR(VLOOKUP(October[[#This Row],[Drug Name2]],'Data Options'!$R$1:$S$100,2,FALSE), " ")</f>
        <v xml:space="preserve"> </v>
      </c>
      <c r="Z7" s="55"/>
      <c r="AA7" s="32"/>
      <c r="AB7" s="32"/>
      <c r="AC7" s="55"/>
      <c r="AD7" s="32"/>
      <c r="AE7" s="54"/>
      <c r="AF7" s="21" t="str">
        <f>IFERROR(VLOOKUP(October[[#This Row],[Drug Name3]],'Data Options'!$R$1:$S$100,2,FALSE), " ")</f>
        <v xml:space="preserve"> </v>
      </c>
      <c r="AG7" s="55"/>
      <c r="AH7" s="32"/>
      <c r="AI7" s="32"/>
      <c r="AJ7" s="55"/>
      <c r="AK7" s="32"/>
      <c r="AL7" s="32"/>
      <c r="AM7" s="32"/>
      <c r="AN7" s="32"/>
      <c r="AO7" s="32"/>
      <c r="AP7" s="31"/>
      <c r="AQ7" s="31"/>
      <c r="AR7" s="54"/>
      <c r="AS7" s="21" t="str">
        <f>IFERROR(VLOOKUP(October[[#This Row],[Drug Name4]],'Data Options'!$R$1:$S$100,2,FALSE), " ")</f>
        <v xml:space="preserve"> </v>
      </c>
      <c r="AT7" s="55"/>
      <c r="AU7" s="32"/>
      <c r="AV7" s="32"/>
      <c r="AW7" s="55"/>
      <c r="AX7" s="32"/>
      <c r="AY7" s="54"/>
      <c r="AZ7" s="21" t="str">
        <f>IFERROR(VLOOKUP(October[[#This Row],[Drug Name5]],'Data Options'!$R$1:$S$100,2,FALSE), " ")</f>
        <v xml:space="preserve"> </v>
      </c>
      <c r="BA7" s="55"/>
      <c r="BB7" s="32"/>
      <c r="BC7" s="32"/>
      <c r="BD7" s="55"/>
      <c r="BE7" s="32"/>
      <c r="BF7" s="54"/>
      <c r="BG7" s="21" t="str">
        <f>IFERROR(VLOOKUP(October[[#This Row],[Drug Name6]],'Data Options'!$R$1:$S$100,2,FALSE), " ")</f>
        <v xml:space="preserve"> </v>
      </c>
      <c r="BH7" s="55"/>
      <c r="BI7" s="32"/>
      <c r="BJ7" s="32"/>
      <c r="BK7" s="55"/>
      <c r="BL7" s="32"/>
      <c r="BM7" s="32"/>
      <c r="BN7" s="32"/>
      <c r="BO7" s="32"/>
      <c r="BP7" s="32"/>
      <c r="BQ7" s="31"/>
      <c r="BR7" s="31"/>
      <c r="BS7" s="54"/>
      <c r="BT7" s="21" t="str">
        <f>IFERROR(VLOOKUP(October[[#This Row],[Drug Name7]],'Data Options'!$R$1:$S$100,2,FALSE), " ")</f>
        <v xml:space="preserve"> </v>
      </c>
      <c r="BU7" s="55"/>
      <c r="BV7" s="32"/>
      <c r="BW7" s="32"/>
      <c r="BX7" s="55"/>
      <c r="BY7" s="32"/>
      <c r="BZ7" s="54"/>
      <c r="CA7" s="21" t="str">
        <f>IFERROR(VLOOKUP(October[[#This Row],[Drug Name8]],'Data Options'!$R$1:$S$100,2,FALSE), " ")</f>
        <v xml:space="preserve"> </v>
      </c>
      <c r="CB7" s="55"/>
      <c r="CC7" s="32"/>
      <c r="CD7" s="32"/>
      <c r="CE7" s="55"/>
      <c r="CF7" s="32"/>
      <c r="CG7" s="54"/>
      <c r="CH7" s="21" t="str">
        <f>IFERROR(VLOOKUP(October[[#This Row],[Drug Name9]],'Data Options'!$R$1:$S$100,2,FALSE), " ")</f>
        <v xml:space="preserve"> </v>
      </c>
      <c r="CI7" s="55"/>
      <c r="CJ7" s="32"/>
      <c r="CK7" s="32"/>
      <c r="CL7" s="55"/>
      <c r="CM7" s="32"/>
    </row>
    <row r="8" spans="1:91">
      <c r="A8" s="5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1"/>
      <c r="P8" s="31"/>
      <c r="Q8" s="54"/>
      <c r="R8" s="21" t="str">
        <f>IFERROR(VLOOKUP(October[[#This Row],[Drug Name]],'Data Options'!$R$1:$S$100,2,FALSE), " ")</f>
        <v xml:space="preserve"> </v>
      </c>
      <c r="S8" s="55"/>
      <c r="T8" s="32"/>
      <c r="U8" s="32"/>
      <c r="V8" s="55"/>
      <c r="W8" s="32"/>
      <c r="X8" s="54"/>
      <c r="Y8" s="21" t="str">
        <f>IFERROR(VLOOKUP(October[[#This Row],[Drug Name2]],'Data Options'!$R$1:$S$100,2,FALSE), " ")</f>
        <v xml:space="preserve"> </v>
      </c>
      <c r="Z8" s="55"/>
      <c r="AA8" s="32"/>
      <c r="AB8" s="32"/>
      <c r="AC8" s="55"/>
      <c r="AD8" s="32"/>
      <c r="AE8" s="54"/>
      <c r="AF8" s="21" t="str">
        <f>IFERROR(VLOOKUP(October[[#This Row],[Drug Name3]],'Data Options'!$R$1:$S$100,2,FALSE), " ")</f>
        <v xml:space="preserve"> </v>
      </c>
      <c r="AG8" s="55"/>
      <c r="AH8" s="32"/>
      <c r="AI8" s="32"/>
      <c r="AJ8" s="55"/>
      <c r="AK8" s="32"/>
      <c r="AL8" s="32"/>
      <c r="AM8" s="32"/>
      <c r="AN8" s="32"/>
      <c r="AO8" s="32"/>
      <c r="AP8" s="31"/>
      <c r="AQ8" s="31"/>
      <c r="AR8" s="54"/>
      <c r="AS8" s="21" t="str">
        <f>IFERROR(VLOOKUP(October[[#This Row],[Drug Name4]],'Data Options'!$R$1:$S$100,2,FALSE), " ")</f>
        <v xml:space="preserve"> </v>
      </c>
      <c r="AT8" s="55"/>
      <c r="AU8" s="32"/>
      <c r="AV8" s="32"/>
      <c r="AW8" s="55"/>
      <c r="AX8" s="32"/>
      <c r="AY8" s="54"/>
      <c r="AZ8" s="21" t="str">
        <f>IFERROR(VLOOKUP(October[[#This Row],[Drug Name5]],'Data Options'!$R$1:$S$100,2,FALSE), " ")</f>
        <v xml:space="preserve"> </v>
      </c>
      <c r="BA8" s="55"/>
      <c r="BB8" s="32"/>
      <c r="BC8" s="32"/>
      <c r="BD8" s="55"/>
      <c r="BE8" s="32"/>
      <c r="BF8" s="54"/>
      <c r="BG8" s="21" t="str">
        <f>IFERROR(VLOOKUP(October[[#This Row],[Drug Name6]],'Data Options'!$R$1:$S$100,2,FALSE), " ")</f>
        <v xml:space="preserve"> </v>
      </c>
      <c r="BH8" s="55"/>
      <c r="BI8" s="32"/>
      <c r="BJ8" s="32"/>
      <c r="BK8" s="55"/>
      <c r="BL8" s="32"/>
      <c r="BM8" s="32"/>
      <c r="BN8" s="32"/>
      <c r="BO8" s="32"/>
      <c r="BP8" s="32"/>
      <c r="BQ8" s="31"/>
      <c r="BR8" s="31"/>
      <c r="BS8" s="54"/>
      <c r="BT8" s="21" t="str">
        <f>IFERROR(VLOOKUP(October[[#This Row],[Drug Name7]],'Data Options'!$R$1:$S$100,2,FALSE), " ")</f>
        <v xml:space="preserve"> </v>
      </c>
      <c r="BU8" s="55"/>
      <c r="BV8" s="32"/>
      <c r="BW8" s="32"/>
      <c r="BX8" s="55"/>
      <c r="BY8" s="32"/>
      <c r="BZ8" s="54"/>
      <c r="CA8" s="21" t="str">
        <f>IFERROR(VLOOKUP(October[[#This Row],[Drug Name8]],'Data Options'!$R$1:$S$100,2,FALSE), " ")</f>
        <v xml:space="preserve"> </v>
      </c>
      <c r="CB8" s="55"/>
      <c r="CC8" s="32"/>
      <c r="CD8" s="32"/>
      <c r="CE8" s="55"/>
      <c r="CF8" s="32"/>
      <c r="CG8" s="54"/>
      <c r="CH8" s="21" t="str">
        <f>IFERROR(VLOOKUP(October[[#This Row],[Drug Name9]],'Data Options'!$R$1:$S$100,2,FALSE), " ")</f>
        <v xml:space="preserve"> </v>
      </c>
      <c r="CI8" s="55"/>
      <c r="CJ8" s="32"/>
      <c r="CK8" s="32"/>
      <c r="CL8" s="55"/>
      <c r="CM8" s="32"/>
    </row>
    <row r="9" spans="1:91">
      <c r="A9" s="5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1"/>
      <c r="P9" s="31"/>
      <c r="Q9" s="54"/>
      <c r="R9" s="21" t="str">
        <f>IFERROR(VLOOKUP(October[[#This Row],[Drug Name]],'Data Options'!$R$1:$S$100,2,FALSE), " ")</f>
        <v xml:space="preserve"> </v>
      </c>
      <c r="S9" s="55"/>
      <c r="T9" s="32"/>
      <c r="U9" s="32"/>
      <c r="V9" s="55"/>
      <c r="W9" s="32"/>
      <c r="X9" s="54"/>
      <c r="Y9" s="21" t="str">
        <f>IFERROR(VLOOKUP(October[[#This Row],[Drug Name2]],'Data Options'!$R$1:$S$100,2,FALSE), " ")</f>
        <v xml:space="preserve"> </v>
      </c>
      <c r="Z9" s="55"/>
      <c r="AA9" s="32"/>
      <c r="AB9" s="32"/>
      <c r="AC9" s="55"/>
      <c r="AD9" s="32"/>
      <c r="AE9" s="54"/>
      <c r="AF9" s="21" t="str">
        <f>IFERROR(VLOOKUP(October[[#This Row],[Drug Name3]],'Data Options'!$R$1:$S$100,2,FALSE), " ")</f>
        <v xml:space="preserve"> </v>
      </c>
      <c r="AG9" s="55"/>
      <c r="AH9" s="32"/>
      <c r="AI9" s="32"/>
      <c r="AJ9" s="55"/>
      <c r="AK9" s="32"/>
      <c r="AL9" s="32"/>
      <c r="AM9" s="32"/>
      <c r="AN9" s="32"/>
      <c r="AO9" s="32"/>
      <c r="AP9" s="31"/>
      <c r="AQ9" s="31"/>
      <c r="AR9" s="54"/>
      <c r="AS9" s="21" t="str">
        <f>IFERROR(VLOOKUP(October[[#This Row],[Drug Name4]],'Data Options'!$R$1:$S$100,2,FALSE), " ")</f>
        <v xml:space="preserve"> </v>
      </c>
      <c r="AT9" s="55"/>
      <c r="AU9" s="32"/>
      <c r="AV9" s="32"/>
      <c r="AW9" s="55"/>
      <c r="AX9" s="32"/>
      <c r="AY9" s="54"/>
      <c r="AZ9" s="21" t="str">
        <f>IFERROR(VLOOKUP(October[[#This Row],[Drug Name5]],'Data Options'!$R$1:$S$100,2,FALSE), " ")</f>
        <v xml:space="preserve"> </v>
      </c>
      <c r="BA9" s="55"/>
      <c r="BB9" s="32"/>
      <c r="BC9" s="32"/>
      <c r="BD9" s="55"/>
      <c r="BE9" s="32"/>
      <c r="BF9" s="54"/>
      <c r="BG9" s="21" t="str">
        <f>IFERROR(VLOOKUP(October[[#This Row],[Drug Name6]],'Data Options'!$R$1:$S$100,2,FALSE), " ")</f>
        <v xml:space="preserve"> </v>
      </c>
      <c r="BH9" s="55"/>
      <c r="BI9" s="32"/>
      <c r="BJ9" s="32"/>
      <c r="BK9" s="55"/>
      <c r="BL9" s="32"/>
      <c r="BM9" s="32"/>
      <c r="BN9" s="32"/>
      <c r="BO9" s="32"/>
      <c r="BP9" s="32"/>
      <c r="BQ9" s="31"/>
      <c r="BR9" s="31"/>
      <c r="BS9" s="54"/>
      <c r="BT9" s="21" t="str">
        <f>IFERROR(VLOOKUP(October[[#This Row],[Drug Name7]],'Data Options'!$R$1:$S$100,2,FALSE), " ")</f>
        <v xml:space="preserve"> </v>
      </c>
      <c r="BU9" s="55"/>
      <c r="BV9" s="32"/>
      <c r="BW9" s="32"/>
      <c r="BX9" s="55"/>
      <c r="BY9" s="32"/>
      <c r="BZ9" s="54"/>
      <c r="CA9" s="21" t="str">
        <f>IFERROR(VLOOKUP(October[[#This Row],[Drug Name8]],'Data Options'!$R$1:$S$100,2,FALSE), " ")</f>
        <v xml:space="preserve"> </v>
      </c>
      <c r="CB9" s="55"/>
      <c r="CC9" s="32"/>
      <c r="CD9" s="32"/>
      <c r="CE9" s="55"/>
      <c r="CF9" s="32"/>
      <c r="CG9" s="54"/>
      <c r="CH9" s="21" t="str">
        <f>IFERROR(VLOOKUP(October[[#This Row],[Drug Name9]],'Data Options'!$R$1:$S$100,2,FALSE), " ")</f>
        <v xml:space="preserve"> </v>
      </c>
      <c r="CI9" s="55"/>
      <c r="CJ9" s="32"/>
      <c r="CK9" s="32"/>
      <c r="CL9" s="55"/>
      <c r="CM9" s="32"/>
    </row>
    <row r="10" spans="1:91">
      <c r="A10" s="5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1"/>
      <c r="P10" s="31"/>
      <c r="Q10" s="54"/>
      <c r="R10" s="21" t="str">
        <f>IFERROR(VLOOKUP(October[[#This Row],[Drug Name]],'Data Options'!$R$1:$S$100,2,FALSE), " ")</f>
        <v xml:space="preserve"> </v>
      </c>
      <c r="S10" s="55"/>
      <c r="T10" s="32"/>
      <c r="U10" s="32"/>
      <c r="V10" s="55"/>
      <c r="W10" s="32"/>
      <c r="X10" s="54"/>
      <c r="Y10" s="21" t="str">
        <f>IFERROR(VLOOKUP(October[[#This Row],[Drug Name2]],'Data Options'!$R$1:$S$100,2,FALSE), " ")</f>
        <v xml:space="preserve"> </v>
      </c>
      <c r="Z10" s="55"/>
      <c r="AA10" s="32"/>
      <c r="AB10" s="32"/>
      <c r="AC10" s="55"/>
      <c r="AD10" s="32"/>
      <c r="AE10" s="54"/>
      <c r="AF10" s="21" t="str">
        <f>IFERROR(VLOOKUP(October[[#This Row],[Drug Name3]],'Data Options'!$R$1:$S$100,2,FALSE), " ")</f>
        <v xml:space="preserve"> </v>
      </c>
      <c r="AG10" s="55"/>
      <c r="AH10" s="32"/>
      <c r="AI10" s="32"/>
      <c r="AJ10" s="55"/>
      <c r="AK10" s="32"/>
      <c r="AL10" s="32"/>
      <c r="AM10" s="32"/>
      <c r="AN10" s="32"/>
      <c r="AO10" s="32"/>
      <c r="AP10" s="31"/>
      <c r="AQ10" s="31"/>
      <c r="AR10" s="54"/>
      <c r="AS10" s="21" t="str">
        <f>IFERROR(VLOOKUP(October[[#This Row],[Drug Name4]],'Data Options'!$R$1:$S$100,2,FALSE), " ")</f>
        <v xml:space="preserve"> </v>
      </c>
      <c r="AT10" s="55"/>
      <c r="AU10" s="32"/>
      <c r="AV10" s="32"/>
      <c r="AW10" s="55"/>
      <c r="AX10" s="32"/>
      <c r="AY10" s="54"/>
      <c r="AZ10" s="21" t="str">
        <f>IFERROR(VLOOKUP(October[[#This Row],[Drug Name5]],'Data Options'!$R$1:$S$100,2,FALSE), " ")</f>
        <v xml:space="preserve"> </v>
      </c>
      <c r="BA10" s="55"/>
      <c r="BB10" s="32"/>
      <c r="BC10" s="32"/>
      <c r="BD10" s="55"/>
      <c r="BE10" s="32"/>
      <c r="BF10" s="54"/>
      <c r="BG10" s="21" t="str">
        <f>IFERROR(VLOOKUP(October[[#This Row],[Drug Name6]],'Data Options'!$R$1:$S$100,2,FALSE), " ")</f>
        <v xml:space="preserve"> </v>
      </c>
      <c r="BH10" s="55"/>
      <c r="BI10" s="32"/>
      <c r="BJ10" s="32"/>
      <c r="BK10" s="55"/>
      <c r="BL10" s="32"/>
      <c r="BM10" s="32"/>
      <c r="BN10" s="32"/>
      <c r="BO10" s="32"/>
      <c r="BP10" s="32"/>
      <c r="BQ10" s="31"/>
      <c r="BR10" s="31"/>
      <c r="BS10" s="54"/>
      <c r="BT10" s="21" t="str">
        <f>IFERROR(VLOOKUP(October[[#This Row],[Drug Name7]],'Data Options'!$R$1:$S$100,2,FALSE), " ")</f>
        <v xml:space="preserve"> </v>
      </c>
      <c r="BU10" s="55"/>
      <c r="BV10" s="32"/>
      <c r="BW10" s="32"/>
      <c r="BX10" s="55"/>
      <c r="BY10" s="32"/>
      <c r="BZ10" s="54"/>
      <c r="CA10" s="21" t="str">
        <f>IFERROR(VLOOKUP(October[[#This Row],[Drug Name8]],'Data Options'!$R$1:$S$100,2,FALSE), " ")</f>
        <v xml:space="preserve"> </v>
      </c>
      <c r="CB10" s="55"/>
      <c r="CC10" s="32"/>
      <c r="CD10" s="32"/>
      <c r="CE10" s="55"/>
      <c r="CF10" s="32"/>
      <c r="CG10" s="54"/>
      <c r="CH10" s="21" t="str">
        <f>IFERROR(VLOOKUP(October[[#This Row],[Drug Name9]],'Data Options'!$R$1:$S$100,2,FALSE), " ")</f>
        <v xml:space="preserve"> </v>
      </c>
      <c r="CI10" s="55"/>
      <c r="CJ10" s="32"/>
      <c r="CK10" s="32"/>
      <c r="CL10" s="55"/>
      <c r="CM10" s="32"/>
    </row>
    <row r="11" spans="1:91">
      <c r="A11" s="5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1"/>
      <c r="P11" s="31"/>
      <c r="Q11" s="54"/>
      <c r="R11" s="21" t="str">
        <f>IFERROR(VLOOKUP(October[[#This Row],[Drug Name]],'Data Options'!$R$1:$S$100,2,FALSE), " ")</f>
        <v xml:space="preserve"> </v>
      </c>
      <c r="S11" s="55"/>
      <c r="T11" s="32"/>
      <c r="U11" s="32"/>
      <c r="V11" s="55"/>
      <c r="W11" s="32"/>
      <c r="X11" s="54"/>
      <c r="Y11" s="21" t="str">
        <f>IFERROR(VLOOKUP(October[[#This Row],[Drug Name2]],'Data Options'!$R$1:$S$100,2,FALSE), " ")</f>
        <v xml:space="preserve"> </v>
      </c>
      <c r="Z11" s="55"/>
      <c r="AA11" s="32"/>
      <c r="AB11" s="32"/>
      <c r="AC11" s="55"/>
      <c r="AD11" s="32"/>
      <c r="AE11" s="54"/>
      <c r="AF11" s="21" t="str">
        <f>IFERROR(VLOOKUP(October[[#This Row],[Drug Name3]],'Data Options'!$R$1:$S$100,2,FALSE), " ")</f>
        <v xml:space="preserve"> </v>
      </c>
      <c r="AG11" s="55"/>
      <c r="AH11" s="32"/>
      <c r="AI11" s="32"/>
      <c r="AJ11" s="55"/>
      <c r="AK11" s="32"/>
      <c r="AL11" s="32"/>
      <c r="AM11" s="32"/>
      <c r="AN11" s="32"/>
      <c r="AO11" s="32"/>
      <c r="AP11" s="31"/>
      <c r="AQ11" s="31"/>
      <c r="AR11" s="54"/>
      <c r="AS11" s="21" t="str">
        <f>IFERROR(VLOOKUP(October[[#This Row],[Drug Name4]],'Data Options'!$R$1:$S$100,2,FALSE), " ")</f>
        <v xml:space="preserve"> </v>
      </c>
      <c r="AT11" s="55"/>
      <c r="AU11" s="32"/>
      <c r="AV11" s="32"/>
      <c r="AW11" s="55"/>
      <c r="AX11" s="32"/>
      <c r="AY11" s="54"/>
      <c r="AZ11" s="21" t="str">
        <f>IFERROR(VLOOKUP(October[[#This Row],[Drug Name5]],'Data Options'!$R$1:$S$100,2,FALSE), " ")</f>
        <v xml:space="preserve"> </v>
      </c>
      <c r="BA11" s="55"/>
      <c r="BB11" s="32"/>
      <c r="BC11" s="32"/>
      <c r="BD11" s="55"/>
      <c r="BE11" s="32"/>
      <c r="BF11" s="54"/>
      <c r="BG11" s="21" t="str">
        <f>IFERROR(VLOOKUP(October[[#This Row],[Drug Name6]],'Data Options'!$R$1:$S$100,2,FALSE), " ")</f>
        <v xml:space="preserve"> </v>
      </c>
      <c r="BH11" s="55"/>
      <c r="BI11" s="32"/>
      <c r="BJ11" s="32"/>
      <c r="BK11" s="55"/>
      <c r="BL11" s="32"/>
      <c r="BM11" s="32"/>
      <c r="BN11" s="32"/>
      <c r="BO11" s="32"/>
      <c r="BP11" s="32"/>
      <c r="BQ11" s="31"/>
      <c r="BR11" s="31"/>
      <c r="BS11" s="54"/>
      <c r="BT11" s="21" t="str">
        <f>IFERROR(VLOOKUP(October[[#This Row],[Drug Name7]],'Data Options'!$R$1:$S$100,2,FALSE), " ")</f>
        <v xml:space="preserve"> </v>
      </c>
      <c r="BU11" s="55"/>
      <c r="BV11" s="32"/>
      <c r="BW11" s="32"/>
      <c r="BX11" s="55"/>
      <c r="BY11" s="32"/>
      <c r="BZ11" s="54"/>
      <c r="CA11" s="21" t="str">
        <f>IFERROR(VLOOKUP(October[[#This Row],[Drug Name8]],'Data Options'!$R$1:$S$100,2,FALSE), " ")</f>
        <v xml:space="preserve"> </v>
      </c>
      <c r="CB11" s="55"/>
      <c r="CC11" s="32"/>
      <c r="CD11" s="32"/>
      <c r="CE11" s="55"/>
      <c r="CF11" s="32"/>
      <c r="CG11" s="54"/>
      <c r="CH11" s="21" t="str">
        <f>IFERROR(VLOOKUP(October[[#This Row],[Drug Name9]],'Data Options'!$R$1:$S$100,2,FALSE), " ")</f>
        <v xml:space="preserve"> </v>
      </c>
      <c r="CI11" s="55"/>
      <c r="CJ11" s="32"/>
      <c r="CK11" s="32"/>
      <c r="CL11" s="55"/>
      <c r="CM11" s="32"/>
    </row>
    <row r="12" spans="1:91">
      <c r="A12" s="5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1"/>
      <c r="P12" s="31"/>
      <c r="Q12" s="54"/>
      <c r="R12" s="21" t="str">
        <f>IFERROR(VLOOKUP(October[[#This Row],[Drug Name]],'Data Options'!$R$1:$S$100,2,FALSE), " ")</f>
        <v xml:space="preserve"> </v>
      </c>
      <c r="S12" s="55"/>
      <c r="T12" s="32"/>
      <c r="U12" s="32"/>
      <c r="V12" s="55"/>
      <c r="W12" s="32"/>
      <c r="X12" s="54"/>
      <c r="Y12" s="21" t="str">
        <f>IFERROR(VLOOKUP(October[[#This Row],[Drug Name2]],'Data Options'!$R$1:$S$100,2,FALSE), " ")</f>
        <v xml:space="preserve"> </v>
      </c>
      <c r="Z12" s="55"/>
      <c r="AA12" s="32"/>
      <c r="AB12" s="32"/>
      <c r="AC12" s="55"/>
      <c r="AD12" s="32"/>
      <c r="AE12" s="54"/>
      <c r="AF12" s="21" t="str">
        <f>IFERROR(VLOOKUP(October[[#This Row],[Drug Name3]],'Data Options'!$R$1:$S$100,2,FALSE), " ")</f>
        <v xml:space="preserve"> </v>
      </c>
      <c r="AG12" s="55"/>
      <c r="AH12" s="32"/>
      <c r="AI12" s="32"/>
      <c r="AJ12" s="55"/>
      <c r="AK12" s="32"/>
      <c r="AL12" s="32"/>
      <c r="AM12" s="32"/>
      <c r="AN12" s="32"/>
      <c r="AO12" s="32"/>
      <c r="AP12" s="31"/>
      <c r="AQ12" s="31"/>
      <c r="AR12" s="54"/>
      <c r="AS12" s="21" t="str">
        <f>IFERROR(VLOOKUP(October[[#This Row],[Drug Name4]],'Data Options'!$R$1:$S$100,2,FALSE), " ")</f>
        <v xml:space="preserve"> </v>
      </c>
      <c r="AT12" s="55"/>
      <c r="AU12" s="32"/>
      <c r="AV12" s="32"/>
      <c r="AW12" s="55"/>
      <c r="AX12" s="32"/>
      <c r="AY12" s="54"/>
      <c r="AZ12" s="21" t="str">
        <f>IFERROR(VLOOKUP(October[[#This Row],[Drug Name5]],'Data Options'!$R$1:$S$100,2,FALSE), " ")</f>
        <v xml:space="preserve"> </v>
      </c>
      <c r="BA12" s="55"/>
      <c r="BB12" s="32"/>
      <c r="BC12" s="32"/>
      <c r="BD12" s="55"/>
      <c r="BE12" s="32"/>
      <c r="BF12" s="54"/>
      <c r="BG12" s="21" t="str">
        <f>IFERROR(VLOOKUP(October[[#This Row],[Drug Name6]],'Data Options'!$R$1:$S$100,2,FALSE), " ")</f>
        <v xml:space="preserve"> </v>
      </c>
      <c r="BH12" s="55"/>
      <c r="BI12" s="32"/>
      <c r="BJ12" s="32"/>
      <c r="BK12" s="55"/>
      <c r="BL12" s="32"/>
      <c r="BM12" s="32"/>
      <c r="BN12" s="32"/>
      <c r="BO12" s="32"/>
      <c r="BP12" s="32"/>
      <c r="BQ12" s="31"/>
      <c r="BR12" s="31"/>
      <c r="BS12" s="54"/>
      <c r="BT12" s="21" t="str">
        <f>IFERROR(VLOOKUP(October[[#This Row],[Drug Name7]],'Data Options'!$R$1:$S$100,2,FALSE), " ")</f>
        <v xml:space="preserve"> </v>
      </c>
      <c r="BU12" s="55"/>
      <c r="BV12" s="32"/>
      <c r="BW12" s="32"/>
      <c r="BX12" s="55"/>
      <c r="BY12" s="32"/>
      <c r="BZ12" s="54"/>
      <c r="CA12" s="21" t="str">
        <f>IFERROR(VLOOKUP(October[[#This Row],[Drug Name8]],'Data Options'!$R$1:$S$100,2,FALSE), " ")</f>
        <v xml:space="preserve"> </v>
      </c>
      <c r="CB12" s="55"/>
      <c r="CC12" s="32"/>
      <c r="CD12" s="32"/>
      <c r="CE12" s="55"/>
      <c r="CF12" s="32"/>
      <c r="CG12" s="54"/>
      <c r="CH12" s="21" t="str">
        <f>IFERROR(VLOOKUP(October[[#This Row],[Drug Name9]],'Data Options'!$R$1:$S$100,2,FALSE), " ")</f>
        <v xml:space="preserve"> </v>
      </c>
      <c r="CI12" s="55"/>
      <c r="CJ12" s="32"/>
      <c r="CK12" s="32"/>
      <c r="CL12" s="55"/>
      <c r="CM12" s="32"/>
    </row>
    <row r="13" spans="1:91">
      <c r="A13" s="5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1"/>
      <c r="P13" s="31"/>
      <c r="Q13" s="54"/>
      <c r="R13" s="21" t="str">
        <f>IFERROR(VLOOKUP(October[[#This Row],[Drug Name]],'Data Options'!$R$1:$S$100,2,FALSE), " ")</f>
        <v xml:space="preserve"> </v>
      </c>
      <c r="S13" s="55"/>
      <c r="T13" s="32"/>
      <c r="U13" s="32"/>
      <c r="V13" s="55"/>
      <c r="W13" s="32"/>
      <c r="X13" s="54"/>
      <c r="Y13" s="21" t="str">
        <f>IFERROR(VLOOKUP(October[[#This Row],[Drug Name2]],'Data Options'!$R$1:$S$100,2,FALSE), " ")</f>
        <v xml:space="preserve"> </v>
      </c>
      <c r="Z13" s="55"/>
      <c r="AA13" s="32"/>
      <c r="AB13" s="32"/>
      <c r="AC13" s="55"/>
      <c r="AD13" s="32"/>
      <c r="AE13" s="54"/>
      <c r="AF13" s="21" t="str">
        <f>IFERROR(VLOOKUP(October[[#This Row],[Drug Name3]],'Data Options'!$R$1:$S$100,2,FALSE), " ")</f>
        <v xml:space="preserve"> </v>
      </c>
      <c r="AG13" s="55"/>
      <c r="AH13" s="32"/>
      <c r="AI13" s="32"/>
      <c r="AJ13" s="55"/>
      <c r="AK13" s="32"/>
      <c r="AL13" s="32"/>
      <c r="AM13" s="32"/>
      <c r="AN13" s="32"/>
      <c r="AO13" s="32"/>
      <c r="AP13" s="31"/>
      <c r="AQ13" s="31"/>
      <c r="AR13" s="54"/>
      <c r="AS13" s="21" t="str">
        <f>IFERROR(VLOOKUP(October[[#This Row],[Drug Name4]],'Data Options'!$R$1:$S$100,2,FALSE), " ")</f>
        <v xml:space="preserve"> </v>
      </c>
      <c r="AT13" s="55"/>
      <c r="AU13" s="32"/>
      <c r="AV13" s="32"/>
      <c r="AW13" s="55"/>
      <c r="AX13" s="32"/>
      <c r="AY13" s="54"/>
      <c r="AZ13" s="21" t="str">
        <f>IFERROR(VLOOKUP(October[[#This Row],[Drug Name5]],'Data Options'!$R$1:$S$100,2,FALSE), " ")</f>
        <v xml:space="preserve"> </v>
      </c>
      <c r="BA13" s="55"/>
      <c r="BB13" s="32"/>
      <c r="BC13" s="32"/>
      <c r="BD13" s="55"/>
      <c r="BE13" s="32"/>
      <c r="BF13" s="54"/>
      <c r="BG13" s="21" t="str">
        <f>IFERROR(VLOOKUP(October[[#This Row],[Drug Name6]],'Data Options'!$R$1:$S$100,2,FALSE), " ")</f>
        <v xml:space="preserve"> </v>
      </c>
      <c r="BH13" s="55"/>
      <c r="BI13" s="32"/>
      <c r="BJ13" s="32"/>
      <c r="BK13" s="55"/>
      <c r="BL13" s="32"/>
      <c r="BM13" s="32"/>
      <c r="BN13" s="32"/>
      <c r="BO13" s="32"/>
      <c r="BP13" s="32"/>
      <c r="BQ13" s="31"/>
      <c r="BR13" s="31"/>
      <c r="BS13" s="54"/>
      <c r="BT13" s="21" t="str">
        <f>IFERROR(VLOOKUP(October[[#This Row],[Drug Name7]],'Data Options'!$R$1:$S$100,2,FALSE), " ")</f>
        <v xml:space="preserve"> </v>
      </c>
      <c r="BU13" s="55"/>
      <c r="BV13" s="32"/>
      <c r="BW13" s="32"/>
      <c r="BX13" s="55"/>
      <c r="BY13" s="32"/>
      <c r="BZ13" s="54"/>
      <c r="CA13" s="21" t="str">
        <f>IFERROR(VLOOKUP(October[[#This Row],[Drug Name8]],'Data Options'!$R$1:$S$100,2,FALSE), " ")</f>
        <v xml:space="preserve"> </v>
      </c>
      <c r="CB13" s="55"/>
      <c r="CC13" s="32"/>
      <c r="CD13" s="32"/>
      <c r="CE13" s="55"/>
      <c r="CF13" s="32"/>
      <c r="CG13" s="54"/>
      <c r="CH13" s="21" t="str">
        <f>IFERROR(VLOOKUP(October[[#This Row],[Drug Name9]],'Data Options'!$R$1:$S$100,2,FALSE), " ")</f>
        <v xml:space="preserve"> </v>
      </c>
      <c r="CI13" s="55"/>
      <c r="CJ13" s="32"/>
      <c r="CK13" s="32"/>
      <c r="CL13" s="55"/>
      <c r="CM13" s="32"/>
    </row>
    <row r="14" spans="1:91">
      <c r="A14" s="5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54"/>
      <c r="R14" s="21" t="str">
        <f>IFERROR(VLOOKUP(October[[#This Row],[Drug Name]],'Data Options'!$R$1:$S$100,2,FALSE), " ")</f>
        <v xml:space="preserve"> </v>
      </c>
      <c r="S14" s="55"/>
      <c r="T14" s="32"/>
      <c r="U14" s="32"/>
      <c r="V14" s="55"/>
      <c r="W14" s="32"/>
      <c r="X14" s="54"/>
      <c r="Y14" s="21" t="str">
        <f>IFERROR(VLOOKUP(October[[#This Row],[Drug Name2]],'Data Options'!$R$1:$S$100,2,FALSE), " ")</f>
        <v xml:space="preserve"> </v>
      </c>
      <c r="Z14" s="55"/>
      <c r="AA14" s="32"/>
      <c r="AB14" s="32"/>
      <c r="AC14" s="55"/>
      <c r="AD14" s="32"/>
      <c r="AE14" s="54"/>
      <c r="AF14" s="21" t="str">
        <f>IFERROR(VLOOKUP(October[[#This Row],[Drug Name3]],'Data Options'!$R$1:$S$100,2,FALSE), " ")</f>
        <v xml:space="preserve"> </v>
      </c>
      <c r="AG14" s="55"/>
      <c r="AH14" s="32"/>
      <c r="AI14" s="32"/>
      <c r="AJ14" s="55"/>
      <c r="AK14" s="32"/>
      <c r="AL14" s="32"/>
      <c r="AM14" s="32"/>
      <c r="AN14" s="32"/>
      <c r="AO14" s="32"/>
      <c r="AP14" s="31"/>
      <c r="AQ14" s="31"/>
      <c r="AR14" s="54"/>
      <c r="AS14" s="21" t="str">
        <f>IFERROR(VLOOKUP(October[[#This Row],[Drug Name4]],'Data Options'!$R$1:$S$100,2,FALSE), " ")</f>
        <v xml:space="preserve"> </v>
      </c>
      <c r="AT14" s="55"/>
      <c r="AU14" s="32"/>
      <c r="AV14" s="32"/>
      <c r="AW14" s="55"/>
      <c r="AX14" s="32"/>
      <c r="AY14" s="54"/>
      <c r="AZ14" s="21" t="str">
        <f>IFERROR(VLOOKUP(October[[#This Row],[Drug Name5]],'Data Options'!$R$1:$S$100,2,FALSE), " ")</f>
        <v xml:space="preserve"> </v>
      </c>
      <c r="BA14" s="55"/>
      <c r="BB14" s="32"/>
      <c r="BC14" s="32"/>
      <c r="BD14" s="55"/>
      <c r="BE14" s="32"/>
      <c r="BF14" s="54"/>
      <c r="BG14" s="21" t="str">
        <f>IFERROR(VLOOKUP(October[[#This Row],[Drug Name6]],'Data Options'!$R$1:$S$100,2,FALSE), " ")</f>
        <v xml:space="preserve"> </v>
      </c>
      <c r="BH14" s="55"/>
      <c r="BI14" s="32"/>
      <c r="BJ14" s="32"/>
      <c r="BK14" s="55"/>
      <c r="BL14" s="32"/>
      <c r="BM14" s="32"/>
      <c r="BN14" s="32"/>
      <c r="BO14" s="32"/>
      <c r="BP14" s="32"/>
      <c r="BQ14" s="31"/>
      <c r="BR14" s="31"/>
      <c r="BS14" s="54"/>
      <c r="BT14" s="21" t="str">
        <f>IFERROR(VLOOKUP(October[[#This Row],[Drug Name7]],'Data Options'!$R$1:$S$100,2,FALSE), " ")</f>
        <v xml:space="preserve"> </v>
      </c>
      <c r="BU14" s="55"/>
      <c r="BV14" s="32"/>
      <c r="BW14" s="32"/>
      <c r="BX14" s="55"/>
      <c r="BY14" s="32"/>
      <c r="BZ14" s="54"/>
      <c r="CA14" s="21" t="str">
        <f>IFERROR(VLOOKUP(October[[#This Row],[Drug Name8]],'Data Options'!$R$1:$S$100,2,FALSE), " ")</f>
        <v xml:space="preserve"> </v>
      </c>
      <c r="CB14" s="55"/>
      <c r="CC14" s="32"/>
      <c r="CD14" s="32"/>
      <c r="CE14" s="55"/>
      <c r="CF14" s="32"/>
      <c r="CG14" s="54"/>
      <c r="CH14" s="21" t="str">
        <f>IFERROR(VLOOKUP(October[[#This Row],[Drug Name9]],'Data Options'!$R$1:$S$100,2,FALSE), " ")</f>
        <v xml:space="preserve"> </v>
      </c>
      <c r="CI14" s="55"/>
      <c r="CJ14" s="32"/>
      <c r="CK14" s="32"/>
      <c r="CL14" s="55"/>
      <c r="CM14" s="32"/>
    </row>
    <row r="15" spans="1:91">
      <c r="A15" s="5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54"/>
      <c r="R15" s="21" t="str">
        <f>IFERROR(VLOOKUP(October[[#This Row],[Drug Name]],'Data Options'!$R$1:$S$100,2,FALSE), " ")</f>
        <v xml:space="preserve"> </v>
      </c>
      <c r="S15" s="55"/>
      <c r="T15" s="32"/>
      <c r="U15" s="32"/>
      <c r="V15" s="55"/>
      <c r="W15" s="32"/>
      <c r="X15" s="54"/>
      <c r="Y15" s="21" t="str">
        <f>IFERROR(VLOOKUP(October[[#This Row],[Drug Name2]],'Data Options'!$R$1:$S$100,2,FALSE), " ")</f>
        <v xml:space="preserve"> </v>
      </c>
      <c r="Z15" s="55"/>
      <c r="AA15" s="32"/>
      <c r="AB15" s="32"/>
      <c r="AC15" s="55"/>
      <c r="AD15" s="32"/>
      <c r="AE15" s="54"/>
      <c r="AF15" s="21" t="str">
        <f>IFERROR(VLOOKUP(October[[#This Row],[Drug Name3]],'Data Options'!$R$1:$S$100,2,FALSE), " ")</f>
        <v xml:space="preserve"> </v>
      </c>
      <c r="AG15" s="55"/>
      <c r="AH15" s="32"/>
      <c r="AI15" s="32"/>
      <c r="AJ15" s="55"/>
      <c r="AK15" s="32"/>
      <c r="AL15" s="32"/>
      <c r="AM15" s="32"/>
      <c r="AN15" s="32"/>
      <c r="AO15" s="32"/>
      <c r="AP15" s="31"/>
      <c r="AQ15" s="31"/>
      <c r="AR15" s="54"/>
      <c r="AS15" s="21" t="str">
        <f>IFERROR(VLOOKUP(October[[#This Row],[Drug Name4]],'Data Options'!$R$1:$S$100,2,FALSE), " ")</f>
        <v xml:space="preserve"> </v>
      </c>
      <c r="AT15" s="55"/>
      <c r="AU15" s="32"/>
      <c r="AV15" s="32"/>
      <c r="AW15" s="55"/>
      <c r="AX15" s="32"/>
      <c r="AY15" s="54"/>
      <c r="AZ15" s="21" t="str">
        <f>IFERROR(VLOOKUP(October[[#This Row],[Drug Name5]],'Data Options'!$R$1:$S$100,2,FALSE), " ")</f>
        <v xml:space="preserve"> </v>
      </c>
      <c r="BA15" s="55"/>
      <c r="BB15" s="32"/>
      <c r="BC15" s="32"/>
      <c r="BD15" s="55"/>
      <c r="BE15" s="32"/>
      <c r="BF15" s="54"/>
      <c r="BG15" s="21" t="str">
        <f>IFERROR(VLOOKUP(October[[#This Row],[Drug Name6]],'Data Options'!$R$1:$S$100,2,FALSE), " ")</f>
        <v xml:space="preserve"> </v>
      </c>
      <c r="BH15" s="55"/>
      <c r="BI15" s="32"/>
      <c r="BJ15" s="32"/>
      <c r="BK15" s="55"/>
      <c r="BL15" s="32"/>
      <c r="BM15" s="32"/>
      <c r="BN15" s="32"/>
      <c r="BO15" s="32"/>
      <c r="BP15" s="32"/>
      <c r="BQ15" s="31"/>
      <c r="BR15" s="31"/>
      <c r="BS15" s="54"/>
      <c r="BT15" s="21" t="str">
        <f>IFERROR(VLOOKUP(October[[#This Row],[Drug Name7]],'Data Options'!$R$1:$S$100,2,FALSE), " ")</f>
        <v xml:space="preserve"> </v>
      </c>
      <c r="BU15" s="55"/>
      <c r="BV15" s="32"/>
      <c r="BW15" s="32"/>
      <c r="BX15" s="55"/>
      <c r="BY15" s="32"/>
      <c r="BZ15" s="54"/>
      <c r="CA15" s="21" t="str">
        <f>IFERROR(VLOOKUP(October[[#This Row],[Drug Name8]],'Data Options'!$R$1:$S$100,2,FALSE), " ")</f>
        <v xml:space="preserve"> </v>
      </c>
      <c r="CB15" s="55"/>
      <c r="CC15" s="32"/>
      <c r="CD15" s="32"/>
      <c r="CE15" s="55"/>
      <c r="CF15" s="32"/>
      <c r="CG15" s="54"/>
      <c r="CH15" s="21" t="str">
        <f>IFERROR(VLOOKUP(October[[#This Row],[Drug Name9]],'Data Options'!$R$1:$S$100,2,FALSE), " ")</f>
        <v xml:space="preserve"> </v>
      </c>
      <c r="CI15" s="55"/>
      <c r="CJ15" s="32"/>
      <c r="CK15" s="32"/>
      <c r="CL15" s="55"/>
      <c r="CM15" s="32"/>
    </row>
    <row r="16" spans="1:91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1"/>
      <c r="Q16" s="54"/>
      <c r="R16" s="21" t="str">
        <f>IFERROR(VLOOKUP(October[[#This Row],[Drug Name]],'Data Options'!$R$1:$S$100,2,FALSE), " ")</f>
        <v xml:space="preserve"> </v>
      </c>
      <c r="S16" s="55"/>
      <c r="T16" s="32"/>
      <c r="U16" s="32"/>
      <c r="V16" s="55"/>
      <c r="W16" s="32"/>
      <c r="X16" s="54"/>
      <c r="Y16" s="21" t="str">
        <f>IFERROR(VLOOKUP(October[[#This Row],[Drug Name2]],'Data Options'!$R$1:$S$100,2,FALSE), " ")</f>
        <v xml:space="preserve"> </v>
      </c>
      <c r="Z16" s="55"/>
      <c r="AA16" s="32"/>
      <c r="AB16" s="32"/>
      <c r="AC16" s="55"/>
      <c r="AD16" s="32"/>
      <c r="AE16" s="54"/>
      <c r="AF16" s="21" t="str">
        <f>IFERROR(VLOOKUP(October[[#This Row],[Drug Name3]],'Data Options'!$R$1:$S$100,2,FALSE), " ")</f>
        <v xml:space="preserve"> </v>
      </c>
      <c r="AG16" s="55"/>
      <c r="AH16" s="32"/>
      <c r="AI16" s="32"/>
      <c r="AJ16" s="55"/>
      <c r="AK16" s="32"/>
      <c r="AL16" s="32"/>
      <c r="AM16" s="32"/>
      <c r="AN16" s="32"/>
      <c r="AO16" s="32"/>
      <c r="AP16" s="31"/>
      <c r="AQ16" s="31"/>
      <c r="AR16" s="54"/>
      <c r="AS16" s="21" t="str">
        <f>IFERROR(VLOOKUP(October[[#This Row],[Drug Name4]],'Data Options'!$R$1:$S$100,2,FALSE), " ")</f>
        <v xml:space="preserve"> </v>
      </c>
      <c r="AT16" s="55"/>
      <c r="AU16" s="32"/>
      <c r="AV16" s="32"/>
      <c r="AW16" s="55"/>
      <c r="AX16" s="32"/>
      <c r="AY16" s="54"/>
      <c r="AZ16" s="21" t="str">
        <f>IFERROR(VLOOKUP(October[[#This Row],[Drug Name5]],'Data Options'!$R$1:$S$100,2,FALSE), " ")</f>
        <v xml:space="preserve"> </v>
      </c>
      <c r="BA16" s="55"/>
      <c r="BB16" s="32"/>
      <c r="BC16" s="32"/>
      <c r="BD16" s="55"/>
      <c r="BE16" s="32"/>
      <c r="BF16" s="54"/>
      <c r="BG16" s="21" t="str">
        <f>IFERROR(VLOOKUP(October[[#This Row],[Drug Name6]],'Data Options'!$R$1:$S$100,2,FALSE), " ")</f>
        <v xml:space="preserve"> </v>
      </c>
      <c r="BH16" s="55"/>
      <c r="BI16" s="32"/>
      <c r="BJ16" s="32"/>
      <c r="BK16" s="55"/>
      <c r="BL16" s="32"/>
      <c r="BM16" s="32"/>
      <c r="BN16" s="32"/>
      <c r="BO16" s="32"/>
      <c r="BP16" s="32"/>
      <c r="BQ16" s="31"/>
      <c r="BR16" s="31"/>
      <c r="BS16" s="54"/>
      <c r="BT16" s="21" t="str">
        <f>IFERROR(VLOOKUP(October[[#This Row],[Drug Name7]],'Data Options'!$R$1:$S$100,2,FALSE), " ")</f>
        <v xml:space="preserve"> </v>
      </c>
      <c r="BU16" s="55"/>
      <c r="BV16" s="32"/>
      <c r="BW16" s="32"/>
      <c r="BX16" s="55"/>
      <c r="BY16" s="32"/>
      <c r="BZ16" s="54"/>
      <c r="CA16" s="21" t="str">
        <f>IFERROR(VLOOKUP(October[[#This Row],[Drug Name8]],'Data Options'!$R$1:$S$100,2,FALSE), " ")</f>
        <v xml:space="preserve"> </v>
      </c>
      <c r="CB16" s="55"/>
      <c r="CC16" s="32"/>
      <c r="CD16" s="32"/>
      <c r="CE16" s="55"/>
      <c r="CF16" s="32"/>
      <c r="CG16" s="54"/>
      <c r="CH16" s="21" t="str">
        <f>IFERROR(VLOOKUP(October[[#This Row],[Drug Name9]],'Data Options'!$R$1:$S$100,2,FALSE), " ")</f>
        <v xml:space="preserve"> </v>
      </c>
      <c r="CI16" s="55"/>
      <c r="CJ16" s="32"/>
      <c r="CK16" s="32"/>
      <c r="CL16" s="55"/>
      <c r="CM16" s="32"/>
    </row>
    <row r="17" spans="1:91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1"/>
      <c r="Q17" s="54"/>
      <c r="R17" s="21" t="str">
        <f>IFERROR(VLOOKUP(October[[#This Row],[Drug Name]],'Data Options'!$R$1:$S$100,2,FALSE), " ")</f>
        <v xml:space="preserve"> </v>
      </c>
      <c r="S17" s="55"/>
      <c r="T17" s="32"/>
      <c r="U17" s="32"/>
      <c r="V17" s="55"/>
      <c r="W17" s="32"/>
      <c r="X17" s="54"/>
      <c r="Y17" s="21" t="str">
        <f>IFERROR(VLOOKUP(October[[#This Row],[Drug Name2]],'Data Options'!$R$1:$S$100,2,FALSE), " ")</f>
        <v xml:space="preserve"> </v>
      </c>
      <c r="Z17" s="55"/>
      <c r="AA17" s="32"/>
      <c r="AB17" s="32"/>
      <c r="AC17" s="55"/>
      <c r="AD17" s="32"/>
      <c r="AE17" s="54"/>
      <c r="AF17" s="21" t="str">
        <f>IFERROR(VLOOKUP(October[[#This Row],[Drug Name3]],'Data Options'!$R$1:$S$100,2,FALSE), " ")</f>
        <v xml:space="preserve"> </v>
      </c>
      <c r="AG17" s="55"/>
      <c r="AH17" s="32"/>
      <c r="AI17" s="32"/>
      <c r="AJ17" s="55"/>
      <c r="AK17" s="32"/>
      <c r="AL17" s="32"/>
      <c r="AM17" s="32"/>
      <c r="AN17" s="32"/>
      <c r="AO17" s="32"/>
      <c r="AP17" s="31"/>
      <c r="AQ17" s="31"/>
      <c r="AR17" s="54"/>
      <c r="AS17" s="21" t="str">
        <f>IFERROR(VLOOKUP(October[[#This Row],[Drug Name4]],'Data Options'!$R$1:$S$100,2,FALSE), " ")</f>
        <v xml:space="preserve"> </v>
      </c>
      <c r="AT17" s="55"/>
      <c r="AU17" s="32"/>
      <c r="AV17" s="32"/>
      <c r="AW17" s="55"/>
      <c r="AX17" s="32"/>
      <c r="AY17" s="54"/>
      <c r="AZ17" s="21" t="str">
        <f>IFERROR(VLOOKUP(October[[#This Row],[Drug Name5]],'Data Options'!$R$1:$S$100,2,FALSE), " ")</f>
        <v xml:space="preserve"> </v>
      </c>
      <c r="BA17" s="55"/>
      <c r="BB17" s="32"/>
      <c r="BC17" s="32"/>
      <c r="BD17" s="55"/>
      <c r="BE17" s="32"/>
      <c r="BF17" s="54"/>
      <c r="BG17" s="21" t="str">
        <f>IFERROR(VLOOKUP(October[[#This Row],[Drug Name6]],'Data Options'!$R$1:$S$100,2,FALSE), " ")</f>
        <v xml:space="preserve"> </v>
      </c>
      <c r="BH17" s="55"/>
      <c r="BI17" s="32"/>
      <c r="BJ17" s="32"/>
      <c r="BK17" s="55"/>
      <c r="BL17" s="32"/>
      <c r="BM17" s="32"/>
      <c r="BN17" s="32"/>
      <c r="BO17" s="32"/>
      <c r="BP17" s="32"/>
      <c r="BQ17" s="31"/>
      <c r="BR17" s="31"/>
      <c r="BS17" s="54"/>
      <c r="BT17" s="21" t="str">
        <f>IFERROR(VLOOKUP(October[[#This Row],[Drug Name7]],'Data Options'!$R$1:$S$100,2,FALSE), " ")</f>
        <v xml:space="preserve"> </v>
      </c>
      <c r="BU17" s="55"/>
      <c r="BV17" s="32"/>
      <c r="BW17" s="32"/>
      <c r="BX17" s="55"/>
      <c r="BY17" s="32"/>
      <c r="BZ17" s="54"/>
      <c r="CA17" s="21" t="str">
        <f>IFERROR(VLOOKUP(October[[#This Row],[Drug Name8]],'Data Options'!$R$1:$S$100,2,FALSE), " ")</f>
        <v xml:space="preserve"> </v>
      </c>
      <c r="CB17" s="55"/>
      <c r="CC17" s="32"/>
      <c r="CD17" s="32"/>
      <c r="CE17" s="55"/>
      <c r="CF17" s="32"/>
      <c r="CG17" s="54"/>
      <c r="CH17" s="21" t="str">
        <f>IFERROR(VLOOKUP(October[[#This Row],[Drug Name9]],'Data Options'!$R$1:$S$100,2,FALSE), " ")</f>
        <v xml:space="preserve"> </v>
      </c>
      <c r="CI17" s="55"/>
      <c r="CJ17" s="32"/>
      <c r="CK17" s="32"/>
      <c r="CL17" s="55"/>
      <c r="CM17" s="32"/>
    </row>
    <row r="18" spans="1:9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1"/>
      <c r="Q18" s="54"/>
      <c r="R18" s="21" t="str">
        <f>IFERROR(VLOOKUP(October[[#This Row],[Drug Name]],'Data Options'!$R$1:$S$100,2,FALSE), " ")</f>
        <v xml:space="preserve"> </v>
      </c>
      <c r="S18" s="55"/>
      <c r="T18" s="32"/>
      <c r="U18" s="32"/>
      <c r="V18" s="55"/>
      <c r="W18" s="32"/>
      <c r="X18" s="54"/>
      <c r="Y18" s="21" t="str">
        <f>IFERROR(VLOOKUP(October[[#This Row],[Drug Name2]],'Data Options'!$R$1:$S$100,2,FALSE), " ")</f>
        <v xml:space="preserve"> </v>
      </c>
      <c r="Z18" s="55"/>
      <c r="AA18" s="32"/>
      <c r="AB18" s="32"/>
      <c r="AC18" s="55"/>
      <c r="AD18" s="32"/>
      <c r="AE18" s="54"/>
      <c r="AF18" s="21" t="str">
        <f>IFERROR(VLOOKUP(October[[#This Row],[Drug Name3]],'Data Options'!$R$1:$S$100,2,FALSE), " ")</f>
        <v xml:space="preserve"> </v>
      </c>
      <c r="AG18" s="55"/>
      <c r="AH18" s="32"/>
      <c r="AI18" s="32"/>
      <c r="AJ18" s="55"/>
      <c r="AK18" s="32"/>
      <c r="AL18" s="32"/>
      <c r="AM18" s="32"/>
      <c r="AN18" s="32"/>
      <c r="AO18" s="32"/>
      <c r="AP18" s="31"/>
      <c r="AQ18" s="31"/>
      <c r="AR18" s="54"/>
      <c r="AS18" s="21" t="str">
        <f>IFERROR(VLOOKUP(October[[#This Row],[Drug Name4]],'Data Options'!$R$1:$S$100,2,FALSE), " ")</f>
        <v xml:space="preserve"> </v>
      </c>
      <c r="AT18" s="55"/>
      <c r="AU18" s="32"/>
      <c r="AV18" s="32"/>
      <c r="AW18" s="55"/>
      <c r="AX18" s="32"/>
      <c r="AY18" s="54"/>
      <c r="AZ18" s="21" t="str">
        <f>IFERROR(VLOOKUP(October[[#This Row],[Drug Name5]],'Data Options'!$R$1:$S$100,2,FALSE), " ")</f>
        <v xml:space="preserve"> </v>
      </c>
      <c r="BA18" s="55"/>
      <c r="BB18" s="32"/>
      <c r="BC18" s="32"/>
      <c r="BD18" s="55"/>
      <c r="BE18" s="32"/>
      <c r="BF18" s="54"/>
      <c r="BG18" s="21" t="str">
        <f>IFERROR(VLOOKUP(October[[#This Row],[Drug Name6]],'Data Options'!$R$1:$S$100,2,FALSE), " ")</f>
        <v xml:space="preserve"> </v>
      </c>
      <c r="BH18" s="55"/>
      <c r="BI18" s="32"/>
      <c r="BJ18" s="32"/>
      <c r="BK18" s="55"/>
      <c r="BL18" s="32"/>
      <c r="BM18" s="32"/>
      <c r="BN18" s="32"/>
      <c r="BO18" s="32"/>
      <c r="BP18" s="32"/>
      <c r="BQ18" s="31"/>
      <c r="BR18" s="31"/>
      <c r="BS18" s="54"/>
      <c r="BT18" s="21" t="str">
        <f>IFERROR(VLOOKUP(October[[#This Row],[Drug Name7]],'Data Options'!$R$1:$S$100,2,FALSE), " ")</f>
        <v xml:space="preserve"> </v>
      </c>
      <c r="BU18" s="55"/>
      <c r="BV18" s="32"/>
      <c r="BW18" s="32"/>
      <c r="BX18" s="55"/>
      <c r="BY18" s="32"/>
      <c r="BZ18" s="54"/>
      <c r="CA18" s="21" t="str">
        <f>IFERROR(VLOOKUP(October[[#This Row],[Drug Name8]],'Data Options'!$R$1:$S$100,2,FALSE), " ")</f>
        <v xml:space="preserve"> </v>
      </c>
      <c r="CB18" s="55"/>
      <c r="CC18" s="32"/>
      <c r="CD18" s="32"/>
      <c r="CE18" s="55"/>
      <c r="CF18" s="32"/>
      <c r="CG18" s="54"/>
      <c r="CH18" s="21" t="str">
        <f>IFERROR(VLOOKUP(October[[#This Row],[Drug Name9]],'Data Options'!$R$1:$S$100,2,FALSE), " ")</f>
        <v xml:space="preserve"> </v>
      </c>
      <c r="CI18" s="55"/>
      <c r="CJ18" s="32"/>
      <c r="CK18" s="32"/>
      <c r="CL18" s="55"/>
      <c r="CM18" s="32"/>
    </row>
    <row r="19" spans="1:9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54"/>
      <c r="R19" s="21" t="str">
        <f>IFERROR(VLOOKUP(October[[#This Row],[Drug Name]],'Data Options'!$R$1:$S$100,2,FALSE), " ")</f>
        <v xml:space="preserve"> </v>
      </c>
      <c r="S19" s="55"/>
      <c r="T19" s="32"/>
      <c r="U19" s="32"/>
      <c r="V19" s="55"/>
      <c r="W19" s="32"/>
      <c r="X19" s="54"/>
      <c r="Y19" s="21" t="str">
        <f>IFERROR(VLOOKUP(October[[#This Row],[Drug Name2]],'Data Options'!$R$1:$S$100,2,FALSE), " ")</f>
        <v xml:space="preserve"> </v>
      </c>
      <c r="Z19" s="55"/>
      <c r="AA19" s="32"/>
      <c r="AB19" s="32"/>
      <c r="AC19" s="55"/>
      <c r="AD19" s="32"/>
      <c r="AE19" s="54"/>
      <c r="AF19" s="21" t="str">
        <f>IFERROR(VLOOKUP(October[[#This Row],[Drug Name3]],'Data Options'!$R$1:$S$100,2,FALSE), " ")</f>
        <v xml:space="preserve"> </v>
      </c>
      <c r="AG19" s="55"/>
      <c r="AH19" s="32"/>
      <c r="AI19" s="32"/>
      <c r="AJ19" s="55"/>
      <c r="AK19" s="32"/>
      <c r="AL19" s="32"/>
      <c r="AM19" s="32"/>
      <c r="AN19" s="32"/>
      <c r="AO19" s="32"/>
      <c r="AP19" s="31"/>
      <c r="AQ19" s="31"/>
      <c r="AR19" s="54"/>
      <c r="AS19" s="21" t="str">
        <f>IFERROR(VLOOKUP(October[[#This Row],[Drug Name4]],'Data Options'!$R$1:$S$100,2,FALSE), " ")</f>
        <v xml:space="preserve"> </v>
      </c>
      <c r="AT19" s="55"/>
      <c r="AU19" s="32"/>
      <c r="AV19" s="32"/>
      <c r="AW19" s="55"/>
      <c r="AX19" s="32"/>
      <c r="AY19" s="54"/>
      <c r="AZ19" s="21" t="str">
        <f>IFERROR(VLOOKUP(October[[#This Row],[Drug Name5]],'Data Options'!$R$1:$S$100,2,FALSE), " ")</f>
        <v xml:space="preserve"> </v>
      </c>
      <c r="BA19" s="55"/>
      <c r="BB19" s="32"/>
      <c r="BC19" s="32"/>
      <c r="BD19" s="55"/>
      <c r="BE19" s="32"/>
      <c r="BF19" s="54"/>
      <c r="BG19" s="21" t="str">
        <f>IFERROR(VLOOKUP(October[[#This Row],[Drug Name6]],'Data Options'!$R$1:$S$100,2,FALSE), " ")</f>
        <v xml:space="preserve"> </v>
      </c>
      <c r="BH19" s="55"/>
      <c r="BI19" s="32"/>
      <c r="BJ19" s="32"/>
      <c r="BK19" s="55"/>
      <c r="BL19" s="32"/>
      <c r="BM19" s="32"/>
      <c r="BN19" s="32"/>
      <c r="BO19" s="32"/>
      <c r="BP19" s="32"/>
      <c r="BQ19" s="31"/>
      <c r="BR19" s="31"/>
      <c r="BS19" s="54"/>
      <c r="BT19" s="21" t="str">
        <f>IFERROR(VLOOKUP(October[[#This Row],[Drug Name7]],'Data Options'!$R$1:$S$100,2,FALSE), " ")</f>
        <v xml:space="preserve"> </v>
      </c>
      <c r="BU19" s="55"/>
      <c r="BV19" s="32"/>
      <c r="BW19" s="32"/>
      <c r="BX19" s="55"/>
      <c r="BY19" s="32"/>
      <c r="BZ19" s="54"/>
      <c r="CA19" s="21" t="str">
        <f>IFERROR(VLOOKUP(October[[#This Row],[Drug Name8]],'Data Options'!$R$1:$S$100,2,FALSE), " ")</f>
        <v xml:space="preserve"> </v>
      </c>
      <c r="CB19" s="55"/>
      <c r="CC19" s="32"/>
      <c r="CD19" s="32"/>
      <c r="CE19" s="55"/>
      <c r="CF19" s="32"/>
      <c r="CG19" s="54"/>
      <c r="CH19" s="21" t="str">
        <f>IFERROR(VLOOKUP(October[[#This Row],[Drug Name9]],'Data Options'!$R$1:$S$100,2,FALSE), " ")</f>
        <v xml:space="preserve"> </v>
      </c>
      <c r="CI19" s="55"/>
      <c r="CJ19" s="32"/>
      <c r="CK19" s="32"/>
      <c r="CL19" s="55"/>
      <c r="CM19" s="32"/>
    </row>
    <row r="20" spans="1:9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1"/>
      <c r="Q20" s="54"/>
      <c r="R20" s="21" t="str">
        <f>IFERROR(VLOOKUP(October[[#This Row],[Drug Name]],'Data Options'!$R$1:$S$100,2,FALSE), " ")</f>
        <v xml:space="preserve"> </v>
      </c>
      <c r="S20" s="55"/>
      <c r="T20" s="32"/>
      <c r="U20" s="32"/>
      <c r="V20" s="55"/>
      <c r="W20" s="32"/>
      <c r="X20" s="54"/>
      <c r="Y20" s="21" t="str">
        <f>IFERROR(VLOOKUP(October[[#This Row],[Drug Name2]],'Data Options'!$R$1:$S$100,2,FALSE), " ")</f>
        <v xml:space="preserve"> </v>
      </c>
      <c r="Z20" s="55"/>
      <c r="AA20" s="32"/>
      <c r="AB20" s="32"/>
      <c r="AC20" s="55"/>
      <c r="AD20" s="32"/>
      <c r="AE20" s="54"/>
      <c r="AF20" s="21" t="str">
        <f>IFERROR(VLOOKUP(October[[#This Row],[Drug Name3]],'Data Options'!$R$1:$S$100,2,FALSE), " ")</f>
        <v xml:space="preserve"> </v>
      </c>
      <c r="AG20" s="55"/>
      <c r="AH20" s="32"/>
      <c r="AI20" s="32"/>
      <c r="AJ20" s="55"/>
      <c r="AK20" s="32"/>
      <c r="AL20" s="32"/>
      <c r="AM20" s="32"/>
      <c r="AN20" s="32"/>
      <c r="AO20" s="32"/>
      <c r="AP20" s="31"/>
      <c r="AQ20" s="31"/>
      <c r="AR20" s="54"/>
      <c r="AS20" s="21" t="str">
        <f>IFERROR(VLOOKUP(October[[#This Row],[Drug Name4]],'Data Options'!$R$1:$S$100,2,FALSE), " ")</f>
        <v xml:space="preserve"> </v>
      </c>
      <c r="AT20" s="55"/>
      <c r="AU20" s="32"/>
      <c r="AV20" s="32"/>
      <c r="AW20" s="55"/>
      <c r="AX20" s="32"/>
      <c r="AY20" s="54"/>
      <c r="AZ20" s="21" t="str">
        <f>IFERROR(VLOOKUP(October[[#This Row],[Drug Name5]],'Data Options'!$R$1:$S$100,2,FALSE), " ")</f>
        <v xml:space="preserve"> </v>
      </c>
      <c r="BA20" s="55"/>
      <c r="BB20" s="32"/>
      <c r="BC20" s="32"/>
      <c r="BD20" s="55"/>
      <c r="BE20" s="32"/>
      <c r="BF20" s="54"/>
      <c r="BG20" s="21" t="str">
        <f>IFERROR(VLOOKUP(October[[#This Row],[Drug Name6]],'Data Options'!$R$1:$S$100,2,FALSE), " ")</f>
        <v xml:space="preserve"> </v>
      </c>
      <c r="BH20" s="55"/>
      <c r="BI20" s="32"/>
      <c r="BJ20" s="32"/>
      <c r="BK20" s="55"/>
      <c r="BL20" s="32"/>
      <c r="BM20" s="32"/>
      <c r="BN20" s="32"/>
      <c r="BO20" s="32"/>
      <c r="BP20" s="32"/>
      <c r="BQ20" s="31"/>
      <c r="BR20" s="31"/>
      <c r="BS20" s="54"/>
      <c r="BT20" s="21" t="str">
        <f>IFERROR(VLOOKUP(October[[#This Row],[Drug Name7]],'Data Options'!$R$1:$S$100,2,FALSE), " ")</f>
        <v xml:space="preserve"> </v>
      </c>
      <c r="BU20" s="55"/>
      <c r="BV20" s="32"/>
      <c r="BW20" s="32"/>
      <c r="BX20" s="55"/>
      <c r="BY20" s="32"/>
      <c r="BZ20" s="54"/>
      <c r="CA20" s="21" t="str">
        <f>IFERROR(VLOOKUP(October[[#This Row],[Drug Name8]],'Data Options'!$R$1:$S$100,2,FALSE), " ")</f>
        <v xml:space="preserve"> </v>
      </c>
      <c r="CB20" s="55"/>
      <c r="CC20" s="32"/>
      <c r="CD20" s="32"/>
      <c r="CE20" s="55"/>
      <c r="CF20" s="32"/>
      <c r="CG20" s="54"/>
      <c r="CH20" s="21" t="str">
        <f>IFERROR(VLOOKUP(October[[#This Row],[Drug Name9]],'Data Options'!$R$1:$S$100,2,FALSE), " ")</f>
        <v xml:space="preserve"> </v>
      </c>
      <c r="CI20" s="55"/>
      <c r="CJ20" s="32"/>
      <c r="CK20" s="32"/>
      <c r="CL20" s="55"/>
      <c r="CM20" s="32"/>
    </row>
    <row r="21" spans="1:91">
      <c r="A21" s="5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1"/>
      <c r="Q21" s="54"/>
      <c r="R21" s="21" t="str">
        <f>IFERROR(VLOOKUP(October[[#This Row],[Drug Name]],'Data Options'!$R$1:$S$100,2,FALSE), " ")</f>
        <v xml:space="preserve"> </v>
      </c>
      <c r="S21" s="55"/>
      <c r="T21" s="32"/>
      <c r="U21" s="32"/>
      <c r="V21" s="55"/>
      <c r="W21" s="32"/>
      <c r="X21" s="54"/>
      <c r="Y21" s="21" t="str">
        <f>IFERROR(VLOOKUP(October[[#This Row],[Drug Name2]],'Data Options'!$R$1:$S$100,2,FALSE), " ")</f>
        <v xml:space="preserve"> </v>
      </c>
      <c r="Z21" s="55"/>
      <c r="AA21" s="32"/>
      <c r="AB21" s="32"/>
      <c r="AC21" s="55"/>
      <c r="AD21" s="32"/>
      <c r="AE21" s="54"/>
      <c r="AF21" s="21" t="str">
        <f>IFERROR(VLOOKUP(October[[#This Row],[Drug Name3]],'Data Options'!$R$1:$S$100,2,FALSE), " ")</f>
        <v xml:space="preserve"> </v>
      </c>
      <c r="AG21" s="55"/>
      <c r="AH21" s="32"/>
      <c r="AI21" s="32"/>
      <c r="AJ21" s="55"/>
      <c r="AK21" s="32"/>
      <c r="AL21" s="32"/>
      <c r="AM21" s="32"/>
      <c r="AN21" s="32"/>
      <c r="AO21" s="32"/>
      <c r="AP21" s="31"/>
      <c r="AQ21" s="31"/>
      <c r="AR21" s="54"/>
      <c r="AS21" s="21" t="str">
        <f>IFERROR(VLOOKUP(October[[#This Row],[Drug Name4]],'Data Options'!$R$1:$S$100,2,FALSE), " ")</f>
        <v xml:space="preserve"> </v>
      </c>
      <c r="AT21" s="55"/>
      <c r="AU21" s="32"/>
      <c r="AV21" s="32"/>
      <c r="AW21" s="55"/>
      <c r="AX21" s="32"/>
      <c r="AY21" s="54"/>
      <c r="AZ21" s="21" t="str">
        <f>IFERROR(VLOOKUP(October[[#This Row],[Drug Name5]],'Data Options'!$R$1:$S$100,2,FALSE), " ")</f>
        <v xml:space="preserve"> </v>
      </c>
      <c r="BA21" s="55"/>
      <c r="BB21" s="32"/>
      <c r="BC21" s="32"/>
      <c r="BD21" s="55"/>
      <c r="BE21" s="32"/>
      <c r="BF21" s="54"/>
      <c r="BG21" s="21" t="str">
        <f>IFERROR(VLOOKUP(October[[#This Row],[Drug Name6]],'Data Options'!$R$1:$S$100,2,FALSE), " ")</f>
        <v xml:space="preserve"> </v>
      </c>
      <c r="BH21" s="55"/>
      <c r="BI21" s="32"/>
      <c r="BJ21" s="32"/>
      <c r="BK21" s="55"/>
      <c r="BL21" s="32"/>
      <c r="BM21" s="32"/>
      <c r="BN21" s="32"/>
      <c r="BO21" s="32"/>
      <c r="BP21" s="32"/>
      <c r="BQ21" s="31"/>
      <c r="BR21" s="31"/>
      <c r="BS21" s="54"/>
      <c r="BT21" s="21" t="str">
        <f>IFERROR(VLOOKUP(October[[#This Row],[Drug Name7]],'Data Options'!$R$1:$S$100,2,FALSE), " ")</f>
        <v xml:space="preserve"> </v>
      </c>
      <c r="BU21" s="55"/>
      <c r="BV21" s="32"/>
      <c r="BW21" s="32"/>
      <c r="BX21" s="55"/>
      <c r="BY21" s="32"/>
      <c r="BZ21" s="54"/>
      <c r="CA21" s="21" t="str">
        <f>IFERROR(VLOOKUP(October[[#This Row],[Drug Name8]],'Data Options'!$R$1:$S$100,2,FALSE), " ")</f>
        <v xml:space="preserve"> </v>
      </c>
      <c r="CB21" s="55"/>
      <c r="CC21" s="32"/>
      <c r="CD21" s="32"/>
      <c r="CE21" s="55"/>
      <c r="CF21" s="32"/>
      <c r="CG21" s="54"/>
      <c r="CH21" s="21" t="str">
        <f>IFERROR(VLOOKUP(October[[#This Row],[Drug Name9]],'Data Options'!$R$1:$S$100,2,FALSE), " ")</f>
        <v xml:space="preserve"> </v>
      </c>
      <c r="CI21" s="55"/>
      <c r="CJ21" s="32"/>
      <c r="CK21" s="32"/>
      <c r="CL21" s="55"/>
      <c r="CM21" s="32"/>
    </row>
    <row r="22" spans="1:91">
      <c r="A22" s="5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1"/>
      <c r="Q22" s="54"/>
      <c r="R22" s="21" t="str">
        <f>IFERROR(VLOOKUP(October[[#This Row],[Drug Name]],'Data Options'!$R$1:$S$100,2,FALSE), " ")</f>
        <v xml:space="preserve"> </v>
      </c>
      <c r="S22" s="55"/>
      <c r="T22" s="32"/>
      <c r="U22" s="32"/>
      <c r="V22" s="55"/>
      <c r="W22" s="32"/>
      <c r="X22" s="54"/>
      <c r="Y22" s="21" t="str">
        <f>IFERROR(VLOOKUP(October[[#This Row],[Drug Name2]],'Data Options'!$R$1:$S$100,2,FALSE), " ")</f>
        <v xml:space="preserve"> </v>
      </c>
      <c r="Z22" s="55"/>
      <c r="AA22" s="32"/>
      <c r="AB22" s="32"/>
      <c r="AC22" s="55"/>
      <c r="AD22" s="32"/>
      <c r="AE22" s="54"/>
      <c r="AF22" s="21" t="str">
        <f>IFERROR(VLOOKUP(October[[#This Row],[Drug Name3]],'Data Options'!$R$1:$S$100,2,FALSE), " ")</f>
        <v xml:space="preserve"> </v>
      </c>
      <c r="AG22" s="55"/>
      <c r="AH22" s="32"/>
      <c r="AI22" s="32"/>
      <c r="AJ22" s="55"/>
      <c r="AK22" s="32"/>
      <c r="AL22" s="32"/>
      <c r="AM22" s="32"/>
      <c r="AN22" s="32"/>
      <c r="AO22" s="32"/>
      <c r="AP22" s="31"/>
      <c r="AQ22" s="31"/>
      <c r="AR22" s="54"/>
      <c r="AS22" s="21" t="str">
        <f>IFERROR(VLOOKUP(October[[#This Row],[Drug Name4]],'Data Options'!$R$1:$S$100,2,FALSE), " ")</f>
        <v xml:space="preserve"> </v>
      </c>
      <c r="AT22" s="55"/>
      <c r="AU22" s="32"/>
      <c r="AV22" s="32"/>
      <c r="AW22" s="55"/>
      <c r="AX22" s="32"/>
      <c r="AY22" s="54"/>
      <c r="AZ22" s="21" t="str">
        <f>IFERROR(VLOOKUP(October[[#This Row],[Drug Name5]],'Data Options'!$R$1:$S$100,2,FALSE), " ")</f>
        <v xml:space="preserve"> </v>
      </c>
      <c r="BA22" s="55"/>
      <c r="BB22" s="32"/>
      <c r="BC22" s="32"/>
      <c r="BD22" s="55"/>
      <c r="BE22" s="32"/>
      <c r="BF22" s="54"/>
      <c r="BG22" s="21" t="str">
        <f>IFERROR(VLOOKUP(October[[#This Row],[Drug Name6]],'Data Options'!$R$1:$S$100,2,FALSE), " ")</f>
        <v xml:space="preserve"> </v>
      </c>
      <c r="BH22" s="55"/>
      <c r="BI22" s="32"/>
      <c r="BJ22" s="32"/>
      <c r="BK22" s="55"/>
      <c r="BL22" s="32"/>
      <c r="BM22" s="32"/>
      <c r="BN22" s="32"/>
      <c r="BO22" s="32"/>
      <c r="BP22" s="32"/>
      <c r="BQ22" s="31"/>
      <c r="BR22" s="31"/>
      <c r="BS22" s="54"/>
      <c r="BT22" s="21" t="str">
        <f>IFERROR(VLOOKUP(October[[#This Row],[Drug Name7]],'Data Options'!$R$1:$S$100,2,FALSE), " ")</f>
        <v xml:space="preserve"> </v>
      </c>
      <c r="BU22" s="55"/>
      <c r="BV22" s="32"/>
      <c r="BW22" s="32"/>
      <c r="BX22" s="55"/>
      <c r="BY22" s="32"/>
      <c r="BZ22" s="54"/>
      <c r="CA22" s="21" t="str">
        <f>IFERROR(VLOOKUP(October[[#This Row],[Drug Name8]],'Data Options'!$R$1:$S$100,2,FALSE), " ")</f>
        <v xml:space="preserve"> </v>
      </c>
      <c r="CB22" s="55"/>
      <c r="CC22" s="32"/>
      <c r="CD22" s="32"/>
      <c r="CE22" s="55"/>
      <c r="CF22" s="32"/>
      <c r="CG22" s="54"/>
      <c r="CH22" s="21" t="str">
        <f>IFERROR(VLOOKUP(October[[#This Row],[Drug Name9]],'Data Options'!$R$1:$S$100,2,FALSE), " ")</f>
        <v xml:space="preserve"> </v>
      </c>
      <c r="CI22" s="55"/>
      <c r="CJ22" s="32"/>
      <c r="CK22" s="32"/>
      <c r="CL22" s="55"/>
      <c r="CM22" s="32"/>
    </row>
    <row r="23" spans="1:9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54"/>
      <c r="R23" s="21" t="str">
        <f>IFERROR(VLOOKUP(October[[#This Row],[Drug Name]],'Data Options'!$R$1:$S$100,2,FALSE), " ")</f>
        <v xml:space="preserve"> </v>
      </c>
      <c r="S23" s="55"/>
      <c r="T23" s="32"/>
      <c r="U23" s="32"/>
      <c r="V23" s="55"/>
      <c r="W23" s="32"/>
      <c r="X23" s="54"/>
      <c r="Y23" s="21" t="str">
        <f>IFERROR(VLOOKUP(October[[#This Row],[Drug Name2]],'Data Options'!$R$1:$S$100,2,FALSE), " ")</f>
        <v xml:space="preserve"> </v>
      </c>
      <c r="Z23" s="55"/>
      <c r="AA23" s="32"/>
      <c r="AB23" s="32"/>
      <c r="AC23" s="55"/>
      <c r="AD23" s="32"/>
      <c r="AE23" s="54"/>
      <c r="AF23" s="21" t="str">
        <f>IFERROR(VLOOKUP(October[[#This Row],[Drug Name3]],'Data Options'!$R$1:$S$100,2,FALSE), " ")</f>
        <v xml:space="preserve"> </v>
      </c>
      <c r="AG23" s="55"/>
      <c r="AH23" s="32"/>
      <c r="AI23" s="32"/>
      <c r="AJ23" s="55"/>
      <c r="AK23" s="32"/>
      <c r="AL23" s="32"/>
      <c r="AM23" s="32"/>
      <c r="AN23" s="32"/>
      <c r="AO23" s="32"/>
      <c r="AP23" s="31"/>
      <c r="AQ23" s="31"/>
      <c r="AR23" s="54"/>
      <c r="AS23" s="21" t="str">
        <f>IFERROR(VLOOKUP(October[[#This Row],[Drug Name4]],'Data Options'!$R$1:$S$100,2,FALSE), " ")</f>
        <v xml:space="preserve"> </v>
      </c>
      <c r="AT23" s="55"/>
      <c r="AU23" s="32"/>
      <c r="AV23" s="32"/>
      <c r="AW23" s="55"/>
      <c r="AX23" s="32"/>
      <c r="AY23" s="54"/>
      <c r="AZ23" s="21" t="str">
        <f>IFERROR(VLOOKUP(October[[#This Row],[Drug Name5]],'Data Options'!$R$1:$S$100,2,FALSE), " ")</f>
        <v xml:space="preserve"> </v>
      </c>
      <c r="BA23" s="55"/>
      <c r="BB23" s="32"/>
      <c r="BC23" s="32"/>
      <c r="BD23" s="55"/>
      <c r="BE23" s="32"/>
      <c r="BF23" s="54"/>
      <c r="BG23" s="21" t="str">
        <f>IFERROR(VLOOKUP(October[[#This Row],[Drug Name6]],'Data Options'!$R$1:$S$100,2,FALSE), " ")</f>
        <v xml:space="preserve"> </v>
      </c>
      <c r="BH23" s="55"/>
      <c r="BI23" s="32"/>
      <c r="BJ23" s="32"/>
      <c r="BK23" s="55"/>
      <c r="BL23" s="32"/>
      <c r="BM23" s="32"/>
      <c r="BN23" s="32"/>
      <c r="BO23" s="32"/>
      <c r="BP23" s="32"/>
      <c r="BQ23" s="31"/>
      <c r="BR23" s="31"/>
      <c r="BS23" s="54"/>
      <c r="BT23" s="21" t="str">
        <f>IFERROR(VLOOKUP(October[[#This Row],[Drug Name7]],'Data Options'!$R$1:$S$100,2,FALSE), " ")</f>
        <v xml:space="preserve"> </v>
      </c>
      <c r="BU23" s="55"/>
      <c r="BV23" s="32"/>
      <c r="BW23" s="32"/>
      <c r="BX23" s="55"/>
      <c r="BY23" s="32"/>
      <c r="BZ23" s="54"/>
      <c r="CA23" s="21" t="str">
        <f>IFERROR(VLOOKUP(October[[#This Row],[Drug Name8]],'Data Options'!$R$1:$S$100,2,FALSE), " ")</f>
        <v xml:space="preserve"> </v>
      </c>
      <c r="CB23" s="55"/>
      <c r="CC23" s="32"/>
      <c r="CD23" s="32"/>
      <c r="CE23" s="55"/>
      <c r="CF23" s="32"/>
      <c r="CG23" s="54"/>
      <c r="CH23" s="21" t="str">
        <f>IFERROR(VLOOKUP(October[[#This Row],[Drug Name9]],'Data Options'!$R$1:$S$100,2,FALSE), " ")</f>
        <v xml:space="preserve"> </v>
      </c>
      <c r="CI23" s="55"/>
      <c r="CJ23" s="32"/>
      <c r="CK23" s="32"/>
      <c r="CL23" s="55"/>
      <c r="CM23" s="32"/>
    </row>
    <row r="24" spans="1:91">
      <c r="A24" s="5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54"/>
      <c r="R24" s="21" t="str">
        <f>IFERROR(VLOOKUP(October[[#This Row],[Drug Name]],'Data Options'!$R$1:$S$100,2,FALSE), " ")</f>
        <v xml:space="preserve"> </v>
      </c>
      <c r="S24" s="55"/>
      <c r="T24" s="32"/>
      <c r="U24" s="32"/>
      <c r="V24" s="55"/>
      <c r="W24" s="32"/>
      <c r="X24" s="54"/>
      <c r="Y24" s="21" t="str">
        <f>IFERROR(VLOOKUP(October[[#This Row],[Drug Name2]],'Data Options'!$R$1:$S$100,2,FALSE), " ")</f>
        <v xml:space="preserve"> </v>
      </c>
      <c r="Z24" s="55"/>
      <c r="AA24" s="32"/>
      <c r="AB24" s="32"/>
      <c r="AC24" s="55"/>
      <c r="AD24" s="32"/>
      <c r="AE24" s="54"/>
      <c r="AF24" s="21" t="str">
        <f>IFERROR(VLOOKUP(October[[#This Row],[Drug Name3]],'Data Options'!$R$1:$S$100,2,FALSE), " ")</f>
        <v xml:space="preserve"> </v>
      </c>
      <c r="AG24" s="55"/>
      <c r="AH24" s="32"/>
      <c r="AI24" s="32"/>
      <c r="AJ24" s="55"/>
      <c r="AK24" s="32"/>
      <c r="AL24" s="32"/>
      <c r="AM24" s="32"/>
      <c r="AN24" s="32"/>
      <c r="AO24" s="32"/>
      <c r="AP24" s="31"/>
      <c r="AQ24" s="31"/>
      <c r="AR24" s="54"/>
      <c r="AS24" s="21" t="str">
        <f>IFERROR(VLOOKUP(October[[#This Row],[Drug Name4]],'Data Options'!$R$1:$S$100,2,FALSE), " ")</f>
        <v xml:space="preserve"> </v>
      </c>
      <c r="AT24" s="55"/>
      <c r="AU24" s="32"/>
      <c r="AV24" s="32"/>
      <c r="AW24" s="55"/>
      <c r="AX24" s="32"/>
      <c r="AY24" s="54"/>
      <c r="AZ24" s="21" t="str">
        <f>IFERROR(VLOOKUP(October[[#This Row],[Drug Name5]],'Data Options'!$R$1:$S$100,2,FALSE), " ")</f>
        <v xml:space="preserve"> </v>
      </c>
      <c r="BA24" s="55"/>
      <c r="BB24" s="32"/>
      <c r="BC24" s="32"/>
      <c r="BD24" s="55"/>
      <c r="BE24" s="32"/>
      <c r="BF24" s="54"/>
      <c r="BG24" s="21" t="str">
        <f>IFERROR(VLOOKUP(October[[#This Row],[Drug Name6]],'Data Options'!$R$1:$S$100,2,FALSE), " ")</f>
        <v xml:space="preserve"> </v>
      </c>
      <c r="BH24" s="55"/>
      <c r="BI24" s="32"/>
      <c r="BJ24" s="32"/>
      <c r="BK24" s="55"/>
      <c r="BL24" s="32"/>
      <c r="BM24" s="32"/>
      <c r="BN24" s="32"/>
      <c r="BO24" s="32"/>
      <c r="BP24" s="32"/>
      <c r="BQ24" s="31"/>
      <c r="BR24" s="31"/>
      <c r="BS24" s="54"/>
      <c r="BT24" s="21" t="str">
        <f>IFERROR(VLOOKUP(October[[#This Row],[Drug Name7]],'Data Options'!$R$1:$S$100,2,FALSE), " ")</f>
        <v xml:space="preserve"> </v>
      </c>
      <c r="BU24" s="55"/>
      <c r="BV24" s="32"/>
      <c r="BW24" s="32"/>
      <c r="BX24" s="55"/>
      <c r="BY24" s="32"/>
      <c r="BZ24" s="54"/>
      <c r="CA24" s="21" t="str">
        <f>IFERROR(VLOOKUP(October[[#This Row],[Drug Name8]],'Data Options'!$R$1:$S$100,2,FALSE), " ")</f>
        <v xml:space="preserve"> </v>
      </c>
      <c r="CB24" s="55"/>
      <c r="CC24" s="32"/>
      <c r="CD24" s="32"/>
      <c r="CE24" s="55"/>
      <c r="CF24" s="32"/>
      <c r="CG24" s="54"/>
      <c r="CH24" s="21" t="str">
        <f>IFERROR(VLOOKUP(October[[#This Row],[Drug Name9]],'Data Options'!$R$1:$S$100,2,FALSE), " ")</f>
        <v xml:space="preserve"> </v>
      </c>
      <c r="CI24" s="55"/>
      <c r="CJ24" s="32"/>
      <c r="CK24" s="32"/>
      <c r="CL24" s="55"/>
      <c r="CM24" s="32"/>
    </row>
    <row r="25" spans="1:9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54"/>
      <c r="R25" s="21" t="str">
        <f>IFERROR(VLOOKUP(October[[#This Row],[Drug Name]],'Data Options'!$R$1:$S$100,2,FALSE), " ")</f>
        <v xml:space="preserve"> </v>
      </c>
      <c r="S25" s="55"/>
      <c r="T25" s="32"/>
      <c r="U25" s="32"/>
      <c r="V25" s="55"/>
      <c r="W25" s="32"/>
      <c r="X25" s="54"/>
      <c r="Y25" s="21" t="str">
        <f>IFERROR(VLOOKUP(October[[#This Row],[Drug Name2]],'Data Options'!$R$1:$S$100,2,FALSE), " ")</f>
        <v xml:space="preserve"> </v>
      </c>
      <c r="Z25" s="55"/>
      <c r="AA25" s="32"/>
      <c r="AB25" s="32"/>
      <c r="AC25" s="55"/>
      <c r="AD25" s="32"/>
      <c r="AE25" s="54"/>
      <c r="AF25" s="21" t="str">
        <f>IFERROR(VLOOKUP(October[[#This Row],[Drug Name3]],'Data Options'!$R$1:$S$100,2,FALSE), " ")</f>
        <v xml:space="preserve"> </v>
      </c>
      <c r="AG25" s="55"/>
      <c r="AH25" s="32"/>
      <c r="AI25" s="32"/>
      <c r="AJ25" s="55"/>
      <c r="AK25" s="32"/>
      <c r="AL25" s="32"/>
      <c r="AM25" s="32"/>
      <c r="AN25" s="32"/>
      <c r="AO25" s="32"/>
      <c r="AP25" s="31"/>
      <c r="AQ25" s="31"/>
      <c r="AR25" s="54"/>
      <c r="AS25" s="21" t="str">
        <f>IFERROR(VLOOKUP(October[[#This Row],[Drug Name4]],'Data Options'!$R$1:$S$100,2,FALSE), " ")</f>
        <v xml:space="preserve"> </v>
      </c>
      <c r="AT25" s="55"/>
      <c r="AU25" s="32"/>
      <c r="AV25" s="32"/>
      <c r="AW25" s="55"/>
      <c r="AX25" s="32"/>
      <c r="AY25" s="54"/>
      <c r="AZ25" s="21" t="str">
        <f>IFERROR(VLOOKUP(October[[#This Row],[Drug Name5]],'Data Options'!$R$1:$S$100,2,FALSE), " ")</f>
        <v xml:space="preserve"> </v>
      </c>
      <c r="BA25" s="55"/>
      <c r="BB25" s="32"/>
      <c r="BC25" s="32"/>
      <c r="BD25" s="55"/>
      <c r="BE25" s="32"/>
      <c r="BF25" s="54"/>
      <c r="BG25" s="21" t="str">
        <f>IFERROR(VLOOKUP(October[[#This Row],[Drug Name6]],'Data Options'!$R$1:$S$100,2,FALSE), " ")</f>
        <v xml:space="preserve"> </v>
      </c>
      <c r="BH25" s="55"/>
      <c r="BI25" s="32"/>
      <c r="BJ25" s="32"/>
      <c r="BK25" s="55"/>
      <c r="BL25" s="32"/>
      <c r="BM25" s="32"/>
      <c r="BN25" s="32"/>
      <c r="BO25" s="32"/>
      <c r="BP25" s="32"/>
      <c r="BQ25" s="31"/>
      <c r="BR25" s="31"/>
      <c r="BS25" s="54"/>
      <c r="BT25" s="21" t="str">
        <f>IFERROR(VLOOKUP(October[[#This Row],[Drug Name7]],'Data Options'!$R$1:$S$100,2,FALSE), " ")</f>
        <v xml:space="preserve"> </v>
      </c>
      <c r="BU25" s="55"/>
      <c r="BV25" s="32"/>
      <c r="BW25" s="32"/>
      <c r="BX25" s="55"/>
      <c r="BY25" s="32"/>
      <c r="BZ25" s="54"/>
      <c r="CA25" s="21" t="str">
        <f>IFERROR(VLOOKUP(October[[#This Row],[Drug Name8]],'Data Options'!$R$1:$S$100,2,FALSE), " ")</f>
        <v xml:space="preserve"> </v>
      </c>
      <c r="CB25" s="55"/>
      <c r="CC25" s="32"/>
      <c r="CD25" s="32"/>
      <c r="CE25" s="55"/>
      <c r="CF25" s="32"/>
      <c r="CG25" s="54"/>
      <c r="CH25" s="21" t="str">
        <f>IFERROR(VLOOKUP(October[[#This Row],[Drug Name9]],'Data Options'!$R$1:$S$100,2,FALSE), " ")</f>
        <v xml:space="preserve"> </v>
      </c>
      <c r="CI25" s="55"/>
      <c r="CJ25" s="32"/>
      <c r="CK25" s="32"/>
      <c r="CL25" s="55"/>
      <c r="CM25" s="32"/>
    </row>
    <row r="26" spans="1:91">
      <c r="A26" s="5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54"/>
      <c r="R26" s="21" t="str">
        <f>IFERROR(VLOOKUP(October[[#This Row],[Drug Name]],'Data Options'!$R$1:$S$100,2,FALSE), " ")</f>
        <v xml:space="preserve"> </v>
      </c>
      <c r="S26" s="55"/>
      <c r="T26" s="32"/>
      <c r="U26" s="32"/>
      <c r="V26" s="55"/>
      <c r="W26" s="32"/>
      <c r="X26" s="54"/>
      <c r="Y26" s="21" t="str">
        <f>IFERROR(VLOOKUP(October[[#This Row],[Drug Name2]],'Data Options'!$R$1:$S$100,2,FALSE), " ")</f>
        <v xml:space="preserve"> </v>
      </c>
      <c r="Z26" s="55"/>
      <c r="AA26" s="32"/>
      <c r="AB26" s="32"/>
      <c r="AC26" s="55"/>
      <c r="AD26" s="32"/>
      <c r="AE26" s="54"/>
      <c r="AF26" s="21" t="str">
        <f>IFERROR(VLOOKUP(October[[#This Row],[Drug Name3]],'Data Options'!$R$1:$S$100,2,FALSE), " ")</f>
        <v xml:space="preserve"> </v>
      </c>
      <c r="AG26" s="55"/>
      <c r="AH26" s="32"/>
      <c r="AI26" s="32"/>
      <c r="AJ26" s="55"/>
      <c r="AK26" s="32"/>
      <c r="AL26" s="32"/>
      <c r="AM26" s="32"/>
      <c r="AN26" s="32"/>
      <c r="AO26" s="32"/>
      <c r="AP26" s="31"/>
      <c r="AQ26" s="31"/>
      <c r="AR26" s="54"/>
      <c r="AS26" s="21" t="str">
        <f>IFERROR(VLOOKUP(October[[#This Row],[Drug Name4]],'Data Options'!$R$1:$S$100,2,FALSE), " ")</f>
        <v xml:space="preserve"> </v>
      </c>
      <c r="AT26" s="55"/>
      <c r="AU26" s="32"/>
      <c r="AV26" s="32"/>
      <c r="AW26" s="55"/>
      <c r="AX26" s="32"/>
      <c r="AY26" s="54"/>
      <c r="AZ26" s="21" t="str">
        <f>IFERROR(VLOOKUP(October[[#This Row],[Drug Name5]],'Data Options'!$R$1:$S$100,2,FALSE), " ")</f>
        <v xml:space="preserve"> </v>
      </c>
      <c r="BA26" s="55"/>
      <c r="BB26" s="32"/>
      <c r="BC26" s="32"/>
      <c r="BD26" s="55"/>
      <c r="BE26" s="32"/>
      <c r="BF26" s="54"/>
      <c r="BG26" s="21" t="str">
        <f>IFERROR(VLOOKUP(October[[#This Row],[Drug Name6]],'Data Options'!$R$1:$S$100,2,FALSE), " ")</f>
        <v xml:space="preserve"> </v>
      </c>
      <c r="BH26" s="55"/>
      <c r="BI26" s="32"/>
      <c r="BJ26" s="32"/>
      <c r="BK26" s="55"/>
      <c r="BL26" s="32"/>
      <c r="BM26" s="32"/>
      <c r="BN26" s="32"/>
      <c r="BO26" s="32"/>
      <c r="BP26" s="32"/>
      <c r="BQ26" s="31"/>
      <c r="BR26" s="31"/>
      <c r="BS26" s="54"/>
      <c r="BT26" s="21" t="str">
        <f>IFERROR(VLOOKUP(October[[#This Row],[Drug Name7]],'Data Options'!$R$1:$S$100,2,FALSE), " ")</f>
        <v xml:space="preserve"> </v>
      </c>
      <c r="BU26" s="55"/>
      <c r="BV26" s="32"/>
      <c r="BW26" s="32"/>
      <c r="BX26" s="55"/>
      <c r="BY26" s="32"/>
      <c r="BZ26" s="54"/>
      <c r="CA26" s="21" t="str">
        <f>IFERROR(VLOOKUP(October[[#This Row],[Drug Name8]],'Data Options'!$R$1:$S$100,2,FALSE), " ")</f>
        <v xml:space="preserve"> </v>
      </c>
      <c r="CB26" s="55"/>
      <c r="CC26" s="32"/>
      <c r="CD26" s="32"/>
      <c r="CE26" s="55"/>
      <c r="CF26" s="32"/>
      <c r="CG26" s="54"/>
      <c r="CH26" s="21" t="str">
        <f>IFERROR(VLOOKUP(October[[#This Row],[Drug Name9]],'Data Options'!$R$1:$S$100,2,FALSE), " ")</f>
        <v xml:space="preserve"> </v>
      </c>
      <c r="CI26" s="55"/>
      <c r="CJ26" s="32"/>
      <c r="CK26" s="32"/>
      <c r="CL26" s="55"/>
      <c r="CM26" s="32"/>
    </row>
    <row r="27" spans="1:91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54"/>
      <c r="R27" s="21" t="str">
        <f>IFERROR(VLOOKUP(October[[#This Row],[Drug Name]],'Data Options'!$R$1:$S$100,2,FALSE), " ")</f>
        <v xml:space="preserve"> </v>
      </c>
      <c r="S27" s="55"/>
      <c r="T27" s="32"/>
      <c r="U27" s="32"/>
      <c r="V27" s="55"/>
      <c r="W27" s="32"/>
      <c r="X27" s="54"/>
      <c r="Y27" s="21" t="str">
        <f>IFERROR(VLOOKUP(October[[#This Row],[Drug Name2]],'Data Options'!$R$1:$S$100,2,FALSE), " ")</f>
        <v xml:space="preserve"> </v>
      </c>
      <c r="Z27" s="55"/>
      <c r="AA27" s="32"/>
      <c r="AB27" s="32"/>
      <c r="AC27" s="55"/>
      <c r="AD27" s="32"/>
      <c r="AE27" s="54"/>
      <c r="AF27" s="21" t="str">
        <f>IFERROR(VLOOKUP(October[[#This Row],[Drug Name3]],'Data Options'!$R$1:$S$100,2,FALSE), " ")</f>
        <v xml:space="preserve"> </v>
      </c>
      <c r="AG27" s="55"/>
      <c r="AH27" s="32"/>
      <c r="AI27" s="32"/>
      <c r="AJ27" s="55"/>
      <c r="AK27" s="32"/>
      <c r="AL27" s="32"/>
      <c r="AM27" s="32"/>
      <c r="AN27" s="32"/>
      <c r="AO27" s="32"/>
      <c r="AP27" s="31"/>
      <c r="AQ27" s="31"/>
      <c r="AR27" s="54"/>
      <c r="AS27" s="21" t="str">
        <f>IFERROR(VLOOKUP(October[[#This Row],[Drug Name4]],'Data Options'!$R$1:$S$100,2,FALSE), " ")</f>
        <v xml:space="preserve"> </v>
      </c>
      <c r="AT27" s="55"/>
      <c r="AU27" s="32"/>
      <c r="AV27" s="32"/>
      <c r="AW27" s="55"/>
      <c r="AX27" s="32"/>
      <c r="AY27" s="54"/>
      <c r="AZ27" s="21" t="str">
        <f>IFERROR(VLOOKUP(October[[#This Row],[Drug Name5]],'Data Options'!$R$1:$S$100,2,FALSE), " ")</f>
        <v xml:space="preserve"> </v>
      </c>
      <c r="BA27" s="55"/>
      <c r="BB27" s="32"/>
      <c r="BC27" s="32"/>
      <c r="BD27" s="55"/>
      <c r="BE27" s="32"/>
      <c r="BF27" s="54"/>
      <c r="BG27" s="21" t="str">
        <f>IFERROR(VLOOKUP(October[[#This Row],[Drug Name6]],'Data Options'!$R$1:$S$100,2,FALSE), " ")</f>
        <v xml:space="preserve"> </v>
      </c>
      <c r="BH27" s="55"/>
      <c r="BI27" s="32"/>
      <c r="BJ27" s="32"/>
      <c r="BK27" s="55"/>
      <c r="BL27" s="32"/>
      <c r="BM27" s="32"/>
      <c r="BN27" s="32"/>
      <c r="BO27" s="32"/>
      <c r="BP27" s="32"/>
      <c r="BQ27" s="31"/>
      <c r="BR27" s="31"/>
      <c r="BS27" s="54"/>
      <c r="BT27" s="21" t="str">
        <f>IFERROR(VLOOKUP(October[[#This Row],[Drug Name7]],'Data Options'!$R$1:$S$100,2,FALSE), " ")</f>
        <v xml:space="preserve"> </v>
      </c>
      <c r="BU27" s="55"/>
      <c r="BV27" s="32"/>
      <c r="BW27" s="32"/>
      <c r="BX27" s="55"/>
      <c r="BY27" s="32"/>
      <c r="BZ27" s="54"/>
      <c r="CA27" s="21" t="str">
        <f>IFERROR(VLOOKUP(October[[#This Row],[Drug Name8]],'Data Options'!$R$1:$S$100,2,FALSE), " ")</f>
        <v xml:space="preserve"> </v>
      </c>
      <c r="CB27" s="55"/>
      <c r="CC27" s="32"/>
      <c r="CD27" s="32"/>
      <c r="CE27" s="55"/>
      <c r="CF27" s="32"/>
      <c r="CG27" s="54"/>
      <c r="CH27" s="21" t="str">
        <f>IFERROR(VLOOKUP(October[[#This Row],[Drug Name9]],'Data Options'!$R$1:$S$100,2,FALSE), " ")</f>
        <v xml:space="preserve"> </v>
      </c>
      <c r="CI27" s="55"/>
      <c r="CJ27" s="32"/>
      <c r="CK27" s="32"/>
      <c r="CL27" s="55"/>
      <c r="CM27" s="32"/>
    </row>
    <row r="28" spans="1:91">
      <c r="A28" s="5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54"/>
      <c r="R28" s="21" t="str">
        <f>IFERROR(VLOOKUP(October[[#This Row],[Drug Name]],'Data Options'!$R$1:$S$100,2,FALSE), " ")</f>
        <v xml:space="preserve"> </v>
      </c>
      <c r="S28" s="55"/>
      <c r="T28" s="32"/>
      <c r="U28" s="32"/>
      <c r="V28" s="55"/>
      <c r="W28" s="32"/>
      <c r="X28" s="54"/>
      <c r="Y28" s="21" t="str">
        <f>IFERROR(VLOOKUP(October[[#This Row],[Drug Name2]],'Data Options'!$R$1:$S$100,2,FALSE), " ")</f>
        <v xml:space="preserve"> </v>
      </c>
      <c r="Z28" s="55"/>
      <c r="AA28" s="32"/>
      <c r="AB28" s="32"/>
      <c r="AC28" s="55"/>
      <c r="AD28" s="32"/>
      <c r="AE28" s="54"/>
      <c r="AF28" s="21" t="str">
        <f>IFERROR(VLOOKUP(October[[#This Row],[Drug Name3]],'Data Options'!$R$1:$S$100,2,FALSE), " ")</f>
        <v xml:space="preserve"> </v>
      </c>
      <c r="AG28" s="55"/>
      <c r="AH28" s="32"/>
      <c r="AI28" s="32"/>
      <c r="AJ28" s="55"/>
      <c r="AK28" s="32"/>
      <c r="AL28" s="32"/>
      <c r="AM28" s="32"/>
      <c r="AN28" s="32"/>
      <c r="AO28" s="32"/>
      <c r="AP28" s="31"/>
      <c r="AQ28" s="31"/>
      <c r="AR28" s="54"/>
      <c r="AS28" s="21" t="str">
        <f>IFERROR(VLOOKUP(October[[#This Row],[Drug Name4]],'Data Options'!$R$1:$S$100,2,FALSE), " ")</f>
        <v xml:space="preserve"> </v>
      </c>
      <c r="AT28" s="55"/>
      <c r="AU28" s="32"/>
      <c r="AV28" s="32"/>
      <c r="AW28" s="55"/>
      <c r="AX28" s="32"/>
      <c r="AY28" s="54"/>
      <c r="AZ28" s="21" t="str">
        <f>IFERROR(VLOOKUP(October[[#This Row],[Drug Name5]],'Data Options'!$R$1:$S$100,2,FALSE), " ")</f>
        <v xml:space="preserve"> </v>
      </c>
      <c r="BA28" s="55"/>
      <c r="BB28" s="32"/>
      <c r="BC28" s="32"/>
      <c r="BD28" s="55"/>
      <c r="BE28" s="32"/>
      <c r="BF28" s="54"/>
      <c r="BG28" s="21" t="str">
        <f>IFERROR(VLOOKUP(October[[#This Row],[Drug Name6]],'Data Options'!$R$1:$S$100,2,FALSE), " ")</f>
        <v xml:space="preserve"> </v>
      </c>
      <c r="BH28" s="55"/>
      <c r="BI28" s="32"/>
      <c r="BJ28" s="32"/>
      <c r="BK28" s="55"/>
      <c r="BL28" s="32"/>
      <c r="BM28" s="32"/>
      <c r="BN28" s="32"/>
      <c r="BO28" s="32"/>
      <c r="BP28" s="32"/>
      <c r="BQ28" s="31"/>
      <c r="BR28" s="31"/>
      <c r="BS28" s="54"/>
      <c r="BT28" s="21" t="str">
        <f>IFERROR(VLOOKUP(October[[#This Row],[Drug Name7]],'Data Options'!$R$1:$S$100,2,FALSE), " ")</f>
        <v xml:space="preserve"> </v>
      </c>
      <c r="BU28" s="55"/>
      <c r="BV28" s="32"/>
      <c r="BW28" s="32"/>
      <c r="BX28" s="55"/>
      <c r="BY28" s="32"/>
      <c r="BZ28" s="54"/>
      <c r="CA28" s="21" t="str">
        <f>IFERROR(VLOOKUP(October[[#This Row],[Drug Name8]],'Data Options'!$R$1:$S$100,2,FALSE), " ")</f>
        <v xml:space="preserve"> </v>
      </c>
      <c r="CB28" s="55"/>
      <c r="CC28" s="32"/>
      <c r="CD28" s="32"/>
      <c r="CE28" s="55"/>
      <c r="CF28" s="32"/>
      <c r="CG28" s="54"/>
      <c r="CH28" s="21" t="str">
        <f>IFERROR(VLOOKUP(October[[#This Row],[Drug Name9]],'Data Options'!$R$1:$S$100,2,FALSE), " ")</f>
        <v xml:space="preserve"> </v>
      </c>
      <c r="CI28" s="55"/>
      <c r="CJ28" s="32"/>
      <c r="CK28" s="32"/>
      <c r="CL28" s="55"/>
      <c r="CM28" s="32"/>
    </row>
    <row r="29" spans="1:91">
      <c r="A29" s="5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54"/>
      <c r="R29" s="21" t="str">
        <f>IFERROR(VLOOKUP(October[[#This Row],[Drug Name]],'Data Options'!$R$1:$S$100,2,FALSE), " ")</f>
        <v xml:space="preserve"> </v>
      </c>
      <c r="S29" s="55"/>
      <c r="T29" s="32"/>
      <c r="U29" s="32"/>
      <c r="V29" s="55"/>
      <c r="W29" s="32"/>
      <c r="X29" s="54"/>
      <c r="Y29" s="21" t="str">
        <f>IFERROR(VLOOKUP(October[[#This Row],[Drug Name2]],'Data Options'!$R$1:$S$100,2,FALSE), " ")</f>
        <v xml:space="preserve"> </v>
      </c>
      <c r="Z29" s="55"/>
      <c r="AA29" s="32"/>
      <c r="AB29" s="32"/>
      <c r="AC29" s="55"/>
      <c r="AD29" s="32"/>
      <c r="AE29" s="54"/>
      <c r="AF29" s="21" t="str">
        <f>IFERROR(VLOOKUP(October[[#This Row],[Drug Name3]],'Data Options'!$R$1:$S$100,2,FALSE), " ")</f>
        <v xml:space="preserve"> </v>
      </c>
      <c r="AG29" s="55"/>
      <c r="AH29" s="32"/>
      <c r="AI29" s="32"/>
      <c r="AJ29" s="55"/>
      <c r="AK29" s="32"/>
      <c r="AL29" s="32"/>
      <c r="AM29" s="32"/>
      <c r="AN29" s="32"/>
      <c r="AO29" s="32"/>
      <c r="AP29" s="31"/>
      <c r="AQ29" s="31"/>
      <c r="AR29" s="54"/>
      <c r="AS29" s="21" t="str">
        <f>IFERROR(VLOOKUP(October[[#This Row],[Drug Name4]],'Data Options'!$R$1:$S$100,2,FALSE), " ")</f>
        <v xml:space="preserve"> </v>
      </c>
      <c r="AT29" s="55"/>
      <c r="AU29" s="32"/>
      <c r="AV29" s="32"/>
      <c r="AW29" s="55"/>
      <c r="AX29" s="32"/>
      <c r="AY29" s="54"/>
      <c r="AZ29" s="21" t="str">
        <f>IFERROR(VLOOKUP(October[[#This Row],[Drug Name5]],'Data Options'!$R$1:$S$100,2,FALSE), " ")</f>
        <v xml:space="preserve"> </v>
      </c>
      <c r="BA29" s="55"/>
      <c r="BB29" s="32"/>
      <c r="BC29" s="32"/>
      <c r="BD29" s="55"/>
      <c r="BE29" s="32"/>
      <c r="BF29" s="54"/>
      <c r="BG29" s="21" t="str">
        <f>IFERROR(VLOOKUP(October[[#This Row],[Drug Name6]],'Data Options'!$R$1:$S$100,2,FALSE), " ")</f>
        <v xml:space="preserve"> </v>
      </c>
      <c r="BH29" s="55"/>
      <c r="BI29" s="32"/>
      <c r="BJ29" s="32"/>
      <c r="BK29" s="55"/>
      <c r="BL29" s="32"/>
      <c r="BM29" s="32"/>
      <c r="BN29" s="32"/>
      <c r="BO29" s="32"/>
      <c r="BP29" s="32"/>
      <c r="BQ29" s="31"/>
      <c r="BR29" s="31"/>
      <c r="BS29" s="54"/>
      <c r="BT29" s="21" t="str">
        <f>IFERROR(VLOOKUP(October[[#This Row],[Drug Name7]],'Data Options'!$R$1:$S$100,2,FALSE), " ")</f>
        <v xml:space="preserve"> </v>
      </c>
      <c r="BU29" s="55"/>
      <c r="BV29" s="32"/>
      <c r="BW29" s="32"/>
      <c r="BX29" s="55"/>
      <c r="BY29" s="32"/>
      <c r="BZ29" s="54"/>
      <c r="CA29" s="21" t="str">
        <f>IFERROR(VLOOKUP(October[[#This Row],[Drug Name8]],'Data Options'!$R$1:$S$100,2,FALSE), " ")</f>
        <v xml:space="preserve"> </v>
      </c>
      <c r="CB29" s="55"/>
      <c r="CC29" s="32"/>
      <c r="CD29" s="32"/>
      <c r="CE29" s="55"/>
      <c r="CF29" s="32"/>
      <c r="CG29" s="54"/>
      <c r="CH29" s="21" t="str">
        <f>IFERROR(VLOOKUP(October[[#This Row],[Drug Name9]],'Data Options'!$R$1:$S$100,2,FALSE), " ")</f>
        <v xml:space="preserve"> </v>
      </c>
      <c r="CI29" s="55"/>
      <c r="CJ29" s="32"/>
      <c r="CK29" s="32"/>
      <c r="CL29" s="55"/>
      <c r="CM29" s="32"/>
    </row>
    <row r="30" spans="1:91">
      <c r="A30" s="5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54"/>
      <c r="R30" s="21" t="str">
        <f>IFERROR(VLOOKUP(October[[#This Row],[Drug Name]],'Data Options'!$R$1:$S$100,2,FALSE), " ")</f>
        <v xml:space="preserve"> </v>
      </c>
      <c r="S30" s="55"/>
      <c r="T30" s="32"/>
      <c r="U30" s="32"/>
      <c r="V30" s="55"/>
      <c r="W30" s="32"/>
      <c r="X30" s="54"/>
      <c r="Y30" s="21" t="str">
        <f>IFERROR(VLOOKUP(October[[#This Row],[Drug Name2]],'Data Options'!$R$1:$S$100,2,FALSE), " ")</f>
        <v xml:space="preserve"> </v>
      </c>
      <c r="Z30" s="55"/>
      <c r="AA30" s="32"/>
      <c r="AB30" s="32"/>
      <c r="AC30" s="55"/>
      <c r="AD30" s="32"/>
      <c r="AE30" s="54"/>
      <c r="AF30" s="21" t="str">
        <f>IFERROR(VLOOKUP(October[[#This Row],[Drug Name3]],'Data Options'!$R$1:$S$100,2,FALSE), " ")</f>
        <v xml:space="preserve"> </v>
      </c>
      <c r="AG30" s="55"/>
      <c r="AH30" s="32"/>
      <c r="AI30" s="32"/>
      <c r="AJ30" s="55"/>
      <c r="AK30" s="32"/>
      <c r="AL30" s="32"/>
      <c r="AM30" s="32"/>
      <c r="AN30" s="32"/>
      <c r="AO30" s="32"/>
      <c r="AP30" s="31"/>
      <c r="AQ30" s="31"/>
      <c r="AR30" s="54"/>
      <c r="AS30" s="21" t="str">
        <f>IFERROR(VLOOKUP(October[[#This Row],[Drug Name4]],'Data Options'!$R$1:$S$100,2,FALSE), " ")</f>
        <v xml:space="preserve"> </v>
      </c>
      <c r="AT30" s="55"/>
      <c r="AU30" s="32"/>
      <c r="AV30" s="32"/>
      <c r="AW30" s="55"/>
      <c r="AX30" s="32"/>
      <c r="AY30" s="54"/>
      <c r="AZ30" s="21" t="str">
        <f>IFERROR(VLOOKUP(October[[#This Row],[Drug Name5]],'Data Options'!$R$1:$S$100,2,FALSE), " ")</f>
        <v xml:space="preserve"> </v>
      </c>
      <c r="BA30" s="55"/>
      <c r="BB30" s="32"/>
      <c r="BC30" s="32"/>
      <c r="BD30" s="55"/>
      <c r="BE30" s="32"/>
      <c r="BF30" s="54"/>
      <c r="BG30" s="21" t="str">
        <f>IFERROR(VLOOKUP(October[[#This Row],[Drug Name6]],'Data Options'!$R$1:$S$100,2,FALSE), " ")</f>
        <v xml:space="preserve"> </v>
      </c>
      <c r="BH30" s="55"/>
      <c r="BI30" s="32"/>
      <c r="BJ30" s="32"/>
      <c r="BK30" s="55"/>
      <c r="BL30" s="32"/>
      <c r="BM30" s="32"/>
      <c r="BN30" s="32"/>
      <c r="BO30" s="32"/>
      <c r="BP30" s="32"/>
      <c r="BQ30" s="31"/>
      <c r="BR30" s="31"/>
      <c r="BS30" s="54"/>
      <c r="BT30" s="21" t="str">
        <f>IFERROR(VLOOKUP(October[[#This Row],[Drug Name7]],'Data Options'!$R$1:$S$100,2,FALSE), " ")</f>
        <v xml:space="preserve"> </v>
      </c>
      <c r="BU30" s="55"/>
      <c r="BV30" s="32"/>
      <c r="BW30" s="32"/>
      <c r="BX30" s="55"/>
      <c r="BY30" s="32"/>
      <c r="BZ30" s="54"/>
      <c r="CA30" s="21" t="str">
        <f>IFERROR(VLOOKUP(October[[#This Row],[Drug Name8]],'Data Options'!$R$1:$S$100,2,FALSE), " ")</f>
        <v xml:space="preserve"> </v>
      </c>
      <c r="CB30" s="55"/>
      <c r="CC30" s="32"/>
      <c r="CD30" s="32"/>
      <c r="CE30" s="55"/>
      <c r="CF30" s="32"/>
      <c r="CG30" s="54"/>
      <c r="CH30" s="21" t="str">
        <f>IFERROR(VLOOKUP(October[[#This Row],[Drug Name9]],'Data Options'!$R$1:$S$100,2,FALSE), " ")</f>
        <v xml:space="preserve"> </v>
      </c>
      <c r="CI30" s="55"/>
      <c r="CJ30" s="32"/>
      <c r="CK30" s="32"/>
      <c r="CL30" s="55"/>
      <c r="CM30" s="32"/>
    </row>
    <row r="31" spans="1:9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54"/>
      <c r="R31" s="21" t="str">
        <f>IFERROR(VLOOKUP(October[[#This Row],[Drug Name]],'Data Options'!$R$1:$S$100,2,FALSE), " ")</f>
        <v xml:space="preserve"> </v>
      </c>
      <c r="S31" s="55"/>
      <c r="T31" s="32"/>
      <c r="U31" s="32"/>
      <c r="V31" s="55"/>
      <c r="W31" s="32"/>
      <c r="X31" s="54"/>
      <c r="Y31" s="21" t="str">
        <f>IFERROR(VLOOKUP(October[[#This Row],[Drug Name2]],'Data Options'!$R$1:$S$100,2,FALSE), " ")</f>
        <v xml:space="preserve"> </v>
      </c>
      <c r="Z31" s="55"/>
      <c r="AA31" s="32"/>
      <c r="AB31" s="32"/>
      <c r="AC31" s="55"/>
      <c r="AD31" s="32"/>
      <c r="AE31" s="54"/>
      <c r="AF31" s="21" t="str">
        <f>IFERROR(VLOOKUP(October[[#This Row],[Drug Name3]],'Data Options'!$R$1:$S$100,2,FALSE), " ")</f>
        <v xml:space="preserve"> </v>
      </c>
      <c r="AG31" s="55"/>
      <c r="AH31" s="32"/>
      <c r="AI31" s="32"/>
      <c r="AJ31" s="55"/>
      <c r="AK31" s="32"/>
      <c r="AL31" s="32"/>
      <c r="AM31" s="32"/>
      <c r="AN31" s="32"/>
      <c r="AO31" s="32"/>
      <c r="AP31" s="31"/>
      <c r="AQ31" s="31"/>
      <c r="AR31" s="54"/>
      <c r="AS31" s="21" t="str">
        <f>IFERROR(VLOOKUP(October[[#This Row],[Drug Name4]],'Data Options'!$R$1:$S$100,2,FALSE), " ")</f>
        <v xml:space="preserve"> </v>
      </c>
      <c r="AT31" s="55"/>
      <c r="AU31" s="32"/>
      <c r="AV31" s="32"/>
      <c r="AW31" s="55"/>
      <c r="AX31" s="32"/>
      <c r="AY31" s="54"/>
      <c r="AZ31" s="21" t="str">
        <f>IFERROR(VLOOKUP(October[[#This Row],[Drug Name5]],'Data Options'!$R$1:$S$100,2,FALSE), " ")</f>
        <v xml:space="preserve"> </v>
      </c>
      <c r="BA31" s="55"/>
      <c r="BB31" s="32"/>
      <c r="BC31" s="32"/>
      <c r="BD31" s="55"/>
      <c r="BE31" s="32"/>
      <c r="BF31" s="54"/>
      <c r="BG31" s="21" t="str">
        <f>IFERROR(VLOOKUP(October[[#This Row],[Drug Name6]],'Data Options'!$R$1:$S$100,2,FALSE), " ")</f>
        <v xml:space="preserve"> </v>
      </c>
      <c r="BH31" s="55"/>
      <c r="BI31" s="32"/>
      <c r="BJ31" s="32"/>
      <c r="BK31" s="55"/>
      <c r="BL31" s="32"/>
      <c r="BM31" s="32"/>
      <c r="BN31" s="32"/>
      <c r="BO31" s="32"/>
      <c r="BP31" s="32"/>
      <c r="BQ31" s="31"/>
      <c r="BR31" s="31"/>
      <c r="BS31" s="54"/>
      <c r="BT31" s="21" t="str">
        <f>IFERROR(VLOOKUP(October[[#This Row],[Drug Name7]],'Data Options'!$R$1:$S$100,2,FALSE), " ")</f>
        <v xml:space="preserve"> </v>
      </c>
      <c r="BU31" s="55"/>
      <c r="BV31" s="32"/>
      <c r="BW31" s="32"/>
      <c r="BX31" s="55"/>
      <c r="BY31" s="32"/>
      <c r="BZ31" s="54"/>
      <c r="CA31" s="21" t="str">
        <f>IFERROR(VLOOKUP(October[[#This Row],[Drug Name8]],'Data Options'!$R$1:$S$100,2,FALSE), " ")</f>
        <v xml:space="preserve"> </v>
      </c>
      <c r="CB31" s="55"/>
      <c r="CC31" s="32"/>
      <c r="CD31" s="32"/>
      <c r="CE31" s="55"/>
      <c r="CF31" s="32"/>
      <c r="CG31" s="54"/>
      <c r="CH31" s="21" t="str">
        <f>IFERROR(VLOOKUP(October[[#This Row],[Drug Name9]],'Data Options'!$R$1:$S$100,2,FALSE), " ")</f>
        <v xml:space="preserve"> </v>
      </c>
      <c r="CI31" s="55"/>
      <c r="CJ31" s="32"/>
      <c r="CK31" s="32"/>
      <c r="CL31" s="55"/>
      <c r="CM31" s="32"/>
    </row>
    <row r="32" spans="1:91">
      <c r="A32" s="5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54"/>
      <c r="R32" s="21" t="str">
        <f>IFERROR(VLOOKUP(October[[#This Row],[Drug Name]],'Data Options'!$R$1:$S$100,2,FALSE), " ")</f>
        <v xml:space="preserve"> </v>
      </c>
      <c r="S32" s="55"/>
      <c r="T32" s="32"/>
      <c r="U32" s="32"/>
      <c r="V32" s="55"/>
      <c r="W32" s="32"/>
      <c r="X32" s="54"/>
      <c r="Y32" s="21" t="str">
        <f>IFERROR(VLOOKUP(October[[#This Row],[Drug Name2]],'Data Options'!$R$1:$S$100,2,FALSE), " ")</f>
        <v xml:space="preserve"> </v>
      </c>
      <c r="Z32" s="55"/>
      <c r="AA32" s="32"/>
      <c r="AB32" s="32"/>
      <c r="AC32" s="55"/>
      <c r="AD32" s="32"/>
      <c r="AE32" s="54"/>
      <c r="AF32" s="21" t="str">
        <f>IFERROR(VLOOKUP(October[[#This Row],[Drug Name3]],'Data Options'!$R$1:$S$100,2,FALSE), " ")</f>
        <v xml:space="preserve"> </v>
      </c>
      <c r="AG32" s="55"/>
      <c r="AH32" s="32"/>
      <c r="AI32" s="32"/>
      <c r="AJ32" s="55"/>
      <c r="AK32" s="32"/>
      <c r="AL32" s="32"/>
      <c r="AM32" s="32"/>
      <c r="AN32" s="32"/>
      <c r="AO32" s="32"/>
      <c r="AP32" s="31"/>
      <c r="AQ32" s="31"/>
      <c r="AR32" s="54"/>
      <c r="AS32" s="21" t="str">
        <f>IFERROR(VLOOKUP(October[[#This Row],[Drug Name4]],'Data Options'!$R$1:$S$100,2,FALSE), " ")</f>
        <v xml:space="preserve"> </v>
      </c>
      <c r="AT32" s="55"/>
      <c r="AU32" s="32"/>
      <c r="AV32" s="32"/>
      <c r="AW32" s="55"/>
      <c r="AX32" s="32"/>
      <c r="AY32" s="54"/>
      <c r="AZ32" s="21" t="str">
        <f>IFERROR(VLOOKUP(October[[#This Row],[Drug Name5]],'Data Options'!$R$1:$S$100,2,FALSE), " ")</f>
        <v xml:space="preserve"> </v>
      </c>
      <c r="BA32" s="55"/>
      <c r="BB32" s="32"/>
      <c r="BC32" s="32"/>
      <c r="BD32" s="55"/>
      <c r="BE32" s="32"/>
      <c r="BF32" s="54"/>
      <c r="BG32" s="21" t="str">
        <f>IFERROR(VLOOKUP(October[[#This Row],[Drug Name6]],'Data Options'!$R$1:$S$100,2,FALSE), " ")</f>
        <v xml:space="preserve"> </v>
      </c>
      <c r="BH32" s="55"/>
      <c r="BI32" s="32"/>
      <c r="BJ32" s="32"/>
      <c r="BK32" s="55"/>
      <c r="BL32" s="32"/>
      <c r="BM32" s="32"/>
      <c r="BN32" s="32"/>
      <c r="BO32" s="32"/>
      <c r="BP32" s="32"/>
      <c r="BQ32" s="31"/>
      <c r="BR32" s="31"/>
      <c r="BS32" s="54"/>
      <c r="BT32" s="21" t="str">
        <f>IFERROR(VLOOKUP(October[[#This Row],[Drug Name7]],'Data Options'!$R$1:$S$100,2,FALSE), " ")</f>
        <v xml:space="preserve"> </v>
      </c>
      <c r="BU32" s="55"/>
      <c r="BV32" s="32"/>
      <c r="BW32" s="32"/>
      <c r="BX32" s="55"/>
      <c r="BY32" s="32"/>
      <c r="BZ32" s="54"/>
      <c r="CA32" s="21" t="str">
        <f>IFERROR(VLOOKUP(October[[#This Row],[Drug Name8]],'Data Options'!$R$1:$S$100,2,FALSE), " ")</f>
        <v xml:space="preserve"> </v>
      </c>
      <c r="CB32" s="55"/>
      <c r="CC32" s="32"/>
      <c r="CD32" s="32"/>
      <c r="CE32" s="55"/>
      <c r="CF32" s="32"/>
      <c r="CG32" s="54"/>
      <c r="CH32" s="21" t="str">
        <f>IFERROR(VLOOKUP(October[[#This Row],[Drug Name9]],'Data Options'!$R$1:$S$100,2,FALSE), " ")</f>
        <v xml:space="preserve"> </v>
      </c>
      <c r="CI32" s="55"/>
      <c r="CJ32" s="32"/>
      <c r="CK32" s="32"/>
      <c r="CL32" s="55"/>
      <c r="CM32" s="32"/>
    </row>
    <row r="33" spans="1:9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54"/>
      <c r="R33" s="21" t="str">
        <f>IFERROR(VLOOKUP(October[[#This Row],[Drug Name]],'Data Options'!$R$1:$S$100,2,FALSE), " ")</f>
        <v xml:space="preserve"> </v>
      </c>
      <c r="S33" s="55"/>
      <c r="T33" s="32"/>
      <c r="U33" s="32"/>
      <c r="V33" s="55"/>
      <c r="W33" s="32"/>
      <c r="X33" s="54"/>
      <c r="Y33" s="21" t="str">
        <f>IFERROR(VLOOKUP(October[[#This Row],[Drug Name2]],'Data Options'!$R$1:$S$100,2,FALSE), " ")</f>
        <v xml:space="preserve"> </v>
      </c>
      <c r="Z33" s="55"/>
      <c r="AA33" s="32"/>
      <c r="AB33" s="32"/>
      <c r="AC33" s="55"/>
      <c r="AD33" s="32"/>
      <c r="AE33" s="54"/>
      <c r="AF33" s="21" t="str">
        <f>IFERROR(VLOOKUP(October[[#This Row],[Drug Name3]],'Data Options'!$R$1:$S$100,2,FALSE), " ")</f>
        <v xml:space="preserve"> </v>
      </c>
      <c r="AG33" s="55"/>
      <c r="AH33" s="32"/>
      <c r="AI33" s="32"/>
      <c r="AJ33" s="55"/>
      <c r="AK33" s="32"/>
      <c r="AL33" s="32"/>
      <c r="AM33" s="32"/>
      <c r="AN33" s="32"/>
      <c r="AO33" s="32"/>
      <c r="AP33" s="31"/>
      <c r="AQ33" s="31"/>
      <c r="AR33" s="54"/>
      <c r="AS33" s="21" t="str">
        <f>IFERROR(VLOOKUP(October[[#This Row],[Drug Name4]],'Data Options'!$R$1:$S$100,2,FALSE), " ")</f>
        <v xml:space="preserve"> </v>
      </c>
      <c r="AT33" s="55"/>
      <c r="AU33" s="32"/>
      <c r="AV33" s="32"/>
      <c r="AW33" s="55"/>
      <c r="AX33" s="32"/>
      <c r="AY33" s="54"/>
      <c r="AZ33" s="21" t="str">
        <f>IFERROR(VLOOKUP(October[[#This Row],[Drug Name5]],'Data Options'!$R$1:$S$100,2,FALSE), " ")</f>
        <v xml:space="preserve"> </v>
      </c>
      <c r="BA33" s="55"/>
      <c r="BB33" s="32"/>
      <c r="BC33" s="32"/>
      <c r="BD33" s="55"/>
      <c r="BE33" s="32"/>
      <c r="BF33" s="54"/>
      <c r="BG33" s="21" t="str">
        <f>IFERROR(VLOOKUP(October[[#This Row],[Drug Name6]],'Data Options'!$R$1:$S$100,2,FALSE), " ")</f>
        <v xml:space="preserve"> </v>
      </c>
      <c r="BH33" s="55"/>
      <c r="BI33" s="32"/>
      <c r="BJ33" s="32"/>
      <c r="BK33" s="55"/>
      <c r="BL33" s="32"/>
      <c r="BM33" s="32"/>
      <c r="BN33" s="32"/>
      <c r="BO33" s="32"/>
      <c r="BP33" s="32"/>
      <c r="BQ33" s="31"/>
      <c r="BR33" s="31"/>
      <c r="BS33" s="54"/>
      <c r="BT33" s="21" t="str">
        <f>IFERROR(VLOOKUP(October[[#This Row],[Drug Name7]],'Data Options'!$R$1:$S$100,2,FALSE), " ")</f>
        <v xml:space="preserve"> </v>
      </c>
      <c r="BU33" s="55"/>
      <c r="BV33" s="32"/>
      <c r="BW33" s="32"/>
      <c r="BX33" s="55"/>
      <c r="BY33" s="32"/>
      <c r="BZ33" s="54"/>
      <c r="CA33" s="21" t="str">
        <f>IFERROR(VLOOKUP(October[[#This Row],[Drug Name8]],'Data Options'!$R$1:$S$100,2,FALSE), " ")</f>
        <v xml:space="preserve"> </v>
      </c>
      <c r="CB33" s="55"/>
      <c r="CC33" s="32"/>
      <c r="CD33" s="32"/>
      <c r="CE33" s="55"/>
      <c r="CF33" s="32"/>
      <c r="CG33" s="54"/>
      <c r="CH33" s="21" t="str">
        <f>IFERROR(VLOOKUP(October[[#This Row],[Drug Name9]],'Data Options'!$R$1:$S$100,2,FALSE), " ")</f>
        <v xml:space="preserve"> </v>
      </c>
      <c r="CI33" s="55"/>
      <c r="CJ33" s="32"/>
      <c r="CK33" s="32"/>
      <c r="CL33" s="55"/>
      <c r="CM33" s="32"/>
    </row>
    <row r="34" spans="1:9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54"/>
      <c r="R34" s="21" t="str">
        <f>IFERROR(VLOOKUP(October[[#This Row],[Drug Name]],'Data Options'!$R$1:$S$100,2,FALSE), " ")</f>
        <v xml:space="preserve"> </v>
      </c>
      <c r="S34" s="55"/>
      <c r="T34" s="32"/>
      <c r="U34" s="32"/>
      <c r="V34" s="55"/>
      <c r="W34" s="32"/>
      <c r="X34" s="54"/>
      <c r="Y34" s="21" t="str">
        <f>IFERROR(VLOOKUP(October[[#This Row],[Drug Name2]],'Data Options'!$R$1:$S$100,2,FALSE), " ")</f>
        <v xml:space="preserve"> </v>
      </c>
      <c r="Z34" s="55"/>
      <c r="AA34" s="32"/>
      <c r="AB34" s="32"/>
      <c r="AC34" s="55"/>
      <c r="AD34" s="32"/>
      <c r="AE34" s="54"/>
      <c r="AF34" s="21" t="str">
        <f>IFERROR(VLOOKUP(October[[#This Row],[Drug Name3]],'Data Options'!$R$1:$S$100,2,FALSE), " ")</f>
        <v xml:space="preserve"> </v>
      </c>
      <c r="AG34" s="55"/>
      <c r="AH34" s="32"/>
      <c r="AI34" s="32"/>
      <c r="AJ34" s="55"/>
      <c r="AK34" s="32"/>
      <c r="AL34" s="32"/>
      <c r="AM34" s="32"/>
      <c r="AN34" s="32"/>
      <c r="AO34" s="32"/>
      <c r="AP34" s="31"/>
      <c r="AQ34" s="31"/>
      <c r="AR34" s="54"/>
      <c r="AS34" s="21" t="str">
        <f>IFERROR(VLOOKUP(October[[#This Row],[Drug Name4]],'Data Options'!$R$1:$S$100,2,FALSE), " ")</f>
        <v xml:space="preserve"> </v>
      </c>
      <c r="AT34" s="55"/>
      <c r="AU34" s="32"/>
      <c r="AV34" s="32"/>
      <c r="AW34" s="55"/>
      <c r="AX34" s="32"/>
      <c r="AY34" s="54"/>
      <c r="AZ34" s="21" t="str">
        <f>IFERROR(VLOOKUP(October[[#This Row],[Drug Name5]],'Data Options'!$R$1:$S$100,2,FALSE), " ")</f>
        <v xml:space="preserve"> </v>
      </c>
      <c r="BA34" s="55"/>
      <c r="BB34" s="32"/>
      <c r="BC34" s="32"/>
      <c r="BD34" s="55"/>
      <c r="BE34" s="32"/>
      <c r="BF34" s="54"/>
      <c r="BG34" s="21" t="str">
        <f>IFERROR(VLOOKUP(October[[#This Row],[Drug Name6]],'Data Options'!$R$1:$S$100,2,FALSE), " ")</f>
        <v xml:space="preserve"> </v>
      </c>
      <c r="BH34" s="55"/>
      <c r="BI34" s="32"/>
      <c r="BJ34" s="32"/>
      <c r="BK34" s="55"/>
      <c r="BL34" s="32"/>
      <c r="BM34" s="32"/>
      <c r="BN34" s="32"/>
      <c r="BO34" s="32"/>
      <c r="BP34" s="32"/>
      <c r="BQ34" s="31"/>
      <c r="BR34" s="31"/>
      <c r="BS34" s="54"/>
      <c r="BT34" s="21" t="str">
        <f>IFERROR(VLOOKUP(October[[#This Row],[Drug Name7]],'Data Options'!$R$1:$S$100,2,FALSE), " ")</f>
        <v xml:space="preserve"> </v>
      </c>
      <c r="BU34" s="55"/>
      <c r="BV34" s="32"/>
      <c r="BW34" s="32"/>
      <c r="BX34" s="55"/>
      <c r="BY34" s="32"/>
      <c r="BZ34" s="54"/>
      <c r="CA34" s="21" t="str">
        <f>IFERROR(VLOOKUP(October[[#This Row],[Drug Name8]],'Data Options'!$R$1:$S$100,2,FALSE), " ")</f>
        <v xml:space="preserve"> </v>
      </c>
      <c r="CB34" s="55"/>
      <c r="CC34" s="32"/>
      <c r="CD34" s="32"/>
      <c r="CE34" s="55"/>
      <c r="CF34" s="32"/>
      <c r="CG34" s="54"/>
      <c r="CH34" s="21" t="str">
        <f>IFERROR(VLOOKUP(October[[#This Row],[Drug Name9]],'Data Options'!$R$1:$S$100,2,FALSE), " ")</f>
        <v xml:space="preserve"> </v>
      </c>
      <c r="CI34" s="55"/>
      <c r="CJ34" s="32"/>
      <c r="CK34" s="32"/>
      <c r="CL34" s="55"/>
      <c r="CM34" s="32"/>
    </row>
    <row r="35" spans="1:9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54"/>
      <c r="R35" s="21" t="str">
        <f>IFERROR(VLOOKUP(October[[#This Row],[Drug Name]],'Data Options'!$R$1:$S$100,2,FALSE), " ")</f>
        <v xml:space="preserve"> </v>
      </c>
      <c r="S35" s="55"/>
      <c r="T35" s="32"/>
      <c r="U35" s="32"/>
      <c r="V35" s="55"/>
      <c r="W35" s="32"/>
      <c r="X35" s="54"/>
      <c r="Y35" s="21" t="str">
        <f>IFERROR(VLOOKUP(October[[#This Row],[Drug Name2]],'Data Options'!$R$1:$S$100,2,FALSE), " ")</f>
        <v xml:space="preserve"> </v>
      </c>
      <c r="Z35" s="55"/>
      <c r="AA35" s="32"/>
      <c r="AB35" s="32"/>
      <c r="AC35" s="55"/>
      <c r="AD35" s="32"/>
      <c r="AE35" s="54"/>
      <c r="AF35" s="21" t="str">
        <f>IFERROR(VLOOKUP(October[[#This Row],[Drug Name3]],'Data Options'!$R$1:$S$100,2,FALSE), " ")</f>
        <v xml:space="preserve"> </v>
      </c>
      <c r="AG35" s="55"/>
      <c r="AH35" s="32"/>
      <c r="AI35" s="32"/>
      <c r="AJ35" s="55"/>
      <c r="AK35" s="32"/>
      <c r="AL35" s="32"/>
      <c r="AM35" s="32"/>
      <c r="AN35" s="32"/>
      <c r="AO35" s="32"/>
      <c r="AP35" s="31"/>
      <c r="AQ35" s="31"/>
      <c r="AR35" s="54"/>
      <c r="AS35" s="21" t="str">
        <f>IFERROR(VLOOKUP(October[[#This Row],[Drug Name4]],'Data Options'!$R$1:$S$100,2,FALSE), " ")</f>
        <v xml:space="preserve"> </v>
      </c>
      <c r="AT35" s="55"/>
      <c r="AU35" s="32"/>
      <c r="AV35" s="32"/>
      <c r="AW35" s="55"/>
      <c r="AX35" s="32"/>
      <c r="AY35" s="54"/>
      <c r="AZ35" s="21" t="str">
        <f>IFERROR(VLOOKUP(October[[#This Row],[Drug Name5]],'Data Options'!$R$1:$S$100,2,FALSE), " ")</f>
        <v xml:space="preserve"> </v>
      </c>
      <c r="BA35" s="55"/>
      <c r="BB35" s="32"/>
      <c r="BC35" s="32"/>
      <c r="BD35" s="55"/>
      <c r="BE35" s="32"/>
      <c r="BF35" s="54"/>
      <c r="BG35" s="21" t="str">
        <f>IFERROR(VLOOKUP(October[[#This Row],[Drug Name6]],'Data Options'!$R$1:$S$100,2,FALSE), " ")</f>
        <v xml:space="preserve"> </v>
      </c>
      <c r="BH35" s="55"/>
      <c r="BI35" s="32"/>
      <c r="BJ35" s="32"/>
      <c r="BK35" s="55"/>
      <c r="BL35" s="32"/>
      <c r="BM35" s="32"/>
      <c r="BN35" s="32"/>
      <c r="BO35" s="32"/>
      <c r="BP35" s="32"/>
      <c r="BQ35" s="31"/>
      <c r="BR35" s="31"/>
      <c r="BS35" s="54"/>
      <c r="BT35" s="21" t="str">
        <f>IFERROR(VLOOKUP(October[[#This Row],[Drug Name7]],'Data Options'!$R$1:$S$100,2,FALSE), " ")</f>
        <v xml:space="preserve"> </v>
      </c>
      <c r="BU35" s="55"/>
      <c r="BV35" s="32"/>
      <c r="BW35" s="32"/>
      <c r="BX35" s="55"/>
      <c r="BY35" s="32"/>
      <c r="BZ35" s="54"/>
      <c r="CA35" s="21" t="str">
        <f>IFERROR(VLOOKUP(October[[#This Row],[Drug Name8]],'Data Options'!$R$1:$S$100,2,FALSE), " ")</f>
        <v xml:space="preserve"> </v>
      </c>
      <c r="CB35" s="55"/>
      <c r="CC35" s="32"/>
      <c r="CD35" s="32"/>
      <c r="CE35" s="55"/>
      <c r="CF35" s="32"/>
      <c r="CG35" s="54"/>
      <c r="CH35" s="21" t="str">
        <f>IFERROR(VLOOKUP(October[[#This Row],[Drug Name9]],'Data Options'!$R$1:$S$100,2,FALSE), " ")</f>
        <v xml:space="preserve"> </v>
      </c>
      <c r="CI35" s="55"/>
      <c r="CJ35" s="32"/>
      <c r="CK35" s="32"/>
      <c r="CL35" s="55"/>
      <c r="CM35" s="32"/>
    </row>
    <row r="36" spans="1:91">
      <c r="A36" s="5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54"/>
      <c r="R36" s="21" t="str">
        <f>IFERROR(VLOOKUP(October[[#This Row],[Drug Name]],'Data Options'!$R$1:$S$100,2,FALSE), " ")</f>
        <v xml:space="preserve"> </v>
      </c>
      <c r="S36" s="55"/>
      <c r="T36" s="32"/>
      <c r="U36" s="32"/>
      <c r="V36" s="55"/>
      <c r="W36" s="32"/>
      <c r="X36" s="54"/>
      <c r="Y36" s="21" t="str">
        <f>IFERROR(VLOOKUP(October[[#This Row],[Drug Name2]],'Data Options'!$R$1:$S$100,2,FALSE), " ")</f>
        <v xml:space="preserve"> </v>
      </c>
      <c r="Z36" s="55"/>
      <c r="AA36" s="32"/>
      <c r="AB36" s="32"/>
      <c r="AC36" s="55"/>
      <c r="AD36" s="32"/>
      <c r="AE36" s="54"/>
      <c r="AF36" s="21" t="str">
        <f>IFERROR(VLOOKUP(October[[#This Row],[Drug Name3]],'Data Options'!$R$1:$S$100,2,FALSE), " ")</f>
        <v xml:space="preserve"> </v>
      </c>
      <c r="AG36" s="55"/>
      <c r="AH36" s="32"/>
      <c r="AI36" s="32"/>
      <c r="AJ36" s="55"/>
      <c r="AK36" s="32"/>
      <c r="AL36" s="32"/>
      <c r="AM36" s="32"/>
      <c r="AN36" s="32"/>
      <c r="AO36" s="32"/>
      <c r="AP36" s="31"/>
      <c r="AQ36" s="31"/>
      <c r="AR36" s="54"/>
      <c r="AS36" s="21" t="str">
        <f>IFERROR(VLOOKUP(October[[#This Row],[Drug Name4]],'Data Options'!$R$1:$S$100,2,FALSE), " ")</f>
        <v xml:space="preserve"> </v>
      </c>
      <c r="AT36" s="55"/>
      <c r="AU36" s="32"/>
      <c r="AV36" s="32"/>
      <c r="AW36" s="55"/>
      <c r="AX36" s="32"/>
      <c r="AY36" s="54"/>
      <c r="AZ36" s="21" t="str">
        <f>IFERROR(VLOOKUP(October[[#This Row],[Drug Name5]],'Data Options'!$R$1:$S$100,2,FALSE), " ")</f>
        <v xml:space="preserve"> </v>
      </c>
      <c r="BA36" s="55"/>
      <c r="BB36" s="32"/>
      <c r="BC36" s="32"/>
      <c r="BD36" s="55"/>
      <c r="BE36" s="32"/>
      <c r="BF36" s="54"/>
      <c r="BG36" s="21" t="str">
        <f>IFERROR(VLOOKUP(October[[#This Row],[Drug Name6]],'Data Options'!$R$1:$S$100,2,FALSE), " ")</f>
        <v xml:space="preserve"> </v>
      </c>
      <c r="BH36" s="55"/>
      <c r="BI36" s="32"/>
      <c r="BJ36" s="32"/>
      <c r="BK36" s="55"/>
      <c r="BL36" s="32"/>
      <c r="BM36" s="32"/>
      <c r="BN36" s="32"/>
      <c r="BO36" s="32"/>
      <c r="BP36" s="32"/>
      <c r="BQ36" s="31"/>
      <c r="BR36" s="31"/>
      <c r="BS36" s="54"/>
      <c r="BT36" s="21" t="str">
        <f>IFERROR(VLOOKUP(October[[#This Row],[Drug Name7]],'Data Options'!$R$1:$S$100,2,FALSE), " ")</f>
        <v xml:space="preserve"> </v>
      </c>
      <c r="BU36" s="55"/>
      <c r="BV36" s="32"/>
      <c r="BW36" s="32"/>
      <c r="BX36" s="55"/>
      <c r="BY36" s="32"/>
      <c r="BZ36" s="54"/>
      <c r="CA36" s="21" t="str">
        <f>IFERROR(VLOOKUP(October[[#This Row],[Drug Name8]],'Data Options'!$R$1:$S$100,2,FALSE), " ")</f>
        <v xml:space="preserve"> </v>
      </c>
      <c r="CB36" s="55"/>
      <c r="CC36" s="32"/>
      <c r="CD36" s="32"/>
      <c r="CE36" s="55"/>
      <c r="CF36" s="32"/>
      <c r="CG36" s="54"/>
      <c r="CH36" s="21" t="str">
        <f>IFERROR(VLOOKUP(October[[#This Row],[Drug Name9]],'Data Options'!$R$1:$S$100,2,FALSE), " ")</f>
        <v xml:space="preserve"> </v>
      </c>
      <c r="CI36" s="55"/>
      <c r="CJ36" s="32"/>
      <c r="CK36" s="32"/>
      <c r="CL36" s="55"/>
      <c r="CM36" s="32"/>
    </row>
    <row r="37" spans="1:9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54"/>
      <c r="R37" s="21" t="str">
        <f>IFERROR(VLOOKUP(October[[#This Row],[Drug Name]],'Data Options'!$R$1:$S$100,2,FALSE), " ")</f>
        <v xml:space="preserve"> </v>
      </c>
      <c r="S37" s="55"/>
      <c r="T37" s="32"/>
      <c r="U37" s="32"/>
      <c r="V37" s="55"/>
      <c r="W37" s="32"/>
      <c r="X37" s="54"/>
      <c r="Y37" s="21" t="str">
        <f>IFERROR(VLOOKUP(October[[#This Row],[Drug Name2]],'Data Options'!$R$1:$S$100,2,FALSE), " ")</f>
        <v xml:space="preserve"> </v>
      </c>
      <c r="Z37" s="55"/>
      <c r="AA37" s="32"/>
      <c r="AB37" s="32"/>
      <c r="AC37" s="55"/>
      <c r="AD37" s="32"/>
      <c r="AE37" s="54"/>
      <c r="AF37" s="21" t="str">
        <f>IFERROR(VLOOKUP(October[[#This Row],[Drug Name3]],'Data Options'!$R$1:$S$100,2,FALSE), " ")</f>
        <v xml:space="preserve"> </v>
      </c>
      <c r="AG37" s="55"/>
      <c r="AH37" s="32"/>
      <c r="AI37" s="32"/>
      <c r="AJ37" s="55"/>
      <c r="AK37" s="32"/>
      <c r="AL37" s="32"/>
      <c r="AM37" s="32"/>
      <c r="AN37" s="32"/>
      <c r="AO37" s="32"/>
      <c r="AP37" s="31"/>
      <c r="AQ37" s="31"/>
      <c r="AR37" s="54"/>
      <c r="AS37" s="21" t="str">
        <f>IFERROR(VLOOKUP(October[[#This Row],[Drug Name4]],'Data Options'!$R$1:$S$100,2,FALSE), " ")</f>
        <v xml:space="preserve"> </v>
      </c>
      <c r="AT37" s="55"/>
      <c r="AU37" s="32"/>
      <c r="AV37" s="32"/>
      <c r="AW37" s="55"/>
      <c r="AX37" s="32"/>
      <c r="AY37" s="54"/>
      <c r="AZ37" s="21" t="str">
        <f>IFERROR(VLOOKUP(October[[#This Row],[Drug Name5]],'Data Options'!$R$1:$S$100,2,FALSE), " ")</f>
        <v xml:space="preserve"> </v>
      </c>
      <c r="BA37" s="55"/>
      <c r="BB37" s="32"/>
      <c r="BC37" s="32"/>
      <c r="BD37" s="55"/>
      <c r="BE37" s="32"/>
      <c r="BF37" s="54"/>
      <c r="BG37" s="21" t="str">
        <f>IFERROR(VLOOKUP(October[[#This Row],[Drug Name6]],'Data Options'!$R$1:$S$100,2,FALSE), " ")</f>
        <v xml:space="preserve"> </v>
      </c>
      <c r="BH37" s="55"/>
      <c r="BI37" s="32"/>
      <c r="BJ37" s="32"/>
      <c r="BK37" s="55"/>
      <c r="BL37" s="32"/>
      <c r="BM37" s="32"/>
      <c r="BN37" s="32"/>
      <c r="BO37" s="32"/>
      <c r="BP37" s="32"/>
      <c r="BQ37" s="31"/>
      <c r="BR37" s="31"/>
      <c r="BS37" s="54"/>
      <c r="BT37" s="21" t="str">
        <f>IFERROR(VLOOKUP(October[[#This Row],[Drug Name7]],'Data Options'!$R$1:$S$100,2,FALSE), " ")</f>
        <v xml:space="preserve"> </v>
      </c>
      <c r="BU37" s="55"/>
      <c r="BV37" s="32"/>
      <c r="BW37" s="32"/>
      <c r="BX37" s="55"/>
      <c r="BY37" s="32"/>
      <c r="BZ37" s="54"/>
      <c r="CA37" s="21" t="str">
        <f>IFERROR(VLOOKUP(October[[#This Row],[Drug Name8]],'Data Options'!$R$1:$S$100,2,FALSE), " ")</f>
        <v xml:space="preserve"> </v>
      </c>
      <c r="CB37" s="55"/>
      <c r="CC37" s="32"/>
      <c r="CD37" s="32"/>
      <c r="CE37" s="55"/>
      <c r="CF37" s="32"/>
      <c r="CG37" s="54"/>
      <c r="CH37" s="21" t="str">
        <f>IFERROR(VLOOKUP(October[[#This Row],[Drug Name9]],'Data Options'!$R$1:$S$100,2,FALSE), " ")</f>
        <v xml:space="preserve"> </v>
      </c>
      <c r="CI37" s="55"/>
      <c r="CJ37" s="32"/>
      <c r="CK37" s="32"/>
      <c r="CL37" s="55"/>
      <c r="CM37" s="32"/>
    </row>
    <row r="38" spans="1:9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54"/>
      <c r="R38" s="21" t="str">
        <f>IFERROR(VLOOKUP(October[[#This Row],[Drug Name]],'Data Options'!$R$1:$S$100,2,FALSE), " ")</f>
        <v xml:space="preserve"> </v>
      </c>
      <c r="S38" s="55"/>
      <c r="T38" s="32"/>
      <c r="U38" s="32"/>
      <c r="V38" s="55"/>
      <c r="W38" s="32"/>
      <c r="X38" s="54"/>
      <c r="Y38" s="21" t="str">
        <f>IFERROR(VLOOKUP(October[[#This Row],[Drug Name2]],'Data Options'!$R$1:$S$100,2,FALSE), " ")</f>
        <v xml:space="preserve"> </v>
      </c>
      <c r="Z38" s="55"/>
      <c r="AA38" s="32"/>
      <c r="AB38" s="32"/>
      <c r="AC38" s="55"/>
      <c r="AD38" s="32"/>
      <c r="AE38" s="54"/>
      <c r="AF38" s="21" t="str">
        <f>IFERROR(VLOOKUP(October[[#This Row],[Drug Name3]],'Data Options'!$R$1:$S$100,2,FALSE), " ")</f>
        <v xml:space="preserve"> </v>
      </c>
      <c r="AG38" s="55"/>
      <c r="AH38" s="32"/>
      <c r="AI38" s="32"/>
      <c r="AJ38" s="55"/>
      <c r="AK38" s="32"/>
      <c r="AL38" s="32"/>
      <c r="AM38" s="32"/>
      <c r="AN38" s="32"/>
      <c r="AO38" s="32"/>
      <c r="AP38" s="31"/>
      <c r="AQ38" s="31"/>
      <c r="AR38" s="54"/>
      <c r="AS38" s="21" t="str">
        <f>IFERROR(VLOOKUP(October[[#This Row],[Drug Name4]],'Data Options'!$R$1:$S$100,2,FALSE), " ")</f>
        <v xml:space="preserve"> </v>
      </c>
      <c r="AT38" s="55"/>
      <c r="AU38" s="32"/>
      <c r="AV38" s="32"/>
      <c r="AW38" s="55"/>
      <c r="AX38" s="32"/>
      <c r="AY38" s="54"/>
      <c r="AZ38" s="21" t="str">
        <f>IFERROR(VLOOKUP(October[[#This Row],[Drug Name5]],'Data Options'!$R$1:$S$100,2,FALSE), " ")</f>
        <v xml:space="preserve"> </v>
      </c>
      <c r="BA38" s="55"/>
      <c r="BB38" s="32"/>
      <c r="BC38" s="32"/>
      <c r="BD38" s="55"/>
      <c r="BE38" s="32"/>
      <c r="BF38" s="54"/>
      <c r="BG38" s="21" t="str">
        <f>IFERROR(VLOOKUP(October[[#This Row],[Drug Name6]],'Data Options'!$R$1:$S$100,2,FALSE), " ")</f>
        <v xml:space="preserve"> </v>
      </c>
      <c r="BH38" s="55"/>
      <c r="BI38" s="32"/>
      <c r="BJ38" s="32"/>
      <c r="BK38" s="55"/>
      <c r="BL38" s="32"/>
      <c r="BM38" s="32"/>
      <c r="BN38" s="32"/>
      <c r="BO38" s="32"/>
      <c r="BP38" s="32"/>
      <c r="BQ38" s="31"/>
      <c r="BR38" s="31"/>
      <c r="BS38" s="54"/>
      <c r="BT38" s="21" t="str">
        <f>IFERROR(VLOOKUP(October[[#This Row],[Drug Name7]],'Data Options'!$R$1:$S$100,2,FALSE), " ")</f>
        <v xml:space="preserve"> </v>
      </c>
      <c r="BU38" s="55"/>
      <c r="BV38" s="32"/>
      <c r="BW38" s="32"/>
      <c r="BX38" s="55"/>
      <c r="BY38" s="32"/>
      <c r="BZ38" s="54"/>
      <c r="CA38" s="21" t="str">
        <f>IFERROR(VLOOKUP(October[[#This Row],[Drug Name8]],'Data Options'!$R$1:$S$100,2,FALSE), " ")</f>
        <v xml:space="preserve"> </v>
      </c>
      <c r="CB38" s="55"/>
      <c r="CC38" s="32"/>
      <c r="CD38" s="32"/>
      <c r="CE38" s="55"/>
      <c r="CF38" s="32"/>
      <c r="CG38" s="54"/>
      <c r="CH38" s="21" t="str">
        <f>IFERROR(VLOOKUP(October[[#This Row],[Drug Name9]],'Data Options'!$R$1:$S$100,2,FALSE), " ")</f>
        <v xml:space="preserve"> </v>
      </c>
      <c r="CI38" s="55"/>
      <c r="CJ38" s="32"/>
      <c r="CK38" s="32"/>
      <c r="CL38" s="55"/>
      <c r="CM38" s="32"/>
    </row>
    <row r="39" spans="1:9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54"/>
      <c r="R39" s="21" t="str">
        <f>IFERROR(VLOOKUP(October[[#This Row],[Drug Name]],'Data Options'!$R$1:$S$100,2,FALSE), " ")</f>
        <v xml:space="preserve"> </v>
      </c>
      <c r="S39" s="55"/>
      <c r="T39" s="32"/>
      <c r="U39" s="32"/>
      <c r="V39" s="55"/>
      <c r="W39" s="32"/>
      <c r="X39" s="54"/>
      <c r="Y39" s="21" t="str">
        <f>IFERROR(VLOOKUP(October[[#This Row],[Drug Name2]],'Data Options'!$R$1:$S$100,2,FALSE), " ")</f>
        <v xml:space="preserve"> </v>
      </c>
      <c r="Z39" s="55"/>
      <c r="AA39" s="32"/>
      <c r="AB39" s="32"/>
      <c r="AC39" s="55"/>
      <c r="AD39" s="32"/>
      <c r="AE39" s="54"/>
      <c r="AF39" s="21" t="str">
        <f>IFERROR(VLOOKUP(October[[#This Row],[Drug Name3]],'Data Options'!$R$1:$S$100,2,FALSE), " ")</f>
        <v xml:space="preserve"> </v>
      </c>
      <c r="AG39" s="55"/>
      <c r="AH39" s="32"/>
      <c r="AI39" s="32"/>
      <c r="AJ39" s="55"/>
      <c r="AK39" s="32"/>
      <c r="AL39" s="32"/>
      <c r="AM39" s="32"/>
      <c r="AN39" s="32"/>
      <c r="AO39" s="32"/>
      <c r="AP39" s="31"/>
      <c r="AQ39" s="31"/>
      <c r="AR39" s="54"/>
      <c r="AS39" s="21" t="str">
        <f>IFERROR(VLOOKUP(October[[#This Row],[Drug Name4]],'Data Options'!$R$1:$S$100,2,FALSE), " ")</f>
        <v xml:space="preserve"> </v>
      </c>
      <c r="AT39" s="55"/>
      <c r="AU39" s="32"/>
      <c r="AV39" s="32"/>
      <c r="AW39" s="55"/>
      <c r="AX39" s="32"/>
      <c r="AY39" s="54"/>
      <c r="AZ39" s="21" t="str">
        <f>IFERROR(VLOOKUP(October[[#This Row],[Drug Name5]],'Data Options'!$R$1:$S$100,2,FALSE), " ")</f>
        <v xml:space="preserve"> </v>
      </c>
      <c r="BA39" s="55"/>
      <c r="BB39" s="32"/>
      <c r="BC39" s="32"/>
      <c r="BD39" s="55"/>
      <c r="BE39" s="32"/>
      <c r="BF39" s="54"/>
      <c r="BG39" s="21" t="str">
        <f>IFERROR(VLOOKUP(October[[#This Row],[Drug Name6]],'Data Options'!$R$1:$S$100,2,FALSE), " ")</f>
        <v xml:space="preserve"> </v>
      </c>
      <c r="BH39" s="55"/>
      <c r="BI39" s="32"/>
      <c r="BJ39" s="32"/>
      <c r="BK39" s="55"/>
      <c r="BL39" s="32"/>
      <c r="BM39" s="32"/>
      <c r="BN39" s="32"/>
      <c r="BO39" s="32"/>
      <c r="BP39" s="32"/>
      <c r="BQ39" s="31"/>
      <c r="BR39" s="31"/>
      <c r="BS39" s="54"/>
      <c r="BT39" s="21" t="str">
        <f>IFERROR(VLOOKUP(October[[#This Row],[Drug Name7]],'Data Options'!$R$1:$S$100,2,FALSE), " ")</f>
        <v xml:space="preserve"> </v>
      </c>
      <c r="BU39" s="55"/>
      <c r="BV39" s="32"/>
      <c r="BW39" s="32"/>
      <c r="BX39" s="55"/>
      <c r="BY39" s="32"/>
      <c r="BZ39" s="54"/>
      <c r="CA39" s="21" t="str">
        <f>IFERROR(VLOOKUP(October[[#This Row],[Drug Name8]],'Data Options'!$R$1:$S$100,2,FALSE), " ")</f>
        <v xml:space="preserve"> </v>
      </c>
      <c r="CB39" s="55"/>
      <c r="CC39" s="32"/>
      <c r="CD39" s="32"/>
      <c r="CE39" s="55"/>
      <c r="CF39" s="32"/>
      <c r="CG39" s="54"/>
      <c r="CH39" s="21" t="str">
        <f>IFERROR(VLOOKUP(October[[#This Row],[Drug Name9]],'Data Options'!$R$1:$S$100,2,FALSE), " ")</f>
        <v xml:space="preserve"> </v>
      </c>
      <c r="CI39" s="55"/>
      <c r="CJ39" s="32"/>
      <c r="CK39" s="32"/>
      <c r="CL39" s="55"/>
      <c r="CM39" s="32"/>
    </row>
    <row r="40" spans="1:91">
      <c r="A40" s="5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54"/>
      <c r="R40" s="21" t="str">
        <f>IFERROR(VLOOKUP(October[[#This Row],[Drug Name]],'Data Options'!$R$1:$S$100,2,FALSE), " ")</f>
        <v xml:space="preserve"> </v>
      </c>
      <c r="S40" s="55"/>
      <c r="T40" s="32"/>
      <c r="U40" s="32"/>
      <c r="V40" s="55"/>
      <c r="W40" s="32"/>
      <c r="X40" s="54"/>
      <c r="Y40" s="21" t="str">
        <f>IFERROR(VLOOKUP(October[[#This Row],[Drug Name2]],'Data Options'!$R$1:$S$100,2,FALSE), " ")</f>
        <v xml:space="preserve"> </v>
      </c>
      <c r="Z40" s="55"/>
      <c r="AA40" s="32"/>
      <c r="AB40" s="32"/>
      <c r="AC40" s="55"/>
      <c r="AD40" s="32"/>
      <c r="AE40" s="54"/>
      <c r="AF40" s="21" t="str">
        <f>IFERROR(VLOOKUP(October[[#This Row],[Drug Name3]],'Data Options'!$R$1:$S$100,2,FALSE), " ")</f>
        <v xml:space="preserve"> </v>
      </c>
      <c r="AG40" s="55"/>
      <c r="AH40" s="32"/>
      <c r="AI40" s="32"/>
      <c r="AJ40" s="55"/>
      <c r="AK40" s="32"/>
      <c r="AL40" s="32"/>
      <c r="AM40" s="32"/>
      <c r="AN40" s="32"/>
      <c r="AO40" s="32"/>
      <c r="AP40" s="31"/>
      <c r="AQ40" s="31"/>
      <c r="AR40" s="54"/>
      <c r="AS40" s="21" t="str">
        <f>IFERROR(VLOOKUP(October[[#This Row],[Drug Name4]],'Data Options'!$R$1:$S$100,2,FALSE), " ")</f>
        <v xml:space="preserve"> </v>
      </c>
      <c r="AT40" s="55"/>
      <c r="AU40" s="32"/>
      <c r="AV40" s="32"/>
      <c r="AW40" s="55"/>
      <c r="AX40" s="32"/>
      <c r="AY40" s="54"/>
      <c r="AZ40" s="21" t="str">
        <f>IFERROR(VLOOKUP(October[[#This Row],[Drug Name5]],'Data Options'!$R$1:$S$100,2,FALSE), " ")</f>
        <v xml:space="preserve"> </v>
      </c>
      <c r="BA40" s="55"/>
      <c r="BB40" s="32"/>
      <c r="BC40" s="32"/>
      <c r="BD40" s="55"/>
      <c r="BE40" s="32"/>
      <c r="BF40" s="54"/>
      <c r="BG40" s="21" t="str">
        <f>IFERROR(VLOOKUP(October[[#This Row],[Drug Name6]],'Data Options'!$R$1:$S$100,2,FALSE), " ")</f>
        <v xml:space="preserve"> </v>
      </c>
      <c r="BH40" s="55"/>
      <c r="BI40" s="32"/>
      <c r="BJ40" s="32"/>
      <c r="BK40" s="55"/>
      <c r="BL40" s="32"/>
      <c r="BM40" s="32"/>
      <c r="BN40" s="32"/>
      <c r="BO40" s="32"/>
      <c r="BP40" s="32"/>
      <c r="BQ40" s="31"/>
      <c r="BR40" s="31"/>
      <c r="BS40" s="54"/>
      <c r="BT40" s="21" t="str">
        <f>IFERROR(VLOOKUP(October[[#This Row],[Drug Name7]],'Data Options'!$R$1:$S$100,2,FALSE), " ")</f>
        <v xml:space="preserve"> </v>
      </c>
      <c r="BU40" s="55"/>
      <c r="BV40" s="32"/>
      <c r="BW40" s="32"/>
      <c r="BX40" s="55"/>
      <c r="BY40" s="32"/>
      <c r="BZ40" s="54"/>
      <c r="CA40" s="21" t="str">
        <f>IFERROR(VLOOKUP(October[[#This Row],[Drug Name8]],'Data Options'!$R$1:$S$100,2,FALSE), " ")</f>
        <v xml:space="preserve"> </v>
      </c>
      <c r="CB40" s="55"/>
      <c r="CC40" s="32"/>
      <c r="CD40" s="32"/>
      <c r="CE40" s="55"/>
      <c r="CF40" s="32"/>
      <c r="CG40" s="54"/>
      <c r="CH40" s="21" t="str">
        <f>IFERROR(VLOOKUP(October[[#This Row],[Drug Name9]],'Data Options'!$R$1:$S$100,2,FALSE), " ")</f>
        <v xml:space="preserve"> </v>
      </c>
      <c r="CI40" s="55"/>
      <c r="CJ40" s="32"/>
      <c r="CK40" s="32"/>
      <c r="CL40" s="55"/>
      <c r="CM40" s="32"/>
    </row>
    <row r="41" spans="1:91">
      <c r="A41" s="5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54"/>
      <c r="R41" s="21" t="str">
        <f>IFERROR(VLOOKUP(October[[#This Row],[Drug Name]],'Data Options'!$R$1:$S$100,2,FALSE), " ")</f>
        <v xml:space="preserve"> </v>
      </c>
      <c r="S41" s="55"/>
      <c r="T41" s="32"/>
      <c r="U41" s="32"/>
      <c r="V41" s="55"/>
      <c r="W41" s="32"/>
      <c r="X41" s="54"/>
      <c r="Y41" s="21" t="str">
        <f>IFERROR(VLOOKUP(October[[#This Row],[Drug Name2]],'Data Options'!$R$1:$S$100,2,FALSE), " ")</f>
        <v xml:space="preserve"> </v>
      </c>
      <c r="Z41" s="55"/>
      <c r="AA41" s="32"/>
      <c r="AB41" s="32"/>
      <c r="AC41" s="55"/>
      <c r="AD41" s="32"/>
      <c r="AE41" s="54"/>
      <c r="AF41" s="21" t="str">
        <f>IFERROR(VLOOKUP(October[[#This Row],[Drug Name3]],'Data Options'!$R$1:$S$100,2,FALSE), " ")</f>
        <v xml:space="preserve"> </v>
      </c>
      <c r="AG41" s="55"/>
      <c r="AH41" s="32"/>
      <c r="AI41" s="32"/>
      <c r="AJ41" s="55"/>
      <c r="AK41" s="32"/>
      <c r="AL41" s="32"/>
      <c r="AM41" s="32"/>
      <c r="AN41" s="32"/>
      <c r="AO41" s="32"/>
      <c r="AP41" s="31"/>
      <c r="AQ41" s="31"/>
      <c r="AR41" s="54"/>
      <c r="AS41" s="21" t="str">
        <f>IFERROR(VLOOKUP(October[[#This Row],[Drug Name4]],'Data Options'!$R$1:$S$100,2,FALSE), " ")</f>
        <v xml:space="preserve"> </v>
      </c>
      <c r="AT41" s="55"/>
      <c r="AU41" s="32"/>
      <c r="AV41" s="32"/>
      <c r="AW41" s="55"/>
      <c r="AX41" s="32"/>
      <c r="AY41" s="54"/>
      <c r="AZ41" s="21" t="str">
        <f>IFERROR(VLOOKUP(October[[#This Row],[Drug Name5]],'Data Options'!$R$1:$S$100,2,FALSE), " ")</f>
        <v xml:space="preserve"> </v>
      </c>
      <c r="BA41" s="55"/>
      <c r="BB41" s="32"/>
      <c r="BC41" s="32"/>
      <c r="BD41" s="55"/>
      <c r="BE41" s="32"/>
      <c r="BF41" s="54"/>
      <c r="BG41" s="21" t="str">
        <f>IFERROR(VLOOKUP(October[[#This Row],[Drug Name6]],'Data Options'!$R$1:$S$100,2,FALSE), " ")</f>
        <v xml:space="preserve"> </v>
      </c>
      <c r="BH41" s="55"/>
      <c r="BI41" s="32"/>
      <c r="BJ41" s="32"/>
      <c r="BK41" s="55"/>
      <c r="BL41" s="32"/>
      <c r="BM41" s="32"/>
      <c r="BN41" s="32"/>
      <c r="BO41" s="32"/>
      <c r="BP41" s="32"/>
      <c r="BQ41" s="31"/>
      <c r="BR41" s="31"/>
      <c r="BS41" s="54"/>
      <c r="BT41" s="21" t="str">
        <f>IFERROR(VLOOKUP(October[[#This Row],[Drug Name7]],'Data Options'!$R$1:$S$100,2,FALSE), " ")</f>
        <v xml:space="preserve"> </v>
      </c>
      <c r="BU41" s="55"/>
      <c r="BV41" s="32"/>
      <c r="BW41" s="32"/>
      <c r="BX41" s="55"/>
      <c r="BY41" s="32"/>
      <c r="BZ41" s="54"/>
      <c r="CA41" s="21" t="str">
        <f>IFERROR(VLOOKUP(October[[#This Row],[Drug Name8]],'Data Options'!$R$1:$S$100,2,FALSE), " ")</f>
        <v xml:space="preserve"> </v>
      </c>
      <c r="CB41" s="55"/>
      <c r="CC41" s="32"/>
      <c r="CD41" s="32"/>
      <c r="CE41" s="55"/>
      <c r="CF41" s="32"/>
      <c r="CG41" s="54"/>
      <c r="CH41" s="21" t="str">
        <f>IFERROR(VLOOKUP(October[[#This Row],[Drug Name9]],'Data Options'!$R$1:$S$100,2,FALSE), " ")</f>
        <v xml:space="preserve"> </v>
      </c>
      <c r="CI41" s="55"/>
      <c r="CJ41" s="32"/>
      <c r="CK41" s="32"/>
      <c r="CL41" s="55"/>
      <c r="CM41" s="32"/>
    </row>
    <row r="42" spans="1:91">
      <c r="A42" s="5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54"/>
      <c r="R42" s="21" t="str">
        <f>IFERROR(VLOOKUP(October[[#This Row],[Drug Name]],'Data Options'!$R$1:$S$100,2,FALSE), " ")</f>
        <v xml:space="preserve"> </v>
      </c>
      <c r="S42" s="55"/>
      <c r="T42" s="32"/>
      <c r="U42" s="32"/>
      <c r="V42" s="55"/>
      <c r="W42" s="32"/>
      <c r="X42" s="54"/>
      <c r="Y42" s="21" t="str">
        <f>IFERROR(VLOOKUP(October[[#This Row],[Drug Name2]],'Data Options'!$R$1:$S$100,2,FALSE), " ")</f>
        <v xml:space="preserve"> </v>
      </c>
      <c r="Z42" s="55"/>
      <c r="AA42" s="32"/>
      <c r="AB42" s="32"/>
      <c r="AC42" s="55"/>
      <c r="AD42" s="32"/>
      <c r="AE42" s="54"/>
      <c r="AF42" s="21" t="str">
        <f>IFERROR(VLOOKUP(October[[#This Row],[Drug Name3]],'Data Options'!$R$1:$S$100,2,FALSE), " ")</f>
        <v xml:space="preserve"> </v>
      </c>
      <c r="AG42" s="55"/>
      <c r="AH42" s="32"/>
      <c r="AI42" s="32"/>
      <c r="AJ42" s="55"/>
      <c r="AK42" s="32"/>
      <c r="AL42" s="32"/>
      <c r="AM42" s="32"/>
      <c r="AN42" s="32"/>
      <c r="AO42" s="32"/>
      <c r="AP42" s="31"/>
      <c r="AQ42" s="31"/>
      <c r="AR42" s="54"/>
      <c r="AS42" s="21" t="str">
        <f>IFERROR(VLOOKUP(October[[#This Row],[Drug Name4]],'Data Options'!$R$1:$S$100,2,FALSE), " ")</f>
        <v xml:space="preserve"> </v>
      </c>
      <c r="AT42" s="55"/>
      <c r="AU42" s="32"/>
      <c r="AV42" s="32"/>
      <c r="AW42" s="55"/>
      <c r="AX42" s="32"/>
      <c r="AY42" s="54"/>
      <c r="AZ42" s="21" t="str">
        <f>IFERROR(VLOOKUP(October[[#This Row],[Drug Name5]],'Data Options'!$R$1:$S$100,2,FALSE), " ")</f>
        <v xml:space="preserve"> </v>
      </c>
      <c r="BA42" s="55"/>
      <c r="BB42" s="32"/>
      <c r="BC42" s="32"/>
      <c r="BD42" s="55"/>
      <c r="BE42" s="32"/>
      <c r="BF42" s="54"/>
      <c r="BG42" s="21" t="str">
        <f>IFERROR(VLOOKUP(October[[#This Row],[Drug Name6]],'Data Options'!$R$1:$S$100,2,FALSE), " ")</f>
        <v xml:space="preserve"> </v>
      </c>
      <c r="BH42" s="55"/>
      <c r="BI42" s="32"/>
      <c r="BJ42" s="32"/>
      <c r="BK42" s="55"/>
      <c r="BL42" s="32"/>
      <c r="BM42" s="32"/>
      <c r="BN42" s="32"/>
      <c r="BO42" s="32"/>
      <c r="BP42" s="32"/>
      <c r="BQ42" s="31"/>
      <c r="BR42" s="31"/>
      <c r="BS42" s="54"/>
      <c r="BT42" s="21" t="str">
        <f>IFERROR(VLOOKUP(October[[#This Row],[Drug Name7]],'Data Options'!$R$1:$S$100,2,FALSE), " ")</f>
        <v xml:space="preserve"> </v>
      </c>
      <c r="BU42" s="55"/>
      <c r="BV42" s="32"/>
      <c r="BW42" s="32"/>
      <c r="BX42" s="55"/>
      <c r="BY42" s="32"/>
      <c r="BZ42" s="54"/>
      <c r="CA42" s="21" t="str">
        <f>IFERROR(VLOOKUP(October[[#This Row],[Drug Name8]],'Data Options'!$R$1:$S$100,2,FALSE), " ")</f>
        <v xml:space="preserve"> </v>
      </c>
      <c r="CB42" s="55"/>
      <c r="CC42" s="32"/>
      <c r="CD42" s="32"/>
      <c r="CE42" s="55"/>
      <c r="CF42" s="32"/>
      <c r="CG42" s="54"/>
      <c r="CH42" s="21" t="str">
        <f>IFERROR(VLOOKUP(October[[#This Row],[Drug Name9]],'Data Options'!$R$1:$S$100,2,FALSE), " ")</f>
        <v xml:space="preserve"> </v>
      </c>
      <c r="CI42" s="55"/>
      <c r="CJ42" s="32"/>
      <c r="CK42" s="32"/>
      <c r="CL42" s="55"/>
      <c r="CM42" s="32"/>
    </row>
    <row r="43" spans="1:91">
      <c r="A43" s="5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54"/>
      <c r="R43" s="21" t="str">
        <f>IFERROR(VLOOKUP(October[[#This Row],[Drug Name]],'Data Options'!$R$1:$S$100,2,FALSE), " ")</f>
        <v xml:space="preserve"> </v>
      </c>
      <c r="S43" s="55"/>
      <c r="T43" s="32"/>
      <c r="U43" s="32"/>
      <c r="V43" s="55"/>
      <c r="W43" s="32"/>
      <c r="X43" s="54"/>
      <c r="Y43" s="21" t="str">
        <f>IFERROR(VLOOKUP(October[[#This Row],[Drug Name2]],'Data Options'!$R$1:$S$100,2,FALSE), " ")</f>
        <v xml:space="preserve"> </v>
      </c>
      <c r="Z43" s="55"/>
      <c r="AA43" s="32"/>
      <c r="AB43" s="32"/>
      <c r="AC43" s="55"/>
      <c r="AD43" s="32"/>
      <c r="AE43" s="54"/>
      <c r="AF43" s="21" t="str">
        <f>IFERROR(VLOOKUP(October[[#This Row],[Drug Name3]],'Data Options'!$R$1:$S$100,2,FALSE), " ")</f>
        <v xml:space="preserve"> </v>
      </c>
      <c r="AG43" s="55"/>
      <c r="AH43" s="32"/>
      <c r="AI43" s="32"/>
      <c r="AJ43" s="55"/>
      <c r="AK43" s="32"/>
      <c r="AL43" s="32"/>
      <c r="AM43" s="32"/>
      <c r="AN43" s="32"/>
      <c r="AO43" s="32"/>
      <c r="AP43" s="31"/>
      <c r="AQ43" s="31"/>
      <c r="AR43" s="54"/>
      <c r="AS43" s="21" t="str">
        <f>IFERROR(VLOOKUP(October[[#This Row],[Drug Name4]],'Data Options'!$R$1:$S$100,2,FALSE), " ")</f>
        <v xml:space="preserve"> </v>
      </c>
      <c r="AT43" s="55"/>
      <c r="AU43" s="32"/>
      <c r="AV43" s="32"/>
      <c r="AW43" s="55"/>
      <c r="AX43" s="32"/>
      <c r="AY43" s="54"/>
      <c r="AZ43" s="21" t="str">
        <f>IFERROR(VLOOKUP(October[[#This Row],[Drug Name5]],'Data Options'!$R$1:$S$100,2,FALSE), " ")</f>
        <v xml:space="preserve"> </v>
      </c>
      <c r="BA43" s="55"/>
      <c r="BB43" s="32"/>
      <c r="BC43" s="32"/>
      <c r="BD43" s="55"/>
      <c r="BE43" s="32"/>
      <c r="BF43" s="54"/>
      <c r="BG43" s="21" t="str">
        <f>IFERROR(VLOOKUP(October[[#This Row],[Drug Name6]],'Data Options'!$R$1:$S$100,2,FALSE), " ")</f>
        <v xml:space="preserve"> </v>
      </c>
      <c r="BH43" s="55"/>
      <c r="BI43" s="32"/>
      <c r="BJ43" s="32"/>
      <c r="BK43" s="55"/>
      <c r="BL43" s="32"/>
      <c r="BM43" s="32"/>
      <c r="BN43" s="32"/>
      <c r="BO43" s="32"/>
      <c r="BP43" s="32"/>
      <c r="BQ43" s="31"/>
      <c r="BR43" s="31"/>
      <c r="BS43" s="54"/>
      <c r="BT43" s="21" t="str">
        <f>IFERROR(VLOOKUP(October[[#This Row],[Drug Name7]],'Data Options'!$R$1:$S$100,2,FALSE), " ")</f>
        <v xml:space="preserve"> </v>
      </c>
      <c r="BU43" s="55"/>
      <c r="BV43" s="32"/>
      <c r="BW43" s="32"/>
      <c r="BX43" s="55"/>
      <c r="BY43" s="32"/>
      <c r="BZ43" s="54"/>
      <c r="CA43" s="21" t="str">
        <f>IFERROR(VLOOKUP(October[[#This Row],[Drug Name8]],'Data Options'!$R$1:$S$100,2,FALSE), " ")</f>
        <v xml:space="preserve"> </v>
      </c>
      <c r="CB43" s="55"/>
      <c r="CC43" s="32"/>
      <c r="CD43" s="32"/>
      <c r="CE43" s="55"/>
      <c r="CF43" s="32"/>
      <c r="CG43" s="54"/>
      <c r="CH43" s="21" t="str">
        <f>IFERROR(VLOOKUP(October[[#This Row],[Drug Name9]],'Data Options'!$R$1:$S$100,2,FALSE), " ")</f>
        <v xml:space="preserve"> </v>
      </c>
      <c r="CI43" s="55"/>
      <c r="CJ43" s="32"/>
      <c r="CK43" s="32"/>
      <c r="CL43" s="55"/>
      <c r="CM43" s="32"/>
    </row>
    <row r="44" spans="1:9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54"/>
      <c r="R44" s="21" t="str">
        <f>IFERROR(VLOOKUP(October[[#This Row],[Drug Name]],'Data Options'!$R$1:$S$100,2,FALSE), " ")</f>
        <v xml:space="preserve"> </v>
      </c>
      <c r="S44" s="55"/>
      <c r="T44" s="32"/>
      <c r="U44" s="32"/>
      <c r="V44" s="55"/>
      <c r="W44" s="32"/>
      <c r="X44" s="54"/>
      <c r="Y44" s="21" t="str">
        <f>IFERROR(VLOOKUP(October[[#This Row],[Drug Name2]],'Data Options'!$R$1:$S$100,2,FALSE), " ")</f>
        <v xml:space="preserve"> </v>
      </c>
      <c r="Z44" s="55"/>
      <c r="AA44" s="32"/>
      <c r="AB44" s="32"/>
      <c r="AC44" s="55"/>
      <c r="AD44" s="32"/>
      <c r="AE44" s="54"/>
      <c r="AF44" s="21" t="str">
        <f>IFERROR(VLOOKUP(October[[#This Row],[Drug Name3]],'Data Options'!$R$1:$S$100,2,FALSE), " ")</f>
        <v xml:space="preserve"> </v>
      </c>
      <c r="AG44" s="55"/>
      <c r="AH44" s="32"/>
      <c r="AI44" s="32"/>
      <c r="AJ44" s="55"/>
      <c r="AK44" s="32"/>
      <c r="AL44" s="32"/>
      <c r="AM44" s="32"/>
      <c r="AN44" s="32"/>
      <c r="AO44" s="32"/>
      <c r="AP44" s="31"/>
      <c r="AQ44" s="31"/>
      <c r="AR44" s="54"/>
      <c r="AS44" s="21" t="str">
        <f>IFERROR(VLOOKUP(October[[#This Row],[Drug Name4]],'Data Options'!$R$1:$S$100,2,FALSE), " ")</f>
        <v xml:space="preserve"> </v>
      </c>
      <c r="AT44" s="55"/>
      <c r="AU44" s="32"/>
      <c r="AV44" s="32"/>
      <c r="AW44" s="55"/>
      <c r="AX44" s="32"/>
      <c r="AY44" s="54"/>
      <c r="AZ44" s="21" t="str">
        <f>IFERROR(VLOOKUP(October[[#This Row],[Drug Name5]],'Data Options'!$R$1:$S$100,2,FALSE), " ")</f>
        <v xml:space="preserve"> </v>
      </c>
      <c r="BA44" s="55"/>
      <c r="BB44" s="32"/>
      <c r="BC44" s="32"/>
      <c r="BD44" s="55"/>
      <c r="BE44" s="32"/>
      <c r="BF44" s="54"/>
      <c r="BG44" s="21" t="str">
        <f>IFERROR(VLOOKUP(October[[#This Row],[Drug Name6]],'Data Options'!$R$1:$S$100,2,FALSE), " ")</f>
        <v xml:space="preserve"> </v>
      </c>
      <c r="BH44" s="55"/>
      <c r="BI44" s="32"/>
      <c r="BJ44" s="32"/>
      <c r="BK44" s="55"/>
      <c r="BL44" s="32"/>
      <c r="BM44" s="32"/>
      <c r="BN44" s="32"/>
      <c r="BO44" s="32"/>
      <c r="BP44" s="32"/>
      <c r="BQ44" s="31"/>
      <c r="BR44" s="31"/>
      <c r="BS44" s="54"/>
      <c r="BT44" s="21" t="str">
        <f>IFERROR(VLOOKUP(October[[#This Row],[Drug Name7]],'Data Options'!$R$1:$S$100,2,FALSE), " ")</f>
        <v xml:space="preserve"> </v>
      </c>
      <c r="BU44" s="55"/>
      <c r="BV44" s="32"/>
      <c r="BW44" s="32"/>
      <c r="BX44" s="55"/>
      <c r="BY44" s="32"/>
      <c r="BZ44" s="54"/>
      <c r="CA44" s="21" t="str">
        <f>IFERROR(VLOOKUP(October[[#This Row],[Drug Name8]],'Data Options'!$R$1:$S$100,2,FALSE), " ")</f>
        <v xml:space="preserve"> </v>
      </c>
      <c r="CB44" s="55"/>
      <c r="CC44" s="32"/>
      <c r="CD44" s="32"/>
      <c r="CE44" s="55"/>
      <c r="CF44" s="32"/>
      <c r="CG44" s="54"/>
      <c r="CH44" s="21" t="str">
        <f>IFERROR(VLOOKUP(October[[#This Row],[Drug Name9]],'Data Options'!$R$1:$S$100,2,FALSE), " ")</f>
        <v xml:space="preserve"> </v>
      </c>
      <c r="CI44" s="55"/>
      <c r="CJ44" s="32"/>
      <c r="CK44" s="32"/>
      <c r="CL44" s="55"/>
      <c r="CM44" s="32"/>
    </row>
    <row r="45" spans="1:91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54"/>
      <c r="R45" s="21" t="str">
        <f>IFERROR(VLOOKUP(October[[#This Row],[Drug Name]],'Data Options'!$R$1:$S$100,2,FALSE), " ")</f>
        <v xml:space="preserve"> </v>
      </c>
      <c r="S45" s="55"/>
      <c r="T45" s="32"/>
      <c r="U45" s="32"/>
      <c r="V45" s="55"/>
      <c r="W45" s="32"/>
      <c r="X45" s="54"/>
      <c r="Y45" s="21" t="str">
        <f>IFERROR(VLOOKUP(October[[#This Row],[Drug Name2]],'Data Options'!$R$1:$S$100,2,FALSE), " ")</f>
        <v xml:space="preserve"> </v>
      </c>
      <c r="Z45" s="55"/>
      <c r="AA45" s="32"/>
      <c r="AB45" s="32"/>
      <c r="AC45" s="55"/>
      <c r="AD45" s="32"/>
      <c r="AE45" s="54"/>
      <c r="AF45" s="21" t="str">
        <f>IFERROR(VLOOKUP(October[[#This Row],[Drug Name3]],'Data Options'!$R$1:$S$100,2,FALSE), " ")</f>
        <v xml:space="preserve"> </v>
      </c>
      <c r="AG45" s="55"/>
      <c r="AH45" s="32"/>
      <c r="AI45" s="32"/>
      <c r="AJ45" s="55"/>
      <c r="AK45" s="32"/>
      <c r="AL45" s="32"/>
      <c r="AM45" s="32"/>
      <c r="AN45" s="32"/>
      <c r="AO45" s="32"/>
      <c r="AP45" s="31"/>
      <c r="AQ45" s="31"/>
      <c r="AR45" s="54"/>
      <c r="AS45" s="21" t="str">
        <f>IFERROR(VLOOKUP(October[[#This Row],[Drug Name4]],'Data Options'!$R$1:$S$100,2,FALSE), " ")</f>
        <v xml:space="preserve"> </v>
      </c>
      <c r="AT45" s="55"/>
      <c r="AU45" s="32"/>
      <c r="AV45" s="32"/>
      <c r="AW45" s="55"/>
      <c r="AX45" s="32"/>
      <c r="AY45" s="54"/>
      <c r="AZ45" s="21" t="str">
        <f>IFERROR(VLOOKUP(October[[#This Row],[Drug Name5]],'Data Options'!$R$1:$S$100,2,FALSE), " ")</f>
        <v xml:space="preserve"> </v>
      </c>
      <c r="BA45" s="55"/>
      <c r="BB45" s="32"/>
      <c r="BC45" s="32"/>
      <c r="BD45" s="55"/>
      <c r="BE45" s="32"/>
      <c r="BF45" s="54"/>
      <c r="BG45" s="21" t="str">
        <f>IFERROR(VLOOKUP(October[[#This Row],[Drug Name6]],'Data Options'!$R$1:$S$100,2,FALSE), " ")</f>
        <v xml:space="preserve"> </v>
      </c>
      <c r="BH45" s="55"/>
      <c r="BI45" s="32"/>
      <c r="BJ45" s="32"/>
      <c r="BK45" s="55"/>
      <c r="BL45" s="32"/>
      <c r="BM45" s="32"/>
      <c r="BN45" s="32"/>
      <c r="BO45" s="32"/>
      <c r="BP45" s="32"/>
      <c r="BQ45" s="31"/>
      <c r="BR45" s="31"/>
      <c r="BS45" s="54"/>
      <c r="BT45" s="21" t="str">
        <f>IFERROR(VLOOKUP(October[[#This Row],[Drug Name7]],'Data Options'!$R$1:$S$100,2,FALSE), " ")</f>
        <v xml:space="preserve"> </v>
      </c>
      <c r="BU45" s="55"/>
      <c r="BV45" s="32"/>
      <c r="BW45" s="32"/>
      <c r="BX45" s="55"/>
      <c r="BY45" s="32"/>
      <c r="BZ45" s="54"/>
      <c r="CA45" s="21" t="str">
        <f>IFERROR(VLOOKUP(October[[#This Row],[Drug Name8]],'Data Options'!$R$1:$S$100,2,FALSE), " ")</f>
        <v xml:space="preserve"> </v>
      </c>
      <c r="CB45" s="55"/>
      <c r="CC45" s="32"/>
      <c r="CD45" s="32"/>
      <c r="CE45" s="55"/>
      <c r="CF45" s="32"/>
      <c r="CG45" s="54"/>
      <c r="CH45" s="21" t="str">
        <f>IFERROR(VLOOKUP(October[[#This Row],[Drug Name9]],'Data Options'!$R$1:$S$100,2,FALSE), " ")</f>
        <v xml:space="preserve"> </v>
      </c>
      <c r="CI45" s="55"/>
      <c r="CJ45" s="32"/>
      <c r="CK45" s="32"/>
      <c r="CL45" s="55"/>
      <c r="CM45" s="32"/>
    </row>
    <row r="46" spans="1:91">
      <c r="A46" s="5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54"/>
      <c r="R46" s="21" t="str">
        <f>IFERROR(VLOOKUP(October[[#This Row],[Drug Name]],'Data Options'!$R$1:$S$100,2,FALSE), " ")</f>
        <v xml:space="preserve"> </v>
      </c>
      <c r="S46" s="55"/>
      <c r="T46" s="32"/>
      <c r="U46" s="32"/>
      <c r="V46" s="55"/>
      <c r="W46" s="32"/>
      <c r="X46" s="54"/>
      <c r="Y46" s="21" t="str">
        <f>IFERROR(VLOOKUP(October[[#This Row],[Drug Name2]],'Data Options'!$R$1:$S$100,2,FALSE), " ")</f>
        <v xml:space="preserve"> </v>
      </c>
      <c r="Z46" s="55"/>
      <c r="AA46" s="32"/>
      <c r="AB46" s="32"/>
      <c r="AC46" s="55"/>
      <c r="AD46" s="32"/>
      <c r="AE46" s="54"/>
      <c r="AF46" s="21" t="str">
        <f>IFERROR(VLOOKUP(October[[#This Row],[Drug Name3]],'Data Options'!$R$1:$S$100,2,FALSE), " ")</f>
        <v xml:space="preserve"> </v>
      </c>
      <c r="AG46" s="55"/>
      <c r="AH46" s="32"/>
      <c r="AI46" s="32"/>
      <c r="AJ46" s="55"/>
      <c r="AK46" s="32"/>
      <c r="AL46" s="32"/>
      <c r="AM46" s="32"/>
      <c r="AN46" s="32"/>
      <c r="AO46" s="32"/>
      <c r="AP46" s="31"/>
      <c r="AQ46" s="31"/>
      <c r="AR46" s="54"/>
      <c r="AS46" s="21" t="str">
        <f>IFERROR(VLOOKUP(October[[#This Row],[Drug Name4]],'Data Options'!$R$1:$S$100,2,FALSE), " ")</f>
        <v xml:space="preserve"> </v>
      </c>
      <c r="AT46" s="55"/>
      <c r="AU46" s="32"/>
      <c r="AV46" s="32"/>
      <c r="AW46" s="55"/>
      <c r="AX46" s="32"/>
      <c r="AY46" s="54"/>
      <c r="AZ46" s="21" t="str">
        <f>IFERROR(VLOOKUP(October[[#This Row],[Drug Name5]],'Data Options'!$R$1:$S$100,2,FALSE), " ")</f>
        <v xml:space="preserve"> </v>
      </c>
      <c r="BA46" s="55"/>
      <c r="BB46" s="32"/>
      <c r="BC46" s="32"/>
      <c r="BD46" s="55"/>
      <c r="BE46" s="32"/>
      <c r="BF46" s="54"/>
      <c r="BG46" s="21" t="str">
        <f>IFERROR(VLOOKUP(October[[#This Row],[Drug Name6]],'Data Options'!$R$1:$S$100,2,FALSE), " ")</f>
        <v xml:space="preserve"> </v>
      </c>
      <c r="BH46" s="55"/>
      <c r="BI46" s="32"/>
      <c r="BJ46" s="32"/>
      <c r="BK46" s="55"/>
      <c r="BL46" s="32"/>
      <c r="BM46" s="32"/>
      <c r="BN46" s="32"/>
      <c r="BO46" s="32"/>
      <c r="BP46" s="32"/>
      <c r="BQ46" s="31"/>
      <c r="BR46" s="31"/>
      <c r="BS46" s="54"/>
      <c r="BT46" s="21" t="str">
        <f>IFERROR(VLOOKUP(October[[#This Row],[Drug Name7]],'Data Options'!$R$1:$S$100,2,FALSE), " ")</f>
        <v xml:space="preserve"> </v>
      </c>
      <c r="BU46" s="55"/>
      <c r="BV46" s="32"/>
      <c r="BW46" s="32"/>
      <c r="BX46" s="55"/>
      <c r="BY46" s="32"/>
      <c r="BZ46" s="54"/>
      <c r="CA46" s="21" t="str">
        <f>IFERROR(VLOOKUP(October[[#This Row],[Drug Name8]],'Data Options'!$R$1:$S$100,2,FALSE), " ")</f>
        <v xml:space="preserve"> </v>
      </c>
      <c r="CB46" s="55"/>
      <c r="CC46" s="32"/>
      <c r="CD46" s="32"/>
      <c r="CE46" s="55"/>
      <c r="CF46" s="32"/>
      <c r="CG46" s="54"/>
      <c r="CH46" s="21" t="str">
        <f>IFERROR(VLOOKUP(October[[#This Row],[Drug Name9]],'Data Options'!$R$1:$S$100,2,FALSE), " ")</f>
        <v xml:space="preserve"> </v>
      </c>
      <c r="CI46" s="55"/>
      <c r="CJ46" s="32"/>
      <c r="CK46" s="32"/>
      <c r="CL46" s="55"/>
      <c r="CM46" s="32"/>
    </row>
    <row r="47" spans="1:9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54"/>
      <c r="R47" s="21" t="str">
        <f>IFERROR(VLOOKUP(October[[#This Row],[Drug Name]],'Data Options'!$R$1:$S$100,2,FALSE), " ")</f>
        <v xml:space="preserve"> </v>
      </c>
      <c r="S47" s="55"/>
      <c r="T47" s="32"/>
      <c r="U47" s="32"/>
      <c r="V47" s="55"/>
      <c r="W47" s="32"/>
      <c r="X47" s="54"/>
      <c r="Y47" s="21" t="str">
        <f>IFERROR(VLOOKUP(October[[#This Row],[Drug Name2]],'Data Options'!$R$1:$S$100,2,FALSE), " ")</f>
        <v xml:space="preserve"> </v>
      </c>
      <c r="Z47" s="55"/>
      <c r="AA47" s="32"/>
      <c r="AB47" s="32"/>
      <c r="AC47" s="55"/>
      <c r="AD47" s="32"/>
      <c r="AE47" s="54"/>
      <c r="AF47" s="21" t="str">
        <f>IFERROR(VLOOKUP(October[[#This Row],[Drug Name3]],'Data Options'!$R$1:$S$100,2,FALSE), " ")</f>
        <v xml:space="preserve"> </v>
      </c>
      <c r="AG47" s="55"/>
      <c r="AH47" s="32"/>
      <c r="AI47" s="32"/>
      <c r="AJ47" s="55"/>
      <c r="AK47" s="32"/>
      <c r="AL47" s="32"/>
      <c r="AM47" s="32"/>
      <c r="AN47" s="32"/>
      <c r="AO47" s="32"/>
      <c r="AP47" s="31"/>
      <c r="AQ47" s="31"/>
      <c r="AR47" s="54"/>
      <c r="AS47" s="21" t="str">
        <f>IFERROR(VLOOKUP(October[[#This Row],[Drug Name4]],'Data Options'!$R$1:$S$100,2,FALSE), " ")</f>
        <v xml:space="preserve"> </v>
      </c>
      <c r="AT47" s="55"/>
      <c r="AU47" s="32"/>
      <c r="AV47" s="32"/>
      <c r="AW47" s="55"/>
      <c r="AX47" s="32"/>
      <c r="AY47" s="54"/>
      <c r="AZ47" s="21" t="str">
        <f>IFERROR(VLOOKUP(October[[#This Row],[Drug Name5]],'Data Options'!$R$1:$S$100,2,FALSE), " ")</f>
        <v xml:space="preserve"> </v>
      </c>
      <c r="BA47" s="55"/>
      <c r="BB47" s="32"/>
      <c r="BC47" s="32"/>
      <c r="BD47" s="55"/>
      <c r="BE47" s="32"/>
      <c r="BF47" s="54"/>
      <c r="BG47" s="21" t="str">
        <f>IFERROR(VLOOKUP(October[[#This Row],[Drug Name6]],'Data Options'!$R$1:$S$100,2,FALSE), " ")</f>
        <v xml:space="preserve"> </v>
      </c>
      <c r="BH47" s="55"/>
      <c r="BI47" s="32"/>
      <c r="BJ47" s="32"/>
      <c r="BK47" s="55"/>
      <c r="BL47" s="32"/>
      <c r="BM47" s="32"/>
      <c r="BN47" s="32"/>
      <c r="BO47" s="32"/>
      <c r="BP47" s="32"/>
      <c r="BQ47" s="31"/>
      <c r="BR47" s="31"/>
      <c r="BS47" s="54"/>
      <c r="BT47" s="21" t="str">
        <f>IFERROR(VLOOKUP(October[[#This Row],[Drug Name7]],'Data Options'!$R$1:$S$100,2,FALSE), " ")</f>
        <v xml:space="preserve"> </v>
      </c>
      <c r="BU47" s="55"/>
      <c r="BV47" s="32"/>
      <c r="BW47" s="32"/>
      <c r="BX47" s="55"/>
      <c r="BY47" s="32"/>
      <c r="BZ47" s="54"/>
      <c r="CA47" s="21" t="str">
        <f>IFERROR(VLOOKUP(October[[#This Row],[Drug Name8]],'Data Options'!$R$1:$S$100,2,FALSE), " ")</f>
        <v xml:space="preserve"> </v>
      </c>
      <c r="CB47" s="55"/>
      <c r="CC47" s="32"/>
      <c r="CD47" s="32"/>
      <c r="CE47" s="55"/>
      <c r="CF47" s="32"/>
      <c r="CG47" s="54"/>
      <c r="CH47" s="21" t="str">
        <f>IFERROR(VLOOKUP(October[[#This Row],[Drug Name9]],'Data Options'!$R$1:$S$100,2,FALSE), " ")</f>
        <v xml:space="preserve"> </v>
      </c>
      <c r="CI47" s="55"/>
      <c r="CJ47" s="32"/>
      <c r="CK47" s="32"/>
      <c r="CL47" s="55"/>
      <c r="CM47" s="32"/>
    </row>
    <row r="48" spans="1:9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54"/>
      <c r="R48" s="21" t="str">
        <f>IFERROR(VLOOKUP(October[[#This Row],[Drug Name]],'Data Options'!$R$1:$S$100,2,FALSE), " ")</f>
        <v xml:space="preserve"> </v>
      </c>
      <c r="S48" s="55"/>
      <c r="T48" s="32"/>
      <c r="U48" s="32"/>
      <c r="V48" s="55"/>
      <c r="W48" s="32"/>
      <c r="X48" s="54"/>
      <c r="Y48" s="21" t="str">
        <f>IFERROR(VLOOKUP(October[[#This Row],[Drug Name2]],'Data Options'!$R$1:$S$100,2,FALSE), " ")</f>
        <v xml:space="preserve"> </v>
      </c>
      <c r="Z48" s="55"/>
      <c r="AA48" s="32"/>
      <c r="AB48" s="32"/>
      <c r="AC48" s="55"/>
      <c r="AD48" s="32"/>
      <c r="AE48" s="54"/>
      <c r="AF48" s="21" t="str">
        <f>IFERROR(VLOOKUP(October[[#This Row],[Drug Name3]],'Data Options'!$R$1:$S$100,2,FALSE), " ")</f>
        <v xml:space="preserve"> </v>
      </c>
      <c r="AG48" s="55"/>
      <c r="AH48" s="32"/>
      <c r="AI48" s="32"/>
      <c r="AJ48" s="55"/>
      <c r="AK48" s="32"/>
      <c r="AL48" s="32"/>
      <c r="AM48" s="32"/>
      <c r="AN48" s="32"/>
      <c r="AO48" s="32"/>
      <c r="AP48" s="31"/>
      <c r="AQ48" s="31"/>
      <c r="AR48" s="54"/>
      <c r="AS48" s="21" t="str">
        <f>IFERROR(VLOOKUP(October[[#This Row],[Drug Name4]],'Data Options'!$R$1:$S$100,2,FALSE), " ")</f>
        <v xml:space="preserve"> </v>
      </c>
      <c r="AT48" s="55"/>
      <c r="AU48" s="32"/>
      <c r="AV48" s="32"/>
      <c r="AW48" s="55"/>
      <c r="AX48" s="32"/>
      <c r="AY48" s="54"/>
      <c r="AZ48" s="21" t="str">
        <f>IFERROR(VLOOKUP(October[[#This Row],[Drug Name5]],'Data Options'!$R$1:$S$100,2,FALSE), " ")</f>
        <v xml:space="preserve"> </v>
      </c>
      <c r="BA48" s="55"/>
      <c r="BB48" s="32"/>
      <c r="BC48" s="32"/>
      <c r="BD48" s="55"/>
      <c r="BE48" s="32"/>
      <c r="BF48" s="54"/>
      <c r="BG48" s="21" t="str">
        <f>IFERROR(VLOOKUP(October[[#This Row],[Drug Name6]],'Data Options'!$R$1:$S$100,2,FALSE), " ")</f>
        <v xml:space="preserve"> </v>
      </c>
      <c r="BH48" s="55"/>
      <c r="BI48" s="32"/>
      <c r="BJ48" s="32"/>
      <c r="BK48" s="55"/>
      <c r="BL48" s="32"/>
      <c r="BM48" s="32"/>
      <c r="BN48" s="32"/>
      <c r="BO48" s="32"/>
      <c r="BP48" s="32"/>
      <c r="BQ48" s="31"/>
      <c r="BR48" s="31"/>
      <c r="BS48" s="54"/>
      <c r="BT48" s="21" t="str">
        <f>IFERROR(VLOOKUP(October[[#This Row],[Drug Name7]],'Data Options'!$R$1:$S$100,2,FALSE), " ")</f>
        <v xml:space="preserve"> </v>
      </c>
      <c r="BU48" s="55"/>
      <c r="BV48" s="32"/>
      <c r="BW48" s="32"/>
      <c r="BX48" s="55"/>
      <c r="BY48" s="32"/>
      <c r="BZ48" s="54"/>
      <c r="CA48" s="21" t="str">
        <f>IFERROR(VLOOKUP(October[[#This Row],[Drug Name8]],'Data Options'!$R$1:$S$100,2,FALSE), " ")</f>
        <v xml:space="preserve"> </v>
      </c>
      <c r="CB48" s="55"/>
      <c r="CC48" s="32"/>
      <c r="CD48" s="32"/>
      <c r="CE48" s="55"/>
      <c r="CF48" s="32"/>
      <c r="CG48" s="54"/>
      <c r="CH48" s="21" t="str">
        <f>IFERROR(VLOOKUP(October[[#This Row],[Drug Name9]],'Data Options'!$R$1:$S$100,2,FALSE), " ")</f>
        <v xml:space="preserve"> </v>
      </c>
      <c r="CI48" s="55"/>
      <c r="CJ48" s="32"/>
      <c r="CK48" s="32"/>
      <c r="CL48" s="55"/>
      <c r="CM48" s="32"/>
    </row>
    <row r="49" spans="1:9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54"/>
      <c r="R49" s="21" t="str">
        <f>IFERROR(VLOOKUP(October[[#This Row],[Drug Name]],'Data Options'!$R$1:$S$100,2,FALSE), " ")</f>
        <v xml:space="preserve"> </v>
      </c>
      <c r="S49" s="55"/>
      <c r="T49" s="32"/>
      <c r="U49" s="32"/>
      <c r="V49" s="55"/>
      <c r="W49" s="32"/>
      <c r="X49" s="54"/>
      <c r="Y49" s="21" t="str">
        <f>IFERROR(VLOOKUP(October[[#This Row],[Drug Name2]],'Data Options'!$R$1:$S$100,2,FALSE), " ")</f>
        <v xml:space="preserve"> </v>
      </c>
      <c r="Z49" s="55"/>
      <c r="AA49" s="32"/>
      <c r="AB49" s="32"/>
      <c r="AC49" s="55"/>
      <c r="AD49" s="32"/>
      <c r="AE49" s="54"/>
      <c r="AF49" s="21" t="str">
        <f>IFERROR(VLOOKUP(October[[#This Row],[Drug Name3]],'Data Options'!$R$1:$S$100,2,FALSE), " ")</f>
        <v xml:space="preserve"> </v>
      </c>
      <c r="AG49" s="55"/>
      <c r="AH49" s="32"/>
      <c r="AI49" s="32"/>
      <c r="AJ49" s="55"/>
      <c r="AK49" s="32"/>
      <c r="AL49" s="32"/>
      <c r="AM49" s="32"/>
      <c r="AN49" s="32"/>
      <c r="AO49" s="32"/>
      <c r="AP49" s="31"/>
      <c r="AQ49" s="31"/>
      <c r="AR49" s="54"/>
      <c r="AS49" s="21" t="str">
        <f>IFERROR(VLOOKUP(October[[#This Row],[Drug Name4]],'Data Options'!$R$1:$S$100,2,FALSE), " ")</f>
        <v xml:space="preserve"> </v>
      </c>
      <c r="AT49" s="55"/>
      <c r="AU49" s="32"/>
      <c r="AV49" s="32"/>
      <c r="AW49" s="55"/>
      <c r="AX49" s="32"/>
      <c r="AY49" s="54"/>
      <c r="AZ49" s="21" t="str">
        <f>IFERROR(VLOOKUP(October[[#This Row],[Drug Name5]],'Data Options'!$R$1:$S$100,2,FALSE), " ")</f>
        <v xml:space="preserve"> </v>
      </c>
      <c r="BA49" s="55"/>
      <c r="BB49" s="32"/>
      <c r="BC49" s="32"/>
      <c r="BD49" s="55"/>
      <c r="BE49" s="32"/>
      <c r="BF49" s="54"/>
      <c r="BG49" s="21" t="str">
        <f>IFERROR(VLOOKUP(October[[#This Row],[Drug Name6]],'Data Options'!$R$1:$S$100,2,FALSE), " ")</f>
        <v xml:space="preserve"> </v>
      </c>
      <c r="BH49" s="55"/>
      <c r="BI49" s="32"/>
      <c r="BJ49" s="32"/>
      <c r="BK49" s="55"/>
      <c r="BL49" s="32"/>
      <c r="BM49" s="32"/>
      <c r="BN49" s="32"/>
      <c r="BO49" s="32"/>
      <c r="BP49" s="32"/>
      <c r="BQ49" s="31"/>
      <c r="BR49" s="31"/>
      <c r="BS49" s="54"/>
      <c r="BT49" s="21" t="str">
        <f>IFERROR(VLOOKUP(October[[#This Row],[Drug Name7]],'Data Options'!$R$1:$S$100,2,FALSE), " ")</f>
        <v xml:space="preserve"> </v>
      </c>
      <c r="BU49" s="55"/>
      <c r="BV49" s="32"/>
      <c r="BW49" s="32"/>
      <c r="BX49" s="55"/>
      <c r="BY49" s="32"/>
      <c r="BZ49" s="54"/>
      <c r="CA49" s="21" t="str">
        <f>IFERROR(VLOOKUP(October[[#This Row],[Drug Name8]],'Data Options'!$R$1:$S$100,2,FALSE), " ")</f>
        <v xml:space="preserve"> </v>
      </c>
      <c r="CB49" s="55"/>
      <c r="CC49" s="32"/>
      <c r="CD49" s="32"/>
      <c r="CE49" s="55"/>
      <c r="CF49" s="32"/>
      <c r="CG49" s="54"/>
      <c r="CH49" s="21" t="str">
        <f>IFERROR(VLOOKUP(October[[#This Row],[Drug Name9]],'Data Options'!$R$1:$S$100,2,FALSE), " ")</f>
        <v xml:space="preserve"> </v>
      </c>
      <c r="CI49" s="55"/>
      <c r="CJ49" s="32"/>
      <c r="CK49" s="32"/>
      <c r="CL49" s="55"/>
      <c r="CM49" s="32"/>
    </row>
    <row r="50" spans="1:91">
      <c r="A50" s="5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54"/>
      <c r="R50" s="21" t="str">
        <f>IFERROR(VLOOKUP(October[[#This Row],[Drug Name]],'Data Options'!$R$1:$S$100,2,FALSE), " ")</f>
        <v xml:space="preserve"> </v>
      </c>
      <c r="S50" s="55"/>
      <c r="T50" s="32"/>
      <c r="U50" s="32"/>
      <c r="V50" s="55"/>
      <c r="W50" s="32"/>
      <c r="X50" s="54"/>
      <c r="Y50" s="21" t="str">
        <f>IFERROR(VLOOKUP(October[[#This Row],[Drug Name2]],'Data Options'!$R$1:$S$100,2,FALSE), " ")</f>
        <v xml:space="preserve"> </v>
      </c>
      <c r="Z50" s="55"/>
      <c r="AA50" s="32"/>
      <c r="AB50" s="32"/>
      <c r="AC50" s="55"/>
      <c r="AD50" s="32"/>
      <c r="AE50" s="54"/>
      <c r="AF50" s="21" t="str">
        <f>IFERROR(VLOOKUP(October[[#This Row],[Drug Name3]],'Data Options'!$R$1:$S$100,2,FALSE), " ")</f>
        <v xml:space="preserve"> </v>
      </c>
      <c r="AG50" s="55"/>
      <c r="AH50" s="32"/>
      <c r="AI50" s="32"/>
      <c r="AJ50" s="55"/>
      <c r="AK50" s="32"/>
      <c r="AL50" s="32"/>
      <c r="AM50" s="32"/>
      <c r="AN50" s="32"/>
      <c r="AO50" s="32"/>
      <c r="AP50" s="31"/>
      <c r="AQ50" s="31"/>
      <c r="AR50" s="54"/>
      <c r="AS50" s="21" t="str">
        <f>IFERROR(VLOOKUP(October[[#This Row],[Drug Name4]],'Data Options'!$R$1:$S$100,2,FALSE), " ")</f>
        <v xml:space="preserve"> </v>
      </c>
      <c r="AT50" s="55"/>
      <c r="AU50" s="32"/>
      <c r="AV50" s="32"/>
      <c r="AW50" s="55"/>
      <c r="AX50" s="32"/>
      <c r="AY50" s="54"/>
      <c r="AZ50" s="21" t="str">
        <f>IFERROR(VLOOKUP(October[[#This Row],[Drug Name5]],'Data Options'!$R$1:$S$100,2,FALSE), " ")</f>
        <v xml:space="preserve"> </v>
      </c>
      <c r="BA50" s="55"/>
      <c r="BB50" s="32"/>
      <c r="BC50" s="32"/>
      <c r="BD50" s="55"/>
      <c r="BE50" s="32"/>
      <c r="BF50" s="54"/>
      <c r="BG50" s="21" t="str">
        <f>IFERROR(VLOOKUP(October[[#This Row],[Drug Name6]],'Data Options'!$R$1:$S$100,2,FALSE), " ")</f>
        <v xml:space="preserve"> </v>
      </c>
      <c r="BH50" s="55"/>
      <c r="BI50" s="32"/>
      <c r="BJ50" s="32"/>
      <c r="BK50" s="55"/>
      <c r="BL50" s="32"/>
      <c r="BM50" s="32"/>
      <c r="BN50" s="32"/>
      <c r="BO50" s="32"/>
      <c r="BP50" s="32"/>
      <c r="BQ50" s="31"/>
      <c r="BR50" s="31"/>
      <c r="BS50" s="54"/>
      <c r="BT50" s="21" t="str">
        <f>IFERROR(VLOOKUP(October[[#This Row],[Drug Name7]],'Data Options'!$R$1:$S$100,2,FALSE), " ")</f>
        <v xml:space="preserve"> </v>
      </c>
      <c r="BU50" s="55"/>
      <c r="BV50" s="32"/>
      <c r="BW50" s="32"/>
      <c r="BX50" s="55"/>
      <c r="BY50" s="32"/>
      <c r="BZ50" s="54"/>
      <c r="CA50" s="21" t="str">
        <f>IFERROR(VLOOKUP(October[[#This Row],[Drug Name8]],'Data Options'!$R$1:$S$100,2,FALSE), " ")</f>
        <v xml:space="preserve"> </v>
      </c>
      <c r="CB50" s="55"/>
      <c r="CC50" s="32"/>
      <c r="CD50" s="32"/>
      <c r="CE50" s="55"/>
      <c r="CF50" s="32"/>
      <c r="CG50" s="54"/>
      <c r="CH50" s="21" t="str">
        <f>IFERROR(VLOOKUP(October[[#This Row],[Drug Name9]],'Data Options'!$R$1:$S$100,2,FALSE), " ")</f>
        <v xml:space="preserve"> </v>
      </c>
      <c r="CI50" s="55"/>
      <c r="CJ50" s="32"/>
      <c r="CK50" s="32"/>
      <c r="CL50" s="55"/>
      <c r="CM50" s="32"/>
    </row>
    <row r="51" spans="1:9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54"/>
      <c r="R51" s="21" t="str">
        <f>IFERROR(VLOOKUP(October[[#This Row],[Drug Name]],'Data Options'!$R$1:$S$100,2,FALSE), " ")</f>
        <v xml:space="preserve"> </v>
      </c>
      <c r="S51" s="55"/>
      <c r="T51" s="32"/>
      <c r="U51" s="32"/>
      <c r="V51" s="55"/>
      <c r="W51" s="32"/>
      <c r="X51" s="54"/>
      <c r="Y51" s="21" t="str">
        <f>IFERROR(VLOOKUP(October[[#This Row],[Drug Name2]],'Data Options'!$R$1:$S$100,2,FALSE), " ")</f>
        <v xml:space="preserve"> </v>
      </c>
      <c r="Z51" s="55"/>
      <c r="AA51" s="32"/>
      <c r="AB51" s="32"/>
      <c r="AC51" s="55"/>
      <c r="AD51" s="32"/>
      <c r="AE51" s="54"/>
      <c r="AF51" s="21" t="str">
        <f>IFERROR(VLOOKUP(October[[#This Row],[Drug Name3]],'Data Options'!$R$1:$S$100,2,FALSE), " ")</f>
        <v xml:space="preserve"> </v>
      </c>
      <c r="AG51" s="55"/>
      <c r="AH51" s="32"/>
      <c r="AI51" s="32"/>
      <c r="AJ51" s="55"/>
      <c r="AK51" s="32"/>
      <c r="AL51" s="32"/>
      <c r="AM51" s="32"/>
      <c r="AN51" s="32"/>
      <c r="AO51" s="32"/>
      <c r="AP51" s="31"/>
      <c r="AQ51" s="31"/>
      <c r="AR51" s="54"/>
      <c r="AS51" s="21" t="str">
        <f>IFERROR(VLOOKUP(October[[#This Row],[Drug Name4]],'Data Options'!$R$1:$S$100,2,FALSE), " ")</f>
        <v xml:space="preserve"> </v>
      </c>
      <c r="AT51" s="55"/>
      <c r="AU51" s="32"/>
      <c r="AV51" s="32"/>
      <c r="AW51" s="55"/>
      <c r="AX51" s="32"/>
      <c r="AY51" s="54"/>
      <c r="AZ51" s="21" t="str">
        <f>IFERROR(VLOOKUP(October[[#This Row],[Drug Name5]],'Data Options'!$R$1:$S$100,2,FALSE), " ")</f>
        <v xml:space="preserve"> </v>
      </c>
      <c r="BA51" s="55"/>
      <c r="BB51" s="32"/>
      <c r="BC51" s="32"/>
      <c r="BD51" s="55"/>
      <c r="BE51" s="32"/>
      <c r="BF51" s="54"/>
      <c r="BG51" s="21" t="str">
        <f>IFERROR(VLOOKUP(October[[#This Row],[Drug Name6]],'Data Options'!$R$1:$S$100,2,FALSE), " ")</f>
        <v xml:space="preserve"> </v>
      </c>
      <c r="BH51" s="55"/>
      <c r="BI51" s="32"/>
      <c r="BJ51" s="32"/>
      <c r="BK51" s="55"/>
      <c r="BL51" s="32"/>
      <c r="BM51" s="32"/>
      <c r="BN51" s="32"/>
      <c r="BO51" s="32"/>
      <c r="BP51" s="32"/>
      <c r="BQ51" s="31"/>
      <c r="BR51" s="31"/>
      <c r="BS51" s="54"/>
      <c r="BT51" s="21" t="str">
        <f>IFERROR(VLOOKUP(October[[#This Row],[Drug Name7]],'Data Options'!$R$1:$S$100,2,FALSE), " ")</f>
        <v xml:space="preserve"> </v>
      </c>
      <c r="BU51" s="55"/>
      <c r="BV51" s="32"/>
      <c r="BW51" s="32"/>
      <c r="BX51" s="55"/>
      <c r="BY51" s="32"/>
      <c r="BZ51" s="54"/>
      <c r="CA51" s="21" t="str">
        <f>IFERROR(VLOOKUP(October[[#This Row],[Drug Name8]],'Data Options'!$R$1:$S$100,2,FALSE), " ")</f>
        <v xml:space="preserve"> </v>
      </c>
      <c r="CB51" s="55"/>
      <c r="CC51" s="32"/>
      <c r="CD51" s="32"/>
      <c r="CE51" s="55"/>
      <c r="CF51" s="32"/>
      <c r="CG51" s="54"/>
      <c r="CH51" s="21" t="str">
        <f>IFERROR(VLOOKUP(October[[#This Row],[Drug Name9]],'Data Options'!$R$1:$S$100,2,FALSE), " ")</f>
        <v xml:space="preserve"> </v>
      </c>
      <c r="CI51" s="55"/>
      <c r="CJ51" s="32"/>
      <c r="CK51" s="32"/>
      <c r="CL51" s="55"/>
      <c r="CM51" s="32"/>
    </row>
    <row r="52" spans="1:9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54"/>
      <c r="R52" s="21" t="str">
        <f>IFERROR(VLOOKUP(October[[#This Row],[Drug Name]],'Data Options'!$R$1:$S$100,2,FALSE), " ")</f>
        <v xml:space="preserve"> </v>
      </c>
      <c r="S52" s="55"/>
      <c r="T52" s="32"/>
      <c r="U52" s="32"/>
      <c r="V52" s="55"/>
      <c r="W52" s="32"/>
      <c r="X52" s="54"/>
      <c r="Y52" s="21" t="str">
        <f>IFERROR(VLOOKUP(October[[#This Row],[Drug Name2]],'Data Options'!$R$1:$S$100,2,FALSE), " ")</f>
        <v xml:space="preserve"> </v>
      </c>
      <c r="Z52" s="55"/>
      <c r="AA52" s="32"/>
      <c r="AB52" s="32"/>
      <c r="AC52" s="55"/>
      <c r="AD52" s="32"/>
      <c r="AE52" s="54"/>
      <c r="AF52" s="21" t="str">
        <f>IFERROR(VLOOKUP(October[[#This Row],[Drug Name3]],'Data Options'!$R$1:$S$100,2,FALSE), " ")</f>
        <v xml:space="preserve"> </v>
      </c>
      <c r="AG52" s="55"/>
      <c r="AH52" s="32"/>
      <c r="AI52" s="32"/>
      <c r="AJ52" s="55"/>
      <c r="AK52" s="32"/>
      <c r="AL52" s="32"/>
      <c r="AM52" s="32"/>
      <c r="AN52" s="32"/>
      <c r="AO52" s="32"/>
      <c r="AP52" s="31"/>
      <c r="AQ52" s="31"/>
      <c r="AR52" s="54"/>
      <c r="AS52" s="21" t="str">
        <f>IFERROR(VLOOKUP(October[[#This Row],[Drug Name4]],'Data Options'!$R$1:$S$100,2,FALSE), " ")</f>
        <v xml:space="preserve"> </v>
      </c>
      <c r="AT52" s="55"/>
      <c r="AU52" s="32"/>
      <c r="AV52" s="32"/>
      <c r="AW52" s="55"/>
      <c r="AX52" s="32"/>
      <c r="AY52" s="54"/>
      <c r="AZ52" s="21" t="str">
        <f>IFERROR(VLOOKUP(October[[#This Row],[Drug Name5]],'Data Options'!$R$1:$S$100,2,FALSE), " ")</f>
        <v xml:space="preserve"> </v>
      </c>
      <c r="BA52" s="55"/>
      <c r="BB52" s="32"/>
      <c r="BC52" s="32"/>
      <c r="BD52" s="55"/>
      <c r="BE52" s="32"/>
      <c r="BF52" s="54"/>
      <c r="BG52" s="21" t="str">
        <f>IFERROR(VLOOKUP(October[[#This Row],[Drug Name6]],'Data Options'!$R$1:$S$100,2,FALSE), " ")</f>
        <v xml:space="preserve"> </v>
      </c>
      <c r="BH52" s="55"/>
      <c r="BI52" s="32"/>
      <c r="BJ52" s="32"/>
      <c r="BK52" s="55"/>
      <c r="BL52" s="32"/>
      <c r="BM52" s="32"/>
      <c r="BN52" s="32"/>
      <c r="BO52" s="32"/>
      <c r="BP52" s="32"/>
      <c r="BQ52" s="31"/>
      <c r="BR52" s="31"/>
      <c r="BS52" s="54"/>
      <c r="BT52" s="21" t="str">
        <f>IFERROR(VLOOKUP(October[[#This Row],[Drug Name7]],'Data Options'!$R$1:$S$100,2,FALSE), " ")</f>
        <v xml:space="preserve"> </v>
      </c>
      <c r="BU52" s="55"/>
      <c r="BV52" s="32"/>
      <c r="BW52" s="32"/>
      <c r="BX52" s="55"/>
      <c r="BY52" s="32"/>
      <c r="BZ52" s="54"/>
      <c r="CA52" s="21" t="str">
        <f>IFERROR(VLOOKUP(October[[#This Row],[Drug Name8]],'Data Options'!$R$1:$S$100,2,FALSE), " ")</f>
        <v xml:space="preserve"> </v>
      </c>
      <c r="CB52" s="55"/>
      <c r="CC52" s="32"/>
      <c r="CD52" s="32"/>
      <c r="CE52" s="55"/>
      <c r="CF52" s="32"/>
      <c r="CG52" s="54"/>
      <c r="CH52" s="21" t="str">
        <f>IFERROR(VLOOKUP(October[[#This Row],[Drug Name9]],'Data Options'!$R$1:$S$100,2,FALSE), " ")</f>
        <v xml:space="preserve"> </v>
      </c>
      <c r="CI52" s="55"/>
      <c r="CJ52" s="32"/>
      <c r="CK52" s="32"/>
      <c r="CL52" s="55"/>
      <c r="CM52" s="32"/>
    </row>
    <row r="53" spans="1:91">
      <c r="A53" s="5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54"/>
      <c r="R53" s="21" t="str">
        <f>IFERROR(VLOOKUP(October[[#This Row],[Drug Name]],'Data Options'!$R$1:$S$100,2,FALSE), " ")</f>
        <v xml:space="preserve"> </v>
      </c>
      <c r="S53" s="55"/>
      <c r="T53" s="32"/>
      <c r="U53" s="32"/>
      <c r="V53" s="55"/>
      <c r="W53" s="32"/>
      <c r="X53" s="54"/>
      <c r="Y53" s="21" t="str">
        <f>IFERROR(VLOOKUP(October[[#This Row],[Drug Name2]],'Data Options'!$R$1:$S$100,2,FALSE), " ")</f>
        <v xml:space="preserve"> </v>
      </c>
      <c r="Z53" s="55"/>
      <c r="AA53" s="32"/>
      <c r="AB53" s="32"/>
      <c r="AC53" s="55"/>
      <c r="AD53" s="32"/>
      <c r="AE53" s="54"/>
      <c r="AF53" s="21" t="str">
        <f>IFERROR(VLOOKUP(October[[#This Row],[Drug Name3]],'Data Options'!$R$1:$S$100,2,FALSE), " ")</f>
        <v xml:space="preserve"> </v>
      </c>
      <c r="AG53" s="55"/>
      <c r="AH53" s="32"/>
      <c r="AI53" s="32"/>
      <c r="AJ53" s="55"/>
      <c r="AK53" s="32"/>
      <c r="AL53" s="32"/>
      <c r="AM53" s="32"/>
      <c r="AN53" s="32"/>
      <c r="AO53" s="32"/>
      <c r="AP53" s="31"/>
      <c r="AQ53" s="31"/>
      <c r="AR53" s="54"/>
      <c r="AS53" s="21" t="str">
        <f>IFERROR(VLOOKUP(October[[#This Row],[Drug Name4]],'Data Options'!$R$1:$S$100,2,FALSE), " ")</f>
        <v xml:space="preserve"> </v>
      </c>
      <c r="AT53" s="55"/>
      <c r="AU53" s="32"/>
      <c r="AV53" s="32"/>
      <c r="AW53" s="55"/>
      <c r="AX53" s="32"/>
      <c r="AY53" s="54"/>
      <c r="AZ53" s="21" t="str">
        <f>IFERROR(VLOOKUP(October[[#This Row],[Drug Name5]],'Data Options'!$R$1:$S$100,2,FALSE), " ")</f>
        <v xml:space="preserve"> </v>
      </c>
      <c r="BA53" s="55"/>
      <c r="BB53" s="32"/>
      <c r="BC53" s="32"/>
      <c r="BD53" s="55"/>
      <c r="BE53" s="32"/>
      <c r="BF53" s="54"/>
      <c r="BG53" s="21" t="str">
        <f>IFERROR(VLOOKUP(October[[#This Row],[Drug Name6]],'Data Options'!$R$1:$S$100,2,FALSE), " ")</f>
        <v xml:space="preserve"> </v>
      </c>
      <c r="BH53" s="55"/>
      <c r="BI53" s="32"/>
      <c r="BJ53" s="32"/>
      <c r="BK53" s="55"/>
      <c r="BL53" s="32"/>
      <c r="BM53" s="32"/>
      <c r="BN53" s="32"/>
      <c r="BO53" s="32"/>
      <c r="BP53" s="32"/>
      <c r="BQ53" s="31"/>
      <c r="BR53" s="31"/>
      <c r="BS53" s="54"/>
      <c r="BT53" s="21" t="str">
        <f>IFERROR(VLOOKUP(October[[#This Row],[Drug Name7]],'Data Options'!$R$1:$S$100,2,FALSE), " ")</f>
        <v xml:space="preserve"> </v>
      </c>
      <c r="BU53" s="55"/>
      <c r="BV53" s="32"/>
      <c r="BW53" s="32"/>
      <c r="BX53" s="55"/>
      <c r="BY53" s="32"/>
      <c r="BZ53" s="54"/>
      <c r="CA53" s="21" t="str">
        <f>IFERROR(VLOOKUP(October[[#This Row],[Drug Name8]],'Data Options'!$R$1:$S$100,2,FALSE), " ")</f>
        <v xml:space="preserve"> </v>
      </c>
      <c r="CB53" s="55"/>
      <c r="CC53" s="32"/>
      <c r="CD53" s="32"/>
      <c r="CE53" s="55"/>
      <c r="CF53" s="32"/>
      <c r="CG53" s="54"/>
      <c r="CH53" s="21" t="str">
        <f>IFERROR(VLOOKUP(October[[#This Row],[Drug Name9]],'Data Options'!$R$1:$S$100,2,FALSE), " ")</f>
        <v xml:space="preserve"> </v>
      </c>
      <c r="CI53" s="55"/>
      <c r="CJ53" s="32"/>
      <c r="CK53" s="32"/>
      <c r="CL53" s="55"/>
      <c r="CM53" s="32"/>
    </row>
    <row r="54" spans="1:91">
      <c r="A54" s="5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54"/>
      <c r="R54" s="21" t="str">
        <f>IFERROR(VLOOKUP(October[[#This Row],[Drug Name]],'Data Options'!$R$1:$S$100,2,FALSE), " ")</f>
        <v xml:space="preserve"> </v>
      </c>
      <c r="S54" s="55"/>
      <c r="T54" s="32"/>
      <c r="U54" s="32"/>
      <c r="V54" s="55"/>
      <c r="W54" s="32"/>
      <c r="X54" s="54"/>
      <c r="Y54" s="21" t="str">
        <f>IFERROR(VLOOKUP(October[[#This Row],[Drug Name2]],'Data Options'!$R$1:$S$100,2,FALSE), " ")</f>
        <v xml:space="preserve"> </v>
      </c>
      <c r="Z54" s="55"/>
      <c r="AA54" s="32"/>
      <c r="AB54" s="32"/>
      <c r="AC54" s="55"/>
      <c r="AD54" s="32"/>
      <c r="AE54" s="54"/>
      <c r="AF54" s="21" t="str">
        <f>IFERROR(VLOOKUP(October[[#This Row],[Drug Name3]],'Data Options'!$R$1:$S$100,2,FALSE), " ")</f>
        <v xml:space="preserve"> </v>
      </c>
      <c r="AG54" s="55"/>
      <c r="AH54" s="32"/>
      <c r="AI54" s="32"/>
      <c r="AJ54" s="55"/>
      <c r="AK54" s="32"/>
      <c r="AL54" s="32"/>
      <c r="AM54" s="32"/>
      <c r="AN54" s="32"/>
      <c r="AO54" s="32"/>
      <c r="AP54" s="31"/>
      <c r="AQ54" s="31"/>
      <c r="AR54" s="54"/>
      <c r="AS54" s="21" t="str">
        <f>IFERROR(VLOOKUP(October[[#This Row],[Drug Name4]],'Data Options'!$R$1:$S$100,2,FALSE), " ")</f>
        <v xml:space="preserve"> </v>
      </c>
      <c r="AT54" s="55"/>
      <c r="AU54" s="32"/>
      <c r="AV54" s="32"/>
      <c r="AW54" s="55"/>
      <c r="AX54" s="32"/>
      <c r="AY54" s="54"/>
      <c r="AZ54" s="21" t="str">
        <f>IFERROR(VLOOKUP(October[[#This Row],[Drug Name5]],'Data Options'!$R$1:$S$100,2,FALSE), " ")</f>
        <v xml:space="preserve"> </v>
      </c>
      <c r="BA54" s="55"/>
      <c r="BB54" s="32"/>
      <c r="BC54" s="32"/>
      <c r="BD54" s="55"/>
      <c r="BE54" s="32"/>
      <c r="BF54" s="54"/>
      <c r="BG54" s="21" t="str">
        <f>IFERROR(VLOOKUP(October[[#This Row],[Drug Name6]],'Data Options'!$R$1:$S$100,2,FALSE), " ")</f>
        <v xml:space="preserve"> </v>
      </c>
      <c r="BH54" s="55"/>
      <c r="BI54" s="32"/>
      <c r="BJ54" s="32"/>
      <c r="BK54" s="55"/>
      <c r="BL54" s="32"/>
      <c r="BM54" s="32"/>
      <c r="BN54" s="32"/>
      <c r="BO54" s="32"/>
      <c r="BP54" s="32"/>
      <c r="BQ54" s="31"/>
      <c r="BR54" s="31"/>
      <c r="BS54" s="54"/>
      <c r="BT54" s="21" t="str">
        <f>IFERROR(VLOOKUP(October[[#This Row],[Drug Name7]],'Data Options'!$R$1:$S$100,2,FALSE), " ")</f>
        <v xml:space="preserve"> </v>
      </c>
      <c r="BU54" s="55"/>
      <c r="BV54" s="32"/>
      <c r="BW54" s="32"/>
      <c r="BX54" s="55"/>
      <c r="BY54" s="32"/>
      <c r="BZ54" s="54"/>
      <c r="CA54" s="21" t="str">
        <f>IFERROR(VLOOKUP(October[[#This Row],[Drug Name8]],'Data Options'!$R$1:$S$100,2,FALSE), " ")</f>
        <v xml:space="preserve"> </v>
      </c>
      <c r="CB54" s="55"/>
      <c r="CC54" s="32"/>
      <c r="CD54" s="32"/>
      <c r="CE54" s="55"/>
      <c r="CF54" s="32"/>
      <c r="CG54" s="54"/>
      <c r="CH54" s="21" t="str">
        <f>IFERROR(VLOOKUP(October[[#This Row],[Drug Name9]],'Data Options'!$R$1:$S$100,2,FALSE), " ")</f>
        <v xml:space="preserve"> </v>
      </c>
      <c r="CI54" s="55"/>
      <c r="CJ54" s="32"/>
      <c r="CK54" s="32"/>
      <c r="CL54" s="55"/>
      <c r="CM54" s="32"/>
    </row>
    <row r="55" spans="1:91">
      <c r="A55" s="5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54"/>
      <c r="R55" s="21" t="str">
        <f>IFERROR(VLOOKUP(October[[#This Row],[Drug Name]],'Data Options'!$R$1:$S$100,2,FALSE), " ")</f>
        <v xml:space="preserve"> </v>
      </c>
      <c r="S55" s="55"/>
      <c r="T55" s="32"/>
      <c r="U55" s="32"/>
      <c r="V55" s="55"/>
      <c r="W55" s="32"/>
      <c r="X55" s="54"/>
      <c r="Y55" s="21" t="str">
        <f>IFERROR(VLOOKUP(October[[#This Row],[Drug Name2]],'Data Options'!$R$1:$S$100,2,FALSE), " ")</f>
        <v xml:space="preserve"> </v>
      </c>
      <c r="Z55" s="55"/>
      <c r="AA55" s="32"/>
      <c r="AB55" s="32"/>
      <c r="AC55" s="55"/>
      <c r="AD55" s="32"/>
      <c r="AE55" s="54"/>
      <c r="AF55" s="21" t="str">
        <f>IFERROR(VLOOKUP(October[[#This Row],[Drug Name3]],'Data Options'!$R$1:$S$100,2,FALSE), " ")</f>
        <v xml:space="preserve"> </v>
      </c>
      <c r="AG55" s="55"/>
      <c r="AH55" s="32"/>
      <c r="AI55" s="32"/>
      <c r="AJ55" s="55"/>
      <c r="AK55" s="32"/>
      <c r="AL55" s="32"/>
      <c r="AM55" s="32"/>
      <c r="AN55" s="32"/>
      <c r="AO55" s="32"/>
      <c r="AP55" s="31"/>
      <c r="AQ55" s="31"/>
      <c r="AR55" s="54"/>
      <c r="AS55" s="21" t="str">
        <f>IFERROR(VLOOKUP(October[[#This Row],[Drug Name4]],'Data Options'!$R$1:$S$100,2,FALSE), " ")</f>
        <v xml:space="preserve"> </v>
      </c>
      <c r="AT55" s="55"/>
      <c r="AU55" s="32"/>
      <c r="AV55" s="32"/>
      <c r="AW55" s="55"/>
      <c r="AX55" s="32"/>
      <c r="AY55" s="54"/>
      <c r="AZ55" s="21" t="str">
        <f>IFERROR(VLOOKUP(October[[#This Row],[Drug Name5]],'Data Options'!$R$1:$S$100,2,FALSE), " ")</f>
        <v xml:space="preserve"> </v>
      </c>
      <c r="BA55" s="55"/>
      <c r="BB55" s="32"/>
      <c r="BC55" s="32"/>
      <c r="BD55" s="55"/>
      <c r="BE55" s="32"/>
      <c r="BF55" s="54"/>
      <c r="BG55" s="21" t="str">
        <f>IFERROR(VLOOKUP(October[[#This Row],[Drug Name6]],'Data Options'!$R$1:$S$100,2,FALSE), " ")</f>
        <v xml:space="preserve"> </v>
      </c>
      <c r="BH55" s="55"/>
      <c r="BI55" s="32"/>
      <c r="BJ55" s="32"/>
      <c r="BK55" s="55"/>
      <c r="BL55" s="32"/>
      <c r="BM55" s="32"/>
      <c r="BN55" s="32"/>
      <c r="BO55" s="32"/>
      <c r="BP55" s="32"/>
      <c r="BQ55" s="31"/>
      <c r="BR55" s="31"/>
      <c r="BS55" s="54"/>
      <c r="BT55" s="21" t="str">
        <f>IFERROR(VLOOKUP(October[[#This Row],[Drug Name7]],'Data Options'!$R$1:$S$100,2,FALSE), " ")</f>
        <v xml:space="preserve"> </v>
      </c>
      <c r="BU55" s="55"/>
      <c r="BV55" s="32"/>
      <c r="BW55" s="32"/>
      <c r="BX55" s="55"/>
      <c r="BY55" s="32"/>
      <c r="BZ55" s="54"/>
      <c r="CA55" s="21" t="str">
        <f>IFERROR(VLOOKUP(October[[#This Row],[Drug Name8]],'Data Options'!$R$1:$S$100,2,FALSE), " ")</f>
        <v xml:space="preserve"> </v>
      </c>
      <c r="CB55" s="55"/>
      <c r="CC55" s="32"/>
      <c r="CD55" s="32"/>
      <c r="CE55" s="55"/>
      <c r="CF55" s="32"/>
      <c r="CG55" s="54"/>
      <c r="CH55" s="21" t="str">
        <f>IFERROR(VLOOKUP(October[[#This Row],[Drug Name9]],'Data Options'!$R$1:$S$100,2,FALSE), " ")</f>
        <v xml:space="preserve"> </v>
      </c>
      <c r="CI55" s="55"/>
      <c r="CJ55" s="32"/>
      <c r="CK55" s="32"/>
      <c r="CL55" s="55"/>
      <c r="CM55" s="32"/>
    </row>
    <row r="56" spans="1:91">
      <c r="A56" s="5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54"/>
      <c r="R56" s="21" t="str">
        <f>IFERROR(VLOOKUP(October[[#This Row],[Drug Name]],'Data Options'!$R$1:$S$100,2,FALSE), " ")</f>
        <v xml:space="preserve"> </v>
      </c>
      <c r="S56" s="55"/>
      <c r="T56" s="32"/>
      <c r="U56" s="32"/>
      <c r="V56" s="55"/>
      <c r="W56" s="32"/>
      <c r="X56" s="54"/>
      <c r="Y56" s="21" t="str">
        <f>IFERROR(VLOOKUP(October[[#This Row],[Drug Name2]],'Data Options'!$R$1:$S$100,2,FALSE), " ")</f>
        <v xml:space="preserve"> </v>
      </c>
      <c r="Z56" s="55"/>
      <c r="AA56" s="32"/>
      <c r="AB56" s="32"/>
      <c r="AC56" s="55"/>
      <c r="AD56" s="32"/>
      <c r="AE56" s="54"/>
      <c r="AF56" s="21" t="str">
        <f>IFERROR(VLOOKUP(October[[#This Row],[Drug Name3]],'Data Options'!$R$1:$S$100,2,FALSE), " ")</f>
        <v xml:space="preserve"> </v>
      </c>
      <c r="AG56" s="55"/>
      <c r="AH56" s="32"/>
      <c r="AI56" s="32"/>
      <c r="AJ56" s="55"/>
      <c r="AK56" s="32"/>
      <c r="AL56" s="32"/>
      <c r="AM56" s="32"/>
      <c r="AN56" s="32"/>
      <c r="AO56" s="32"/>
      <c r="AP56" s="31"/>
      <c r="AQ56" s="31"/>
      <c r="AR56" s="54"/>
      <c r="AS56" s="21" t="str">
        <f>IFERROR(VLOOKUP(October[[#This Row],[Drug Name4]],'Data Options'!$R$1:$S$100,2,FALSE), " ")</f>
        <v xml:space="preserve"> </v>
      </c>
      <c r="AT56" s="55"/>
      <c r="AU56" s="32"/>
      <c r="AV56" s="32"/>
      <c r="AW56" s="55"/>
      <c r="AX56" s="32"/>
      <c r="AY56" s="54"/>
      <c r="AZ56" s="21" t="str">
        <f>IFERROR(VLOOKUP(October[[#This Row],[Drug Name5]],'Data Options'!$R$1:$S$100,2,FALSE), " ")</f>
        <v xml:space="preserve"> </v>
      </c>
      <c r="BA56" s="55"/>
      <c r="BB56" s="32"/>
      <c r="BC56" s="32"/>
      <c r="BD56" s="55"/>
      <c r="BE56" s="32"/>
      <c r="BF56" s="54"/>
      <c r="BG56" s="21" t="str">
        <f>IFERROR(VLOOKUP(October[[#This Row],[Drug Name6]],'Data Options'!$R$1:$S$100,2,FALSE), " ")</f>
        <v xml:space="preserve"> </v>
      </c>
      <c r="BH56" s="55"/>
      <c r="BI56" s="32"/>
      <c r="BJ56" s="32"/>
      <c r="BK56" s="55"/>
      <c r="BL56" s="32"/>
      <c r="BM56" s="32"/>
      <c r="BN56" s="32"/>
      <c r="BO56" s="32"/>
      <c r="BP56" s="32"/>
      <c r="BQ56" s="31"/>
      <c r="BR56" s="31"/>
      <c r="BS56" s="54"/>
      <c r="BT56" s="21" t="str">
        <f>IFERROR(VLOOKUP(October[[#This Row],[Drug Name7]],'Data Options'!$R$1:$S$100,2,FALSE), " ")</f>
        <v xml:space="preserve"> </v>
      </c>
      <c r="BU56" s="55"/>
      <c r="BV56" s="32"/>
      <c r="BW56" s="32"/>
      <c r="BX56" s="55"/>
      <c r="BY56" s="32"/>
      <c r="BZ56" s="54"/>
      <c r="CA56" s="21" t="str">
        <f>IFERROR(VLOOKUP(October[[#This Row],[Drug Name8]],'Data Options'!$R$1:$S$100,2,FALSE), " ")</f>
        <v xml:space="preserve"> </v>
      </c>
      <c r="CB56" s="55"/>
      <c r="CC56" s="32"/>
      <c r="CD56" s="32"/>
      <c r="CE56" s="55"/>
      <c r="CF56" s="32"/>
      <c r="CG56" s="54"/>
      <c r="CH56" s="21" t="str">
        <f>IFERROR(VLOOKUP(October[[#This Row],[Drug Name9]],'Data Options'!$R$1:$S$100,2,FALSE), " ")</f>
        <v xml:space="preserve"> </v>
      </c>
      <c r="CI56" s="55"/>
      <c r="CJ56" s="32"/>
      <c r="CK56" s="32"/>
      <c r="CL56" s="55"/>
      <c r="CM56" s="32"/>
    </row>
    <row r="57" spans="1:91">
      <c r="A57" s="5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31"/>
      <c r="Q57" s="54"/>
      <c r="R57" s="21" t="str">
        <f>IFERROR(VLOOKUP(October[[#This Row],[Drug Name]],'Data Options'!$R$1:$S$100,2,FALSE), " ")</f>
        <v xml:space="preserve"> </v>
      </c>
      <c r="S57" s="55"/>
      <c r="T57" s="32"/>
      <c r="U57" s="32"/>
      <c r="V57" s="55"/>
      <c r="W57" s="32"/>
      <c r="X57" s="54"/>
      <c r="Y57" s="21" t="str">
        <f>IFERROR(VLOOKUP(October[[#This Row],[Drug Name2]],'Data Options'!$R$1:$S$100,2,FALSE), " ")</f>
        <v xml:space="preserve"> </v>
      </c>
      <c r="Z57" s="55"/>
      <c r="AA57" s="32"/>
      <c r="AB57" s="32"/>
      <c r="AC57" s="55"/>
      <c r="AD57" s="32"/>
      <c r="AE57" s="54"/>
      <c r="AF57" s="21" t="str">
        <f>IFERROR(VLOOKUP(October[[#This Row],[Drug Name3]],'Data Options'!$R$1:$S$100,2,FALSE), " ")</f>
        <v xml:space="preserve"> </v>
      </c>
      <c r="AG57" s="55"/>
      <c r="AH57" s="32"/>
      <c r="AI57" s="32"/>
      <c r="AJ57" s="55"/>
      <c r="AK57" s="32"/>
      <c r="AL57" s="32"/>
      <c r="AM57" s="32"/>
      <c r="AN57" s="32"/>
      <c r="AO57" s="32"/>
      <c r="AP57" s="31"/>
      <c r="AQ57" s="31"/>
      <c r="AR57" s="54"/>
      <c r="AS57" s="21" t="str">
        <f>IFERROR(VLOOKUP(October[[#This Row],[Drug Name4]],'Data Options'!$R$1:$S$100,2,FALSE), " ")</f>
        <v xml:space="preserve"> </v>
      </c>
      <c r="AT57" s="55"/>
      <c r="AU57" s="32"/>
      <c r="AV57" s="32"/>
      <c r="AW57" s="55"/>
      <c r="AX57" s="32"/>
      <c r="AY57" s="54"/>
      <c r="AZ57" s="21" t="str">
        <f>IFERROR(VLOOKUP(October[[#This Row],[Drug Name5]],'Data Options'!$R$1:$S$100,2,FALSE), " ")</f>
        <v xml:space="preserve"> </v>
      </c>
      <c r="BA57" s="55"/>
      <c r="BB57" s="32"/>
      <c r="BC57" s="32"/>
      <c r="BD57" s="55"/>
      <c r="BE57" s="32"/>
      <c r="BF57" s="54"/>
      <c r="BG57" s="21" t="str">
        <f>IFERROR(VLOOKUP(October[[#This Row],[Drug Name6]],'Data Options'!$R$1:$S$100,2,FALSE), " ")</f>
        <v xml:space="preserve"> </v>
      </c>
      <c r="BH57" s="55"/>
      <c r="BI57" s="32"/>
      <c r="BJ57" s="32"/>
      <c r="BK57" s="55"/>
      <c r="BL57" s="32"/>
      <c r="BM57" s="32"/>
      <c r="BN57" s="32"/>
      <c r="BO57" s="32"/>
      <c r="BP57" s="32"/>
      <c r="BQ57" s="31"/>
      <c r="BR57" s="31"/>
      <c r="BS57" s="54"/>
      <c r="BT57" s="21" t="str">
        <f>IFERROR(VLOOKUP(October[[#This Row],[Drug Name7]],'Data Options'!$R$1:$S$100,2,FALSE), " ")</f>
        <v xml:space="preserve"> </v>
      </c>
      <c r="BU57" s="55"/>
      <c r="BV57" s="32"/>
      <c r="BW57" s="32"/>
      <c r="BX57" s="55"/>
      <c r="BY57" s="32"/>
      <c r="BZ57" s="54"/>
      <c r="CA57" s="21" t="str">
        <f>IFERROR(VLOOKUP(October[[#This Row],[Drug Name8]],'Data Options'!$R$1:$S$100,2,FALSE), " ")</f>
        <v xml:space="preserve"> </v>
      </c>
      <c r="CB57" s="55"/>
      <c r="CC57" s="32"/>
      <c r="CD57" s="32"/>
      <c r="CE57" s="55"/>
      <c r="CF57" s="32"/>
      <c r="CG57" s="54"/>
      <c r="CH57" s="21" t="str">
        <f>IFERROR(VLOOKUP(October[[#This Row],[Drug Name9]],'Data Options'!$R$1:$S$100,2,FALSE), " ")</f>
        <v xml:space="preserve"> </v>
      </c>
      <c r="CI57" s="55"/>
      <c r="CJ57" s="32"/>
      <c r="CK57" s="32"/>
      <c r="CL57" s="55"/>
      <c r="CM57" s="32"/>
    </row>
    <row r="58" spans="1:9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54"/>
      <c r="R58" s="21" t="str">
        <f>IFERROR(VLOOKUP(October[[#This Row],[Drug Name]],'Data Options'!$R$1:$S$100,2,FALSE), " ")</f>
        <v xml:space="preserve"> </v>
      </c>
      <c r="S58" s="55"/>
      <c r="T58" s="32"/>
      <c r="U58" s="32"/>
      <c r="V58" s="55"/>
      <c r="W58" s="32"/>
      <c r="X58" s="54"/>
      <c r="Y58" s="21" t="str">
        <f>IFERROR(VLOOKUP(October[[#This Row],[Drug Name2]],'Data Options'!$R$1:$S$100,2,FALSE), " ")</f>
        <v xml:space="preserve"> </v>
      </c>
      <c r="Z58" s="55"/>
      <c r="AA58" s="32"/>
      <c r="AB58" s="32"/>
      <c r="AC58" s="55"/>
      <c r="AD58" s="32"/>
      <c r="AE58" s="54"/>
      <c r="AF58" s="21" t="str">
        <f>IFERROR(VLOOKUP(October[[#This Row],[Drug Name3]],'Data Options'!$R$1:$S$100,2,FALSE), " ")</f>
        <v xml:space="preserve"> </v>
      </c>
      <c r="AG58" s="55"/>
      <c r="AH58" s="32"/>
      <c r="AI58" s="32"/>
      <c r="AJ58" s="55"/>
      <c r="AK58" s="32"/>
      <c r="AL58" s="32"/>
      <c r="AM58" s="32"/>
      <c r="AN58" s="32"/>
      <c r="AO58" s="32"/>
      <c r="AP58" s="31"/>
      <c r="AQ58" s="31"/>
      <c r="AR58" s="54"/>
      <c r="AS58" s="21" t="str">
        <f>IFERROR(VLOOKUP(October[[#This Row],[Drug Name4]],'Data Options'!$R$1:$S$100,2,FALSE), " ")</f>
        <v xml:space="preserve"> </v>
      </c>
      <c r="AT58" s="55"/>
      <c r="AU58" s="32"/>
      <c r="AV58" s="32"/>
      <c r="AW58" s="55"/>
      <c r="AX58" s="32"/>
      <c r="AY58" s="54"/>
      <c r="AZ58" s="21" t="str">
        <f>IFERROR(VLOOKUP(October[[#This Row],[Drug Name5]],'Data Options'!$R$1:$S$100,2,FALSE), " ")</f>
        <v xml:space="preserve"> </v>
      </c>
      <c r="BA58" s="55"/>
      <c r="BB58" s="32"/>
      <c r="BC58" s="32"/>
      <c r="BD58" s="55"/>
      <c r="BE58" s="32"/>
      <c r="BF58" s="54"/>
      <c r="BG58" s="21" t="str">
        <f>IFERROR(VLOOKUP(October[[#This Row],[Drug Name6]],'Data Options'!$R$1:$S$100,2,FALSE), " ")</f>
        <v xml:space="preserve"> </v>
      </c>
      <c r="BH58" s="55"/>
      <c r="BI58" s="32"/>
      <c r="BJ58" s="32"/>
      <c r="BK58" s="55"/>
      <c r="BL58" s="32"/>
      <c r="BM58" s="32"/>
      <c r="BN58" s="32"/>
      <c r="BO58" s="32"/>
      <c r="BP58" s="32"/>
      <c r="BQ58" s="31"/>
      <c r="BR58" s="31"/>
      <c r="BS58" s="54"/>
      <c r="BT58" s="21" t="str">
        <f>IFERROR(VLOOKUP(October[[#This Row],[Drug Name7]],'Data Options'!$R$1:$S$100,2,FALSE), " ")</f>
        <v xml:space="preserve"> </v>
      </c>
      <c r="BU58" s="55"/>
      <c r="BV58" s="32"/>
      <c r="BW58" s="32"/>
      <c r="BX58" s="55"/>
      <c r="BY58" s="32"/>
      <c r="BZ58" s="54"/>
      <c r="CA58" s="21" t="str">
        <f>IFERROR(VLOOKUP(October[[#This Row],[Drug Name8]],'Data Options'!$R$1:$S$100,2,FALSE), " ")</f>
        <v xml:space="preserve"> </v>
      </c>
      <c r="CB58" s="55"/>
      <c r="CC58" s="32"/>
      <c r="CD58" s="32"/>
      <c r="CE58" s="55"/>
      <c r="CF58" s="32"/>
      <c r="CG58" s="54"/>
      <c r="CH58" s="21" t="str">
        <f>IFERROR(VLOOKUP(October[[#This Row],[Drug Name9]],'Data Options'!$R$1:$S$100,2,FALSE), " ")</f>
        <v xml:space="preserve"> </v>
      </c>
      <c r="CI58" s="55"/>
      <c r="CJ58" s="32"/>
      <c r="CK58" s="32"/>
      <c r="CL58" s="55"/>
      <c r="CM58" s="32"/>
    </row>
    <row r="59" spans="1:91">
      <c r="A59" s="5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31"/>
      <c r="Q59" s="54"/>
      <c r="R59" s="21" t="str">
        <f>IFERROR(VLOOKUP(October[[#This Row],[Drug Name]],'Data Options'!$R$1:$S$100,2,FALSE), " ")</f>
        <v xml:space="preserve"> </v>
      </c>
      <c r="S59" s="55"/>
      <c r="T59" s="32"/>
      <c r="U59" s="32"/>
      <c r="V59" s="55"/>
      <c r="W59" s="32"/>
      <c r="X59" s="54"/>
      <c r="Y59" s="21" t="str">
        <f>IFERROR(VLOOKUP(October[[#This Row],[Drug Name2]],'Data Options'!$R$1:$S$100,2,FALSE), " ")</f>
        <v xml:space="preserve"> </v>
      </c>
      <c r="Z59" s="55"/>
      <c r="AA59" s="32"/>
      <c r="AB59" s="32"/>
      <c r="AC59" s="55"/>
      <c r="AD59" s="32"/>
      <c r="AE59" s="54"/>
      <c r="AF59" s="21" t="str">
        <f>IFERROR(VLOOKUP(October[[#This Row],[Drug Name3]],'Data Options'!$R$1:$S$100,2,FALSE), " ")</f>
        <v xml:space="preserve"> </v>
      </c>
      <c r="AG59" s="55"/>
      <c r="AH59" s="32"/>
      <c r="AI59" s="32"/>
      <c r="AJ59" s="55"/>
      <c r="AK59" s="32"/>
      <c r="AL59" s="32"/>
      <c r="AM59" s="32"/>
      <c r="AN59" s="32"/>
      <c r="AO59" s="32"/>
      <c r="AP59" s="31"/>
      <c r="AQ59" s="31"/>
      <c r="AR59" s="54"/>
      <c r="AS59" s="21" t="str">
        <f>IFERROR(VLOOKUP(October[[#This Row],[Drug Name4]],'Data Options'!$R$1:$S$100,2,FALSE), " ")</f>
        <v xml:space="preserve"> </v>
      </c>
      <c r="AT59" s="55"/>
      <c r="AU59" s="32"/>
      <c r="AV59" s="32"/>
      <c r="AW59" s="55"/>
      <c r="AX59" s="32"/>
      <c r="AY59" s="54"/>
      <c r="AZ59" s="21" t="str">
        <f>IFERROR(VLOOKUP(October[[#This Row],[Drug Name5]],'Data Options'!$R$1:$S$100,2,FALSE), " ")</f>
        <v xml:space="preserve"> </v>
      </c>
      <c r="BA59" s="55"/>
      <c r="BB59" s="32"/>
      <c r="BC59" s="32"/>
      <c r="BD59" s="55"/>
      <c r="BE59" s="32"/>
      <c r="BF59" s="54"/>
      <c r="BG59" s="21" t="str">
        <f>IFERROR(VLOOKUP(October[[#This Row],[Drug Name6]],'Data Options'!$R$1:$S$100,2,FALSE), " ")</f>
        <v xml:space="preserve"> </v>
      </c>
      <c r="BH59" s="55"/>
      <c r="BI59" s="32"/>
      <c r="BJ59" s="32"/>
      <c r="BK59" s="55"/>
      <c r="BL59" s="32"/>
      <c r="BM59" s="32"/>
      <c r="BN59" s="32"/>
      <c r="BO59" s="32"/>
      <c r="BP59" s="32"/>
      <c r="BQ59" s="31"/>
      <c r="BR59" s="31"/>
      <c r="BS59" s="54"/>
      <c r="BT59" s="21" t="str">
        <f>IFERROR(VLOOKUP(October[[#This Row],[Drug Name7]],'Data Options'!$R$1:$S$100,2,FALSE), " ")</f>
        <v xml:space="preserve"> </v>
      </c>
      <c r="BU59" s="55"/>
      <c r="BV59" s="32"/>
      <c r="BW59" s="32"/>
      <c r="BX59" s="55"/>
      <c r="BY59" s="32"/>
      <c r="BZ59" s="54"/>
      <c r="CA59" s="21" t="str">
        <f>IFERROR(VLOOKUP(October[[#This Row],[Drug Name8]],'Data Options'!$R$1:$S$100,2,FALSE), " ")</f>
        <v xml:space="preserve"> </v>
      </c>
      <c r="CB59" s="55"/>
      <c r="CC59" s="32"/>
      <c r="CD59" s="32"/>
      <c r="CE59" s="55"/>
      <c r="CF59" s="32"/>
      <c r="CG59" s="54"/>
      <c r="CH59" s="21" t="str">
        <f>IFERROR(VLOOKUP(October[[#This Row],[Drug Name9]],'Data Options'!$R$1:$S$100,2,FALSE), " ")</f>
        <v xml:space="preserve"> </v>
      </c>
      <c r="CI59" s="55"/>
      <c r="CJ59" s="32"/>
      <c r="CK59" s="32"/>
      <c r="CL59" s="55"/>
      <c r="CM59" s="32"/>
    </row>
    <row r="60" spans="1:91">
      <c r="A60" s="5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31"/>
      <c r="Q60" s="54"/>
      <c r="R60" s="21" t="str">
        <f>IFERROR(VLOOKUP(October[[#This Row],[Drug Name]],'Data Options'!$R$1:$S$100,2,FALSE), " ")</f>
        <v xml:space="preserve"> </v>
      </c>
      <c r="S60" s="55"/>
      <c r="T60" s="32"/>
      <c r="U60" s="32"/>
      <c r="V60" s="55"/>
      <c r="W60" s="32"/>
      <c r="X60" s="54"/>
      <c r="Y60" s="21" t="str">
        <f>IFERROR(VLOOKUP(October[[#This Row],[Drug Name2]],'Data Options'!$R$1:$S$100,2,FALSE), " ")</f>
        <v xml:space="preserve"> </v>
      </c>
      <c r="Z60" s="55"/>
      <c r="AA60" s="32"/>
      <c r="AB60" s="32"/>
      <c r="AC60" s="55"/>
      <c r="AD60" s="32"/>
      <c r="AE60" s="54"/>
      <c r="AF60" s="21" t="str">
        <f>IFERROR(VLOOKUP(October[[#This Row],[Drug Name3]],'Data Options'!$R$1:$S$100,2,FALSE), " ")</f>
        <v xml:space="preserve"> </v>
      </c>
      <c r="AG60" s="55"/>
      <c r="AH60" s="32"/>
      <c r="AI60" s="32"/>
      <c r="AJ60" s="55"/>
      <c r="AK60" s="32"/>
      <c r="AL60" s="32"/>
      <c r="AM60" s="32"/>
      <c r="AN60" s="32"/>
      <c r="AO60" s="32"/>
      <c r="AP60" s="31"/>
      <c r="AQ60" s="31"/>
      <c r="AR60" s="54"/>
      <c r="AS60" s="21" t="str">
        <f>IFERROR(VLOOKUP(October[[#This Row],[Drug Name4]],'Data Options'!$R$1:$S$100,2,FALSE), " ")</f>
        <v xml:space="preserve"> </v>
      </c>
      <c r="AT60" s="55"/>
      <c r="AU60" s="32"/>
      <c r="AV60" s="32"/>
      <c r="AW60" s="55"/>
      <c r="AX60" s="32"/>
      <c r="AY60" s="54"/>
      <c r="AZ60" s="21" t="str">
        <f>IFERROR(VLOOKUP(October[[#This Row],[Drug Name5]],'Data Options'!$R$1:$S$100,2,FALSE), " ")</f>
        <v xml:space="preserve"> </v>
      </c>
      <c r="BA60" s="55"/>
      <c r="BB60" s="32"/>
      <c r="BC60" s="32"/>
      <c r="BD60" s="55"/>
      <c r="BE60" s="32"/>
      <c r="BF60" s="54"/>
      <c r="BG60" s="21" t="str">
        <f>IFERROR(VLOOKUP(October[[#This Row],[Drug Name6]],'Data Options'!$R$1:$S$100,2,FALSE), " ")</f>
        <v xml:space="preserve"> </v>
      </c>
      <c r="BH60" s="55"/>
      <c r="BI60" s="32"/>
      <c r="BJ60" s="32"/>
      <c r="BK60" s="55"/>
      <c r="BL60" s="32"/>
      <c r="BM60" s="32"/>
      <c r="BN60" s="32"/>
      <c r="BO60" s="32"/>
      <c r="BP60" s="32"/>
      <c r="BQ60" s="31"/>
      <c r="BR60" s="31"/>
      <c r="BS60" s="54"/>
      <c r="BT60" s="21" t="str">
        <f>IFERROR(VLOOKUP(October[[#This Row],[Drug Name7]],'Data Options'!$R$1:$S$100,2,FALSE), " ")</f>
        <v xml:space="preserve"> </v>
      </c>
      <c r="BU60" s="55"/>
      <c r="BV60" s="32"/>
      <c r="BW60" s="32"/>
      <c r="BX60" s="55"/>
      <c r="BY60" s="32"/>
      <c r="BZ60" s="54"/>
      <c r="CA60" s="21" t="str">
        <f>IFERROR(VLOOKUP(October[[#This Row],[Drug Name8]],'Data Options'!$R$1:$S$100,2,FALSE), " ")</f>
        <v xml:space="preserve"> </v>
      </c>
      <c r="CB60" s="55"/>
      <c r="CC60" s="32"/>
      <c r="CD60" s="32"/>
      <c r="CE60" s="55"/>
      <c r="CF60" s="32"/>
      <c r="CG60" s="54"/>
      <c r="CH60" s="21" t="str">
        <f>IFERROR(VLOOKUP(October[[#This Row],[Drug Name9]],'Data Options'!$R$1:$S$100,2,FALSE), " ")</f>
        <v xml:space="preserve"> </v>
      </c>
      <c r="CI60" s="55"/>
      <c r="CJ60" s="32"/>
      <c r="CK60" s="32"/>
      <c r="CL60" s="55"/>
      <c r="CM60" s="32"/>
    </row>
    <row r="61" spans="1:91">
      <c r="A61" s="5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31"/>
      <c r="Q61" s="54"/>
      <c r="R61" s="21" t="str">
        <f>IFERROR(VLOOKUP(October[[#This Row],[Drug Name]],'Data Options'!$R$1:$S$100,2,FALSE), " ")</f>
        <v xml:space="preserve"> </v>
      </c>
      <c r="S61" s="55"/>
      <c r="T61" s="32"/>
      <c r="U61" s="32"/>
      <c r="V61" s="55"/>
      <c r="W61" s="32"/>
      <c r="X61" s="54"/>
      <c r="Y61" s="21" t="str">
        <f>IFERROR(VLOOKUP(October[[#This Row],[Drug Name2]],'Data Options'!$R$1:$S$100,2,FALSE), " ")</f>
        <v xml:space="preserve"> </v>
      </c>
      <c r="Z61" s="55"/>
      <c r="AA61" s="32"/>
      <c r="AB61" s="32"/>
      <c r="AC61" s="55"/>
      <c r="AD61" s="32"/>
      <c r="AE61" s="54"/>
      <c r="AF61" s="21" t="str">
        <f>IFERROR(VLOOKUP(October[[#This Row],[Drug Name3]],'Data Options'!$R$1:$S$100,2,FALSE), " ")</f>
        <v xml:space="preserve"> </v>
      </c>
      <c r="AG61" s="55"/>
      <c r="AH61" s="32"/>
      <c r="AI61" s="32"/>
      <c r="AJ61" s="55"/>
      <c r="AK61" s="32"/>
      <c r="AL61" s="32"/>
      <c r="AM61" s="32"/>
      <c r="AN61" s="32"/>
      <c r="AO61" s="32"/>
      <c r="AP61" s="31"/>
      <c r="AQ61" s="31"/>
      <c r="AR61" s="54"/>
      <c r="AS61" s="21" t="str">
        <f>IFERROR(VLOOKUP(October[[#This Row],[Drug Name4]],'Data Options'!$R$1:$S$100,2,FALSE), " ")</f>
        <v xml:space="preserve"> </v>
      </c>
      <c r="AT61" s="55"/>
      <c r="AU61" s="32"/>
      <c r="AV61" s="32"/>
      <c r="AW61" s="55"/>
      <c r="AX61" s="32"/>
      <c r="AY61" s="54"/>
      <c r="AZ61" s="21" t="str">
        <f>IFERROR(VLOOKUP(October[[#This Row],[Drug Name5]],'Data Options'!$R$1:$S$100,2,FALSE), " ")</f>
        <v xml:space="preserve"> </v>
      </c>
      <c r="BA61" s="55"/>
      <c r="BB61" s="32"/>
      <c r="BC61" s="32"/>
      <c r="BD61" s="55"/>
      <c r="BE61" s="32"/>
      <c r="BF61" s="54"/>
      <c r="BG61" s="21" t="str">
        <f>IFERROR(VLOOKUP(October[[#This Row],[Drug Name6]],'Data Options'!$R$1:$S$100,2,FALSE), " ")</f>
        <v xml:space="preserve"> </v>
      </c>
      <c r="BH61" s="55"/>
      <c r="BI61" s="32"/>
      <c r="BJ61" s="32"/>
      <c r="BK61" s="55"/>
      <c r="BL61" s="32"/>
      <c r="BM61" s="32"/>
      <c r="BN61" s="32"/>
      <c r="BO61" s="32"/>
      <c r="BP61" s="32"/>
      <c r="BQ61" s="31"/>
      <c r="BR61" s="31"/>
      <c r="BS61" s="54"/>
      <c r="BT61" s="21" t="str">
        <f>IFERROR(VLOOKUP(October[[#This Row],[Drug Name7]],'Data Options'!$R$1:$S$100,2,FALSE), " ")</f>
        <v xml:space="preserve"> </v>
      </c>
      <c r="BU61" s="55"/>
      <c r="BV61" s="32"/>
      <c r="BW61" s="32"/>
      <c r="BX61" s="55"/>
      <c r="BY61" s="32"/>
      <c r="BZ61" s="54"/>
      <c r="CA61" s="21" t="str">
        <f>IFERROR(VLOOKUP(October[[#This Row],[Drug Name8]],'Data Options'!$R$1:$S$100,2,FALSE), " ")</f>
        <v xml:space="preserve"> </v>
      </c>
      <c r="CB61" s="55"/>
      <c r="CC61" s="32"/>
      <c r="CD61" s="32"/>
      <c r="CE61" s="55"/>
      <c r="CF61" s="32"/>
      <c r="CG61" s="54"/>
      <c r="CH61" s="21" t="str">
        <f>IFERROR(VLOOKUP(October[[#This Row],[Drug Name9]],'Data Options'!$R$1:$S$100,2,FALSE), " ")</f>
        <v xml:space="preserve"> </v>
      </c>
      <c r="CI61" s="55"/>
      <c r="CJ61" s="32"/>
      <c r="CK61" s="32"/>
      <c r="CL61" s="55"/>
      <c r="CM61" s="32"/>
    </row>
    <row r="62" spans="1:9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31"/>
      <c r="Q62" s="54"/>
      <c r="R62" s="21" t="str">
        <f>IFERROR(VLOOKUP(October[[#This Row],[Drug Name]],'Data Options'!$R$1:$S$100,2,FALSE), " ")</f>
        <v xml:space="preserve"> </v>
      </c>
      <c r="S62" s="55"/>
      <c r="T62" s="32"/>
      <c r="U62" s="32"/>
      <c r="V62" s="55"/>
      <c r="W62" s="32"/>
      <c r="X62" s="54"/>
      <c r="Y62" s="21" t="str">
        <f>IFERROR(VLOOKUP(October[[#This Row],[Drug Name2]],'Data Options'!$R$1:$S$100,2,FALSE), " ")</f>
        <v xml:space="preserve"> </v>
      </c>
      <c r="Z62" s="55"/>
      <c r="AA62" s="32"/>
      <c r="AB62" s="32"/>
      <c r="AC62" s="55"/>
      <c r="AD62" s="32"/>
      <c r="AE62" s="54"/>
      <c r="AF62" s="21" t="str">
        <f>IFERROR(VLOOKUP(October[[#This Row],[Drug Name3]],'Data Options'!$R$1:$S$100,2,FALSE), " ")</f>
        <v xml:space="preserve"> </v>
      </c>
      <c r="AG62" s="55"/>
      <c r="AH62" s="32"/>
      <c r="AI62" s="32"/>
      <c r="AJ62" s="55"/>
      <c r="AK62" s="32"/>
      <c r="AL62" s="32"/>
      <c r="AM62" s="32"/>
      <c r="AN62" s="32"/>
      <c r="AO62" s="32"/>
      <c r="AP62" s="31"/>
      <c r="AQ62" s="31"/>
      <c r="AR62" s="54"/>
      <c r="AS62" s="21" t="str">
        <f>IFERROR(VLOOKUP(October[[#This Row],[Drug Name4]],'Data Options'!$R$1:$S$100,2,FALSE), " ")</f>
        <v xml:space="preserve"> </v>
      </c>
      <c r="AT62" s="55"/>
      <c r="AU62" s="32"/>
      <c r="AV62" s="32"/>
      <c r="AW62" s="55"/>
      <c r="AX62" s="32"/>
      <c r="AY62" s="54"/>
      <c r="AZ62" s="21" t="str">
        <f>IFERROR(VLOOKUP(October[[#This Row],[Drug Name5]],'Data Options'!$R$1:$S$100,2,FALSE), " ")</f>
        <v xml:space="preserve"> </v>
      </c>
      <c r="BA62" s="55"/>
      <c r="BB62" s="32"/>
      <c r="BC62" s="32"/>
      <c r="BD62" s="55"/>
      <c r="BE62" s="32"/>
      <c r="BF62" s="54"/>
      <c r="BG62" s="21" t="str">
        <f>IFERROR(VLOOKUP(October[[#This Row],[Drug Name6]],'Data Options'!$R$1:$S$100,2,FALSE), " ")</f>
        <v xml:space="preserve"> </v>
      </c>
      <c r="BH62" s="55"/>
      <c r="BI62" s="32"/>
      <c r="BJ62" s="32"/>
      <c r="BK62" s="55"/>
      <c r="BL62" s="32"/>
      <c r="BM62" s="32"/>
      <c r="BN62" s="32"/>
      <c r="BO62" s="32"/>
      <c r="BP62" s="32"/>
      <c r="BQ62" s="31"/>
      <c r="BR62" s="31"/>
      <c r="BS62" s="54"/>
      <c r="BT62" s="21" t="str">
        <f>IFERROR(VLOOKUP(October[[#This Row],[Drug Name7]],'Data Options'!$R$1:$S$100,2,FALSE), " ")</f>
        <v xml:space="preserve"> </v>
      </c>
      <c r="BU62" s="55"/>
      <c r="BV62" s="32"/>
      <c r="BW62" s="32"/>
      <c r="BX62" s="55"/>
      <c r="BY62" s="32"/>
      <c r="BZ62" s="54"/>
      <c r="CA62" s="21" t="str">
        <f>IFERROR(VLOOKUP(October[[#This Row],[Drug Name8]],'Data Options'!$R$1:$S$100,2,FALSE), " ")</f>
        <v xml:space="preserve"> </v>
      </c>
      <c r="CB62" s="55"/>
      <c r="CC62" s="32"/>
      <c r="CD62" s="32"/>
      <c r="CE62" s="55"/>
      <c r="CF62" s="32"/>
      <c r="CG62" s="54"/>
      <c r="CH62" s="21" t="str">
        <f>IFERROR(VLOOKUP(October[[#This Row],[Drug Name9]],'Data Options'!$R$1:$S$100,2,FALSE), " ")</f>
        <v xml:space="preserve"> </v>
      </c>
      <c r="CI62" s="55"/>
      <c r="CJ62" s="32"/>
      <c r="CK62" s="32"/>
      <c r="CL62" s="55"/>
      <c r="CM62" s="32"/>
    </row>
    <row r="63" spans="1:91">
      <c r="A63" s="5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31"/>
      <c r="Q63" s="54"/>
      <c r="R63" s="21" t="str">
        <f>IFERROR(VLOOKUP(October[[#This Row],[Drug Name]],'Data Options'!$R$1:$S$100,2,FALSE), " ")</f>
        <v xml:space="preserve"> </v>
      </c>
      <c r="S63" s="55"/>
      <c r="T63" s="32"/>
      <c r="U63" s="32"/>
      <c r="V63" s="55"/>
      <c r="W63" s="32"/>
      <c r="X63" s="54"/>
      <c r="Y63" s="21" t="str">
        <f>IFERROR(VLOOKUP(October[[#This Row],[Drug Name2]],'Data Options'!$R$1:$S$100,2,FALSE), " ")</f>
        <v xml:space="preserve"> </v>
      </c>
      <c r="Z63" s="55"/>
      <c r="AA63" s="32"/>
      <c r="AB63" s="32"/>
      <c r="AC63" s="55"/>
      <c r="AD63" s="32"/>
      <c r="AE63" s="54"/>
      <c r="AF63" s="21" t="str">
        <f>IFERROR(VLOOKUP(October[[#This Row],[Drug Name3]],'Data Options'!$R$1:$S$100,2,FALSE), " ")</f>
        <v xml:space="preserve"> </v>
      </c>
      <c r="AG63" s="55"/>
      <c r="AH63" s="32"/>
      <c r="AI63" s="32"/>
      <c r="AJ63" s="55"/>
      <c r="AK63" s="32"/>
      <c r="AL63" s="32"/>
      <c r="AM63" s="32"/>
      <c r="AN63" s="32"/>
      <c r="AO63" s="32"/>
      <c r="AP63" s="31"/>
      <c r="AQ63" s="31"/>
      <c r="AR63" s="54"/>
      <c r="AS63" s="21" t="str">
        <f>IFERROR(VLOOKUP(October[[#This Row],[Drug Name4]],'Data Options'!$R$1:$S$100,2,FALSE), " ")</f>
        <v xml:space="preserve"> </v>
      </c>
      <c r="AT63" s="55"/>
      <c r="AU63" s="32"/>
      <c r="AV63" s="32"/>
      <c r="AW63" s="55"/>
      <c r="AX63" s="32"/>
      <c r="AY63" s="54"/>
      <c r="AZ63" s="21" t="str">
        <f>IFERROR(VLOOKUP(October[[#This Row],[Drug Name5]],'Data Options'!$R$1:$S$100,2,FALSE), " ")</f>
        <v xml:space="preserve"> </v>
      </c>
      <c r="BA63" s="55"/>
      <c r="BB63" s="32"/>
      <c r="BC63" s="32"/>
      <c r="BD63" s="55"/>
      <c r="BE63" s="32"/>
      <c r="BF63" s="54"/>
      <c r="BG63" s="21" t="str">
        <f>IFERROR(VLOOKUP(October[[#This Row],[Drug Name6]],'Data Options'!$R$1:$S$100,2,FALSE), " ")</f>
        <v xml:space="preserve"> </v>
      </c>
      <c r="BH63" s="55"/>
      <c r="BI63" s="32"/>
      <c r="BJ63" s="32"/>
      <c r="BK63" s="55"/>
      <c r="BL63" s="32"/>
      <c r="BM63" s="32"/>
      <c r="BN63" s="32"/>
      <c r="BO63" s="32"/>
      <c r="BP63" s="32"/>
      <c r="BQ63" s="31"/>
      <c r="BR63" s="31"/>
      <c r="BS63" s="54"/>
      <c r="BT63" s="21" t="str">
        <f>IFERROR(VLOOKUP(October[[#This Row],[Drug Name7]],'Data Options'!$R$1:$S$100,2,FALSE), " ")</f>
        <v xml:space="preserve"> </v>
      </c>
      <c r="BU63" s="55"/>
      <c r="BV63" s="32"/>
      <c r="BW63" s="32"/>
      <c r="BX63" s="55"/>
      <c r="BY63" s="32"/>
      <c r="BZ63" s="54"/>
      <c r="CA63" s="21" t="str">
        <f>IFERROR(VLOOKUP(October[[#This Row],[Drug Name8]],'Data Options'!$R$1:$S$100,2,FALSE), " ")</f>
        <v xml:space="preserve"> </v>
      </c>
      <c r="CB63" s="55"/>
      <c r="CC63" s="32"/>
      <c r="CD63" s="32"/>
      <c r="CE63" s="55"/>
      <c r="CF63" s="32"/>
      <c r="CG63" s="54"/>
      <c r="CH63" s="21" t="str">
        <f>IFERROR(VLOOKUP(October[[#This Row],[Drug Name9]],'Data Options'!$R$1:$S$100,2,FALSE), " ")</f>
        <v xml:space="preserve"> </v>
      </c>
      <c r="CI63" s="55"/>
      <c r="CJ63" s="32"/>
      <c r="CK63" s="32"/>
      <c r="CL63" s="55"/>
      <c r="CM63" s="32"/>
    </row>
    <row r="64" spans="1:91">
      <c r="A64" s="5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31"/>
      <c r="Q64" s="54"/>
      <c r="R64" s="21" t="str">
        <f>IFERROR(VLOOKUP(October[[#This Row],[Drug Name]],'Data Options'!$R$1:$S$100,2,FALSE), " ")</f>
        <v xml:space="preserve"> </v>
      </c>
      <c r="S64" s="55"/>
      <c r="T64" s="32"/>
      <c r="U64" s="32"/>
      <c r="V64" s="55"/>
      <c r="W64" s="32"/>
      <c r="X64" s="54"/>
      <c r="Y64" s="21" t="str">
        <f>IFERROR(VLOOKUP(October[[#This Row],[Drug Name2]],'Data Options'!$R$1:$S$100,2,FALSE), " ")</f>
        <v xml:space="preserve"> </v>
      </c>
      <c r="Z64" s="55"/>
      <c r="AA64" s="32"/>
      <c r="AB64" s="32"/>
      <c r="AC64" s="55"/>
      <c r="AD64" s="32"/>
      <c r="AE64" s="54"/>
      <c r="AF64" s="21" t="str">
        <f>IFERROR(VLOOKUP(October[[#This Row],[Drug Name3]],'Data Options'!$R$1:$S$100,2,FALSE), " ")</f>
        <v xml:space="preserve"> </v>
      </c>
      <c r="AG64" s="55"/>
      <c r="AH64" s="32"/>
      <c r="AI64" s="32"/>
      <c r="AJ64" s="55"/>
      <c r="AK64" s="32"/>
      <c r="AL64" s="32"/>
      <c r="AM64" s="32"/>
      <c r="AN64" s="32"/>
      <c r="AO64" s="32"/>
      <c r="AP64" s="31"/>
      <c r="AQ64" s="31"/>
      <c r="AR64" s="54"/>
      <c r="AS64" s="21" t="str">
        <f>IFERROR(VLOOKUP(October[[#This Row],[Drug Name4]],'Data Options'!$R$1:$S$100,2,FALSE), " ")</f>
        <v xml:space="preserve"> </v>
      </c>
      <c r="AT64" s="55"/>
      <c r="AU64" s="32"/>
      <c r="AV64" s="32"/>
      <c r="AW64" s="55"/>
      <c r="AX64" s="32"/>
      <c r="AY64" s="54"/>
      <c r="AZ64" s="21" t="str">
        <f>IFERROR(VLOOKUP(October[[#This Row],[Drug Name5]],'Data Options'!$R$1:$S$100,2,FALSE), " ")</f>
        <v xml:space="preserve"> </v>
      </c>
      <c r="BA64" s="55"/>
      <c r="BB64" s="32"/>
      <c r="BC64" s="32"/>
      <c r="BD64" s="55"/>
      <c r="BE64" s="32"/>
      <c r="BF64" s="54"/>
      <c r="BG64" s="21" t="str">
        <f>IFERROR(VLOOKUP(October[[#This Row],[Drug Name6]],'Data Options'!$R$1:$S$100,2,FALSE), " ")</f>
        <v xml:space="preserve"> </v>
      </c>
      <c r="BH64" s="55"/>
      <c r="BI64" s="32"/>
      <c r="BJ64" s="32"/>
      <c r="BK64" s="55"/>
      <c r="BL64" s="32"/>
      <c r="BM64" s="32"/>
      <c r="BN64" s="32"/>
      <c r="BO64" s="32"/>
      <c r="BP64" s="32"/>
      <c r="BQ64" s="31"/>
      <c r="BR64" s="31"/>
      <c r="BS64" s="54"/>
      <c r="BT64" s="21" t="str">
        <f>IFERROR(VLOOKUP(October[[#This Row],[Drug Name7]],'Data Options'!$R$1:$S$100,2,FALSE), " ")</f>
        <v xml:space="preserve"> </v>
      </c>
      <c r="BU64" s="55"/>
      <c r="BV64" s="32"/>
      <c r="BW64" s="32"/>
      <c r="BX64" s="55"/>
      <c r="BY64" s="32"/>
      <c r="BZ64" s="54"/>
      <c r="CA64" s="21" t="str">
        <f>IFERROR(VLOOKUP(October[[#This Row],[Drug Name8]],'Data Options'!$R$1:$S$100,2,FALSE), " ")</f>
        <v xml:space="preserve"> </v>
      </c>
      <c r="CB64" s="55"/>
      <c r="CC64" s="32"/>
      <c r="CD64" s="32"/>
      <c r="CE64" s="55"/>
      <c r="CF64" s="32"/>
      <c r="CG64" s="54"/>
      <c r="CH64" s="21" t="str">
        <f>IFERROR(VLOOKUP(October[[#This Row],[Drug Name9]],'Data Options'!$R$1:$S$100,2,FALSE), " ")</f>
        <v xml:space="preserve"> </v>
      </c>
      <c r="CI64" s="55"/>
      <c r="CJ64" s="32"/>
      <c r="CK64" s="32"/>
      <c r="CL64" s="55"/>
      <c r="CM64" s="32"/>
    </row>
    <row r="65" spans="1:91">
      <c r="A65" s="5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54"/>
      <c r="R65" s="21" t="str">
        <f>IFERROR(VLOOKUP(October[[#This Row],[Drug Name]],'Data Options'!$R$1:$S$100,2,FALSE), " ")</f>
        <v xml:space="preserve"> </v>
      </c>
      <c r="S65" s="55"/>
      <c r="T65" s="32"/>
      <c r="U65" s="32"/>
      <c r="V65" s="55"/>
      <c r="W65" s="32"/>
      <c r="X65" s="54"/>
      <c r="Y65" s="21" t="str">
        <f>IFERROR(VLOOKUP(October[[#This Row],[Drug Name2]],'Data Options'!$R$1:$S$100,2,FALSE), " ")</f>
        <v xml:space="preserve"> </v>
      </c>
      <c r="Z65" s="55"/>
      <c r="AA65" s="32"/>
      <c r="AB65" s="32"/>
      <c r="AC65" s="55"/>
      <c r="AD65" s="32"/>
      <c r="AE65" s="54"/>
      <c r="AF65" s="21" t="str">
        <f>IFERROR(VLOOKUP(October[[#This Row],[Drug Name3]],'Data Options'!$R$1:$S$100,2,FALSE), " ")</f>
        <v xml:space="preserve"> </v>
      </c>
      <c r="AG65" s="55"/>
      <c r="AH65" s="32"/>
      <c r="AI65" s="32"/>
      <c r="AJ65" s="55"/>
      <c r="AK65" s="32"/>
      <c r="AL65" s="32"/>
      <c r="AM65" s="32"/>
      <c r="AN65" s="32"/>
      <c r="AO65" s="32"/>
      <c r="AP65" s="31"/>
      <c r="AQ65" s="31"/>
      <c r="AR65" s="54"/>
      <c r="AS65" s="21" t="str">
        <f>IFERROR(VLOOKUP(October[[#This Row],[Drug Name4]],'Data Options'!$R$1:$S$100,2,FALSE), " ")</f>
        <v xml:space="preserve"> </v>
      </c>
      <c r="AT65" s="55"/>
      <c r="AU65" s="32"/>
      <c r="AV65" s="32"/>
      <c r="AW65" s="55"/>
      <c r="AX65" s="32"/>
      <c r="AY65" s="54"/>
      <c r="AZ65" s="21" t="str">
        <f>IFERROR(VLOOKUP(October[[#This Row],[Drug Name5]],'Data Options'!$R$1:$S$100,2,FALSE), " ")</f>
        <v xml:space="preserve"> </v>
      </c>
      <c r="BA65" s="55"/>
      <c r="BB65" s="32"/>
      <c r="BC65" s="32"/>
      <c r="BD65" s="55"/>
      <c r="BE65" s="32"/>
      <c r="BF65" s="54"/>
      <c r="BG65" s="21" t="str">
        <f>IFERROR(VLOOKUP(October[[#This Row],[Drug Name6]],'Data Options'!$R$1:$S$100,2,FALSE), " ")</f>
        <v xml:space="preserve"> </v>
      </c>
      <c r="BH65" s="55"/>
      <c r="BI65" s="32"/>
      <c r="BJ65" s="32"/>
      <c r="BK65" s="55"/>
      <c r="BL65" s="32"/>
      <c r="BM65" s="32"/>
      <c r="BN65" s="32"/>
      <c r="BO65" s="32"/>
      <c r="BP65" s="32"/>
      <c r="BQ65" s="31"/>
      <c r="BR65" s="31"/>
      <c r="BS65" s="54"/>
      <c r="BT65" s="21" t="str">
        <f>IFERROR(VLOOKUP(October[[#This Row],[Drug Name7]],'Data Options'!$R$1:$S$100,2,FALSE), " ")</f>
        <v xml:space="preserve"> </v>
      </c>
      <c r="BU65" s="55"/>
      <c r="BV65" s="32"/>
      <c r="BW65" s="32"/>
      <c r="BX65" s="55"/>
      <c r="BY65" s="32"/>
      <c r="BZ65" s="54"/>
      <c r="CA65" s="21" t="str">
        <f>IFERROR(VLOOKUP(October[[#This Row],[Drug Name8]],'Data Options'!$R$1:$S$100,2,FALSE), " ")</f>
        <v xml:space="preserve"> </v>
      </c>
      <c r="CB65" s="55"/>
      <c r="CC65" s="32"/>
      <c r="CD65" s="32"/>
      <c r="CE65" s="55"/>
      <c r="CF65" s="32"/>
      <c r="CG65" s="54"/>
      <c r="CH65" s="21" t="str">
        <f>IFERROR(VLOOKUP(October[[#This Row],[Drug Name9]],'Data Options'!$R$1:$S$100,2,FALSE), " ")</f>
        <v xml:space="preserve"> </v>
      </c>
      <c r="CI65" s="55"/>
      <c r="CJ65" s="32"/>
      <c r="CK65" s="32"/>
      <c r="CL65" s="55"/>
      <c r="CM65" s="32"/>
    </row>
    <row r="66" spans="1:91">
      <c r="A66" s="5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31"/>
      <c r="Q66" s="54"/>
      <c r="R66" s="21" t="str">
        <f>IFERROR(VLOOKUP(October[[#This Row],[Drug Name]],'Data Options'!$R$1:$S$100,2,FALSE), " ")</f>
        <v xml:space="preserve"> </v>
      </c>
      <c r="S66" s="55"/>
      <c r="T66" s="32"/>
      <c r="U66" s="32"/>
      <c r="V66" s="55"/>
      <c r="W66" s="32"/>
      <c r="X66" s="54"/>
      <c r="Y66" s="21" t="str">
        <f>IFERROR(VLOOKUP(October[[#This Row],[Drug Name2]],'Data Options'!$R$1:$S$100,2,FALSE), " ")</f>
        <v xml:space="preserve"> </v>
      </c>
      <c r="Z66" s="55"/>
      <c r="AA66" s="32"/>
      <c r="AB66" s="32"/>
      <c r="AC66" s="55"/>
      <c r="AD66" s="32"/>
      <c r="AE66" s="54"/>
      <c r="AF66" s="21" t="str">
        <f>IFERROR(VLOOKUP(October[[#This Row],[Drug Name3]],'Data Options'!$R$1:$S$100,2,FALSE), " ")</f>
        <v xml:space="preserve"> </v>
      </c>
      <c r="AG66" s="55"/>
      <c r="AH66" s="32"/>
      <c r="AI66" s="32"/>
      <c r="AJ66" s="55"/>
      <c r="AK66" s="32"/>
      <c r="AL66" s="32"/>
      <c r="AM66" s="32"/>
      <c r="AN66" s="32"/>
      <c r="AO66" s="32"/>
      <c r="AP66" s="31"/>
      <c r="AQ66" s="31"/>
      <c r="AR66" s="54"/>
      <c r="AS66" s="21" t="str">
        <f>IFERROR(VLOOKUP(October[[#This Row],[Drug Name4]],'Data Options'!$R$1:$S$100,2,FALSE), " ")</f>
        <v xml:space="preserve"> </v>
      </c>
      <c r="AT66" s="55"/>
      <c r="AU66" s="32"/>
      <c r="AV66" s="32"/>
      <c r="AW66" s="55"/>
      <c r="AX66" s="32"/>
      <c r="AY66" s="54"/>
      <c r="AZ66" s="21" t="str">
        <f>IFERROR(VLOOKUP(October[[#This Row],[Drug Name5]],'Data Options'!$R$1:$S$100,2,FALSE), " ")</f>
        <v xml:space="preserve"> </v>
      </c>
      <c r="BA66" s="55"/>
      <c r="BB66" s="32"/>
      <c r="BC66" s="32"/>
      <c r="BD66" s="55"/>
      <c r="BE66" s="32"/>
      <c r="BF66" s="54"/>
      <c r="BG66" s="21" t="str">
        <f>IFERROR(VLOOKUP(October[[#This Row],[Drug Name6]],'Data Options'!$R$1:$S$100,2,FALSE), " ")</f>
        <v xml:space="preserve"> </v>
      </c>
      <c r="BH66" s="55"/>
      <c r="BI66" s="32"/>
      <c r="BJ66" s="32"/>
      <c r="BK66" s="55"/>
      <c r="BL66" s="32"/>
      <c r="BM66" s="32"/>
      <c r="BN66" s="32"/>
      <c r="BO66" s="32"/>
      <c r="BP66" s="32"/>
      <c r="BQ66" s="31"/>
      <c r="BR66" s="31"/>
      <c r="BS66" s="54"/>
      <c r="BT66" s="21" t="str">
        <f>IFERROR(VLOOKUP(October[[#This Row],[Drug Name7]],'Data Options'!$R$1:$S$100,2,FALSE), " ")</f>
        <v xml:space="preserve"> </v>
      </c>
      <c r="BU66" s="55"/>
      <c r="BV66" s="32"/>
      <c r="BW66" s="32"/>
      <c r="BX66" s="55"/>
      <c r="BY66" s="32"/>
      <c r="BZ66" s="54"/>
      <c r="CA66" s="21" t="str">
        <f>IFERROR(VLOOKUP(October[[#This Row],[Drug Name8]],'Data Options'!$R$1:$S$100,2,FALSE), " ")</f>
        <v xml:space="preserve"> </v>
      </c>
      <c r="CB66" s="55"/>
      <c r="CC66" s="32"/>
      <c r="CD66" s="32"/>
      <c r="CE66" s="55"/>
      <c r="CF66" s="32"/>
      <c r="CG66" s="54"/>
      <c r="CH66" s="21" t="str">
        <f>IFERROR(VLOOKUP(October[[#This Row],[Drug Name9]],'Data Options'!$R$1:$S$100,2,FALSE), " ")</f>
        <v xml:space="preserve"> </v>
      </c>
      <c r="CI66" s="55"/>
      <c r="CJ66" s="32"/>
      <c r="CK66" s="32"/>
      <c r="CL66" s="55"/>
      <c r="CM66" s="32"/>
    </row>
    <row r="67" spans="1:91">
      <c r="A67" s="5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31"/>
      <c r="Q67" s="54"/>
      <c r="R67" s="21" t="str">
        <f>IFERROR(VLOOKUP(October[[#This Row],[Drug Name]],'Data Options'!$R$1:$S$100,2,FALSE), " ")</f>
        <v xml:space="preserve"> </v>
      </c>
      <c r="S67" s="55"/>
      <c r="T67" s="32"/>
      <c r="U67" s="32"/>
      <c r="V67" s="55"/>
      <c r="W67" s="32"/>
      <c r="X67" s="54"/>
      <c r="Y67" s="21" t="str">
        <f>IFERROR(VLOOKUP(October[[#This Row],[Drug Name2]],'Data Options'!$R$1:$S$100,2,FALSE), " ")</f>
        <v xml:space="preserve"> </v>
      </c>
      <c r="Z67" s="55"/>
      <c r="AA67" s="32"/>
      <c r="AB67" s="32"/>
      <c r="AC67" s="55"/>
      <c r="AD67" s="32"/>
      <c r="AE67" s="54"/>
      <c r="AF67" s="21" t="str">
        <f>IFERROR(VLOOKUP(October[[#This Row],[Drug Name3]],'Data Options'!$R$1:$S$100,2,FALSE), " ")</f>
        <v xml:space="preserve"> </v>
      </c>
      <c r="AG67" s="55"/>
      <c r="AH67" s="32"/>
      <c r="AI67" s="32"/>
      <c r="AJ67" s="55"/>
      <c r="AK67" s="32"/>
      <c r="AL67" s="32"/>
      <c r="AM67" s="32"/>
      <c r="AN67" s="32"/>
      <c r="AO67" s="32"/>
      <c r="AP67" s="31"/>
      <c r="AQ67" s="31"/>
      <c r="AR67" s="54"/>
      <c r="AS67" s="21" t="str">
        <f>IFERROR(VLOOKUP(October[[#This Row],[Drug Name4]],'Data Options'!$R$1:$S$100,2,FALSE), " ")</f>
        <v xml:space="preserve"> </v>
      </c>
      <c r="AT67" s="55"/>
      <c r="AU67" s="32"/>
      <c r="AV67" s="32"/>
      <c r="AW67" s="55"/>
      <c r="AX67" s="32"/>
      <c r="AY67" s="54"/>
      <c r="AZ67" s="21" t="str">
        <f>IFERROR(VLOOKUP(October[[#This Row],[Drug Name5]],'Data Options'!$R$1:$S$100,2,FALSE), " ")</f>
        <v xml:space="preserve"> </v>
      </c>
      <c r="BA67" s="55"/>
      <c r="BB67" s="32"/>
      <c r="BC67" s="32"/>
      <c r="BD67" s="55"/>
      <c r="BE67" s="32"/>
      <c r="BF67" s="54"/>
      <c r="BG67" s="21" t="str">
        <f>IFERROR(VLOOKUP(October[[#This Row],[Drug Name6]],'Data Options'!$R$1:$S$100,2,FALSE), " ")</f>
        <v xml:space="preserve"> </v>
      </c>
      <c r="BH67" s="55"/>
      <c r="BI67" s="32"/>
      <c r="BJ67" s="32"/>
      <c r="BK67" s="55"/>
      <c r="BL67" s="32"/>
      <c r="BM67" s="32"/>
      <c r="BN67" s="32"/>
      <c r="BO67" s="32"/>
      <c r="BP67" s="32"/>
      <c r="BQ67" s="31"/>
      <c r="BR67" s="31"/>
      <c r="BS67" s="54"/>
      <c r="BT67" s="21" t="str">
        <f>IFERROR(VLOOKUP(October[[#This Row],[Drug Name7]],'Data Options'!$R$1:$S$100,2,FALSE), " ")</f>
        <v xml:space="preserve"> </v>
      </c>
      <c r="BU67" s="55"/>
      <c r="BV67" s="32"/>
      <c r="BW67" s="32"/>
      <c r="BX67" s="55"/>
      <c r="BY67" s="32"/>
      <c r="BZ67" s="54"/>
      <c r="CA67" s="21" t="str">
        <f>IFERROR(VLOOKUP(October[[#This Row],[Drug Name8]],'Data Options'!$R$1:$S$100,2,FALSE), " ")</f>
        <v xml:space="preserve"> </v>
      </c>
      <c r="CB67" s="55"/>
      <c r="CC67" s="32"/>
      <c r="CD67" s="32"/>
      <c r="CE67" s="55"/>
      <c r="CF67" s="32"/>
      <c r="CG67" s="54"/>
      <c r="CH67" s="21" t="str">
        <f>IFERROR(VLOOKUP(October[[#This Row],[Drug Name9]],'Data Options'!$R$1:$S$100,2,FALSE), " ")</f>
        <v xml:space="preserve"> </v>
      </c>
      <c r="CI67" s="55"/>
      <c r="CJ67" s="32"/>
      <c r="CK67" s="32"/>
      <c r="CL67" s="55"/>
      <c r="CM67" s="32"/>
    </row>
    <row r="68" spans="1:91">
      <c r="A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31"/>
      <c r="Q68" s="54"/>
      <c r="R68" s="21" t="str">
        <f>IFERROR(VLOOKUP(October[[#This Row],[Drug Name]],'Data Options'!$R$1:$S$100,2,FALSE), " ")</f>
        <v xml:space="preserve"> </v>
      </c>
      <c r="S68" s="55"/>
      <c r="T68" s="32"/>
      <c r="U68" s="32"/>
      <c r="V68" s="55"/>
      <c r="W68" s="32"/>
      <c r="X68" s="54"/>
      <c r="Y68" s="21" t="str">
        <f>IFERROR(VLOOKUP(October[[#This Row],[Drug Name2]],'Data Options'!$R$1:$S$100,2,FALSE), " ")</f>
        <v xml:space="preserve"> </v>
      </c>
      <c r="Z68" s="55"/>
      <c r="AA68" s="32"/>
      <c r="AB68" s="32"/>
      <c r="AC68" s="55"/>
      <c r="AD68" s="32"/>
      <c r="AE68" s="54"/>
      <c r="AF68" s="21" t="str">
        <f>IFERROR(VLOOKUP(October[[#This Row],[Drug Name3]],'Data Options'!$R$1:$S$100,2,FALSE), " ")</f>
        <v xml:space="preserve"> </v>
      </c>
      <c r="AG68" s="55"/>
      <c r="AH68" s="32"/>
      <c r="AI68" s="32"/>
      <c r="AJ68" s="55"/>
      <c r="AK68" s="32"/>
      <c r="AL68" s="32"/>
      <c r="AM68" s="32"/>
      <c r="AN68" s="32"/>
      <c r="AO68" s="32"/>
      <c r="AP68" s="31"/>
      <c r="AQ68" s="31"/>
      <c r="AR68" s="54"/>
      <c r="AS68" s="21" t="str">
        <f>IFERROR(VLOOKUP(October[[#This Row],[Drug Name4]],'Data Options'!$R$1:$S$100,2,FALSE), " ")</f>
        <v xml:space="preserve"> </v>
      </c>
      <c r="AT68" s="55"/>
      <c r="AU68" s="32"/>
      <c r="AV68" s="32"/>
      <c r="AW68" s="55"/>
      <c r="AX68" s="32"/>
      <c r="AY68" s="54"/>
      <c r="AZ68" s="21" t="str">
        <f>IFERROR(VLOOKUP(October[[#This Row],[Drug Name5]],'Data Options'!$R$1:$S$100,2,FALSE), " ")</f>
        <v xml:space="preserve"> </v>
      </c>
      <c r="BA68" s="55"/>
      <c r="BB68" s="32"/>
      <c r="BC68" s="32"/>
      <c r="BD68" s="55"/>
      <c r="BE68" s="32"/>
      <c r="BF68" s="54"/>
      <c r="BG68" s="21" t="str">
        <f>IFERROR(VLOOKUP(October[[#This Row],[Drug Name6]],'Data Options'!$R$1:$S$100,2,FALSE), " ")</f>
        <v xml:space="preserve"> </v>
      </c>
      <c r="BH68" s="55"/>
      <c r="BI68" s="32"/>
      <c r="BJ68" s="32"/>
      <c r="BK68" s="55"/>
      <c r="BL68" s="32"/>
      <c r="BM68" s="32"/>
      <c r="BN68" s="32"/>
      <c r="BO68" s="32"/>
      <c r="BP68" s="32"/>
      <c r="BQ68" s="31"/>
      <c r="BR68" s="31"/>
      <c r="BS68" s="54"/>
      <c r="BT68" s="21" t="str">
        <f>IFERROR(VLOOKUP(October[[#This Row],[Drug Name7]],'Data Options'!$R$1:$S$100,2,FALSE), " ")</f>
        <v xml:space="preserve"> </v>
      </c>
      <c r="BU68" s="55"/>
      <c r="BV68" s="32"/>
      <c r="BW68" s="32"/>
      <c r="BX68" s="55"/>
      <c r="BY68" s="32"/>
      <c r="BZ68" s="54"/>
      <c r="CA68" s="21" t="str">
        <f>IFERROR(VLOOKUP(October[[#This Row],[Drug Name8]],'Data Options'!$R$1:$S$100,2,FALSE), " ")</f>
        <v xml:space="preserve"> </v>
      </c>
      <c r="CB68" s="55"/>
      <c r="CC68" s="32"/>
      <c r="CD68" s="32"/>
      <c r="CE68" s="55"/>
      <c r="CF68" s="32"/>
      <c r="CG68" s="54"/>
      <c r="CH68" s="21" t="str">
        <f>IFERROR(VLOOKUP(October[[#This Row],[Drug Name9]],'Data Options'!$R$1:$S$100,2,FALSE), " ")</f>
        <v xml:space="preserve"> </v>
      </c>
      <c r="CI68" s="55"/>
      <c r="CJ68" s="32"/>
      <c r="CK68" s="32"/>
      <c r="CL68" s="55"/>
      <c r="CM68" s="32"/>
    </row>
    <row r="69" spans="1:91">
      <c r="A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31"/>
      <c r="Q69" s="54"/>
      <c r="R69" s="21" t="str">
        <f>IFERROR(VLOOKUP(October[[#This Row],[Drug Name]],'Data Options'!$R$1:$S$100,2,FALSE), " ")</f>
        <v xml:space="preserve"> </v>
      </c>
      <c r="S69" s="55"/>
      <c r="T69" s="32"/>
      <c r="U69" s="32"/>
      <c r="V69" s="55"/>
      <c r="W69" s="32"/>
      <c r="X69" s="54"/>
      <c r="Y69" s="21" t="str">
        <f>IFERROR(VLOOKUP(October[[#This Row],[Drug Name2]],'Data Options'!$R$1:$S$100,2,FALSE), " ")</f>
        <v xml:space="preserve"> </v>
      </c>
      <c r="Z69" s="55"/>
      <c r="AA69" s="32"/>
      <c r="AB69" s="32"/>
      <c r="AC69" s="55"/>
      <c r="AD69" s="32"/>
      <c r="AE69" s="54"/>
      <c r="AF69" s="21" t="str">
        <f>IFERROR(VLOOKUP(October[[#This Row],[Drug Name3]],'Data Options'!$R$1:$S$100,2,FALSE), " ")</f>
        <v xml:space="preserve"> </v>
      </c>
      <c r="AG69" s="55"/>
      <c r="AH69" s="32"/>
      <c r="AI69" s="32"/>
      <c r="AJ69" s="55"/>
      <c r="AK69" s="32"/>
      <c r="AL69" s="32"/>
      <c r="AM69" s="32"/>
      <c r="AN69" s="32"/>
      <c r="AO69" s="32"/>
      <c r="AP69" s="31"/>
      <c r="AQ69" s="31"/>
      <c r="AR69" s="54"/>
      <c r="AS69" s="21" t="str">
        <f>IFERROR(VLOOKUP(October[[#This Row],[Drug Name4]],'Data Options'!$R$1:$S$100,2,FALSE), " ")</f>
        <v xml:space="preserve"> </v>
      </c>
      <c r="AT69" s="55"/>
      <c r="AU69" s="32"/>
      <c r="AV69" s="32"/>
      <c r="AW69" s="55"/>
      <c r="AX69" s="32"/>
      <c r="AY69" s="54"/>
      <c r="AZ69" s="21" t="str">
        <f>IFERROR(VLOOKUP(October[[#This Row],[Drug Name5]],'Data Options'!$R$1:$S$100,2,FALSE), " ")</f>
        <v xml:space="preserve"> </v>
      </c>
      <c r="BA69" s="55"/>
      <c r="BB69" s="32"/>
      <c r="BC69" s="32"/>
      <c r="BD69" s="55"/>
      <c r="BE69" s="32"/>
      <c r="BF69" s="54"/>
      <c r="BG69" s="21" t="str">
        <f>IFERROR(VLOOKUP(October[[#This Row],[Drug Name6]],'Data Options'!$R$1:$S$100,2,FALSE), " ")</f>
        <v xml:space="preserve"> </v>
      </c>
      <c r="BH69" s="55"/>
      <c r="BI69" s="32"/>
      <c r="BJ69" s="32"/>
      <c r="BK69" s="55"/>
      <c r="BL69" s="32"/>
      <c r="BM69" s="32"/>
      <c r="BN69" s="32"/>
      <c r="BO69" s="32"/>
      <c r="BP69" s="32"/>
      <c r="BQ69" s="31"/>
      <c r="BR69" s="31"/>
      <c r="BS69" s="54"/>
      <c r="BT69" s="21" t="str">
        <f>IFERROR(VLOOKUP(October[[#This Row],[Drug Name7]],'Data Options'!$R$1:$S$100,2,FALSE), " ")</f>
        <v xml:space="preserve"> </v>
      </c>
      <c r="BU69" s="55"/>
      <c r="BV69" s="32"/>
      <c r="BW69" s="32"/>
      <c r="BX69" s="55"/>
      <c r="BY69" s="32"/>
      <c r="BZ69" s="54"/>
      <c r="CA69" s="21" t="str">
        <f>IFERROR(VLOOKUP(October[[#This Row],[Drug Name8]],'Data Options'!$R$1:$S$100,2,FALSE), " ")</f>
        <v xml:space="preserve"> </v>
      </c>
      <c r="CB69" s="55"/>
      <c r="CC69" s="32"/>
      <c r="CD69" s="32"/>
      <c r="CE69" s="55"/>
      <c r="CF69" s="32"/>
      <c r="CG69" s="54"/>
      <c r="CH69" s="21" t="str">
        <f>IFERROR(VLOOKUP(October[[#This Row],[Drug Name9]],'Data Options'!$R$1:$S$100,2,FALSE), " ")</f>
        <v xml:space="preserve"> </v>
      </c>
      <c r="CI69" s="55"/>
      <c r="CJ69" s="32"/>
      <c r="CK69" s="32"/>
      <c r="CL69" s="55"/>
      <c r="CM69" s="32"/>
    </row>
    <row r="70" spans="1:91">
      <c r="A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31"/>
      <c r="Q70" s="54"/>
      <c r="R70" s="21" t="str">
        <f>IFERROR(VLOOKUP(October[[#This Row],[Drug Name]],'Data Options'!$R$1:$S$100,2,FALSE), " ")</f>
        <v xml:space="preserve"> </v>
      </c>
      <c r="S70" s="55"/>
      <c r="T70" s="32"/>
      <c r="U70" s="32"/>
      <c r="V70" s="55"/>
      <c r="W70" s="32"/>
      <c r="X70" s="54"/>
      <c r="Y70" s="21" t="str">
        <f>IFERROR(VLOOKUP(October[[#This Row],[Drug Name2]],'Data Options'!$R$1:$S$100,2,FALSE), " ")</f>
        <v xml:space="preserve"> </v>
      </c>
      <c r="Z70" s="55"/>
      <c r="AA70" s="32"/>
      <c r="AB70" s="32"/>
      <c r="AC70" s="55"/>
      <c r="AD70" s="32"/>
      <c r="AE70" s="54"/>
      <c r="AF70" s="21" t="str">
        <f>IFERROR(VLOOKUP(October[[#This Row],[Drug Name3]],'Data Options'!$R$1:$S$100,2,FALSE), " ")</f>
        <v xml:space="preserve"> </v>
      </c>
      <c r="AG70" s="55"/>
      <c r="AH70" s="32"/>
      <c r="AI70" s="32"/>
      <c r="AJ70" s="55"/>
      <c r="AK70" s="32"/>
      <c r="AL70" s="32"/>
      <c r="AM70" s="32"/>
      <c r="AN70" s="32"/>
      <c r="AO70" s="32"/>
      <c r="AP70" s="31"/>
      <c r="AQ70" s="31"/>
      <c r="AR70" s="54"/>
      <c r="AS70" s="21" t="str">
        <f>IFERROR(VLOOKUP(October[[#This Row],[Drug Name4]],'Data Options'!$R$1:$S$100,2,FALSE), " ")</f>
        <v xml:space="preserve"> </v>
      </c>
      <c r="AT70" s="55"/>
      <c r="AU70" s="32"/>
      <c r="AV70" s="32"/>
      <c r="AW70" s="55"/>
      <c r="AX70" s="32"/>
      <c r="AY70" s="54"/>
      <c r="AZ70" s="21" t="str">
        <f>IFERROR(VLOOKUP(October[[#This Row],[Drug Name5]],'Data Options'!$R$1:$S$100,2,FALSE), " ")</f>
        <v xml:space="preserve"> </v>
      </c>
      <c r="BA70" s="55"/>
      <c r="BB70" s="32"/>
      <c r="BC70" s="32"/>
      <c r="BD70" s="55"/>
      <c r="BE70" s="32"/>
      <c r="BF70" s="54"/>
      <c r="BG70" s="21" t="str">
        <f>IFERROR(VLOOKUP(October[[#This Row],[Drug Name6]],'Data Options'!$R$1:$S$100,2,FALSE), " ")</f>
        <v xml:space="preserve"> </v>
      </c>
      <c r="BH70" s="55"/>
      <c r="BI70" s="32"/>
      <c r="BJ70" s="32"/>
      <c r="BK70" s="55"/>
      <c r="BL70" s="32"/>
      <c r="BM70" s="32"/>
      <c r="BN70" s="32"/>
      <c r="BO70" s="32"/>
      <c r="BP70" s="32"/>
      <c r="BQ70" s="31"/>
      <c r="BR70" s="31"/>
      <c r="BS70" s="54"/>
      <c r="BT70" s="21" t="str">
        <f>IFERROR(VLOOKUP(October[[#This Row],[Drug Name7]],'Data Options'!$R$1:$S$100,2,FALSE), " ")</f>
        <v xml:space="preserve"> </v>
      </c>
      <c r="BU70" s="55"/>
      <c r="BV70" s="32"/>
      <c r="BW70" s="32"/>
      <c r="BX70" s="55"/>
      <c r="BY70" s="32"/>
      <c r="BZ70" s="54"/>
      <c r="CA70" s="21" t="str">
        <f>IFERROR(VLOOKUP(October[[#This Row],[Drug Name8]],'Data Options'!$R$1:$S$100,2,FALSE), " ")</f>
        <v xml:space="preserve"> </v>
      </c>
      <c r="CB70" s="55"/>
      <c r="CC70" s="32"/>
      <c r="CD70" s="32"/>
      <c r="CE70" s="55"/>
      <c r="CF70" s="32"/>
      <c r="CG70" s="54"/>
      <c r="CH70" s="21" t="str">
        <f>IFERROR(VLOOKUP(October[[#This Row],[Drug Name9]],'Data Options'!$R$1:$S$100,2,FALSE), " ")</f>
        <v xml:space="preserve"> </v>
      </c>
      <c r="CI70" s="55"/>
      <c r="CJ70" s="32"/>
      <c r="CK70" s="32"/>
      <c r="CL70" s="55"/>
      <c r="CM70" s="32"/>
    </row>
    <row r="71" spans="1:91">
      <c r="A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31"/>
      <c r="Q71" s="54"/>
      <c r="R71" s="21" t="str">
        <f>IFERROR(VLOOKUP(October[[#This Row],[Drug Name]],'Data Options'!$R$1:$S$100,2,FALSE), " ")</f>
        <v xml:space="preserve"> </v>
      </c>
      <c r="S71" s="55"/>
      <c r="T71" s="32"/>
      <c r="U71" s="32"/>
      <c r="V71" s="55"/>
      <c r="W71" s="32"/>
      <c r="X71" s="54"/>
      <c r="Y71" s="21" t="str">
        <f>IFERROR(VLOOKUP(October[[#This Row],[Drug Name2]],'Data Options'!$R$1:$S$100,2,FALSE), " ")</f>
        <v xml:space="preserve"> </v>
      </c>
      <c r="Z71" s="55"/>
      <c r="AA71" s="32"/>
      <c r="AB71" s="32"/>
      <c r="AC71" s="55"/>
      <c r="AD71" s="32"/>
      <c r="AE71" s="54"/>
      <c r="AF71" s="21" t="str">
        <f>IFERROR(VLOOKUP(October[[#This Row],[Drug Name3]],'Data Options'!$R$1:$S$100,2,FALSE), " ")</f>
        <v xml:space="preserve"> </v>
      </c>
      <c r="AG71" s="55"/>
      <c r="AH71" s="32"/>
      <c r="AI71" s="32"/>
      <c r="AJ71" s="55"/>
      <c r="AK71" s="32"/>
      <c r="AL71" s="32"/>
      <c r="AM71" s="32"/>
      <c r="AN71" s="32"/>
      <c r="AO71" s="32"/>
      <c r="AP71" s="31"/>
      <c r="AQ71" s="31"/>
      <c r="AR71" s="54"/>
      <c r="AS71" s="21" t="str">
        <f>IFERROR(VLOOKUP(October[[#This Row],[Drug Name4]],'Data Options'!$R$1:$S$100,2,FALSE), " ")</f>
        <v xml:space="preserve"> </v>
      </c>
      <c r="AT71" s="55"/>
      <c r="AU71" s="32"/>
      <c r="AV71" s="32"/>
      <c r="AW71" s="55"/>
      <c r="AX71" s="32"/>
      <c r="AY71" s="54"/>
      <c r="AZ71" s="21" t="str">
        <f>IFERROR(VLOOKUP(October[[#This Row],[Drug Name5]],'Data Options'!$R$1:$S$100,2,FALSE), " ")</f>
        <v xml:space="preserve"> </v>
      </c>
      <c r="BA71" s="55"/>
      <c r="BB71" s="32"/>
      <c r="BC71" s="32"/>
      <c r="BD71" s="55"/>
      <c r="BE71" s="32"/>
      <c r="BF71" s="54"/>
      <c r="BG71" s="21" t="str">
        <f>IFERROR(VLOOKUP(October[[#This Row],[Drug Name6]],'Data Options'!$R$1:$S$100,2,FALSE), " ")</f>
        <v xml:space="preserve"> </v>
      </c>
      <c r="BH71" s="55"/>
      <c r="BI71" s="32"/>
      <c r="BJ71" s="32"/>
      <c r="BK71" s="55"/>
      <c r="BL71" s="32"/>
      <c r="BM71" s="32"/>
      <c r="BN71" s="32"/>
      <c r="BO71" s="32"/>
      <c r="BP71" s="32"/>
      <c r="BQ71" s="31"/>
      <c r="BR71" s="31"/>
      <c r="BS71" s="54"/>
      <c r="BT71" s="21" t="str">
        <f>IFERROR(VLOOKUP(October[[#This Row],[Drug Name7]],'Data Options'!$R$1:$S$100,2,FALSE), " ")</f>
        <v xml:space="preserve"> </v>
      </c>
      <c r="BU71" s="55"/>
      <c r="BV71" s="32"/>
      <c r="BW71" s="32"/>
      <c r="BX71" s="55"/>
      <c r="BY71" s="32"/>
      <c r="BZ71" s="54"/>
      <c r="CA71" s="21" t="str">
        <f>IFERROR(VLOOKUP(October[[#This Row],[Drug Name8]],'Data Options'!$R$1:$S$100,2,FALSE), " ")</f>
        <v xml:space="preserve"> </v>
      </c>
      <c r="CB71" s="55"/>
      <c r="CC71" s="32"/>
      <c r="CD71" s="32"/>
      <c r="CE71" s="55"/>
      <c r="CF71" s="32"/>
      <c r="CG71" s="54"/>
      <c r="CH71" s="21" t="str">
        <f>IFERROR(VLOOKUP(October[[#This Row],[Drug Name9]],'Data Options'!$R$1:$S$100,2,FALSE), " ")</f>
        <v xml:space="preserve"> </v>
      </c>
      <c r="CI71" s="55"/>
      <c r="CJ71" s="32"/>
      <c r="CK71" s="32"/>
      <c r="CL71" s="55"/>
      <c r="CM71" s="32"/>
    </row>
    <row r="72" spans="1:91">
      <c r="A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54"/>
      <c r="R72" s="21" t="str">
        <f>IFERROR(VLOOKUP(October[[#This Row],[Drug Name]],'Data Options'!$R$1:$S$100,2,FALSE), " ")</f>
        <v xml:space="preserve"> </v>
      </c>
      <c r="S72" s="55"/>
      <c r="T72" s="32"/>
      <c r="U72" s="32"/>
      <c r="V72" s="55"/>
      <c r="W72" s="32"/>
      <c r="X72" s="54"/>
      <c r="Y72" s="21" t="str">
        <f>IFERROR(VLOOKUP(October[[#This Row],[Drug Name2]],'Data Options'!$R$1:$S$100,2,FALSE), " ")</f>
        <v xml:space="preserve"> </v>
      </c>
      <c r="Z72" s="55"/>
      <c r="AA72" s="32"/>
      <c r="AB72" s="32"/>
      <c r="AC72" s="55"/>
      <c r="AD72" s="32"/>
      <c r="AE72" s="54"/>
      <c r="AF72" s="21" t="str">
        <f>IFERROR(VLOOKUP(October[[#This Row],[Drug Name3]],'Data Options'!$R$1:$S$100,2,FALSE), " ")</f>
        <v xml:space="preserve"> </v>
      </c>
      <c r="AG72" s="55"/>
      <c r="AH72" s="32"/>
      <c r="AI72" s="32"/>
      <c r="AJ72" s="55"/>
      <c r="AK72" s="32"/>
      <c r="AL72" s="32"/>
      <c r="AM72" s="32"/>
      <c r="AN72" s="32"/>
      <c r="AO72" s="32"/>
      <c r="AP72" s="31"/>
      <c r="AQ72" s="31"/>
      <c r="AR72" s="54"/>
      <c r="AS72" s="21" t="str">
        <f>IFERROR(VLOOKUP(October[[#This Row],[Drug Name4]],'Data Options'!$R$1:$S$100,2,FALSE), " ")</f>
        <v xml:space="preserve"> </v>
      </c>
      <c r="AT72" s="55"/>
      <c r="AU72" s="32"/>
      <c r="AV72" s="32"/>
      <c r="AW72" s="55"/>
      <c r="AX72" s="32"/>
      <c r="AY72" s="54"/>
      <c r="AZ72" s="21" t="str">
        <f>IFERROR(VLOOKUP(October[[#This Row],[Drug Name5]],'Data Options'!$R$1:$S$100,2,FALSE), " ")</f>
        <v xml:space="preserve"> </v>
      </c>
      <c r="BA72" s="55"/>
      <c r="BB72" s="32"/>
      <c r="BC72" s="32"/>
      <c r="BD72" s="55"/>
      <c r="BE72" s="32"/>
      <c r="BF72" s="54"/>
      <c r="BG72" s="21" t="str">
        <f>IFERROR(VLOOKUP(October[[#This Row],[Drug Name6]],'Data Options'!$R$1:$S$100,2,FALSE), " ")</f>
        <v xml:space="preserve"> </v>
      </c>
      <c r="BH72" s="55"/>
      <c r="BI72" s="32"/>
      <c r="BJ72" s="32"/>
      <c r="BK72" s="55"/>
      <c r="BL72" s="32"/>
      <c r="BM72" s="32"/>
      <c r="BN72" s="32"/>
      <c r="BO72" s="32"/>
      <c r="BP72" s="32"/>
      <c r="BQ72" s="31"/>
      <c r="BR72" s="31"/>
      <c r="BS72" s="54"/>
      <c r="BT72" s="21" t="str">
        <f>IFERROR(VLOOKUP(October[[#This Row],[Drug Name7]],'Data Options'!$R$1:$S$100,2,FALSE), " ")</f>
        <v xml:space="preserve"> </v>
      </c>
      <c r="BU72" s="55"/>
      <c r="BV72" s="32"/>
      <c r="BW72" s="32"/>
      <c r="BX72" s="55"/>
      <c r="BY72" s="32"/>
      <c r="BZ72" s="54"/>
      <c r="CA72" s="21" t="str">
        <f>IFERROR(VLOOKUP(October[[#This Row],[Drug Name8]],'Data Options'!$R$1:$S$100,2,FALSE), " ")</f>
        <v xml:space="preserve"> </v>
      </c>
      <c r="CB72" s="55"/>
      <c r="CC72" s="32"/>
      <c r="CD72" s="32"/>
      <c r="CE72" s="55"/>
      <c r="CF72" s="32"/>
      <c r="CG72" s="54"/>
      <c r="CH72" s="21" t="str">
        <f>IFERROR(VLOOKUP(October[[#This Row],[Drug Name9]],'Data Options'!$R$1:$S$100,2,FALSE), " ")</f>
        <v xml:space="preserve"> </v>
      </c>
      <c r="CI72" s="55"/>
      <c r="CJ72" s="32"/>
      <c r="CK72" s="32"/>
      <c r="CL72" s="55"/>
      <c r="CM72" s="32"/>
    </row>
    <row r="73" spans="1:91">
      <c r="A73" s="5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31"/>
      <c r="Q73" s="54"/>
      <c r="R73" s="21" t="str">
        <f>IFERROR(VLOOKUP(October[[#This Row],[Drug Name]],'Data Options'!$R$1:$S$100,2,FALSE), " ")</f>
        <v xml:space="preserve"> </v>
      </c>
      <c r="S73" s="55"/>
      <c r="T73" s="32"/>
      <c r="U73" s="32"/>
      <c r="V73" s="55"/>
      <c r="W73" s="32"/>
      <c r="X73" s="54"/>
      <c r="Y73" s="21" t="str">
        <f>IFERROR(VLOOKUP(October[[#This Row],[Drug Name2]],'Data Options'!$R$1:$S$100,2,FALSE), " ")</f>
        <v xml:space="preserve"> </v>
      </c>
      <c r="Z73" s="55"/>
      <c r="AA73" s="32"/>
      <c r="AB73" s="32"/>
      <c r="AC73" s="55"/>
      <c r="AD73" s="32"/>
      <c r="AE73" s="54"/>
      <c r="AF73" s="21" t="str">
        <f>IFERROR(VLOOKUP(October[[#This Row],[Drug Name3]],'Data Options'!$R$1:$S$100,2,FALSE), " ")</f>
        <v xml:space="preserve"> </v>
      </c>
      <c r="AG73" s="55"/>
      <c r="AH73" s="32"/>
      <c r="AI73" s="32"/>
      <c r="AJ73" s="55"/>
      <c r="AK73" s="32"/>
      <c r="AL73" s="32"/>
      <c r="AM73" s="32"/>
      <c r="AN73" s="32"/>
      <c r="AO73" s="32"/>
      <c r="AP73" s="31"/>
      <c r="AQ73" s="31"/>
      <c r="AR73" s="54"/>
      <c r="AS73" s="21" t="str">
        <f>IFERROR(VLOOKUP(October[[#This Row],[Drug Name4]],'Data Options'!$R$1:$S$100,2,FALSE), " ")</f>
        <v xml:space="preserve"> </v>
      </c>
      <c r="AT73" s="55"/>
      <c r="AU73" s="32"/>
      <c r="AV73" s="32"/>
      <c r="AW73" s="55"/>
      <c r="AX73" s="32"/>
      <c r="AY73" s="54"/>
      <c r="AZ73" s="21" t="str">
        <f>IFERROR(VLOOKUP(October[[#This Row],[Drug Name5]],'Data Options'!$R$1:$S$100,2,FALSE), " ")</f>
        <v xml:space="preserve"> </v>
      </c>
      <c r="BA73" s="55"/>
      <c r="BB73" s="32"/>
      <c r="BC73" s="32"/>
      <c r="BD73" s="55"/>
      <c r="BE73" s="32"/>
      <c r="BF73" s="54"/>
      <c r="BG73" s="21" t="str">
        <f>IFERROR(VLOOKUP(October[[#This Row],[Drug Name6]],'Data Options'!$R$1:$S$100,2,FALSE), " ")</f>
        <v xml:space="preserve"> </v>
      </c>
      <c r="BH73" s="55"/>
      <c r="BI73" s="32"/>
      <c r="BJ73" s="32"/>
      <c r="BK73" s="55"/>
      <c r="BL73" s="32"/>
      <c r="BM73" s="32"/>
      <c r="BN73" s="32"/>
      <c r="BO73" s="32"/>
      <c r="BP73" s="32"/>
      <c r="BQ73" s="31"/>
      <c r="BR73" s="31"/>
      <c r="BS73" s="54"/>
      <c r="BT73" s="21" t="str">
        <f>IFERROR(VLOOKUP(October[[#This Row],[Drug Name7]],'Data Options'!$R$1:$S$100,2,FALSE), " ")</f>
        <v xml:space="preserve"> </v>
      </c>
      <c r="BU73" s="55"/>
      <c r="BV73" s="32"/>
      <c r="BW73" s="32"/>
      <c r="BX73" s="55"/>
      <c r="BY73" s="32"/>
      <c r="BZ73" s="54"/>
      <c r="CA73" s="21" t="str">
        <f>IFERROR(VLOOKUP(October[[#This Row],[Drug Name8]],'Data Options'!$R$1:$S$100,2,FALSE), " ")</f>
        <v xml:space="preserve"> </v>
      </c>
      <c r="CB73" s="55"/>
      <c r="CC73" s="32"/>
      <c r="CD73" s="32"/>
      <c r="CE73" s="55"/>
      <c r="CF73" s="32"/>
      <c r="CG73" s="54"/>
      <c r="CH73" s="21" t="str">
        <f>IFERROR(VLOOKUP(October[[#This Row],[Drug Name9]],'Data Options'!$R$1:$S$100,2,FALSE), " ")</f>
        <v xml:space="preserve"> </v>
      </c>
      <c r="CI73" s="55"/>
      <c r="CJ73" s="32"/>
      <c r="CK73" s="32"/>
      <c r="CL73" s="55"/>
      <c r="CM73" s="32"/>
    </row>
    <row r="74" spans="1:91">
      <c r="A74" s="5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31"/>
      <c r="Q74" s="54"/>
      <c r="R74" s="21" t="str">
        <f>IFERROR(VLOOKUP(October[[#This Row],[Drug Name]],'Data Options'!$R$1:$S$100,2,FALSE), " ")</f>
        <v xml:space="preserve"> </v>
      </c>
      <c r="S74" s="55"/>
      <c r="T74" s="32"/>
      <c r="U74" s="32"/>
      <c r="V74" s="55"/>
      <c r="W74" s="32"/>
      <c r="X74" s="54"/>
      <c r="Y74" s="21" t="str">
        <f>IFERROR(VLOOKUP(October[[#This Row],[Drug Name2]],'Data Options'!$R$1:$S$100,2,FALSE), " ")</f>
        <v xml:space="preserve"> </v>
      </c>
      <c r="Z74" s="55"/>
      <c r="AA74" s="32"/>
      <c r="AB74" s="32"/>
      <c r="AC74" s="55"/>
      <c r="AD74" s="32"/>
      <c r="AE74" s="54"/>
      <c r="AF74" s="21" t="str">
        <f>IFERROR(VLOOKUP(October[[#This Row],[Drug Name3]],'Data Options'!$R$1:$S$100,2,FALSE), " ")</f>
        <v xml:space="preserve"> </v>
      </c>
      <c r="AG74" s="55"/>
      <c r="AH74" s="32"/>
      <c r="AI74" s="32"/>
      <c r="AJ74" s="55"/>
      <c r="AK74" s="32"/>
      <c r="AL74" s="32"/>
      <c r="AM74" s="32"/>
      <c r="AN74" s="32"/>
      <c r="AO74" s="32"/>
      <c r="AP74" s="31"/>
      <c r="AQ74" s="31"/>
      <c r="AR74" s="54"/>
      <c r="AS74" s="21" t="str">
        <f>IFERROR(VLOOKUP(October[[#This Row],[Drug Name4]],'Data Options'!$R$1:$S$100,2,FALSE), " ")</f>
        <v xml:space="preserve"> </v>
      </c>
      <c r="AT74" s="55"/>
      <c r="AU74" s="32"/>
      <c r="AV74" s="32"/>
      <c r="AW74" s="55"/>
      <c r="AX74" s="32"/>
      <c r="AY74" s="54"/>
      <c r="AZ74" s="21" t="str">
        <f>IFERROR(VLOOKUP(October[[#This Row],[Drug Name5]],'Data Options'!$R$1:$S$100,2,FALSE), " ")</f>
        <v xml:space="preserve"> </v>
      </c>
      <c r="BA74" s="55"/>
      <c r="BB74" s="32"/>
      <c r="BC74" s="32"/>
      <c r="BD74" s="55"/>
      <c r="BE74" s="32"/>
      <c r="BF74" s="54"/>
      <c r="BG74" s="21" t="str">
        <f>IFERROR(VLOOKUP(October[[#This Row],[Drug Name6]],'Data Options'!$R$1:$S$100,2,FALSE), " ")</f>
        <v xml:space="preserve"> </v>
      </c>
      <c r="BH74" s="55"/>
      <c r="BI74" s="32"/>
      <c r="BJ74" s="32"/>
      <c r="BK74" s="55"/>
      <c r="BL74" s="32"/>
      <c r="BM74" s="32"/>
      <c r="BN74" s="32"/>
      <c r="BO74" s="32"/>
      <c r="BP74" s="32"/>
      <c r="BQ74" s="31"/>
      <c r="BR74" s="31"/>
      <c r="BS74" s="54"/>
      <c r="BT74" s="21" t="str">
        <f>IFERROR(VLOOKUP(October[[#This Row],[Drug Name7]],'Data Options'!$R$1:$S$100,2,FALSE), " ")</f>
        <v xml:space="preserve"> </v>
      </c>
      <c r="BU74" s="55"/>
      <c r="BV74" s="32"/>
      <c r="BW74" s="32"/>
      <c r="BX74" s="55"/>
      <c r="BY74" s="32"/>
      <c r="BZ74" s="54"/>
      <c r="CA74" s="21" t="str">
        <f>IFERROR(VLOOKUP(October[[#This Row],[Drug Name8]],'Data Options'!$R$1:$S$100,2,FALSE), " ")</f>
        <v xml:space="preserve"> </v>
      </c>
      <c r="CB74" s="55"/>
      <c r="CC74" s="32"/>
      <c r="CD74" s="32"/>
      <c r="CE74" s="55"/>
      <c r="CF74" s="32"/>
      <c r="CG74" s="54"/>
      <c r="CH74" s="21" t="str">
        <f>IFERROR(VLOOKUP(October[[#This Row],[Drug Name9]],'Data Options'!$R$1:$S$100,2,FALSE), " ")</f>
        <v xml:space="preserve"> </v>
      </c>
      <c r="CI74" s="55"/>
      <c r="CJ74" s="32"/>
      <c r="CK74" s="32"/>
      <c r="CL74" s="55"/>
      <c r="CM74" s="32"/>
    </row>
    <row r="75" spans="1:91">
      <c r="A75" s="5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31"/>
      <c r="Q75" s="54"/>
      <c r="R75" s="21" t="str">
        <f>IFERROR(VLOOKUP(October[[#This Row],[Drug Name]],'Data Options'!$R$1:$S$100,2,FALSE), " ")</f>
        <v xml:space="preserve"> </v>
      </c>
      <c r="S75" s="55"/>
      <c r="T75" s="32"/>
      <c r="U75" s="32"/>
      <c r="V75" s="55"/>
      <c r="W75" s="32"/>
      <c r="X75" s="54"/>
      <c r="Y75" s="21" t="str">
        <f>IFERROR(VLOOKUP(October[[#This Row],[Drug Name2]],'Data Options'!$R$1:$S$100,2,FALSE), " ")</f>
        <v xml:space="preserve"> </v>
      </c>
      <c r="Z75" s="55"/>
      <c r="AA75" s="32"/>
      <c r="AB75" s="32"/>
      <c r="AC75" s="55"/>
      <c r="AD75" s="32"/>
      <c r="AE75" s="54"/>
      <c r="AF75" s="21" t="str">
        <f>IFERROR(VLOOKUP(October[[#This Row],[Drug Name3]],'Data Options'!$R$1:$S$100,2,FALSE), " ")</f>
        <v xml:space="preserve"> </v>
      </c>
      <c r="AG75" s="55"/>
      <c r="AH75" s="32"/>
      <c r="AI75" s="32"/>
      <c r="AJ75" s="55"/>
      <c r="AK75" s="32"/>
      <c r="AL75" s="32"/>
      <c r="AM75" s="32"/>
      <c r="AN75" s="32"/>
      <c r="AO75" s="32"/>
      <c r="AP75" s="31"/>
      <c r="AQ75" s="31"/>
      <c r="AR75" s="54"/>
      <c r="AS75" s="21" t="str">
        <f>IFERROR(VLOOKUP(October[[#This Row],[Drug Name4]],'Data Options'!$R$1:$S$100,2,FALSE), " ")</f>
        <v xml:space="preserve"> </v>
      </c>
      <c r="AT75" s="55"/>
      <c r="AU75" s="32"/>
      <c r="AV75" s="32"/>
      <c r="AW75" s="55"/>
      <c r="AX75" s="32"/>
      <c r="AY75" s="54"/>
      <c r="AZ75" s="21" t="str">
        <f>IFERROR(VLOOKUP(October[[#This Row],[Drug Name5]],'Data Options'!$R$1:$S$100,2,FALSE), " ")</f>
        <v xml:space="preserve"> </v>
      </c>
      <c r="BA75" s="55"/>
      <c r="BB75" s="32"/>
      <c r="BC75" s="32"/>
      <c r="BD75" s="55"/>
      <c r="BE75" s="32"/>
      <c r="BF75" s="54"/>
      <c r="BG75" s="21" t="str">
        <f>IFERROR(VLOOKUP(October[[#This Row],[Drug Name6]],'Data Options'!$R$1:$S$100,2,FALSE), " ")</f>
        <v xml:space="preserve"> </v>
      </c>
      <c r="BH75" s="55"/>
      <c r="BI75" s="32"/>
      <c r="BJ75" s="32"/>
      <c r="BK75" s="55"/>
      <c r="BL75" s="32"/>
      <c r="BM75" s="32"/>
      <c r="BN75" s="32"/>
      <c r="BO75" s="32"/>
      <c r="BP75" s="32"/>
      <c r="BQ75" s="31"/>
      <c r="BR75" s="31"/>
      <c r="BS75" s="54"/>
      <c r="BT75" s="21" t="str">
        <f>IFERROR(VLOOKUP(October[[#This Row],[Drug Name7]],'Data Options'!$R$1:$S$100,2,FALSE), " ")</f>
        <v xml:space="preserve"> </v>
      </c>
      <c r="BU75" s="55"/>
      <c r="BV75" s="32"/>
      <c r="BW75" s="32"/>
      <c r="BX75" s="55"/>
      <c r="BY75" s="32"/>
      <c r="BZ75" s="54"/>
      <c r="CA75" s="21" t="str">
        <f>IFERROR(VLOOKUP(October[[#This Row],[Drug Name8]],'Data Options'!$R$1:$S$100,2,FALSE), " ")</f>
        <v xml:space="preserve"> </v>
      </c>
      <c r="CB75" s="55"/>
      <c r="CC75" s="32"/>
      <c r="CD75" s="32"/>
      <c r="CE75" s="55"/>
      <c r="CF75" s="32"/>
      <c r="CG75" s="54"/>
      <c r="CH75" s="21" t="str">
        <f>IFERROR(VLOOKUP(October[[#This Row],[Drug Name9]],'Data Options'!$R$1:$S$100,2,FALSE), " ")</f>
        <v xml:space="preserve"> </v>
      </c>
      <c r="CI75" s="55"/>
      <c r="CJ75" s="32"/>
      <c r="CK75" s="32"/>
      <c r="CL75" s="55"/>
      <c r="CM75" s="32"/>
    </row>
    <row r="76" spans="1:91">
      <c r="A76" s="5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54"/>
      <c r="R76" s="21" t="str">
        <f>IFERROR(VLOOKUP(October[[#This Row],[Drug Name]],'Data Options'!$R$1:$S$100,2,FALSE), " ")</f>
        <v xml:space="preserve"> </v>
      </c>
      <c r="S76" s="55"/>
      <c r="T76" s="32"/>
      <c r="U76" s="32"/>
      <c r="V76" s="55"/>
      <c r="W76" s="32"/>
      <c r="X76" s="54"/>
      <c r="Y76" s="21" t="str">
        <f>IFERROR(VLOOKUP(October[[#This Row],[Drug Name2]],'Data Options'!$R$1:$S$100,2,FALSE), " ")</f>
        <v xml:space="preserve"> </v>
      </c>
      <c r="Z76" s="55"/>
      <c r="AA76" s="32"/>
      <c r="AB76" s="32"/>
      <c r="AC76" s="55"/>
      <c r="AD76" s="32"/>
      <c r="AE76" s="54"/>
      <c r="AF76" s="21" t="str">
        <f>IFERROR(VLOOKUP(October[[#This Row],[Drug Name3]],'Data Options'!$R$1:$S$100,2,FALSE), " ")</f>
        <v xml:space="preserve"> </v>
      </c>
      <c r="AG76" s="55"/>
      <c r="AH76" s="32"/>
      <c r="AI76" s="32"/>
      <c r="AJ76" s="55"/>
      <c r="AK76" s="32"/>
      <c r="AL76" s="32"/>
      <c r="AM76" s="32"/>
      <c r="AN76" s="32"/>
      <c r="AO76" s="32"/>
      <c r="AP76" s="31"/>
      <c r="AQ76" s="31"/>
      <c r="AR76" s="54"/>
      <c r="AS76" s="21" t="str">
        <f>IFERROR(VLOOKUP(October[[#This Row],[Drug Name4]],'Data Options'!$R$1:$S$100,2,FALSE), " ")</f>
        <v xml:space="preserve"> </v>
      </c>
      <c r="AT76" s="55"/>
      <c r="AU76" s="32"/>
      <c r="AV76" s="32"/>
      <c r="AW76" s="55"/>
      <c r="AX76" s="32"/>
      <c r="AY76" s="54"/>
      <c r="AZ76" s="21" t="str">
        <f>IFERROR(VLOOKUP(October[[#This Row],[Drug Name5]],'Data Options'!$R$1:$S$100,2,FALSE), " ")</f>
        <v xml:space="preserve"> </v>
      </c>
      <c r="BA76" s="55"/>
      <c r="BB76" s="32"/>
      <c r="BC76" s="32"/>
      <c r="BD76" s="55"/>
      <c r="BE76" s="32"/>
      <c r="BF76" s="54"/>
      <c r="BG76" s="21" t="str">
        <f>IFERROR(VLOOKUP(October[[#This Row],[Drug Name6]],'Data Options'!$R$1:$S$100,2,FALSE), " ")</f>
        <v xml:space="preserve"> </v>
      </c>
      <c r="BH76" s="55"/>
      <c r="BI76" s="32"/>
      <c r="BJ76" s="32"/>
      <c r="BK76" s="55"/>
      <c r="BL76" s="32"/>
      <c r="BM76" s="32"/>
      <c r="BN76" s="32"/>
      <c r="BO76" s="32"/>
      <c r="BP76" s="32"/>
      <c r="BQ76" s="31"/>
      <c r="BR76" s="31"/>
      <c r="BS76" s="54"/>
      <c r="BT76" s="21" t="str">
        <f>IFERROR(VLOOKUP(October[[#This Row],[Drug Name7]],'Data Options'!$R$1:$S$100,2,FALSE), " ")</f>
        <v xml:space="preserve"> </v>
      </c>
      <c r="BU76" s="55"/>
      <c r="BV76" s="32"/>
      <c r="BW76" s="32"/>
      <c r="BX76" s="55"/>
      <c r="BY76" s="32"/>
      <c r="BZ76" s="54"/>
      <c r="CA76" s="21" t="str">
        <f>IFERROR(VLOOKUP(October[[#This Row],[Drug Name8]],'Data Options'!$R$1:$S$100,2,FALSE), " ")</f>
        <v xml:space="preserve"> </v>
      </c>
      <c r="CB76" s="55"/>
      <c r="CC76" s="32"/>
      <c r="CD76" s="32"/>
      <c r="CE76" s="55"/>
      <c r="CF76" s="32"/>
      <c r="CG76" s="54"/>
      <c r="CH76" s="21" t="str">
        <f>IFERROR(VLOOKUP(October[[#This Row],[Drug Name9]],'Data Options'!$R$1:$S$100,2,FALSE), " ")</f>
        <v xml:space="preserve"> </v>
      </c>
      <c r="CI76" s="55"/>
      <c r="CJ76" s="32"/>
      <c r="CK76" s="32"/>
      <c r="CL76" s="55"/>
      <c r="CM76" s="32"/>
    </row>
    <row r="77" spans="1:91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31"/>
      <c r="Q77" s="54"/>
      <c r="R77" s="21" t="str">
        <f>IFERROR(VLOOKUP(October[[#This Row],[Drug Name]],'Data Options'!$R$1:$S$100,2,FALSE), " ")</f>
        <v xml:space="preserve"> </v>
      </c>
      <c r="S77" s="55"/>
      <c r="T77" s="32"/>
      <c r="U77" s="32"/>
      <c r="V77" s="55"/>
      <c r="W77" s="32"/>
      <c r="X77" s="54"/>
      <c r="Y77" s="21" t="str">
        <f>IFERROR(VLOOKUP(October[[#This Row],[Drug Name2]],'Data Options'!$R$1:$S$100,2,FALSE), " ")</f>
        <v xml:space="preserve"> </v>
      </c>
      <c r="Z77" s="55"/>
      <c r="AA77" s="32"/>
      <c r="AB77" s="32"/>
      <c r="AC77" s="55"/>
      <c r="AD77" s="32"/>
      <c r="AE77" s="54"/>
      <c r="AF77" s="21" t="str">
        <f>IFERROR(VLOOKUP(October[[#This Row],[Drug Name3]],'Data Options'!$R$1:$S$100,2,FALSE), " ")</f>
        <v xml:space="preserve"> </v>
      </c>
      <c r="AG77" s="55"/>
      <c r="AH77" s="32"/>
      <c r="AI77" s="32"/>
      <c r="AJ77" s="55"/>
      <c r="AK77" s="32"/>
      <c r="AL77" s="32"/>
      <c r="AM77" s="32"/>
      <c r="AN77" s="32"/>
      <c r="AO77" s="32"/>
      <c r="AP77" s="31"/>
      <c r="AQ77" s="31"/>
      <c r="AR77" s="54"/>
      <c r="AS77" s="21" t="str">
        <f>IFERROR(VLOOKUP(October[[#This Row],[Drug Name4]],'Data Options'!$R$1:$S$100,2,FALSE), " ")</f>
        <v xml:space="preserve"> </v>
      </c>
      <c r="AT77" s="55"/>
      <c r="AU77" s="32"/>
      <c r="AV77" s="32"/>
      <c r="AW77" s="55"/>
      <c r="AX77" s="32"/>
      <c r="AY77" s="54"/>
      <c r="AZ77" s="21" t="str">
        <f>IFERROR(VLOOKUP(October[[#This Row],[Drug Name5]],'Data Options'!$R$1:$S$100,2,FALSE), " ")</f>
        <v xml:space="preserve"> </v>
      </c>
      <c r="BA77" s="55"/>
      <c r="BB77" s="32"/>
      <c r="BC77" s="32"/>
      <c r="BD77" s="55"/>
      <c r="BE77" s="32"/>
      <c r="BF77" s="54"/>
      <c r="BG77" s="21" t="str">
        <f>IFERROR(VLOOKUP(October[[#This Row],[Drug Name6]],'Data Options'!$R$1:$S$100,2,FALSE), " ")</f>
        <v xml:space="preserve"> </v>
      </c>
      <c r="BH77" s="55"/>
      <c r="BI77" s="32"/>
      <c r="BJ77" s="32"/>
      <c r="BK77" s="55"/>
      <c r="BL77" s="32"/>
      <c r="BM77" s="32"/>
      <c r="BN77" s="32"/>
      <c r="BO77" s="32"/>
      <c r="BP77" s="32"/>
      <c r="BQ77" s="31"/>
      <c r="BR77" s="31"/>
      <c r="BS77" s="54"/>
      <c r="BT77" s="21" t="str">
        <f>IFERROR(VLOOKUP(October[[#This Row],[Drug Name7]],'Data Options'!$R$1:$S$100,2,FALSE), " ")</f>
        <v xml:space="preserve"> </v>
      </c>
      <c r="BU77" s="55"/>
      <c r="BV77" s="32"/>
      <c r="BW77" s="32"/>
      <c r="BX77" s="55"/>
      <c r="BY77" s="32"/>
      <c r="BZ77" s="54"/>
      <c r="CA77" s="21" t="str">
        <f>IFERROR(VLOOKUP(October[[#This Row],[Drug Name8]],'Data Options'!$R$1:$S$100,2,FALSE), " ")</f>
        <v xml:space="preserve"> </v>
      </c>
      <c r="CB77" s="55"/>
      <c r="CC77" s="32"/>
      <c r="CD77" s="32"/>
      <c r="CE77" s="55"/>
      <c r="CF77" s="32"/>
      <c r="CG77" s="54"/>
      <c r="CH77" s="21" t="str">
        <f>IFERROR(VLOOKUP(October[[#This Row],[Drug Name9]],'Data Options'!$R$1:$S$100,2,FALSE), " ")</f>
        <v xml:space="preserve"> </v>
      </c>
      <c r="CI77" s="55"/>
      <c r="CJ77" s="32"/>
      <c r="CK77" s="32"/>
      <c r="CL77" s="55"/>
      <c r="CM77" s="32"/>
    </row>
    <row r="78" spans="1:91">
      <c r="A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31"/>
      <c r="Q78" s="54"/>
      <c r="R78" s="21" t="str">
        <f>IFERROR(VLOOKUP(October[[#This Row],[Drug Name]],'Data Options'!$R$1:$S$100,2,FALSE), " ")</f>
        <v xml:space="preserve"> </v>
      </c>
      <c r="S78" s="55"/>
      <c r="T78" s="32"/>
      <c r="U78" s="32"/>
      <c r="V78" s="55"/>
      <c r="W78" s="32"/>
      <c r="X78" s="54"/>
      <c r="Y78" s="21" t="str">
        <f>IFERROR(VLOOKUP(October[[#This Row],[Drug Name2]],'Data Options'!$R$1:$S$100,2,FALSE), " ")</f>
        <v xml:space="preserve"> </v>
      </c>
      <c r="Z78" s="55"/>
      <c r="AA78" s="32"/>
      <c r="AB78" s="32"/>
      <c r="AC78" s="55"/>
      <c r="AD78" s="32"/>
      <c r="AE78" s="54"/>
      <c r="AF78" s="21" t="str">
        <f>IFERROR(VLOOKUP(October[[#This Row],[Drug Name3]],'Data Options'!$R$1:$S$100,2,FALSE), " ")</f>
        <v xml:space="preserve"> </v>
      </c>
      <c r="AG78" s="55"/>
      <c r="AH78" s="32"/>
      <c r="AI78" s="32"/>
      <c r="AJ78" s="55"/>
      <c r="AK78" s="32"/>
      <c r="AL78" s="32"/>
      <c r="AM78" s="32"/>
      <c r="AN78" s="32"/>
      <c r="AO78" s="32"/>
      <c r="AP78" s="31"/>
      <c r="AQ78" s="31"/>
      <c r="AR78" s="54"/>
      <c r="AS78" s="21" t="str">
        <f>IFERROR(VLOOKUP(October[[#This Row],[Drug Name4]],'Data Options'!$R$1:$S$100,2,FALSE), " ")</f>
        <v xml:space="preserve"> </v>
      </c>
      <c r="AT78" s="55"/>
      <c r="AU78" s="32"/>
      <c r="AV78" s="32"/>
      <c r="AW78" s="55"/>
      <c r="AX78" s="32"/>
      <c r="AY78" s="54"/>
      <c r="AZ78" s="21" t="str">
        <f>IFERROR(VLOOKUP(October[[#This Row],[Drug Name5]],'Data Options'!$R$1:$S$100,2,FALSE), " ")</f>
        <v xml:space="preserve"> </v>
      </c>
      <c r="BA78" s="55"/>
      <c r="BB78" s="32"/>
      <c r="BC78" s="32"/>
      <c r="BD78" s="55"/>
      <c r="BE78" s="32"/>
      <c r="BF78" s="54"/>
      <c r="BG78" s="21" t="str">
        <f>IFERROR(VLOOKUP(October[[#This Row],[Drug Name6]],'Data Options'!$R$1:$S$100,2,FALSE), " ")</f>
        <v xml:space="preserve"> </v>
      </c>
      <c r="BH78" s="55"/>
      <c r="BI78" s="32"/>
      <c r="BJ78" s="32"/>
      <c r="BK78" s="55"/>
      <c r="BL78" s="32"/>
      <c r="BM78" s="32"/>
      <c r="BN78" s="32"/>
      <c r="BO78" s="32"/>
      <c r="BP78" s="32"/>
      <c r="BQ78" s="31"/>
      <c r="BR78" s="31"/>
      <c r="BS78" s="54"/>
      <c r="BT78" s="21" t="str">
        <f>IFERROR(VLOOKUP(October[[#This Row],[Drug Name7]],'Data Options'!$R$1:$S$100,2,FALSE), " ")</f>
        <v xml:space="preserve"> </v>
      </c>
      <c r="BU78" s="55"/>
      <c r="BV78" s="32"/>
      <c r="BW78" s="32"/>
      <c r="BX78" s="55"/>
      <c r="BY78" s="32"/>
      <c r="BZ78" s="54"/>
      <c r="CA78" s="21" t="str">
        <f>IFERROR(VLOOKUP(October[[#This Row],[Drug Name8]],'Data Options'!$R$1:$S$100,2,FALSE), " ")</f>
        <v xml:space="preserve"> </v>
      </c>
      <c r="CB78" s="55"/>
      <c r="CC78" s="32"/>
      <c r="CD78" s="32"/>
      <c r="CE78" s="55"/>
      <c r="CF78" s="32"/>
      <c r="CG78" s="54"/>
      <c r="CH78" s="21" t="str">
        <f>IFERROR(VLOOKUP(October[[#This Row],[Drug Name9]],'Data Options'!$R$1:$S$100,2,FALSE), " ")</f>
        <v xml:space="preserve"> </v>
      </c>
      <c r="CI78" s="55"/>
      <c r="CJ78" s="32"/>
      <c r="CK78" s="32"/>
      <c r="CL78" s="55"/>
      <c r="CM78" s="32"/>
    </row>
    <row r="79" spans="1:91">
      <c r="A79" s="5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31"/>
      <c r="Q79" s="54"/>
      <c r="R79" s="21" t="str">
        <f>IFERROR(VLOOKUP(October[[#This Row],[Drug Name]],'Data Options'!$R$1:$S$100,2,FALSE), " ")</f>
        <v xml:space="preserve"> </v>
      </c>
      <c r="S79" s="55"/>
      <c r="T79" s="32"/>
      <c r="U79" s="32"/>
      <c r="V79" s="55"/>
      <c r="W79" s="32"/>
      <c r="X79" s="54"/>
      <c r="Y79" s="21" t="str">
        <f>IFERROR(VLOOKUP(October[[#This Row],[Drug Name2]],'Data Options'!$R$1:$S$100,2,FALSE), " ")</f>
        <v xml:space="preserve"> </v>
      </c>
      <c r="Z79" s="55"/>
      <c r="AA79" s="32"/>
      <c r="AB79" s="32"/>
      <c r="AC79" s="55"/>
      <c r="AD79" s="32"/>
      <c r="AE79" s="54"/>
      <c r="AF79" s="21" t="str">
        <f>IFERROR(VLOOKUP(October[[#This Row],[Drug Name3]],'Data Options'!$R$1:$S$100,2,FALSE), " ")</f>
        <v xml:space="preserve"> </v>
      </c>
      <c r="AG79" s="55"/>
      <c r="AH79" s="32"/>
      <c r="AI79" s="32"/>
      <c r="AJ79" s="55"/>
      <c r="AK79" s="32"/>
      <c r="AL79" s="32"/>
      <c r="AM79" s="32"/>
      <c r="AN79" s="32"/>
      <c r="AO79" s="32"/>
      <c r="AP79" s="31"/>
      <c r="AQ79" s="31"/>
      <c r="AR79" s="54"/>
      <c r="AS79" s="21" t="str">
        <f>IFERROR(VLOOKUP(October[[#This Row],[Drug Name4]],'Data Options'!$R$1:$S$100,2,FALSE), " ")</f>
        <v xml:space="preserve"> </v>
      </c>
      <c r="AT79" s="55"/>
      <c r="AU79" s="32"/>
      <c r="AV79" s="32"/>
      <c r="AW79" s="55"/>
      <c r="AX79" s="32"/>
      <c r="AY79" s="54"/>
      <c r="AZ79" s="21" t="str">
        <f>IFERROR(VLOOKUP(October[[#This Row],[Drug Name5]],'Data Options'!$R$1:$S$100,2,FALSE), " ")</f>
        <v xml:space="preserve"> </v>
      </c>
      <c r="BA79" s="55"/>
      <c r="BB79" s="32"/>
      <c r="BC79" s="32"/>
      <c r="BD79" s="55"/>
      <c r="BE79" s="32"/>
      <c r="BF79" s="54"/>
      <c r="BG79" s="21" t="str">
        <f>IFERROR(VLOOKUP(October[[#This Row],[Drug Name6]],'Data Options'!$R$1:$S$100,2,FALSE), " ")</f>
        <v xml:space="preserve"> </v>
      </c>
      <c r="BH79" s="55"/>
      <c r="BI79" s="32"/>
      <c r="BJ79" s="32"/>
      <c r="BK79" s="55"/>
      <c r="BL79" s="32"/>
      <c r="BM79" s="32"/>
      <c r="BN79" s="32"/>
      <c r="BO79" s="32"/>
      <c r="BP79" s="32"/>
      <c r="BQ79" s="31"/>
      <c r="BR79" s="31"/>
      <c r="BS79" s="54"/>
      <c r="BT79" s="21" t="str">
        <f>IFERROR(VLOOKUP(October[[#This Row],[Drug Name7]],'Data Options'!$R$1:$S$100,2,FALSE), " ")</f>
        <v xml:space="preserve"> </v>
      </c>
      <c r="BU79" s="55"/>
      <c r="BV79" s="32"/>
      <c r="BW79" s="32"/>
      <c r="BX79" s="55"/>
      <c r="BY79" s="32"/>
      <c r="BZ79" s="54"/>
      <c r="CA79" s="21" t="str">
        <f>IFERROR(VLOOKUP(October[[#This Row],[Drug Name8]],'Data Options'!$R$1:$S$100,2,FALSE), " ")</f>
        <v xml:space="preserve"> </v>
      </c>
      <c r="CB79" s="55"/>
      <c r="CC79" s="32"/>
      <c r="CD79" s="32"/>
      <c r="CE79" s="55"/>
      <c r="CF79" s="32"/>
      <c r="CG79" s="54"/>
      <c r="CH79" s="21" t="str">
        <f>IFERROR(VLOOKUP(October[[#This Row],[Drug Name9]],'Data Options'!$R$1:$S$100,2,FALSE), " ")</f>
        <v xml:space="preserve"> </v>
      </c>
      <c r="CI79" s="55"/>
      <c r="CJ79" s="32"/>
      <c r="CK79" s="32"/>
      <c r="CL79" s="55"/>
      <c r="CM79" s="32"/>
    </row>
    <row r="80" spans="1:91">
      <c r="A80" s="5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31"/>
      <c r="Q80" s="54"/>
      <c r="R80" s="21" t="str">
        <f>IFERROR(VLOOKUP(October[[#This Row],[Drug Name]],'Data Options'!$R$1:$S$100,2,FALSE), " ")</f>
        <v xml:space="preserve"> </v>
      </c>
      <c r="S80" s="55"/>
      <c r="T80" s="32"/>
      <c r="U80" s="32"/>
      <c r="V80" s="55"/>
      <c r="W80" s="32"/>
      <c r="X80" s="54"/>
      <c r="Y80" s="21" t="str">
        <f>IFERROR(VLOOKUP(October[[#This Row],[Drug Name2]],'Data Options'!$R$1:$S$100,2,FALSE), " ")</f>
        <v xml:space="preserve"> </v>
      </c>
      <c r="Z80" s="55"/>
      <c r="AA80" s="32"/>
      <c r="AB80" s="32"/>
      <c r="AC80" s="55"/>
      <c r="AD80" s="32"/>
      <c r="AE80" s="54"/>
      <c r="AF80" s="21" t="str">
        <f>IFERROR(VLOOKUP(October[[#This Row],[Drug Name3]],'Data Options'!$R$1:$S$100,2,FALSE), " ")</f>
        <v xml:space="preserve"> </v>
      </c>
      <c r="AG80" s="55"/>
      <c r="AH80" s="32"/>
      <c r="AI80" s="32"/>
      <c r="AJ80" s="55"/>
      <c r="AK80" s="32"/>
      <c r="AL80" s="32"/>
      <c r="AM80" s="32"/>
      <c r="AN80" s="32"/>
      <c r="AO80" s="32"/>
      <c r="AP80" s="31"/>
      <c r="AQ80" s="31"/>
      <c r="AR80" s="54"/>
      <c r="AS80" s="21" t="str">
        <f>IFERROR(VLOOKUP(October[[#This Row],[Drug Name4]],'Data Options'!$R$1:$S$100,2,FALSE), " ")</f>
        <v xml:space="preserve"> </v>
      </c>
      <c r="AT80" s="55"/>
      <c r="AU80" s="32"/>
      <c r="AV80" s="32"/>
      <c r="AW80" s="55"/>
      <c r="AX80" s="32"/>
      <c r="AY80" s="54"/>
      <c r="AZ80" s="21" t="str">
        <f>IFERROR(VLOOKUP(October[[#This Row],[Drug Name5]],'Data Options'!$R$1:$S$100,2,FALSE), " ")</f>
        <v xml:space="preserve"> </v>
      </c>
      <c r="BA80" s="55"/>
      <c r="BB80" s="32"/>
      <c r="BC80" s="32"/>
      <c r="BD80" s="55"/>
      <c r="BE80" s="32"/>
      <c r="BF80" s="54"/>
      <c r="BG80" s="21" t="str">
        <f>IFERROR(VLOOKUP(October[[#This Row],[Drug Name6]],'Data Options'!$R$1:$S$100,2,FALSE), " ")</f>
        <v xml:space="preserve"> </v>
      </c>
      <c r="BH80" s="55"/>
      <c r="BI80" s="32"/>
      <c r="BJ80" s="32"/>
      <c r="BK80" s="55"/>
      <c r="BL80" s="32"/>
      <c r="BM80" s="32"/>
      <c r="BN80" s="32"/>
      <c r="BO80" s="32"/>
      <c r="BP80" s="32"/>
      <c r="BQ80" s="31"/>
      <c r="BR80" s="31"/>
      <c r="BS80" s="54"/>
      <c r="BT80" s="21" t="str">
        <f>IFERROR(VLOOKUP(October[[#This Row],[Drug Name7]],'Data Options'!$R$1:$S$100,2,FALSE), " ")</f>
        <v xml:space="preserve"> </v>
      </c>
      <c r="BU80" s="55"/>
      <c r="BV80" s="32"/>
      <c r="BW80" s="32"/>
      <c r="BX80" s="55"/>
      <c r="BY80" s="32"/>
      <c r="BZ80" s="54"/>
      <c r="CA80" s="21" t="str">
        <f>IFERROR(VLOOKUP(October[[#This Row],[Drug Name8]],'Data Options'!$R$1:$S$100,2,FALSE), " ")</f>
        <v xml:space="preserve"> </v>
      </c>
      <c r="CB80" s="55"/>
      <c r="CC80" s="32"/>
      <c r="CD80" s="32"/>
      <c r="CE80" s="55"/>
      <c r="CF80" s="32"/>
      <c r="CG80" s="54"/>
      <c r="CH80" s="21" t="str">
        <f>IFERROR(VLOOKUP(October[[#This Row],[Drug Name9]],'Data Options'!$R$1:$S$100,2,FALSE), " ")</f>
        <v xml:space="preserve"> </v>
      </c>
      <c r="CI80" s="55"/>
      <c r="CJ80" s="32"/>
      <c r="CK80" s="32"/>
      <c r="CL80" s="55"/>
      <c r="CM80" s="32"/>
    </row>
    <row r="81" spans="1:91">
      <c r="A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54"/>
      <c r="R81" s="21" t="str">
        <f>IFERROR(VLOOKUP(October[[#This Row],[Drug Name]],'Data Options'!$R$1:$S$100,2,FALSE), " ")</f>
        <v xml:space="preserve"> </v>
      </c>
      <c r="S81" s="55"/>
      <c r="T81" s="32"/>
      <c r="U81" s="32"/>
      <c r="V81" s="55"/>
      <c r="W81" s="32"/>
      <c r="X81" s="54"/>
      <c r="Y81" s="21" t="str">
        <f>IFERROR(VLOOKUP(October[[#This Row],[Drug Name2]],'Data Options'!$R$1:$S$100,2,FALSE), " ")</f>
        <v xml:space="preserve"> </v>
      </c>
      <c r="Z81" s="55"/>
      <c r="AA81" s="32"/>
      <c r="AB81" s="32"/>
      <c r="AC81" s="55"/>
      <c r="AD81" s="32"/>
      <c r="AE81" s="54"/>
      <c r="AF81" s="21" t="str">
        <f>IFERROR(VLOOKUP(October[[#This Row],[Drug Name3]],'Data Options'!$R$1:$S$100,2,FALSE), " ")</f>
        <v xml:space="preserve"> </v>
      </c>
      <c r="AG81" s="55"/>
      <c r="AH81" s="32"/>
      <c r="AI81" s="32"/>
      <c r="AJ81" s="55"/>
      <c r="AK81" s="32"/>
      <c r="AL81" s="32"/>
      <c r="AM81" s="32"/>
      <c r="AN81" s="32"/>
      <c r="AO81" s="32"/>
      <c r="AP81" s="31"/>
      <c r="AQ81" s="31"/>
      <c r="AR81" s="54"/>
      <c r="AS81" s="21" t="str">
        <f>IFERROR(VLOOKUP(October[[#This Row],[Drug Name4]],'Data Options'!$R$1:$S$100,2,FALSE), " ")</f>
        <v xml:space="preserve"> </v>
      </c>
      <c r="AT81" s="55"/>
      <c r="AU81" s="32"/>
      <c r="AV81" s="32"/>
      <c r="AW81" s="55"/>
      <c r="AX81" s="32"/>
      <c r="AY81" s="54"/>
      <c r="AZ81" s="21" t="str">
        <f>IFERROR(VLOOKUP(October[[#This Row],[Drug Name5]],'Data Options'!$R$1:$S$100,2,FALSE), " ")</f>
        <v xml:space="preserve"> </v>
      </c>
      <c r="BA81" s="55"/>
      <c r="BB81" s="32"/>
      <c r="BC81" s="32"/>
      <c r="BD81" s="55"/>
      <c r="BE81" s="32"/>
      <c r="BF81" s="54"/>
      <c r="BG81" s="21" t="str">
        <f>IFERROR(VLOOKUP(October[[#This Row],[Drug Name6]],'Data Options'!$R$1:$S$100,2,FALSE), " ")</f>
        <v xml:space="preserve"> </v>
      </c>
      <c r="BH81" s="55"/>
      <c r="BI81" s="32"/>
      <c r="BJ81" s="32"/>
      <c r="BK81" s="55"/>
      <c r="BL81" s="32"/>
      <c r="BM81" s="32"/>
      <c r="BN81" s="32"/>
      <c r="BO81" s="32"/>
      <c r="BP81" s="32"/>
      <c r="BQ81" s="31"/>
      <c r="BR81" s="31"/>
      <c r="BS81" s="54"/>
      <c r="BT81" s="21" t="str">
        <f>IFERROR(VLOOKUP(October[[#This Row],[Drug Name7]],'Data Options'!$R$1:$S$100,2,FALSE), " ")</f>
        <v xml:space="preserve"> </v>
      </c>
      <c r="BU81" s="55"/>
      <c r="BV81" s="32"/>
      <c r="BW81" s="32"/>
      <c r="BX81" s="55"/>
      <c r="BY81" s="32"/>
      <c r="BZ81" s="54"/>
      <c r="CA81" s="21" t="str">
        <f>IFERROR(VLOOKUP(October[[#This Row],[Drug Name8]],'Data Options'!$R$1:$S$100,2,FALSE), " ")</f>
        <v xml:space="preserve"> </v>
      </c>
      <c r="CB81" s="55"/>
      <c r="CC81" s="32"/>
      <c r="CD81" s="32"/>
      <c r="CE81" s="55"/>
      <c r="CF81" s="32"/>
      <c r="CG81" s="54"/>
      <c r="CH81" s="21" t="str">
        <f>IFERROR(VLOOKUP(October[[#This Row],[Drug Name9]],'Data Options'!$R$1:$S$100,2,FALSE), " ")</f>
        <v xml:space="preserve"> </v>
      </c>
      <c r="CI81" s="55"/>
      <c r="CJ81" s="32"/>
      <c r="CK81" s="32"/>
      <c r="CL81" s="55"/>
      <c r="CM81" s="32"/>
    </row>
    <row r="82" spans="1:91">
      <c r="A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54"/>
      <c r="R82" s="21" t="str">
        <f>IFERROR(VLOOKUP(October[[#This Row],[Drug Name]],'Data Options'!$R$1:$S$100,2,FALSE), " ")</f>
        <v xml:space="preserve"> </v>
      </c>
      <c r="S82" s="55"/>
      <c r="T82" s="32"/>
      <c r="U82" s="32"/>
      <c r="V82" s="55"/>
      <c r="W82" s="32"/>
      <c r="X82" s="54"/>
      <c r="Y82" s="21" t="str">
        <f>IFERROR(VLOOKUP(October[[#This Row],[Drug Name2]],'Data Options'!$R$1:$S$100,2,FALSE), " ")</f>
        <v xml:space="preserve"> </v>
      </c>
      <c r="Z82" s="55"/>
      <c r="AA82" s="32"/>
      <c r="AB82" s="32"/>
      <c r="AC82" s="55"/>
      <c r="AD82" s="32"/>
      <c r="AE82" s="54"/>
      <c r="AF82" s="21" t="str">
        <f>IFERROR(VLOOKUP(October[[#This Row],[Drug Name3]],'Data Options'!$R$1:$S$100,2,FALSE), " ")</f>
        <v xml:space="preserve"> </v>
      </c>
      <c r="AG82" s="55"/>
      <c r="AH82" s="32"/>
      <c r="AI82" s="32"/>
      <c r="AJ82" s="55"/>
      <c r="AK82" s="32"/>
      <c r="AL82" s="32"/>
      <c r="AM82" s="32"/>
      <c r="AN82" s="32"/>
      <c r="AO82" s="32"/>
      <c r="AP82" s="31"/>
      <c r="AQ82" s="31"/>
      <c r="AR82" s="54"/>
      <c r="AS82" s="21" t="str">
        <f>IFERROR(VLOOKUP(October[[#This Row],[Drug Name4]],'Data Options'!$R$1:$S$100,2,FALSE), " ")</f>
        <v xml:space="preserve"> </v>
      </c>
      <c r="AT82" s="55"/>
      <c r="AU82" s="32"/>
      <c r="AV82" s="32"/>
      <c r="AW82" s="55"/>
      <c r="AX82" s="32"/>
      <c r="AY82" s="54"/>
      <c r="AZ82" s="21" t="str">
        <f>IFERROR(VLOOKUP(October[[#This Row],[Drug Name5]],'Data Options'!$R$1:$S$100,2,FALSE), " ")</f>
        <v xml:space="preserve"> </v>
      </c>
      <c r="BA82" s="55"/>
      <c r="BB82" s="32"/>
      <c r="BC82" s="32"/>
      <c r="BD82" s="55"/>
      <c r="BE82" s="32"/>
      <c r="BF82" s="54"/>
      <c r="BG82" s="21" t="str">
        <f>IFERROR(VLOOKUP(October[[#This Row],[Drug Name6]],'Data Options'!$R$1:$S$100,2,FALSE), " ")</f>
        <v xml:space="preserve"> </v>
      </c>
      <c r="BH82" s="55"/>
      <c r="BI82" s="32"/>
      <c r="BJ82" s="32"/>
      <c r="BK82" s="55"/>
      <c r="BL82" s="32"/>
      <c r="BM82" s="32"/>
      <c r="BN82" s="32"/>
      <c r="BO82" s="32"/>
      <c r="BP82" s="32"/>
      <c r="BQ82" s="31"/>
      <c r="BR82" s="31"/>
      <c r="BS82" s="54"/>
      <c r="BT82" s="21" t="str">
        <f>IFERROR(VLOOKUP(October[[#This Row],[Drug Name7]],'Data Options'!$R$1:$S$100,2,FALSE), " ")</f>
        <v xml:space="preserve"> </v>
      </c>
      <c r="BU82" s="55"/>
      <c r="BV82" s="32"/>
      <c r="BW82" s="32"/>
      <c r="BX82" s="55"/>
      <c r="BY82" s="32"/>
      <c r="BZ82" s="54"/>
      <c r="CA82" s="21" t="str">
        <f>IFERROR(VLOOKUP(October[[#This Row],[Drug Name8]],'Data Options'!$R$1:$S$100,2,FALSE), " ")</f>
        <v xml:space="preserve"> </v>
      </c>
      <c r="CB82" s="55"/>
      <c r="CC82" s="32"/>
      <c r="CD82" s="32"/>
      <c r="CE82" s="55"/>
      <c r="CF82" s="32"/>
      <c r="CG82" s="54"/>
      <c r="CH82" s="21" t="str">
        <f>IFERROR(VLOOKUP(October[[#This Row],[Drug Name9]],'Data Options'!$R$1:$S$100,2,FALSE), " ")</f>
        <v xml:space="preserve"> </v>
      </c>
      <c r="CI82" s="55"/>
      <c r="CJ82" s="32"/>
      <c r="CK82" s="32"/>
      <c r="CL82" s="55"/>
      <c r="CM82" s="32"/>
    </row>
    <row r="83" spans="1:91">
      <c r="A83" s="5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31"/>
      <c r="Q83" s="54"/>
      <c r="R83" s="21" t="str">
        <f>IFERROR(VLOOKUP(October[[#This Row],[Drug Name]],'Data Options'!$R$1:$S$100,2,FALSE), " ")</f>
        <v xml:space="preserve"> </v>
      </c>
      <c r="S83" s="55"/>
      <c r="T83" s="32"/>
      <c r="U83" s="32"/>
      <c r="V83" s="55"/>
      <c r="W83" s="32"/>
      <c r="X83" s="54"/>
      <c r="Y83" s="21" t="str">
        <f>IFERROR(VLOOKUP(October[[#This Row],[Drug Name2]],'Data Options'!$R$1:$S$100,2,FALSE), " ")</f>
        <v xml:space="preserve"> </v>
      </c>
      <c r="Z83" s="55"/>
      <c r="AA83" s="32"/>
      <c r="AB83" s="32"/>
      <c r="AC83" s="55"/>
      <c r="AD83" s="32"/>
      <c r="AE83" s="54"/>
      <c r="AF83" s="21" t="str">
        <f>IFERROR(VLOOKUP(October[[#This Row],[Drug Name3]],'Data Options'!$R$1:$S$100,2,FALSE), " ")</f>
        <v xml:space="preserve"> </v>
      </c>
      <c r="AG83" s="55"/>
      <c r="AH83" s="32"/>
      <c r="AI83" s="32"/>
      <c r="AJ83" s="55"/>
      <c r="AK83" s="32"/>
      <c r="AL83" s="32"/>
      <c r="AM83" s="32"/>
      <c r="AN83" s="32"/>
      <c r="AO83" s="32"/>
      <c r="AP83" s="31"/>
      <c r="AQ83" s="31"/>
      <c r="AR83" s="54"/>
      <c r="AS83" s="21" t="str">
        <f>IFERROR(VLOOKUP(October[[#This Row],[Drug Name4]],'Data Options'!$R$1:$S$100,2,FALSE), " ")</f>
        <v xml:space="preserve"> </v>
      </c>
      <c r="AT83" s="55"/>
      <c r="AU83" s="32"/>
      <c r="AV83" s="32"/>
      <c r="AW83" s="55"/>
      <c r="AX83" s="32"/>
      <c r="AY83" s="54"/>
      <c r="AZ83" s="21" t="str">
        <f>IFERROR(VLOOKUP(October[[#This Row],[Drug Name5]],'Data Options'!$R$1:$S$100,2,FALSE), " ")</f>
        <v xml:space="preserve"> </v>
      </c>
      <c r="BA83" s="55"/>
      <c r="BB83" s="32"/>
      <c r="BC83" s="32"/>
      <c r="BD83" s="55"/>
      <c r="BE83" s="32"/>
      <c r="BF83" s="54"/>
      <c r="BG83" s="21" t="str">
        <f>IFERROR(VLOOKUP(October[[#This Row],[Drug Name6]],'Data Options'!$R$1:$S$100,2,FALSE), " ")</f>
        <v xml:space="preserve"> </v>
      </c>
      <c r="BH83" s="55"/>
      <c r="BI83" s="32"/>
      <c r="BJ83" s="32"/>
      <c r="BK83" s="55"/>
      <c r="BL83" s="32"/>
      <c r="BM83" s="32"/>
      <c r="BN83" s="32"/>
      <c r="BO83" s="32"/>
      <c r="BP83" s="32"/>
      <c r="BQ83" s="31"/>
      <c r="BR83" s="31"/>
      <c r="BS83" s="54"/>
      <c r="BT83" s="21" t="str">
        <f>IFERROR(VLOOKUP(October[[#This Row],[Drug Name7]],'Data Options'!$R$1:$S$100,2,FALSE), " ")</f>
        <v xml:space="preserve"> </v>
      </c>
      <c r="BU83" s="55"/>
      <c r="BV83" s="32"/>
      <c r="BW83" s="32"/>
      <c r="BX83" s="55"/>
      <c r="BY83" s="32"/>
      <c r="BZ83" s="54"/>
      <c r="CA83" s="21" t="str">
        <f>IFERROR(VLOOKUP(October[[#This Row],[Drug Name8]],'Data Options'!$R$1:$S$100,2,FALSE), " ")</f>
        <v xml:space="preserve"> </v>
      </c>
      <c r="CB83" s="55"/>
      <c r="CC83" s="32"/>
      <c r="CD83" s="32"/>
      <c r="CE83" s="55"/>
      <c r="CF83" s="32"/>
      <c r="CG83" s="54"/>
      <c r="CH83" s="21" t="str">
        <f>IFERROR(VLOOKUP(October[[#This Row],[Drug Name9]],'Data Options'!$R$1:$S$100,2,FALSE), " ")</f>
        <v xml:space="preserve"> </v>
      </c>
      <c r="CI83" s="55"/>
      <c r="CJ83" s="32"/>
      <c r="CK83" s="32"/>
      <c r="CL83" s="55"/>
      <c r="CM83" s="32"/>
    </row>
    <row r="84" spans="1:91">
      <c r="A84" s="5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31"/>
      <c r="Q84" s="54"/>
      <c r="R84" s="21" t="str">
        <f>IFERROR(VLOOKUP(October[[#This Row],[Drug Name]],'Data Options'!$R$1:$S$100,2,FALSE), " ")</f>
        <v xml:space="preserve"> </v>
      </c>
      <c r="S84" s="55"/>
      <c r="T84" s="32"/>
      <c r="U84" s="32"/>
      <c r="V84" s="55"/>
      <c r="W84" s="32"/>
      <c r="X84" s="54"/>
      <c r="Y84" s="21" t="str">
        <f>IFERROR(VLOOKUP(October[[#This Row],[Drug Name2]],'Data Options'!$R$1:$S$100,2,FALSE), " ")</f>
        <v xml:space="preserve"> </v>
      </c>
      <c r="Z84" s="55"/>
      <c r="AA84" s="32"/>
      <c r="AB84" s="32"/>
      <c r="AC84" s="55"/>
      <c r="AD84" s="32"/>
      <c r="AE84" s="54"/>
      <c r="AF84" s="21" t="str">
        <f>IFERROR(VLOOKUP(October[[#This Row],[Drug Name3]],'Data Options'!$R$1:$S$100,2,FALSE), " ")</f>
        <v xml:space="preserve"> </v>
      </c>
      <c r="AG84" s="55"/>
      <c r="AH84" s="32"/>
      <c r="AI84" s="32"/>
      <c r="AJ84" s="55"/>
      <c r="AK84" s="32"/>
      <c r="AL84" s="32"/>
      <c r="AM84" s="32"/>
      <c r="AN84" s="32"/>
      <c r="AO84" s="32"/>
      <c r="AP84" s="31"/>
      <c r="AQ84" s="31"/>
      <c r="AR84" s="54"/>
      <c r="AS84" s="21" t="str">
        <f>IFERROR(VLOOKUP(October[[#This Row],[Drug Name4]],'Data Options'!$R$1:$S$100,2,FALSE), " ")</f>
        <v xml:space="preserve"> </v>
      </c>
      <c r="AT84" s="55"/>
      <c r="AU84" s="32"/>
      <c r="AV84" s="32"/>
      <c r="AW84" s="55"/>
      <c r="AX84" s="32"/>
      <c r="AY84" s="54"/>
      <c r="AZ84" s="21" t="str">
        <f>IFERROR(VLOOKUP(October[[#This Row],[Drug Name5]],'Data Options'!$R$1:$S$100,2,FALSE), " ")</f>
        <v xml:space="preserve"> </v>
      </c>
      <c r="BA84" s="55"/>
      <c r="BB84" s="32"/>
      <c r="BC84" s="32"/>
      <c r="BD84" s="55"/>
      <c r="BE84" s="32"/>
      <c r="BF84" s="54"/>
      <c r="BG84" s="21" t="str">
        <f>IFERROR(VLOOKUP(October[[#This Row],[Drug Name6]],'Data Options'!$R$1:$S$100,2,FALSE), " ")</f>
        <v xml:space="preserve"> </v>
      </c>
      <c r="BH84" s="55"/>
      <c r="BI84" s="32"/>
      <c r="BJ84" s="32"/>
      <c r="BK84" s="55"/>
      <c r="BL84" s="32"/>
      <c r="BM84" s="32"/>
      <c r="BN84" s="32"/>
      <c r="BO84" s="32"/>
      <c r="BP84" s="32"/>
      <c r="BQ84" s="31"/>
      <c r="BR84" s="31"/>
      <c r="BS84" s="54"/>
      <c r="BT84" s="21" t="str">
        <f>IFERROR(VLOOKUP(October[[#This Row],[Drug Name7]],'Data Options'!$R$1:$S$100,2,FALSE), " ")</f>
        <v xml:space="preserve"> </v>
      </c>
      <c r="BU84" s="55"/>
      <c r="BV84" s="32"/>
      <c r="BW84" s="32"/>
      <c r="BX84" s="55"/>
      <c r="BY84" s="32"/>
      <c r="BZ84" s="54"/>
      <c r="CA84" s="21" t="str">
        <f>IFERROR(VLOOKUP(October[[#This Row],[Drug Name8]],'Data Options'!$R$1:$S$100,2,FALSE), " ")</f>
        <v xml:space="preserve"> </v>
      </c>
      <c r="CB84" s="55"/>
      <c r="CC84" s="32"/>
      <c r="CD84" s="32"/>
      <c r="CE84" s="55"/>
      <c r="CF84" s="32"/>
      <c r="CG84" s="54"/>
      <c r="CH84" s="21" t="str">
        <f>IFERROR(VLOOKUP(October[[#This Row],[Drug Name9]],'Data Options'!$R$1:$S$100,2,FALSE), " ")</f>
        <v xml:space="preserve"> </v>
      </c>
      <c r="CI84" s="55"/>
      <c r="CJ84" s="32"/>
      <c r="CK84" s="32"/>
      <c r="CL84" s="55"/>
      <c r="CM84" s="32"/>
    </row>
    <row r="85" spans="1:91">
      <c r="A85" s="5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31"/>
      <c r="Q85" s="54"/>
      <c r="R85" s="21" t="str">
        <f>IFERROR(VLOOKUP(October[[#This Row],[Drug Name]],'Data Options'!$R$1:$S$100,2,FALSE), " ")</f>
        <v xml:space="preserve"> </v>
      </c>
      <c r="S85" s="55"/>
      <c r="T85" s="32"/>
      <c r="U85" s="32"/>
      <c r="V85" s="55"/>
      <c r="W85" s="32"/>
      <c r="X85" s="54"/>
      <c r="Y85" s="21" t="str">
        <f>IFERROR(VLOOKUP(October[[#This Row],[Drug Name2]],'Data Options'!$R$1:$S$100,2,FALSE), " ")</f>
        <v xml:space="preserve"> </v>
      </c>
      <c r="Z85" s="55"/>
      <c r="AA85" s="32"/>
      <c r="AB85" s="32"/>
      <c r="AC85" s="55"/>
      <c r="AD85" s="32"/>
      <c r="AE85" s="54"/>
      <c r="AF85" s="21" t="str">
        <f>IFERROR(VLOOKUP(October[[#This Row],[Drug Name3]],'Data Options'!$R$1:$S$100,2,FALSE), " ")</f>
        <v xml:space="preserve"> </v>
      </c>
      <c r="AG85" s="55"/>
      <c r="AH85" s="32"/>
      <c r="AI85" s="32"/>
      <c r="AJ85" s="55"/>
      <c r="AK85" s="32"/>
      <c r="AL85" s="32"/>
      <c r="AM85" s="32"/>
      <c r="AN85" s="32"/>
      <c r="AO85" s="32"/>
      <c r="AP85" s="31"/>
      <c r="AQ85" s="31"/>
      <c r="AR85" s="54"/>
      <c r="AS85" s="21" t="str">
        <f>IFERROR(VLOOKUP(October[[#This Row],[Drug Name4]],'Data Options'!$R$1:$S$100,2,FALSE), " ")</f>
        <v xml:space="preserve"> </v>
      </c>
      <c r="AT85" s="55"/>
      <c r="AU85" s="32"/>
      <c r="AV85" s="32"/>
      <c r="AW85" s="55"/>
      <c r="AX85" s="32"/>
      <c r="AY85" s="54"/>
      <c r="AZ85" s="21" t="str">
        <f>IFERROR(VLOOKUP(October[[#This Row],[Drug Name5]],'Data Options'!$R$1:$S$100,2,FALSE), " ")</f>
        <v xml:space="preserve"> </v>
      </c>
      <c r="BA85" s="55"/>
      <c r="BB85" s="32"/>
      <c r="BC85" s="32"/>
      <c r="BD85" s="55"/>
      <c r="BE85" s="32"/>
      <c r="BF85" s="54"/>
      <c r="BG85" s="21" t="str">
        <f>IFERROR(VLOOKUP(October[[#This Row],[Drug Name6]],'Data Options'!$R$1:$S$100,2,FALSE), " ")</f>
        <v xml:space="preserve"> </v>
      </c>
      <c r="BH85" s="55"/>
      <c r="BI85" s="32"/>
      <c r="BJ85" s="32"/>
      <c r="BK85" s="55"/>
      <c r="BL85" s="32"/>
      <c r="BM85" s="32"/>
      <c r="BN85" s="32"/>
      <c r="BO85" s="32"/>
      <c r="BP85" s="32"/>
      <c r="BQ85" s="31"/>
      <c r="BR85" s="31"/>
      <c r="BS85" s="54"/>
      <c r="BT85" s="21" t="str">
        <f>IFERROR(VLOOKUP(October[[#This Row],[Drug Name7]],'Data Options'!$R$1:$S$100,2,FALSE), " ")</f>
        <v xml:space="preserve"> </v>
      </c>
      <c r="BU85" s="55"/>
      <c r="BV85" s="32"/>
      <c r="BW85" s="32"/>
      <c r="BX85" s="55"/>
      <c r="BY85" s="32"/>
      <c r="BZ85" s="54"/>
      <c r="CA85" s="21" t="str">
        <f>IFERROR(VLOOKUP(October[[#This Row],[Drug Name8]],'Data Options'!$R$1:$S$100,2,FALSE), " ")</f>
        <v xml:space="preserve"> </v>
      </c>
      <c r="CB85" s="55"/>
      <c r="CC85" s="32"/>
      <c r="CD85" s="32"/>
      <c r="CE85" s="55"/>
      <c r="CF85" s="32"/>
      <c r="CG85" s="54"/>
      <c r="CH85" s="21" t="str">
        <f>IFERROR(VLOOKUP(October[[#This Row],[Drug Name9]],'Data Options'!$R$1:$S$100,2,FALSE), " ")</f>
        <v xml:space="preserve"> </v>
      </c>
      <c r="CI85" s="55"/>
      <c r="CJ85" s="32"/>
      <c r="CK85" s="32"/>
      <c r="CL85" s="55"/>
      <c r="CM85" s="32"/>
    </row>
    <row r="86" spans="1:91">
      <c r="A86" s="5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31"/>
      <c r="Q86" s="54"/>
      <c r="R86" s="21" t="str">
        <f>IFERROR(VLOOKUP(October[[#This Row],[Drug Name]],'Data Options'!$R$1:$S$100,2,FALSE), " ")</f>
        <v xml:space="preserve"> </v>
      </c>
      <c r="S86" s="55"/>
      <c r="T86" s="32"/>
      <c r="U86" s="32"/>
      <c r="V86" s="55"/>
      <c r="W86" s="32"/>
      <c r="X86" s="54"/>
      <c r="Y86" s="21" t="str">
        <f>IFERROR(VLOOKUP(October[[#This Row],[Drug Name2]],'Data Options'!$R$1:$S$100,2,FALSE), " ")</f>
        <v xml:space="preserve"> </v>
      </c>
      <c r="Z86" s="55"/>
      <c r="AA86" s="32"/>
      <c r="AB86" s="32"/>
      <c r="AC86" s="55"/>
      <c r="AD86" s="32"/>
      <c r="AE86" s="54"/>
      <c r="AF86" s="21" t="str">
        <f>IFERROR(VLOOKUP(October[[#This Row],[Drug Name3]],'Data Options'!$R$1:$S$100,2,FALSE), " ")</f>
        <v xml:space="preserve"> </v>
      </c>
      <c r="AG86" s="55"/>
      <c r="AH86" s="32"/>
      <c r="AI86" s="32"/>
      <c r="AJ86" s="55"/>
      <c r="AK86" s="32"/>
      <c r="AL86" s="32"/>
      <c r="AM86" s="32"/>
      <c r="AN86" s="32"/>
      <c r="AO86" s="32"/>
      <c r="AP86" s="31"/>
      <c r="AQ86" s="31"/>
      <c r="AR86" s="54"/>
      <c r="AS86" s="21" t="str">
        <f>IFERROR(VLOOKUP(October[[#This Row],[Drug Name4]],'Data Options'!$R$1:$S$100,2,FALSE), " ")</f>
        <v xml:space="preserve"> </v>
      </c>
      <c r="AT86" s="55"/>
      <c r="AU86" s="32"/>
      <c r="AV86" s="32"/>
      <c r="AW86" s="55"/>
      <c r="AX86" s="32"/>
      <c r="AY86" s="54"/>
      <c r="AZ86" s="21" t="str">
        <f>IFERROR(VLOOKUP(October[[#This Row],[Drug Name5]],'Data Options'!$R$1:$S$100,2,FALSE), " ")</f>
        <v xml:space="preserve"> </v>
      </c>
      <c r="BA86" s="55"/>
      <c r="BB86" s="32"/>
      <c r="BC86" s="32"/>
      <c r="BD86" s="55"/>
      <c r="BE86" s="32"/>
      <c r="BF86" s="54"/>
      <c r="BG86" s="21" t="str">
        <f>IFERROR(VLOOKUP(October[[#This Row],[Drug Name6]],'Data Options'!$R$1:$S$100,2,FALSE), " ")</f>
        <v xml:space="preserve"> </v>
      </c>
      <c r="BH86" s="55"/>
      <c r="BI86" s="32"/>
      <c r="BJ86" s="32"/>
      <c r="BK86" s="55"/>
      <c r="BL86" s="32"/>
      <c r="BM86" s="32"/>
      <c r="BN86" s="32"/>
      <c r="BO86" s="32"/>
      <c r="BP86" s="32"/>
      <c r="BQ86" s="31"/>
      <c r="BR86" s="31"/>
      <c r="BS86" s="54"/>
      <c r="BT86" s="21" t="str">
        <f>IFERROR(VLOOKUP(October[[#This Row],[Drug Name7]],'Data Options'!$R$1:$S$100,2,FALSE), " ")</f>
        <v xml:space="preserve"> </v>
      </c>
      <c r="BU86" s="55"/>
      <c r="BV86" s="32"/>
      <c r="BW86" s="32"/>
      <c r="BX86" s="55"/>
      <c r="BY86" s="32"/>
      <c r="BZ86" s="54"/>
      <c r="CA86" s="21" t="str">
        <f>IFERROR(VLOOKUP(October[[#This Row],[Drug Name8]],'Data Options'!$R$1:$S$100,2,FALSE), " ")</f>
        <v xml:space="preserve"> </v>
      </c>
      <c r="CB86" s="55"/>
      <c r="CC86" s="32"/>
      <c r="CD86" s="32"/>
      <c r="CE86" s="55"/>
      <c r="CF86" s="32"/>
      <c r="CG86" s="54"/>
      <c r="CH86" s="21" t="str">
        <f>IFERROR(VLOOKUP(October[[#This Row],[Drug Name9]],'Data Options'!$R$1:$S$100,2,FALSE), " ")</f>
        <v xml:space="preserve"> </v>
      </c>
      <c r="CI86" s="55"/>
      <c r="CJ86" s="32"/>
      <c r="CK86" s="32"/>
      <c r="CL86" s="55"/>
      <c r="CM86" s="32"/>
    </row>
    <row r="87" spans="1:91">
      <c r="A87" s="5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31"/>
      <c r="Q87" s="54"/>
      <c r="R87" s="21" t="str">
        <f>IFERROR(VLOOKUP(October[[#This Row],[Drug Name]],'Data Options'!$R$1:$S$100,2,FALSE), " ")</f>
        <v xml:space="preserve"> </v>
      </c>
      <c r="S87" s="55"/>
      <c r="T87" s="32"/>
      <c r="U87" s="32"/>
      <c r="V87" s="55"/>
      <c r="W87" s="32"/>
      <c r="X87" s="54"/>
      <c r="Y87" s="21" t="str">
        <f>IFERROR(VLOOKUP(October[[#This Row],[Drug Name2]],'Data Options'!$R$1:$S$100,2,FALSE), " ")</f>
        <v xml:space="preserve"> </v>
      </c>
      <c r="Z87" s="55"/>
      <c r="AA87" s="32"/>
      <c r="AB87" s="32"/>
      <c r="AC87" s="55"/>
      <c r="AD87" s="32"/>
      <c r="AE87" s="54"/>
      <c r="AF87" s="21" t="str">
        <f>IFERROR(VLOOKUP(October[[#This Row],[Drug Name3]],'Data Options'!$R$1:$S$100,2,FALSE), " ")</f>
        <v xml:space="preserve"> </v>
      </c>
      <c r="AG87" s="55"/>
      <c r="AH87" s="32"/>
      <c r="AI87" s="32"/>
      <c r="AJ87" s="55"/>
      <c r="AK87" s="32"/>
      <c r="AL87" s="32"/>
      <c r="AM87" s="32"/>
      <c r="AN87" s="32"/>
      <c r="AO87" s="32"/>
      <c r="AP87" s="31"/>
      <c r="AQ87" s="31"/>
      <c r="AR87" s="54"/>
      <c r="AS87" s="21" t="str">
        <f>IFERROR(VLOOKUP(October[[#This Row],[Drug Name4]],'Data Options'!$R$1:$S$100,2,FALSE), " ")</f>
        <v xml:space="preserve"> </v>
      </c>
      <c r="AT87" s="55"/>
      <c r="AU87" s="32"/>
      <c r="AV87" s="32"/>
      <c r="AW87" s="55"/>
      <c r="AX87" s="32"/>
      <c r="AY87" s="54"/>
      <c r="AZ87" s="21" t="str">
        <f>IFERROR(VLOOKUP(October[[#This Row],[Drug Name5]],'Data Options'!$R$1:$S$100,2,FALSE), " ")</f>
        <v xml:space="preserve"> </v>
      </c>
      <c r="BA87" s="55"/>
      <c r="BB87" s="32"/>
      <c r="BC87" s="32"/>
      <c r="BD87" s="55"/>
      <c r="BE87" s="32"/>
      <c r="BF87" s="54"/>
      <c r="BG87" s="21" t="str">
        <f>IFERROR(VLOOKUP(October[[#This Row],[Drug Name6]],'Data Options'!$R$1:$S$100,2,FALSE), " ")</f>
        <v xml:space="preserve"> </v>
      </c>
      <c r="BH87" s="55"/>
      <c r="BI87" s="32"/>
      <c r="BJ87" s="32"/>
      <c r="BK87" s="55"/>
      <c r="BL87" s="32"/>
      <c r="BM87" s="32"/>
      <c r="BN87" s="32"/>
      <c r="BO87" s="32"/>
      <c r="BP87" s="32"/>
      <c r="BQ87" s="31"/>
      <c r="BR87" s="31"/>
      <c r="BS87" s="54"/>
      <c r="BT87" s="21" t="str">
        <f>IFERROR(VLOOKUP(October[[#This Row],[Drug Name7]],'Data Options'!$R$1:$S$100,2,FALSE), " ")</f>
        <v xml:space="preserve"> </v>
      </c>
      <c r="BU87" s="55"/>
      <c r="BV87" s="32"/>
      <c r="BW87" s="32"/>
      <c r="BX87" s="55"/>
      <c r="BY87" s="32"/>
      <c r="BZ87" s="54"/>
      <c r="CA87" s="21" t="str">
        <f>IFERROR(VLOOKUP(October[[#This Row],[Drug Name8]],'Data Options'!$R$1:$S$100,2,FALSE), " ")</f>
        <v xml:space="preserve"> </v>
      </c>
      <c r="CB87" s="55"/>
      <c r="CC87" s="32"/>
      <c r="CD87" s="32"/>
      <c r="CE87" s="55"/>
      <c r="CF87" s="32"/>
      <c r="CG87" s="54"/>
      <c r="CH87" s="21" t="str">
        <f>IFERROR(VLOOKUP(October[[#This Row],[Drug Name9]],'Data Options'!$R$1:$S$100,2,FALSE), " ")</f>
        <v xml:space="preserve"> </v>
      </c>
      <c r="CI87" s="55"/>
      <c r="CJ87" s="32"/>
      <c r="CK87" s="32"/>
      <c r="CL87" s="55"/>
      <c r="CM87" s="32"/>
    </row>
    <row r="88" spans="1:91">
      <c r="A88" s="5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31"/>
      <c r="Q88" s="54"/>
      <c r="R88" s="21" t="str">
        <f>IFERROR(VLOOKUP(October[[#This Row],[Drug Name]],'Data Options'!$R$1:$S$100,2,FALSE), " ")</f>
        <v xml:space="preserve"> </v>
      </c>
      <c r="S88" s="55"/>
      <c r="T88" s="32"/>
      <c r="U88" s="32"/>
      <c r="V88" s="55"/>
      <c r="W88" s="32"/>
      <c r="X88" s="54"/>
      <c r="Y88" s="21" t="str">
        <f>IFERROR(VLOOKUP(October[[#This Row],[Drug Name2]],'Data Options'!$R$1:$S$100,2,FALSE), " ")</f>
        <v xml:space="preserve"> </v>
      </c>
      <c r="Z88" s="55"/>
      <c r="AA88" s="32"/>
      <c r="AB88" s="32"/>
      <c r="AC88" s="55"/>
      <c r="AD88" s="32"/>
      <c r="AE88" s="54"/>
      <c r="AF88" s="21" t="str">
        <f>IFERROR(VLOOKUP(October[[#This Row],[Drug Name3]],'Data Options'!$R$1:$S$100,2,FALSE), " ")</f>
        <v xml:space="preserve"> </v>
      </c>
      <c r="AG88" s="55"/>
      <c r="AH88" s="32"/>
      <c r="AI88" s="32"/>
      <c r="AJ88" s="55"/>
      <c r="AK88" s="32"/>
      <c r="AL88" s="32"/>
      <c r="AM88" s="32"/>
      <c r="AN88" s="32"/>
      <c r="AO88" s="32"/>
      <c r="AP88" s="31"/>
      <c r="AQ88" s="31"/>
      <c r="AR88" s="54"/>
      <c r="AS88" s="21" t="str">
        <f>IFERROR(VLOOKUP(October[[#This Row],[Drug Name4]],'Data Options'!$R$1:$S$100,2,FALSE), " ")</f>
        <v xml:space="preserve"> </v>
      </c>
      <c r="AT88" s="55"/>
      <c r="AU88" s="32"/>
      <c r="AV88" s="32"/>
      <c r="AW88" s="55"/>
      <c r="AX88" s="32"/>
      <c r="AY88" s="54"/>
      <c r="AZ88" s="21" t="str">
        <f>IFERROR(VLOOKUP(October[[#This Row],[Drug Name5]],'Data Options'!$R$1:$S$100,2,FALSE), " ")</f>
        <v xml:space="preserve"> </v>
      </c>
      <c r="BA88" s="55"/>
      <c r="BB88" s="32"/>
      <c r="BC88" s="32"/>
      <c r="BD88" s="55"/>
      <c r="BE88" s="32"/>
      <c r="BF88" s="54"/>
      <c r="BG88" s="21" t="str">
        <f>IFERROR(VLOOKUP(October[[#This Row],[Drug Name6]],'Data Options'!$R$1:$S$100,2,FALSE), " ")</f>
        <v xml:space="preserve"> </v>
      </c>
      <c r="BH88" s="55"/>
      <c r="BI88" s="32"/>
      <c r="BJ88" s="32"/>
      <c r="BK88" s="55"/>
      <c r="BL88" s="32"/>
      <c r="BM88" s="32"/>
      <c r="BN88" s="32"/>
      <c r="BO88" s="32"/>
      <c r="BP88" s="32"/>
      <c r="BQ88" s="31"/>
      <c r="BR88" s="31"/>
      <c r="BS88" s="54"/>
      <c r="BT88" s="21" t="str">
        <f>IFERROR(VLOOKUP(October[[#This Row],[Drug Name7]],'Data Options'!$R$1:$S$100,2,FALSE), " ")</f>
        <v xml:space="preserve"> </v>
      </c>
      <c r="BU88" s="55"/>
      <c r="BV88" s="32"/>
      <c r="BW88" s="32"/>
      <c r="BX88" s="55"/>
      <c r="BY88" s="32"/>
      <c r="BZ88" s="54"/>
      <c r="CA88" s="21" t="str">
        <f>IFERROR(VLOOKUP(October[[#This Row],[Drug Name8]],'Data Options'!$R$1:$S$100,2,FALSE), " ")</f>
        <v xml:space="preserve"> </v>
      </c>
      <c r="CB88" s="55"/>
      <c r="CC88" s="32"/>
      <c r="CD88" s="32"/>
      <c r="CE88" s="55"/>
      <c r="CF88" s="32"/>
      <c r="CG88" s="54"/>
      <c r="CH88" s="21" t="str">
        <f>IFERROR(VLOOKUP(October[[#This Row],[Drug Name9]],'Data Options'!$R$1:$S$100,2,FALSE), " ")</f>
        <v xml:space="preserve"> </v>
      </c>
      <c r="CI88" s="55"/>
      <c r="CJ88" s="32"/>
      <c r="CK88" s="32"/>
      <c r="CL88" s="55"/>
      <c r="CM88" s="32"/>
    </row>
    <row r="89" spans="1:91">
      <c r="A89" s="5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31"/>
      <c r="Q89" s="54"/>
      <c r="R89" s="21" t="str">
        <f>IFERROR(VLOOKUP(October[[#This Row],[Drug Name]],'Data Options'!$R$1:$S$100,2,FALSE), " ")</f>
        <v xml:space="preserve"> </v>
      </c>
      <c r="S89" s="55"/>
      <c r="T89" s="32"/>
      <c r="U89" s="32"/>
      <c r="V89" s="55"/>
      <c r="W89" s="32"/>
      <c r="X89" s="54"/>
      <c r="Y89" s="21" t="str">
        <f>IFERROR(VLOOKUP(October[[#This Row],[Drug Name2]],'Data Options'!$R$1:$S$100,2,FALSE), " ")</f>
        <v xml:space="preserve"> </v>
      </c>
      <c r="Z89" s="55"/>
      <c r="AA89" s="32"/>
      <c r="AB89" s="32"/>
      <c r="AC89" s="55"/>
      <c r="AD89" s="32"/>
      <c r="AE89" s="54"/>
      <c r="AF89" s="21" t="str">
        <f>IFERROR(VLOOKUP(October[[#This Row],[Drug Name3]],'Data Options'!$R$1:$S$100,2,FALSE), " ")</f>
        <v xml:space="preserve"> </v>
      </c>
      <c r="AG89" s="55"/>
      <c r="AH89" s="32"/>
      <c r="AI89" s="32"/>
      <c r="AJ89" s="55"/>
      <c r="AK89" s="32"/>
      <c r="AL89" s="32"/>
      <c r="AM89" s="32"/>
      <c r="AN89" s="32"/>
      <c r="AO89" s="32"/>
      <c r="AP89" s="31"/>
      <c r="AQ89" s="31"/>
      <c r="AR89" s="54"/>
      <c r="AS89" s="21" t="str">
        <f>IFERROR(VLOOKUP(October[[#This Row],[Drug Name4]],'Data Options'!$R$1:$S$100,2,FALSE), " ")</f>
        <v xml:space="preserve"> </v>
      </c>
      <c r="AT89" s="55"/>
      <c r="AU89" s="32"/>
      <c r="AV89" s="32"/>
      <c r="AW89" s="55"/>
      <c r="AX89" s="32"/>
      <c r="AY89" s="54"/>
      <c r="AZ89" s="21" t="str">
        <f>IFERROR(VLOOKUP(October[[#This Row],[Drug Name5]],'Data Options'!$R$1:$S$100,2,FALSE), " ")</f>
        <v xml:space="preserve"> </v>
      </c>
      <c r="BA89" s="55"/>
      <c r="BB89" s="32"/>
      <c r="BC89" s="32"/>
      <c r="BD89" s="55"/>
      <c r="BE89" s="32"/>
      <c r="BF89" s="54"/>
      <c r="BG89" s="21" t="str">
        <f>IFERROR(VLOOKUP(October[[#This Row],[Drug Name6]],'Data Options'!$R$1:$S$100,2,FALSE), " ")</f>
        <v xml:space="preserve"> </v>
      </c>
      <c r="BH89" s="55"/>
      <c r="BI89" s="32"/>
      <c r="BJ89" s="32"/>
      <c r="BK89" s="55"/>
      <c r="BL89" s="32"/>
      <c r="BM89" s="32"/>
      <c r="BN89" s="32"/>
      <c r="BO89" s="32"/>
      <c r="BP89" s="32"/>
      <c r="BQ89" s="31"/>
      <c r="BR89" s="31"/>
      <c r="BS89" s="54"/>
      <c r="BT89" s="21" t="str">
        <f>IFERROR(VLOOKUP(October[[#This Row],[Drug Name7]],'Data Options'!$R$1:$S$100,2,FALSE), " ")</f>
        <v xml:space="preserve"> </v>
      </c>
      <c r="BU89" s="55"/>
      <c r="BV89" s="32"/>
      <c r="BW89" s="32"/>
      <c r="BX89" s="55"/>
      <c r="BY89" s="32"/>
      <c r="BZ89" s="54"/>
      <c r="CA89" s="21" t="str">
        <f>IFERROR(VLOOKUP(October[[#This Row],[Drug Name8]],'Data Options'!$R$1:$S$100,2,FALSE), " ")</f>
        <v xml:space="preserve"> </v>
      </c>
      <c r="CB89" s="55"/>
      <c r="CC89" s="32"/>
      <c r="CD89" s="32"/>
      <c r="CE89" s="55"/>
      <c r="CF89" s="32"/>
      <c r="CG89" s="54"/>
      <c r="CH89" s="21" t="str">
        <f>IFERROR(VLOOKUP(October[[#This Row],[Drug Name9]],'Data Options'!$R$1:$S$100,2,FALSE), " ")</f>
        <v xml:space="preserve"> </v>
      </c>
      <c r="CI89" s="55"/>
      <c r="CJ89" s="32"/>
      <c r="CK89" s="32"/>
      <c r="CL89" s="55"/>
      <c r="CM89" s="32"/>
    </row>
    <row r="90" spans="1:91">
      <c r="A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1"/>
      <c r="Q90" s="54"/>
      <c r="R90" s="21" t="str">
        <f>IFERROR(VLOOKUP(October[[#This Row],[Drug Name]],'Data Options'!$R$1:$S$100,2,FALSE), " ")</f>
        <v xml:space="preserve"> </v>
      </c>
      <c r="S90" s="55"/>
      <c r="T90" s="32"/>
      <c r="U90" s="32"/>
      <c r="V90" s="55"/>
      <c r="W90" s="32"/>
      <c r="X90" s="54"/>
      <c r="Y90" s="21" t="str">
        <f>IFERROR(VLOOKUP(October[[#This Row],[Drug Name2]],'Data Options'!$R$1:$S$100,2,FALSE), " ")</f>
        <v xml:space="preserve"> </v>
      </c>
      <c r="Z90" s="55"/>
      <c r="AA90" s="32"/>
      <c r="AB90" s="32"/>
      <c r="AC90" s="55"/>
      <c r="AD90" s="32"/>
      <c r="AE90" s="54"/>
      <c r="AF90" s="21" t="str">
        <f>IFERROR(VLOOKUP(October[[#This Row],[Drug Name3]],'Data Options'!$R$1:$S$100,2,FALSE), " ")</f>
        <v xml:space="preserve"> </v>
      </c>
      <c r="AG90" s="55"/>
      <c r="AH90" s="32"/>
      <c r="AI90" s="32"/>
      <c r="AJ90" s="55"/>
      <c r="AK90" s="32"/>
      <c r="AL90" s="32"/>
      <c r="AM90" s="32"/>
      <c r="AN90" s="32"/>
      <c r="AO90" s="32"/>
      <c r="AP90" s="31"/>
      <c r="AQ90" s="31"/>
      <c r="AR90" s="54"/>
      <c r="AS90" s="21" t="str">
        <f>IFERROR(VLOOKUP(October[[#This Row],[Drug Name4]],'Data Options'!$R$1:$S$100,2,FALSE), " ")</f>
        <v xml:space="preserve"> </v>
      </c>
      <c r="AT90" s="55"/>
      <c r="AU90" s="32"/>
      <c r="AV90" s="32"/>
      <c r="AW90" s="55"/>
      <c r="AX90" s="32"/>
      <c r="AY90" s="54"/>
      <c r="AZ90" s="21" t="str">
        <f>IFERROR(VLOOKUP(October[[#This Row],[Drug Name5]],'Data Options'!$R$1:$S$100,2,FALSE), " ")</f>
        <v xml:space="preserve"> </v>
      </c>
      <c r="BA90" s="55"/>
      <c r="BB90" s="32"/>
      <c r="BC90" s="32"/>
      <c r="BD90" s="55"/>
      <c r="BE90" s="32"/>
      <c r="BF90" s="54"/>
      <c r="BG90" s="21" t="str">
        <f>IFERROR(VLOOKUP(October[[#This Row],[Drug Name6]],'Data Options'!$R$1:$S$100,2,FALSE), " ")</f>
        <v xml:space="preserve"> </v>
      </c>
      <c r="BH90" s="55"/>
      <c r="BI90" s="32"/>
      <c r="BJ90" s="32"/>
      <c r="BK90" s="55"/>
      <c r="BL90" s="32"/>
      <c r="BM90" s="32"/>
      <c r="BN90" s="32"/>
      <c r="BO90" s="32"/>
      <c r="BP90" s="32"/>
      <c r="BQ90" s="31"/>
      <c r="BR90" s="31"/>
      <c r="BS90" s="54"/>
      <c r="BT90" s="21" t="str">
        <f>IFERROR(VLOOKUP(October[[#This Row],[Drug Name7]],'Data Options'!$R$1:$S$100,2,FALSE), " ")</f>
        <v xml:space="preserve"> </v>
      </c>
      <c r="BU90" s="55"/>
      <c r="BV90" s="32"/>
      <c r="BW90" s="32"/>
      <c r="BX90" s="55"/>
      <c r="BY90" s="32"/>
      <c r="BZ90" s="54"/>
      <c r="CA90" s="21" t="str">
        <f>IFERROR(VLOOKUP(October[[#This Row],[Drug Name8]],'Data Options'!$R$1:$S$100,2,FALSE), " ")</f>
        <v xml:space="preserve"> </v>
      </c>
      <c r="CB90" s="55"/>
      <c r="CC90" s="32"/>
      <c r="CD90" s="32"/>
      <c r="CE90" s="55"/>
      <c r="CF90" s="32"/>
      <c r="CG90" s="54"/>
      <c r="CH90" s="21" t="str">
        <f>IFERROR(VLOOKUP(October[[#This Row],[Drug Name9]],'Data Options'!$R$1:$S$100,2,FALSE), " ")</f>
        <v xml:space="preserve"> </v>
      </c>
      <c r="CI90" s="55"/>
      <c r="CJ90" s="32"/>
      <c r="CK90" s="32"/>
      <c r="CL90" s="55"/>
      <c r="CM90" s="32"/>
    </row>
    <row r="91" spans="1:91">
      <c r="A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1"/>
      <c r="Q91" s="54"/>
      <c r="R91" s="21" t="str">
        <f>IFERROR(VLOOKUP(October[[#This Row],[Drug Name]],'Data Options'!$R$1:$S$100,2,FALSE), " ")</f>
        <v xml:space="preserve"> </v>
      </c>
      <c r="S91" s="55"/>
      <c r="T91" s="32"/>
      <c r="U91" s="32"/>
      <c r="V91" s="55"/>
      <c r="W91" s="32"/>
      <c r="X91" s="54"/>
      <c r="Y91" s="21" t="str">
        <f>IFERROR(VLOOKUP(October[[#This Row],[Drug Name2]],'Data Options'!$R$1:$S$100,2,FALSE), " ")</f>
        <v xml:space="preserve"> </v>
      </c>
      <c r="Z91" s="55"/>
      <c r="AA91" s="32"/>
      <c r="AB91" s="32"/>
      <c r="AC91" s="55"/>
      <c r="AD91" s="32"/>
      <c r="AE91" s="54"/>
      <c r="AF91" s="21" t="str">
        <f>IFERROR(VLOOKUP(October[[#This Row],[Drug Name3]],'Data Options'!$R$1:$S$100,2,FALSE), " ")</f>
        <v xml:space="preserve"> </v>
      </c>
      <c r="AG91" s="55"/>
      <c r="AH91" s="32"/>
      <c r="AI91" s="32"/>
      <c r="AJ91" s="55"/>
      <c r="AK91" s="32"/>
      <c r="AL91" s="32"/>
      <c r="AM91" s="32"/>
      <c r="AN91" s="32"/>
      <c r="AO91" s="32"/>
      <c r="AP91" s="31"/>
      <c r="AQ91" s="31"/>
      <c r="AR91" s="54"/>
      <c r="AS91" s="21" t="str">
        <f>IFERROR(VLOOKUP(October[[#This Row],[Drug Name4]],'Data Options'!$R$1:$S$100,2,FALSE), " ")</f>
        <v xml:space="preserve"> </v>
      </c>
      <c r="AT91" s="55"/>
      <c r="AU91" s="32"/>
      <c r="AV91" s="32"/>
      <c r="AW91" s="55"/>
      <c r="AX91" s="32"/>
      <c r="AY91" s="54"/>
      <c r="AZ91" s="21" t="str">
        <f>IFERROR(VLOOKUP(October[[#This Row],[Drug Name5]],'Data Options'!$R$1:$S$100,2,FALSE), " ")</f>
        <v xml:space="preserve"> </v>
      </c>
      <c r="BA91" s="55"/>
      <c r="BB91" s="32"/>
      <c r="BC91" s="32"/>
      <c r="BD91" s="55"/>
      <c r="BE91" s="32"/>
      <c r="BF91" s="54"/>
      <c r="BG91" s="21" t="str">
        <f>IFERROR(VLOOKUP(October[[#This Row],[Drug Name6]],'Data Options'!$R$1:$S$100,2,FALSE), " ")</f>
        <v xml:space="preserve"> </v>
      </c>
      <c r="BH91" s="55"/>
      <c r="BI91" s="32"/>
      <c r="BJ91" s="32"/>
      <c r="BK91" s="55"/>
      <c r="BL91" s="32"/>
      <c r="BM91" s="32"/>
      <c r="BN91" s="32"/>
      <c r="BO91" s="32"/>
      <c r="BP91" s="32"/>
      <c r="BQ91" s="31"/>
      <c r="BR91" s="31"/>
      <c r="BS91" s="54"/>
      <c r="BT91" s="21" t="str">
        <f>IFERROR(VLOOKUP(October[[#This Row],[Drug Name7]],'Data Options'!$R$1:$S$100,2,FALSE), " ")</f>
        <v xml:space="preserve"> </v>
      </c>
      <c r="BU91" s="55"/>
      <c r="BV91" s="32"/>
      <c r="BW91" s="32"/>
      <c r="BX91" s="55"/>
      <c r="BY91" s="32"/>
      <c r="BZ91" s="54"/>
      <c r="CA91" s="21" t="str">
        <f>IFERROR(VLOOKUP(October[[#This Row],[Drug Name8]],'Data Options'!$R$1:$S$100,2,FALSE), " ")</f>
        <v xml:space="preserve"> </v>
      </c>
      <c r="CB91" s="55"/>
      <c r="CC91" s="32"/>
      <c r="CD91" s="32"/>
      <c r="CE91" s="55"/>
      <c r="CF91" s="32"/>
      <c r="CG91" s="54"/>
      <c r="CH91" s="21" t="str">
        <f>IFERROR(VLOOKUP(October[[#This Row],[Drug Name9]],'Data Options'!$R$1:$S$100,2,FALSE), " ")</f>
        <v xml:space="preserve"> </v>
      </c>
      <c r="CI91" s="55"/>
      <c r="CJ91" s="32"/>
      <c r="CK91" s="32"/>
      <c r="CL91" s="55"/>
      <c r="CM91" s="32"/>
    </row>
    <row r="92" spans="1:91">
      <c r="A92" s="5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1"/>
      <c r="Q92" s="54"/>
      <c r="R92" s="21" t="str">
        <f>IFERROR(VLOOKUP(October[[#This Row],[Drug Name]],'Data Options'!$R$1:$S$100,2,FALSE), " ")</f>
        <v xml:space="preserve"> </v>
      </c>
      <c r="S92" s="55"/>
      <c r="T92" s="32"/>
      <c r="U92" s="32"/>
      <c r="V92" s="55"/>
      <c r="W92" s="32"/>
      <c r="X92" s="54"/>
      <c r="Y92" s="21" t="str">
        <f>IFERROR(VLOOKUP(October[[#This Row],[Drug Name2]],'Data Options'!$R$1:$S$100,2,FALSE), " ")</f>
        <v xml:space="preserve"> </v>
      </c>
      <c r="Z92" s="55"/>
      <c r="AA92" s="32"/>
      <c r="AB92" s="32"/>
      <c r="AC92" s="55"/>
      <c r="AD92" s="32"/>
      <c r="AE92" s="54"/>
      <c r="AF92" s="21" t="str">
        <f>IFERROR(VLOOKUP(October[[#This Row],[Drug Name3]],'Data Options'!$R$1:$S$100,2,FALSE), " ")</f>
        <v xml:space="preserve"> </v>
      </c>
      <c r="AG92" s="55"/>
      <c r="AH92" s="32"/>
      <c r="AI92" s="32"/>
      <c r="AJ92" s="55"/>
      <c r="AK92" s="32"/>
      <c r="AL92" s="32"/>
      <c r="AM92" s="32"/>
      <c r="AN92" s="32"/>
      <c r="AO92" s="32"/>
      <c r="AP92" s="31"/>
      <c r="AQ92" s="31"/>
      <c r="AR92" s="54"/>
      <c r="AS92" s="21" t="str">
        <f>IFERROR(VLOOKUP(October[[#This Row],[Drug Name4]],'Data Options'!$R$1:$S$100,2,FALSE), " ")</f>
        <v xml:space="preserve"> </v>
      </c>
      <c r="AT92" s="55"/>
      <c r="AU92" s="32"/>
      <c r="AV92" s="32"/>
      <c r="AW92" s="55"/>
      <c r="AX92" s="32"/>
      <c r="AY92" s="54"/>
      <c r="AZ92" s="21" t="str">
        <f>IFERROR(VLOOKUP(October[[#This Row],[Drug Name5]],'Data Options'!$R$1:$S$100,2,FALSE), " ")</f>
        <v xml:space="preserve"> </v>
      </c>
      <c r="BA92" s="55"/>
      <c r="BB92" s="32"/>
      <c r="BC92" s="32"/>
      <c r="BD92" s="55"/>
      <c r="BE92" s="32"/>
      <c r="BF92" s="54"/>
      <c r="BG92" s="21" t="str">
        <f>IFERROR(VLOOKUP(October[[#This Row],[Drug Name6]],'Data Options'!$R$1:$S$100,2,FALSE), " ")</f>
        <v xml:space="preserve"> </v>
      </c>
      <c r="BH92" s="55"/>
      <c r="BI92" s="32"/>
      <c r="BJ92" s="32"/>
      <c r="BK92" s="55"/>
      <c r="BL92" s="32"/>
      <c r="BM92" s="32"/>
      <c r="BN92" s="32"/>
      <c r="BO92" s="32"/>
      <c r="BP92" s="32"/>
      <c r="BQ92" s="31"/>
      <c r="BR92" s="31"/>
      <c r="BS92" s="54"/>
      <c r="BT92" s="21" t="str">
        <f>IFERROR(VLOOKUP(October[[#This Row],[Drug Name7]],'Data Options'!$R$1:$S$100,2,FALSE), " ")</f>
        <v xml:space="preserve"> </v>
      </c>
      <c r="BU92" s="55"/>
      <c r="BV92" s="32"/>
      <c r="BW92" s="32"/>
      <c r="BX92" s="55"/>
      <c r="BY92" s="32"/>
      <c r="BZ92" s="54"/>
      <c r="CA92" s="21" t="str">
        <f>IFERROR(VLOOKUP(October[[#This Row],[Drug Name8]],'Data Options'!$R$1:$S$100,2,FALSE), " ")</f>
        <v xml:space="preserve"> </v>
      </c>
      <c r="CB92" s="55"/>
      <c r="CC92" s="32"/>
      <c r="CD92" s="32"/>
      <c r="CE92" s="55"/>
      <c r="CF92" s="32"/>
      <c r="CG92" s="54"/>
      <c r="CH92" s="21" t="str">
        <f>IFERROR(VLOOKUP(October[[#This Row],[Drug Name9]],'Data Options'!$R$1:$S$100,2,FALSE), " ")</f>
        <v xml:space="preserve"> </v>
      </c>
      <c r="CI92" s="55"/>
      <c r="CJ92" s="32"/>
      <c r="CK92" s="32"/>
      <c r="CL92" s="55"/>
      <c r="CM92" s="32"/>
    </row>
    <row r="93" spans="1:91">
      <c r="A93" s="5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1"/>
      <c r="Q93" s="54"/>
      <c r="R93" s="21" t="str">
        <f>IFERROR(VLOOKUP(October[[#This Row],[Drug Name]],'Data Options'!$R$1:$S$100,2,FALSE), " ")</f>
        <v xml:space="preserve"> </v>
      </c>
      <c r="S93" s="55"/>
      <c r="T93" s="32"/>
      <c r="U93" s="32"/>
      <c r="V93" s="55"/>
      <c r="W93" s="32"/>
      <c r="X93" s="54"/>
      <c r="Y93" s="21" t="str">
        <f>IFERROR(VLOOKUP(October[[#This Row],[Drug Name2]],'Data Options'!$R$1:$S$100,2,FALSE), " ")</f>
        <v xml:space="preserve"> </v>
      </c>
      <c r="Z93" s="55"/>
      <c r="AA93" s="32"/>
      <c r="AB93" s="32"/>
      <c r="AC93" s="55"/>
      <c r="AD93" s="32"/>
      <c r="AE93" s="54"/>
      <c r="AF93" s="21" t="str">
        <f>IFERROR(VLOOKUP(October[[#This Row],[Drug Name3]],'Data Options'!$R$1:$S$100,2,FALSE), " ")</f>
        <v xml:space="preserve"> </v>
      </c>
      <c r="AG93" s="55"/>
      <c r="AH93" s="32"/>
      <c r="AI93" s="32"/>
      <c r="AJ93" s="55"/>
      <c r="AK93" s="32"/>
      <c r="AL93" s="32"/>
      <c r="AM93" s="32"/>
      <c r="AN93" s="32"/>
      <c r="AO93" s="32"/>
      <c r="AP93" s="31"/>
      <c r="AQ93" s="31"/>
      <c r="AR93" s="54"/>
      <c r="AS93" s="21" t="str">
        <f>IFERROR(VLOOKUP(October[[#This Row],[Drug Name4]],'Data Options'!$R$1:$S$100,2,FALSE), " ")</f>
        <v xml:space="preserve"> </v>
      </c>
      <c r="AT93" s="55"/>
      <c r="AU93" s="32"/>
      <c r="AV93" s="32"/>
      <c r="AW93" s="55"/>
      <c r="AX93" s="32"/>
      <c r="AY93" s="54"/>
      <c r="AZ93" s="21" t="str">
        <f>IFERROR(VLOOKUP(October[[#This Row],[Drug Name5]],'Data Options'!$R$1:$S$100,2,FALSE), " ")</f>
        <v xml:space="preserve"> </v>
      </c>
      <c r="BA93" s="55"/>
      <c r="BB93" s="32"/>
      <c r="BC93" s="32"/>
      <c r="BD93" s="55"/>
      <c r="BE93" s="32"/>
      <c r="BF93" s="54"/>
      <c r="BG93" s="21" t="str">
        <f>IFERROR(VLOOKUP(October[[#This Row],[Drug Name6]],'Data Options'!$R$1:$S$100,2,FALSE), " ")</f>
        <v xml:space="preserve"> </v>
      </c>
      <c r="BH93" s="55"/>
      <c r="BI93" s="32"/>
      <c r="BJ93" s="32"/>
      <c r="BK93" s="55"/>
      <c r="BL93" s="32"/>
      <c r="BM93" s="32"/>
      <c r="BN93" s="32"/>
      <c r="BO93" s="32"/>
      <c r="BP93" s="32"/>
      <c r="BQ93" s="31"/>
      <c r="BR93" s="31"/>
      <c r="BS93" s="54"/>
      <c r="BT93" s="21" t="str">
        <f>IFERROR(VLOOKUP(October[[#This Row],[Drug Name7]],'Data Options'!$R$1:$S$100,2,FALSE), " ")</f>
        <v xml:space="preserve"> </v>
      </c>
      <c r="BU93" s="55"/>
      <c r="BV93" s="32"/>
      <c r="BW93" s="32"/>
      <c r="BX93" s="55"/>
      <c r="BY93" s="32"/>
      <c r="BZ93" s="54"/>
      <c r="CA93" s="21" t="str">
        <f>IFERROR(VLOOKUP(October[[#This Row],[Drug Name8]],'Data Options'!$R$1:$S$100,2,FALSE), " ")</f>
        <v xml:space="preserve"> </v>
      </c>
      <c r="CB93" s="55"/>
      <c r="CC93" s="32"/>
      <c r="CD93" s="32"/>
      <c r="CE93" s="55"/>
      <c r="CF93" s="32"/>
      <c r="CG93" s="54"/>
      <c r="CH93" s="21" t="str">
        <f>IFERROR(VLOOKUP(October[[#This Row],[Drug Name9]],'Data Options'!$R$1:$S$100,2,FALSE), " ")</f>
        <v xml:space="preserve"> </v>
      </c>
      <c r="CI93" s="55"/>
      <c r="CJ93" s="32"/>
      <c r="CK93" s="32"/>
      <c r="CL93" s="55"/>
      <c r="CM93" s="32"/>
    </row>
    <row r="94" spans="1:91">
      <c r="A94" s="5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1"/>
      <c r="Q94" s="54"/>
      <c r="R94" s="21" t="str">
        <f>IFERROR(VLOOKUP(October[[#This Row],[Drug Name]],'Data Options'!$R$1:$S$100,2,FALSE), " ")</f>
        <v xml:space="preserve"> </v>
      </c>
      <c r="S94" s="55"/>
      <c r="T94" s="32"/>
      <c r="U94" s="32"/>
      <c r="V94" s="55"/>
      <c r="W94" s="32"/>
      <c r="X94" s="54"/>
      <c r="Y94" s="21" t="str">
        <f>IFERROR(VLOOKUP(October[[#This Row],[Drug Name2]],'Data Options'!$R$1:$S$100,2,FALSE), " ")</f>
        <v xml:space="preserve"> </v>
      </c>
      <c r="Z94" s="55"/>
      <c r="AA94" s="32"/>
      <c r="AB94" s="32"/>
      <c r="AC94" s="55"/>
      <c r="AD94" s="32"/>
      <c r="AE94" s="54"/>
      <c r="AF94" s="21" t="str">
        <f>IFERROR(VLOOKUP(October[[#This Row],[Drug Name3]],'Data Options'!$R$1:$S$100,2,FALSE), " ")</f>
        <v xml:space="preserve"> </v>
      </c>
      <c r="AG94" s="55"/>
      <c r="AH94" s="32"/>
      <c r="AI94" s="32"/>
      <c r="AJ94" s="55"/>
      <c r="AK94" s="32"/>
      <c r="AL94" s="32"/>
      <c r="AM94" s="32"/>
      <c r="AN94" s="32"/>
      <c r="AO94" s="32"/>
      <c r="AP94" s="31"/>
      <c r="AQ94" s="31"/>
      <c r="AR94" s="54"/>
      <c r="AS94" s="21" t="str">
        <f>IFERROR(VLOOKUP(October[[#This Row],[Drug Name4]],'Data Options'!$R$1:$S$100,2,FALSE), " ")</f>
        <v xml:space="preserve"> </v>
      </c>
      <c r="AT94" s="55"/>
      <c r="AU94" s="32"/>
      <c r="AV94" s="32"/>
      <c r="AW94" s="55"/>
      <c r="AX94" s="32"/>
      <c r="AY94" s="54"/>
      <c r="AZ94" s="21" t="str">
        <f>IFERROR(VLOOKUP(October[[#This Row],[Drug Name5]],'Data Options'!$R$1:$S$100,2,FALSE), " ")</f>
        <v xml:space="preserve"> </v>
      </c>
      <c r="BA94" s="55"/>
      <c r="BB94" s="32"/>
      <c r="BC94" s="32"/>
      <c r="BD94" s="55"/>
      <c r="BE94" s="32"/>
      <c r="BF94" s="54"/>
      <c r="BG94" s="21" t="str">
        <f>IFERROR(VLOOKUP(October[[#This Row],[Drug Name6]],'Data Options'!$R$1:$S$100,2,FALSE), " ")</f>
        <v xml:space="preserve"> </v>
      </c>
      <c r="BH94" s="55"/>
      <c r="BI94" s="32"/>
      <c r="BJ94" s="32"/>
      <c r="BK94" s="55"/>
      <c r="BL94" s="32"/>
      <c r="BM94" s="32"/>
      <c r="BN94" s="32"/>
      <c r="BO94" s="32"/>
      <c r="BP94" s="32"/>
      <c r="BQ94" s="31"/>
      <c r="BR94" s="31"/>
      <c r="BS94" s="54"/>
      <c r="BT94" s="21" t="str">
        <f>IFERROR(VLOOKUP(October[[#This Row],[Drug Name7]],'Data Options'!$R$1:$S$100,2,FALSE), " ")</f>
        <v xml:space="preserve"> </v>
      </c>
      <c r="BU94" s="55"/>
      <c r="BV94" s="32"/>
      <c r="BW94" s="32"/>
      <c r="BX94" s="55"/>
      <c r="BY94" s="32"/>
      <c r="BZ94" s="54"/>
      <c r="CA94" s="21" t="str">
        <f>IFERROR(VLOOKUP(October[[#This Row],[Drug Name8]],'Data Options'!$R$1:$S$100,2,FALSE), " ")</f>
        <v xml:space="preserve"> </v>
      </c>
      <c r="CB94" s="55"/>
      <c r="CC94" s="32"/>
      <c r="CD94" s="32"/>
      <c r="CE94" s="55"/>
      <c r="CF94" s="32"/>
      <c r="CG94" s="54"/>
      <c r="CH94" s="21" t="str">
        <f>IFERROR(VLOOKUP(October[[#This Row],[Drug Name9]],'Data Options'!$R$1:$S$100,2,FALSE), " ")</f>
        <v xml:space="preserve"> </v>
      </c>
      <c r="CI94" s="55"/>
      <c r="CJ94" s="32"/>
      <c r="CK94" s="32"/>
      <c r="CL94" s="55"/>
      <c r="CM94" s="32"/>
    </row>
    <row r="95" spans="1:91">
      <c r="A95" s="5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1"/>
      <c r="P95" s="31"/>
      <c r="Q95" s="54"/>
      <c r="R95" s="21" t="str">
        <f>IFERROR(VLOOKUP(October[[#This Row],[Drug Name]],'Data Options'!$R$1:$S$100,2,FALSE), " ")</f>
        <v xml:space="preserve"> </v>
      </c>
      <c r="S95" s="55"/>
      <c r="T95" s="32"/>
      <c r="U95" s="32"/>
      <c r="V95" s="55"/>
      <c r="W95" s="32"/>
      <c r="X95" s="54"/>
      <c r="Y95" s="21" t="str">
        <f>IFERROR(VLOOKUP(October[[#This Row],[Drug Name2]],'Data Options'!$R$1:$S$100,2,FALSE), " ")</f>
        <v xml:space="preserve"> </v>
      </c>
      <c r="Z95" s="55"/>
      <c r="AA95" s="32"/>
      <c r="AB95" s="32"/>
      <c r="AC95" s="55"/>
      <c r="AD95" s="32"/>
      <c r="AE95" s="54"/>
      <c r="AF95" s="21" t="str">
        <f>IFERROR(VLOOKUP(October[[#This Row],[Drug Name3]],'Data Options'!$R$1:$S$100,2,FALSE), " ")</f>
        <v xml:space="preserve"> </v>
      </c>
      <c r="AG95" s="55"/>
      <c r="AH95" s="32"/>
      <c r="AI95" s="32"/>
      <c r="AJ95" s="55"/>
      <c r="AK95" s="32"/>
      <c r="AL95" s="32"/>
      <c r="AM95" s="32"/>
      <c r="AN95" s="32"/>
      <c r="AO95" s="32"/>
      <c r="AP95" s="31"/>
      <c r="AQ95" s="31"/>
      <c r="AR95" s="54"/>
      <c r="AS95" s="21" t="str">
        <f>IFERROR(VLOOKUP(October[[#This Row],[Drug Name4]],'Data Options'!$R$1:$S$100,2,FALSE), " ")</f>
        <v xml:space="preserve"> </v>
      </c>
      <c r="AT95" s="55"/>
      <c r="AU95" s="32"/>
      <c r="AV95" s="32"/>
      <c r="AW95" s="55"/>
      <c r="AX95" s="32"/>
      <c r="AY95" s="54"/>
      <c r="AZ95" s="21" t="str">
        <f>IFERROR(VLOOKUP(October[[#This Row],[Drug Name5]],'Data Options'!$R$1:$S$100,2,FALSE), " ")</f>
        <v xml:space="preserve"> </v>
      </c>
      <c r="BA95" s="55"/>
      <c r="BB95" s="32"/>
      <c r="BC95" s="32"/>
      <c r="BD95" s="55"/>
      <c r="BE95" s="32"/>
      <c r="BF95" s="54"/>
      <c r="BG95" s="21" t="str">
        <f>IFERROR(VLOOKUP(October[[#This Row],[Drug Name6]],'Data Options'!$R$1:$S$100,2,FALSE), " ")</f>
        <v xml:space="preserve"> </v>
      </c>
      <c r="BH95" s="55"/>
      <c r="BI95" s="32"/>
      <c r="BJ95" s="32"/>
      <c r="BK95" s="55"/>
      <c r="BL95" s="32"/>
      <c r="BM95" s="32"/>
      <c r="BN95" s="32"/>
      <c r="BO95" s="32"/>
      <c r="BP95" s="32"/>
      <c r="BQ95" s="31"/>
      <c r="BR95" s="31"/>
      <c r="BS95" s="54"/>
      <c r="BT95" s="21" t="str">
        <f>IFERROR(VLOOKUP(October[[#This Row],[Drug Name7]],'Data Options'!$R$1:$S$100,2,FALSE), " ")</f>
        <v xml:space="preserve"> </v>
      </c>
      <c r="BU95" s="55"/>
      <c r="BV95" s="32"/>
      <c r="BW95" s="32"/>
      <c r="BX95" s="55"/>
      <c r="BY95" s="32"/>
      <c r="BZ95" s="54"/>
      <c r="CA95" s="21" t="str">
        <f>IFERROR(VLOOKUP(October[[#This Row],[Drug Name8]],'Data Options'!$R$1:$S$100,2,FALSE), " ")</f>
        <v xml:space="preserve"> </v>
      </c>
      <c r="CB95" s="55"/>
      <c r="CC95" s="32"/>
      <c r="CD95" s="32"/>
      <c r="CE95" s="55"/>
      <c r="CF95" s="32"/>
      <c r="CG95" s="54"/>
      <c r="CH95" s="21" t="str">
        <f>IFERROR(VLOOKUP(October[[#This Row],[Drug Name9]],'Data Options'!$R$1:$S$100,2,FALSE), " ")</f>
        <v xml:space="preserve"> </v>
      </c>
      <c r="CI95" s="55"/>
      <c r="CJ95" s="32"/>
      <c r="CK95" s="32"/>
      <c r="CL95" s="55"/>
      <c r="CM95" s="32"/>
    </row>
    <row r="96" spans="1:91">
      <c r="A96" s="5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1"/>
      <c r="P96" s="31"/>
      <c r="Q96" s="54"/>
      <c r="R96" s="21" t="str">
        <f>IFERROR(VLOOKUP(October[[#This Row],[Drug Name]],'Data Options'!$R$1:$S$100,2,FALSE), " ")</f>
        <v xml:space="preserve"> </v>
      </c>
      <c r="S96" s="55"/>
      <c r="T96" s="32"/>
      <c r="U96" s="32"/>
      <c r="V96" s="55"/>
      <c r="W96" s="32"/>
      <c r="X96" s="54"/>
      <c r="Y96" s="21" t="str">
        <f>IFERROR(VLOOKUP(October[[#This Row],[Drug Name2]],'Data Options'!$R$1:$S$100,2,FALSE), " ")</f>
        <v xml:space="preserve"> </v>
      </c>
      <c r="Z96" s="55"/>
      <c r="AA96" s="32"/>
      <c r="AB96" s="32"/>
      <c r="AC96" s="55"/>
      <c r="AD96" s="32"/>
      <c r="AE96" s="54"/>
      <c r="AF96" s="21" t="str">
        <f>IFERROR(VLOOKUP(October[[#This Row],[Drug Name3]],'Data Options'!$R$1:$S$100,2,FALSE), " ")</f>
        <v xml:space="preserve"> </v>
      </c>
      <c r="AG96" s="55"/>
      <c r="AH96" s="32"/>
      <c r="AI96" s="32"/>
      <c r="AJ96" s="55"/>
      <c r="AK96" s="32"/>
      <c r="AL96" s="32"/>
      <c r="AM96" s="32"/>
      <c r="AN96" s="32"/>
      <c r="AO96" s="32"/>
      <c r="AP96" s="31"/>
      <c r="AQ96" s="31"/>
      <c r="AR96" s="54"/>
      <c r="AS96" s="21" t="str">
        <f>IFERROR(VLOOKUP(October[[#This Row],[Drug Name4]],'Data Options'!$R$1:$S$100,2,FALSE), " ")</f>
        <v xml:space="preserve"> </v>
      </c>
      <c r="AT96" s="55"/>
      <c r="AU96" s="32"/>
      <c r="AV96" s="32"/>
      <c r="AW96" s="55"/>
      <c r="AX96" s="32"/>
      <c r="AY96" s="54"/>
      <c r="AZ96" s="21" t="str">
        <f>IFERROR(VLOOKUP(October[[#This Row],[Drug Name5]],'Data Options'!$R$1:$S$100,2,FALSE), " ")</f>
        <v xml:space="preserve"> </v>
      </c>
      <c r="BA96" s="55"/>
      <c r="BB96" s="32"/>
      <c r="BC96" s="32"/>
      <c r="BD96" s="55"/>
      <c r="BE96" s="32"/>
      <c r="BF96" s="54"/>
      <c r="BG96" s="21" t="str">
        <f>IFERROR(VLOOKUP(October[[#This Row],[Drug Name6]],'Data Options'!$R$1:$S$100,2,FALSE), " ")</f>
        <v xml:space="preserve"> </v>
      </c>
      <c r="BH96" s="55"/>
      <c r="BI96" s="32"/>
      <c r="BJ96" s="32"/>
      <c r="BK96" s="55"/>
      <c r="BL96" s="32"/>
      <c r="BM96" s="32"/>
      <c r="BN96" s="32"/>
      <c r="BO96" s="32"/>
      <c r="BP96" s="32"/>
      <c r="BQ96" s="31"/>
      <c r="BR96" s="31"/>
      <c r="BS96" s="54"/>
      <c r="BT96" s="21" t="str">
        <f>IFERROR(VLOOKUP(October[[#This Row],[Drug Name7]],'Data Options'!$R$1:$S$100,2,FALSE), " ")</f>
        <v xml:space="preserve"> </v>
      </c>
      <c r="BU96" s="55"/>
      <c r="BV96" s="32"/>
      <c r="BW96" s="32"/>
      <c r="BX96" s="55"/>
      <c r="BY96" s="32"/>
      <c r="BZ96" s="54"/>
      <c r="CA96" s="21" t="str">
        <f>IFERROR(VLOOKUP(October[[#This Row],[Drug Name8]],'Data Options'!$R$1:$S$100,2,FALSE), " ")</f>
        <v xml:space="preserve"> </v>
      </c>
      <c r="CB96" s="55"/>
      <c r="CC96" s="32"/>
      <c r="CD96" s="32"/>
      <c r="CE96" s="55"/>
      <c r="CF96" s="32"/>
      <c r="CG96" s="54"/>
      <c r="CH96" s="21" t="str">
        <f>IFERROR(VLOOKUP(October[[#This Row],[Drug Name9]],'Data Options'!$R$1:$S$100,2,FALSE), " ")</f>
        <v xml:space="preserve"> </v>
      </c>
      <c r="CI96" s="55"/>
      <c r="CJ96" s="32"/>
      <c r="CK96" s="32"/>
      <c r="CL96" s="55"/>
      <c r="CM96" s="32"/>
    </row>
    <row r="97" spans="1:91">
      <c r="A97" s="5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1"/>
      <c r="P97" s="31"/>
      <c r="Q97" s="54"/>
      <c r="R97" s="21" t="str">
        <f>IFERROR(VLOOKUP(October[[#This Row],[Drug Name]],'Data Options'!$R$1:$S$100,2,FALSE), " ")</f>
        <v xml:space="preserve"> </v>
      </c>
      <c r="S97" s="55"/>
      <c r="T97" s="32"/>
      <c r="U97" s="32"/>
      <c r="V97" s="55"/>
      <c r="W97" s="32"/>
      <c r="X97" s="54"/>
      <c r="Y97" s="21" t="str">
        <f>IFERROR(VLOOKUP(October[[#This Row],[Drug Name2]],'Data Options'!$R$1:$S$100,2,FALSE), " ")</f>
        <v xml:space="preserve"> </v>
      </c>
      <c r="Z97" s="55"/>
      <c r="AA97" s="32"/>
      <c r="AB97" s="32"/>
      <c r="AC97" s="55"/>
      <c r="AD97" s="32"/>
      <c r="AE97" s="54"/>
      <c r="AF97" s="21" t="str">
        <f>IFERROR(VLOOKUP(October[[#This Row],[Drug Name3]],'Data Options'!$R$1:$S$100,2,FALSE), " ")</f>
        <v xml:space="preserve"> </v>
      </c>
      <c r="AG97" s="55"/>
      <c r="AH97" s="32"/>
      <c r="AI97" s="32"/>
      <c r="AJ97" s="55"/>
      <c r="AK97" s="32"/>
      <c r="AL97" s="32"/>
      <c r="AM97" s="32"/>
      <c r="AN97" s="32"/>
      <c r="AO97" s="32"/>
      <c r="AP97" s="31"/>
      <c r="AQ97" s="31"/>
      <c r="AR97" s="54"/>
      <c r="AS97" s="21" t="str">
        <f>IFERROR(VLOOKUP(October[[#This Row],[Drug Name4]],'Data Options'!$R$1:$S$100,2,FALSE), " ")</f>
        <v xml:space="preserve"> </v>
      </c>
      <c r="AT97" s="55"/>
      <c r="AU97" s="32"/>
      <c r="AV97" s="32"/>
      <c r="AW97" s="55"/>
      <c r="AX97" s="32"/>
      <c r="AY97" s="54"/>
      <c r="AZ97" s="21" t="str">
        <f>IFERROR(VLOOKUP(October[[#This Row],[Drug Name5]],'Data Options'!$R$1:$S$100,2,FALSE), " ")</f>
        <v xml:space="preserve"> </v>
      </c>
      <c r="BA97" s="55"/>
      <c r="BB97" s="32"/>
      <c r="BC97" s="32"/>
      <c r="BD97" s="55"/>
      <c r="BE97" s="32"/>
      <c r="BF97" s="54"/>
      <c r="BG97" s="21" t="str">
        <f>IFERROR(VLOOKUP(October[[#This Row],[Drug Name6]],'Data Options'!$R$1:$S$100,2,FALSE), " ")</f>
        <v xml:space="preserve"> </v>
      </c>
      <c r="BH97" s="55"/>
      <c r="BI97" s="32"/>
      <c r="BJ97" s="32"/>
      <c r="BK97" s="55"/>
      <c r="BL97" s="32"/>
      <c r="BM97" s="32"/>
      <c r="BN97" s="32"/>
      <c r="BO97" s="32"/>
      <c r="BP97" s="32"/>
      <c r="BQ97" s="31"/>
      <c r="BR97" s="31"/>
      <c r="BS97" s="54"/>
      <c r="BT97" s="21" t="str">
        <f>IFERROR(VLOOKUP(October[[#This Row],[Drug Name7]],'Data Options'!$R$1:$S$100,2,FALSE), " ")</f>
        <v xml:space="preserve"> </v>
      </c>
      <c r="BU97" s="55"/>
      <c r="BV97" s="32"/>
      <c r="BW97" s="32"/>
      <c r="BX97" s="55"/>
      <c r="BY97" s="32"/>
      <c r="BZ97" s="54"/>
      <c r="CA97" s="21" t="str">
        <f>IFERROR(VLOOKUP(October[[#This Row],[Drug Name8]],'Data Options'!$R$1:$S$100,2,FALSE), " ")</f>
        <v xml:space="preserve"> </v>
      </c>
      <c r="CB97" s="55"/>
      <c r="CC97" s="32"/>
      <c r="CD97" s="32"/>
      <c r="CE97" s="55"/>
      <c r="CF97" s="32"/>
      <c r="CG97" s="54"/>
      <c r="CH97" s="21" t="str">
        <f>IFERROR(VLOOKUP(October[[#This Row],[Drug Name9]],'Data Options'!$R$1:$S$100,2,FALSE), " ")</f>
        <v xml:space="preserve"> </v>
      </c>
      <c r="CI97" s="55"/>
      <c r="CJ97" s="32"/>
      <c r="CK97" s="32"/>
      <c r="CL97" s="55"/>
      <c r="CM97" s="32"/>
    </row>
    <row r="98" spans="1:91">
      <c r="A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1"/>
      <c r="P98" s="31"/>
      <c r="Q98" s="54"/>
      <c r="R98" s="21" t="str">
        <f>IFERROR(VLOOKUP(October[[#This Row],[Drug Name]],'Data Options'!$R$1:$S$100,2,FALSE), " ")</f>
        <v xml:space="preserve"> </v>
      </c>
      <c r="S98" s="55"/>
      <c r="T98" s="32"/>
      <c r="U98" s="32"/>
      <c r="V98" s="55"/>
      <c r="W98" s="32"/>
      <c r="X98" s="54"/>
      <c r="Y98" s="21" t="str">
        <f>IFERROR(VLOOKUP(October[[#This Row],[Drug Name2]],'Data Options'!$R$1:$S$100,2,FALSE), " ")</f>
        <v xml:space="preserve"> </v>
      </c>
      <c r="Z98" s="55"/>
      <c r="AA98" s="32"/>
      <c r="AB98" s="32"/>
      <c r="AC98" s="55"/>
      <c r="AD98" s="32"/>
      <c r="AE98" s="54"/>
      <c r="AF98" s="21" t="str">
        <f>IFERROR(VLOOKUP(October[[#This Row],[Drug Name3]],'Data Options'!$R$1:$S$100,2,FALSE), " ")</f>
        <v xml:space="preserve"> </v>
      </c>
      <c r="AG98" s="55"/>
      <c r="AH98" s="32"/>
      <c r="AI98" s="32"/>
      <c r="AJ98" s="55"/>
      <c r="AK98" s="32"/>
      <c r="AL98" s="32"/>
      <c r="AM98" s="32"/>
      <c r="AN98" s="32"/>
      <c r="AO98" s="32"/>
      <c r="AP98" s="31"/>
      <c r="AQ98" s="31"/>
      <c r="AR98" s="54"/>
      <c r="AS98" s="21" t="str">
        <f>IFERROR(VLOOKUP(October[[#This Row],[Drug Name4]],'Data Options'!$R$1:$S$100,2,FALSE), " ")</f>
        <v xml:space="preserve"> </v>
      </c>
      <c r="AT98" s="55"/>
      <c r="AU98" s="32"/>
      <c r="AV98" s="32"/>
      <c r="AW98" s="55"/>
      <c r="AX98" s="32"/>
      <c r="AY98" s="54"/>
      <c r="AZ98" s="21" t="str">
        <f>IFERROR(VLOOKUP(October[[#This Row],[Drug Name5]],'Data Options'!$R$1:$S$100,2,FALSE), " ")</f>
        <v xml:space="preserve"> </v>
      </c>
      <c r="BA98" s="55"/>
      <c r="BB98" s="32"/>
      <c r="BC98" s="32"/>
      <c r="BD98" s="55"/>
      <c r="BE98" s="32"/>
      <c r="BF98" s="54"/>
      <c r="BG98" s="21" t="str">
        <f>IFERROR(VLOOKUP(October[[#This Row],[Drug Name6]],'Data Options'!$R$1:$S$100,2,FALSE), " ")</f>
        <v xml:space="preserve"> </v>
      </c>
      <c r="BH98" s="55"/>
      <c r="BI98" s="32"/>
      <c r="BJ98" s="32"/>
      <c r="BK98" s="55"/>
      <c r="BL98" s="32"/>
      <c r="BM98" s="32"/>
      <c r="BN98" s="32"/>
      <c r="BO98" s="32"/>
      <c r="BP98" s="32"/>
      <c r="BQ98" s="31"/>
      <c r="BR98" s="31"/>
      <c r="BS98" s="54"/>
      <c r="BT98" s="21" t="str">
        <f>IFERROR(VLOOKUP(October[[#This Row],[Drug Name7]],'Data Options'!$R$1:$S$100,2,FALSE), " ")</f>
        <v xml:space="preserve"> </v>
      </c>
      <c r="BU98" s="55"/>
      <c r="BV98" s="32"/>
      <c r="BW98" s="32"/>
      <c r="BX98" s="55"/>
      <c r="BY98" s="32"/>
      <c r="BZ98" s="54"/>
      <c r="CA98" s="21" t="str">
        <f>IFERROR(VLOOKUP(October[[#This Row],[Drug Name8]],'Data Options'!$R$1:$S$100,2,FALSE), " ")</f>
        <v xml:space="preserve"> </v>
      </c>
      <c r="CB98" s="55"/>
      <c r="CC98" s="32"/>
      <c r="CD98" s="32"/>
      <c r="CE98" s="55"/>
      <c r="CF98" s="32"/>
      <c r="CG98" s="54"/>
      <c r="CH98" s="21" t="str">
        <f>IFERROR(VLOOKUP(October[[#This Row],[Drug Name9]],'Data Options'!$R$1:$S$100,2,FALSE), " ")</f>
        <v xml:space="preserve"> </v>
      </c>
      <c r="CI98" s="55"/>
      <c r="CJ98" s="32"/>
      <c r="CK98" s="32"/>
      <c r="CL98" s="55"/>
      <c r="CM98" s="32"/>
    </row>
    <row r="99" spans="1:91">
      <c r="A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1"/>
      <c r="P99" s="31"/>
      <c r="Q99" s="54"/>
      <c r="R99" s="21" t="str">
        <f>IFERROR(VLOOKUP(October[[#This Row],[Drug Name]],'Data Options'!$R$1:$S$100,2,FALSE), " ")</f>
        <v xml:space="preserve"> </v>
      </c>
      <c r="S99" s="55"/>
      <c r="T99" s="32"/>
      <c r="U99" s="32"/>
      <c r="V99" s="55"/>
      <c r="W99" s="32"/>
      <c r="X99" s="54"/>
      <c r="Y99" s="21" t="str">
        <f>IFERROR(VLOOKUP(October[[#This Row],[Drug Name2]],'Data Options'!$R$1:$S$100,2,FALSE), " ")</f>
        <v xml:space="preserve"> </v>
      </c>
      <c r="Z99" s="55"/>
      <c r="AA99" s="32"/>
      <c r="AB99" s="32"/>
      <c r="AC99" s="55"/>
      <c r="AD99" s="32"/>
      <c r="AE99" s="54"/>
      <c r="AF99" s="21" t="str">
        <f>IFERROR(VLOOKUP(October[[#This Row],[Drug Name3]],'Data Options'!$R$1:$S$100,2,FALSE), " ")</f>
        <v xml:space="preserve"> </v>
      </c>
      <c r="AG99" s="55"/>
      <c r="AH99" s="32"/>
      <c r="AI99" s="32"/>
      <c r="AJ99" s="55"/>
      <c r="AK99" s="32"/>
      <c r="AL99" s="32"/>
      <c r="AM99" s="32"/>
      <c r="AN99" s="32"/>
      <c r="AO99" s="32"/>
      <c r="AP99" s="31"/>
      <c r="AQ99" s="31"/>
      <c r="AR99" s="54"/>
      <c r="AS99" s="21" t="str">
        <f>IFERROR(VLOOKUP(October[[#This Row],[Drug Name4]],'Data Options'!$R$1:$S$100,2,FALSE), " ")</f>
        <v xml:space="preserve"> </v>
      </c>
      <c r="AT99" s="55"/>
      <c r="AU99" s="32"/>
      <c r="AV99" s="32"/>
      <c r="AW99" s="55"/>
      <c r="AX99" s="32"/>
      <c r="AY99" s="54"/>
      <c r="AZ99" s="21" t="str">
        <f>IFERROR(VLOOKUP(October[[#This Row],[Drug Name5]],'Data Options'!$R$1:$S$100,2,FALSE), " ")</f>
        <v xml:space="preserve"> </v>
      </c>
      <c r="BA99" s="55"/>
      <c r="BB99" s="32"/>
      <c r="BC99" s="32"/>
      <c r="BD99" s="55"/>
      <c r="BE99" s="32"/>
      <c r="BF99" s="54"/>
      <c r="BG99" s="21" t="str">
        <f>IFERROR(VLOOKUP(October[[#This Row],[Drug Name6]],'Data Options'!$R$1:$S$100,2,FALSE), " ")</f>
        <v xml:space="preserve"> </v>
      </c>
      <c r="BH99" s="55"/>
      <c r="BI99" s="32"/>
      <c r="BJ99" s="32"/>
      <c r="BK99" s="55"/>
      <c r="BL99" s="32"/>
      <c r="BM99" s="32"/>
      <c r="BN99" s="32"/>
      <c r="BO99" s="32"/>
      <c r="BP99" s="32"/>
      <c r="BQ99" s="31"/>
      <c r="BR99" s="31"/>
      <c r="BS99" s="54"/>
      <c r="BT99" s="21" t="str">
        <f>IFERROR(VLOOKUP(October[[#This Row],[Drug Name7]],'Data Options'!$R$1:$S$100,2,FALSE), " ")</f>
        <v xml:space="preserve"> </v>
      </c>
      <c r="BU99" s="55"/>
      <c r="BV99" s="32"/>
      <c r="BW99" s="32"/>
      <c r="BX99" s="55"/>
      <c r="BY99" s="32"/>
      <c r="BZ99" s="54"/>
      <c r="CA99" s="21" t="str">
        <f>IFERROR(VLOOKUP(October[[#This Row],[Drug Name8]],'Data Options'!$R$1:$S$100,2,FALSE), " ")</f>
        <v xml:space="preserve"> </v>
      </c>
      <c r="CB99" s="55"/>
      <c r="CC99" s="32"/>
      <c r="CD99" s="32"/>
      <c r="CE99" s="55"/>
      <c r="CF99" s="32"/>
      <c r="CG99" s="54"/>
      <c r="CH99" s="21" t="str">
        <f>IFERROR(VLOOKUP(October[[#This Row],[Drug Name9]],'Data Options'!$R$1:$S$100,2,FALSE), " ")</f>
        <v xml:space="preserve"> </v>
      </c>
      <c r="CI99" s="55"/>
      <c r="CJ99" s="32"/>
      <c r="CK99" s="32"/>
      <c r="CL99" s="55"/>
      <c r="CM99" s="32"/>
    </row>
    <row r="100" spans="1:91">
      <c r="A100" s="5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1"/>
      <c r="P100" s="31"/>
      <c r="Q100" s="54"/>
      <c r="R100" s="21" t="str">
        <f>IFERROR(VLOOKUP(October[[#This Row],[Drug Name]],'Data Options'!$R$1:$S$100,2,FALSE), " ")</f>
        <v xml:space="preserve"> </v>
      </c>
      <c r="S100" s="55"/>
      <c r="T100" s="32"/>
      <c r="U100" s="32"/>
      <c r="V100" s="55"/>
      <c r="W100" s="32"/>
      <c r="X100" s="54"/>
      <c r="Y100" s="21" t="str">
        <f>IFERROR(VLOOKUP(October[[#This Row],[Drug Name2]],'Data Options'!$R$1:$S$100,2,FALSE), " ")</f>
        <v xml:space="preserve"> </v>
      </c>
      <c r="Z100" s="55"/>
      <c r="AA100" s="32"/>
      <c r="AB100" s="32"/>
      <c r="AC100" s="55"/>
      <c r="AD100" s="32"/>
      <c r="AE100" s="54"/>
      <c r="AF100" s="21" t="str">
        <f>IFERROR(VLOOKUP(October[[#This Row],[Drug Name3]],'Data Options'!$R$1:$S$100,2,FALSE), " ")</f>
        <v xml:space="preserve"> </v>
      </c>
      <c r="AG100" s="55"/>
      <c r="AH100" s="32"/>
      <c r="AI100" s="32"/>
      <c r="AJ100" s="55"/>
      <c r="AK100" s="32"/>
      <c r="AL100" s="32"/>
      <c r="AM100" s="32"/>
      <c r="AN100" s="32"/>
      <c r="AO100" s="32"/>
      <c r="AP100" s="31"/>
      <c r="AQ100" s="31"/>
      <c r="AR100" s="54"/>
      <c r="AS100" s="21" t="str">
        <f>IFERROR(VLOOKUP(October[[#This Row],[Drug Name4]],'Data Options'!$R$1:$S$100,2,FALSE), " ")</f>
        <v xml:space="preserve"> </v>
      </c>
      <c r="AT100" s="55"/>
      <c r="AU100" s="32"/>
      <c r="AV100" s="32"/>
      <c r="AW100" s="55"/>
      <c r="AX100" s="32"/>
      <c r="AY100" s="54"/>
      <c r="AZ100" s="21" t="str">
        <f>IFERROR(VLOOKUP(October[[#This Row],[Drug Name5]],'Data Options'!$R$1:$S$100,2,FALSE), " ")</f>
        <v xml:space="preserve"> </v>
      </c>
      <c r="BA100" s="55"/>
      <c r="BB100" s="32"/>
      <c r="BC100" s="32"/>
      <c r="BD100" s="55"/>
      <c r="BE100" s="32"/>
      <c r="BF100" s="54"/>
      <c r="BG100" s="21" t="str">
        <f>IFERROR(VLOOKUP(October[[#This Row],[Drug Name6]],'Data Options'!$R$1:$S$100,2,FALSE), " ")</f>
        <v xml:space="preserve"> </v>
      </c>
      <c r="BH100" s="55"/>
      <c r="BI100" s="32"/>
      <c r="BJ100" s="32"/>
      <c r="BK100" s="55"/>
      <c r="BL100" s="32"/>
      <c r="BM100" s="32"/>
      <c r="BN100" s="32"/>
      <c r="BO100" s="32"/>
      <c r="BP100" s="32"/>
      <c r="BQ100" s="31"/>
      <c r="BR100" s="31"/>
      <c r="BS100" s="54"/>
      <c r="BT100" s="21" t="str">
        <f>IFERROR(VLOOKUP(October[[#This Row],[Drug Name7]],'Data Options'!$R$1:$S$100,2,FALSE), " ")</f>
        <v xml:space="preserve"> </v>
      </c>
      <c r="BU100" s="55"/>
      <c r="BV100" s="32"/>
      <c r="BW100" s="32"/>
      <c r="BX100" s="55"/>
      <c r="BY100" s="32"/>
      <c r="BZ100" s="54"/>
      <c r="CA100" s="21" t="str">
        <f>IFERROR(VLOOKUP(October[[#This Row],[Drug Name8]],'Data Options'!$R$1:$S$100,2,FALSE), " ")</f>
        <v xml:space="preserve"> </v>
      </c>
      <c r="CB100" s="55"/>
      <c r="CC100" s="32"/>
      <c r="CD100" s="32"/>
      <c r="CE100" s="55"/>
      <c r="CF100" s="32"/>
      <c r="CG100" s="54"/>
      <c r="CH100" s="21" t="str">
        <f>IFERROR(VLOOKUP(October[[#This Row],[Drug Name9]],'Data Options'!$R$1:$S$100,2,FALSE), " ")</f>
        <v xml:space="preserve"> </v>
      </c>
      <c r="CI100" s="55"/>
      <c r="CJ100" s="32"/>
      <c r="CK100" s="32"/>
      <c r="CL100" s="55"/>
      <c r="CM100" s="32"/>
    </row>
    <row r="101" spans="1:91">
      <c r="A101" s="5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1"/>
      <c r="P101" s="31"/>
      <c r="Q101" s="54"/>
      <c r="R101" s="21" t="str">
        <f>IFERROR(VLOOKUP(October[[#This Row],[Drug Name]],'Data Options'!$R$1:$S$100,2,FALSE), " ")</f>
        <v xml:space="preserve"> </v>
      </c>
      <c r="S101" s="55"/>
      <c r="T101" s="32"/>
      <c r="U101" s="32"/>
      <c r="V101" s="55"/>
      <c r="W101" s="32"/>
      <c r="X101" s="54"/>
      <c r="Y101" s="21" t="str">
        <f>IFERROR(VLOOKUP(October[[#This Row],[Drug Name2]],'Data Options'!$R$1:$S$100,2,FALSE), " ")</f>
        <v xml:space="preserve"> </v>
      </c>
      <c r="Z101" s="55"/>
      <c r="AA101" s="32"/>
      <c r="AB101" s="32"/>
      <c r="AC101" s="55"/>
      <c r="AD101" s="32"/>
      <c r="AE101" s="54"/>
      <c r="AF101" s="21" t="str">
        <f>IFERROR(VLOOKUP(October[[#This Row],[Drug Name3]],'Data Options'!$R$1:$S$100,2,FALSE), " ")</f>
        <v xml:space="preserve"> </v>
      </c>
      <c r="AG101" s="55"/>
      <c r="AH101" s="32"/>
      <c r="AI101" s="32"/>
      <c r="AJ101" s="55"/>
      <c r="AK101" s="32"/>
      <c r="AL101" s="32"/>
      <c r="AM101" s="32"/>
      <c r="AN101" s="32"/>
      <c r="AO101" s="32"/>
      <c r="AP101" s="31"/>
      <c r="AQ101" s="31"/>
      <c r="AR101" s="54"/>
      <c r="AS101" s="21" t="str">
        <f>IFERROR(VLOOKUP(October[[#This Row],[Drug Name4]],'Data Options'!$R$1:$S$100,2,FALSE), " ")</f>
        <v xml:space="preserve"> </v>
      </c>
      <c r="AT101" s="55"/>
      <c r="AU101" s="32"/>
      <c r="AV101" s="32"/>
      <c r="AW101" s="55"/>
      <c r="AX101" s="32"/>
      <c r="AY101" s="54"/>
      <c r="AZ101" s="21" t="str">
        <f>IFERROR(VLOOKUP(October[[#This Row],[Drug Name5]],'Data Options'!$R$1:$S$100,2,FALSE), " ")</f>
        <v xml:space="preserve"> </v>
      </c>
      <c r="BA101" s="55"/>
      <c r="BB101" s="32"/>
      <c r="BC101" s="32"/>
      <c r="BD101" s="55"/>
      <c r="BE101" s="32"/>
      <c r="BF101" s="54"/>
      <c r="BG101" s="21" t="str">
        <f>IFERROR(VLOOKUP(October[[#This Row],[Drug Name6]],'Data Options'!$R$1:$S$100,2,FALSE), " ")</f>
        <v xml:space="preserve"> </v>
      </c>
      <c r="BH101" s="55"/>
      <c r="BI101" s="32"/>
      <c r="BJ101" s="32"/>
      <c r="BK101" s="55"/>
      <c r="BL101" s="32"/>
      <c r="BM101" s="32"/>
      <c r="BN101" s="32"/>
      <c r="BO101" s="32"/>
      <c r="BP101" s="32"/>
      <c r="BQ101" s="31"/>
      <c r="BR101" s="31"/>
      <c r="BS101" s="54"/>
      <c r="BT101" s="21" t="str">
        <f>IFERROR(VLOOKUP(October[[#This Row],[Drug Name7]],'Data Options'!$R$1:$S$100,2,FALSE), " ")</f>
        <v xml:space="preserve"> </v>
      </c>
      <c r="BU101" s="55"/>
      <c r="BV101" s="32"/>
      <c r="BW101" s="32"/>
      <c r="BX101" s="55"/>
      <c r="BY101" s="32"/>
      <c r="BZ101" s="54"/>
      <c r="CA101" s="21" t="str">
        <f>IFERROR(VLOOKUP(October[[#This Row],[Drug Name8]],'Data Options'!$R$1:$S$100,2,FALSE), " ")</f>
        <v xml:space="preserve"> </v>
      </c>
      <c r="CB101" s="55"/>
      <c r="CC101" s="32"/>
      <c r="CD101" s="32"/>
      <c r="CE101" s="55"/>
      <c r="CF101" s="32"/>
      <c r="CG101" s="54"/>
      <c r="CH101" s="21" t="str">
        <f>IFERROR(VLOOKUP(October[[#This Row],[Drug Name9]],'Data Options'!$R$1:$S$100,2,FALSE), " ")</f>
        <v xml:space="preserve"> </v>
      </c>
      <c r="CI101" s="55"/>
      <c r="CJ101" s="32"/>
      <c r="CK101" s="32"/>
      <c r="CL101" s="55"/>
      <c r="CM101" s="32"/>
    </row>
    <row r="102" spans="1:91">
      <c r="A102" s="5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1"/>
      <c r="P102" s="31"/>
      <c r="Q102" s="54"/>
      <c r="R102" s="21" t="str">
        <f>IFERROR(VLOOKUP(October[[#This Row],[Drug Name]],'Data Options'!$R$1:$S$100,2,FALSE), " ")</f>
        <v xml:space="preserve"> </v>
      </c>
      <c r="S102" s="55"/>
      <c r="T102" s="32"/>
      <c r="U102" s="32"/>
      <c r="V102" s="55"/>
      <c r="W102" s="32"/>
      <c r="X102" s="54"/>
      <c r="Y102" s="21" t="str">
        <f>IFERROR(VLOOKUP(October[[#This Row],[Drug Name2]],'Data Options'!$R$1:$S$100,2,FALSE), " ")</f>
        <v xml:space="preserve"> </v>
      </c>
      <c r="Z102" s="55"/>
      <c r="AA102" s="32"/>
      <c r="AB102" s="32"/>
      <c r="AC102" s="55"/>
      <c r="AD102" s="32"/>
      <c r="AE102" s="54"/>
      <c r="AF102" s="21" t="str">
        <f>IFERROR(VLOOKUP(October[[#This Row],[Drug Name3]],'Data Options'!$R$1:$S$100,2,FALSE), " ")</f>
        <v xml:space="preserve"> </v>
      </c>
      <c r="AG102" s="55"/>
      <c r="AH102" s="32"/>
      <c r="AI102" s="32"/>
      <c r="AJ102" s="55"/>
      <c r="AK102" s="32"/>
      <c r="AL102" s="32"/>
      <c r="AM102" s="32"/>
      <c r="AN102" s="32"/>
      <c r="AO102" s="32"/>
      <c r="AP102" s="31"/>
      <c r="AQ102" s="31"/>
      <c r="AR102" s="54"/>
      <c r="AS102" s="21" t="str">
        <f>IFERROR(VLOOKUP(October[[#This Row],[Drug Name4]],'Data Options'!$R$1:$S$100,2,FALSE), " ")</f>
        <v xml:space="preserve"> </v>
      </c>
      <c r="AT102" s="55"/>
      <c r="AU102" s="32"/>
      <c r="AV102" s="32"/>
      <c r="AW102" s="55"/>
      <c r="AX102" s="32"/>
      <c r="AY102" s="54"/>
      <c r="AZ102" s="21" t="str">
        <f>IFERROR(VLOOKUP(October[[#This Row],[Drug Name5]],'Data Options'!$R$1:$S$100,2,FALSE), " ")</f>
        <v xml:space="preserve"> </v>
      </c>
      <c r="BA102" s="55"/>
      <c r="BB102" s="32"/>
      <c r="BC102" s="32"/>
      <c r="BD102" s="55"/>
      <c r="BE102" s="32"/>
      <c r="BF102" s="54"/>
      <c r="BG102" s="21" t="str">
        <f>IFERROR(VLOOKUP(October[[#This Row],[Drug Name6]],'Data Options'!$R$1:$S$100,2,FALSE), " ")</f>
        <v xml:space="preserve"> </v>
      </c>
      <c r="BH102" s="55"/>
      <c r="BI102" s="32"/>
      <c r="BJ102" s="32"/>
      <c r="BK102" s="55"/>
      <c r="BL102" s="32"/>
      <c r="BM102" s="32"/>
      <c r="BN102" s="32"/>
      <c r="BO102" s="32"/>
      <c r="BP102" s="32"/>
      <c r="BQ102" s="31"/>
      <c r="BR102" s="31"/>
      <c r="BS102" s="54"/>
      <c r="BT102" s="21" t="str">
        <f>IFERROR(VLOOKUP(October[[#This Row],[Drug Name7]],'Data Options'!$R$1:$S$100,2,FALSE), " ")</f>
        <v xml:space="preserve"> </v>
      </c>
      <c r="BU102" s="55"/>
      <c r="BV102" s="32"/>
      <c r="BW102" s="32"/>
      <c r="BX102" s="55"/>
      <c r="BY102" s="32"/>
      <c r="BZ102" s="54"/>
      <c r="CA102" s="21" t="str">
        <f>IFERROR(VLOOKUP(October[[#This Row],[Drug Name8]],'Data Options'!$R$1:$S$100,2,FALSE), " ")</f>
        <v xml:space="preserve"> </v>
      </c>
      <c r="CB102" s="55"/>
      <c r="CC102" s="32"/>
      <c r="CD102" s="32"/>
      <c r="CE102" s="55"/>
      <c r="CF102" s="32"/>
      <c r="CG102" s="54"/>
      <c r="CH102" s="21" t="str">
        <f>IFERROR(VLOOKUP(October[[#This Row],[Drug Name9]],'Data Options'!$R$1:$S$100,2,FALSE), " ")</f>
        <v xml:space="preserve"> </v>
      </c>
      <c r="CI102" s="55"/>
      <c r="CJ102" s="32"/>
      <c r="CK102" s="32"/>
      <c r="CL102" s="55"/>
      <c r="CM102" s="32"/>
    </row>
    <row r="103" spans="1:91">
      <c r="A103" s="5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1"/>
      <c r="Q103" s="54"/>
      <c r="R103" s="21" t="str">
        <f>IFERROR(VLOOKUP(October[[#This Row],[Drug Name]],'Data Options'!$R$1:$S$100,2,FALSE), " ")</f>
        <v xml:space="preserve"> </v>
      </c>
      <c r="S103" s="55"/>
      <c r="T103" s="32"/>
      <c r="U103" s="32"/>
      <c r="V103" s="55"/>
      <c r="W103" s="32"/>
      <c r="X103" s="54"/>
      <c r="Y103" s="21" t="str">
        <f>IFERROR(VLOOKUP(October[[#This Row],[Drug Name2]],'Data Options'!$R$1:$S$100,2,FALSE), " ")</f>
        <v xml:space="preserve"> </v>
      </c>
      <c r="Z103" s="55"/>
      <c r="AA103" s="32"/>
      <c r="AB103" s="32"/>
      <c r="AC103" s="55"/>
      <c r="AD103" s="32"/>
      <c r="AE103" s="54"/>
      <c r="AF103" s="21" t="str">
        <f>IFERROR(VLOOKUP(October[[#This Row],[Drug Name3]],'Data Options'!$R$1:$S$100,2,FALSE), " ")</f>
        <v xml:space="preserve"> </v>
      </c>
      <c r="AG103" s="55"/>
      <c r="AH103" s="32"/>
      <c r="AI103" s="32"/>
      <c r="AJ103" s="55"/>
      <c r="AK103" s="32"/>
      <c r="AL103" s="32"/>
      <c r="AM103" s="32"/>
      <c r="AN103" s="32"/>
      <c r="AO103" s="32"/>
      <c r="AP103" s="31"/>
      <c r="AQ103" s="31"/>
      <c r="AR103" s="54"/>
      <c r="AS103" s="21" t="str">
        <f>IFERROR(VLOOKUP(October[[#This Row],[Drug Name4]],'Data Options'!$R$1:$S$100,2,FALSE), " ")</f>
        <v xml:space="preserve"> </v>
      </c>
      <c r="AT103" s="55"/>
      <c r="AU103" s="32"/>
      <c r="AV103" s="32"/>
      <c r="AW103" s="55"/>
      <c r="AX103" s="32"/>
      <c r="AY103" s="54"/>
      <c r="AZ103" s="21" t="str">
        <f>IFERROR(VLOOKUP(October[[#This Row],[Drug Name5]],'Data Options'!$R$1:$S$100,2,FALSE), " ")</f>
        <v xml:space="preserve"> </v>
      </c>
      <c r="BA103" s="55"/>
      <c r="BB103" s="32"/>
      <c r="BC103" s="32"/>
      <c r="BD103" s="55"/>
      <c r="BE103" s="32"/>
      <c r="BF103" s="54"/>
      <c r="BG103" s="21" t="str">
        <f>IFERROR(VLOOKUP(October[[#This Row],[Drug Name6]],'Data Options'!$R$1:$S$100,2,FALSE), " ")</f>
        <v xml:space="preserve"> </v>
      </c>
      <c r="BH103" s="55"/>
      <c r="BI103" s="32"/>
      <c r="BJ103" s="32"/>
      <c r="BK103" s="55"/>
      <c r="BL103" s="32"/>
      <c r="BM103" s="32"/>
      <c r="BN103" s="32"/>
      <c r="BO103" s="32"/>
      <c r="BP103" s="32"/>
      <c r="BQ103" s="31"/>
      <c r="BR103" s="31"/>
      <c r="BS103" s="54"/>
      <c r="BT103" s="21" t="str">
        <f>IFERROR(VLOOKUP(October[[#This Row],[Drug Name7]],'Data Options'!$R$1:$S$100,2,FALSE), " ")</f>
        <v xml:space="preserve"> </v>
      </c>
      <c r="BU103" s="55"/>
      <c r="BV103" s="32"/>
      <c r="BW103" s="32"/>
      <c r="BX103" s="55"/>
      <c r="BY103" s="32"/>
      <c r="BZ103" s="54"/>
      <c r="CA103" s="21" t="str">
        <f>IFERROR(VLOOKUP(October[[#This Row],[Drug Name8]],'Data Options'!$R$1:$S$100,2,FALSE), " ")</f>
        <v xml:space="preserve"> </v>
      </c>
      <c r="CB103" s="55"/>
      <c r="CC103" s="32"/>
      <c r="CD103" s="32"/>
      <c r="CE103" s="55"/>
      <c r="CF103" s="32"/>
      <c r="CG103" s="54"/>
      <c r="CH103" s="21" t="str">
        <f>IFERROR(VLOOKUP(October[[#This Row],[Drug Name9]],'Data Options'!$R$1:$S$100,2,FALSE), " ")</f>
        <v xml:space="preserve"> </v>
      </c>
      <c r="CI103" s="55"/>
      <c r="CJ103" s="32"/>
      <c r="CK103" s="32"/>
      <c r="CL103" s="55"/>
      <c r="CM103" s="32"/>
    </row>
    <row r="104" spans="1:91">
      <c r="A104" s="5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Q104" s="54"/>
      <c r="R104" s="21" t="str">
        <f>IFERROR(VLOOKUP(October[[#This Row],[Drug Name]],'Data Options'!$R$1:$S$100,2,FALSE), " ")</f>
        <v xml:space="preserve"> </v>
      </c>
      <c r="S104" s="55"/>
      <c r="T104" s="32"/>
      <c r="U104" s="32"/>
      <c r="V104" s="55"/>
      <c r="W104" s="32"/>
      <c r="X104" s="54"/>
      <c r="Y104" s="21" t="str">
        <f>IFERROR(VLOOKUP(October[[#This Row],[Drug Name2]],'Data Options'!$R$1:$S$100,2,FALSE), " ")</f>
        <v xml:space="preserve"> </v>
      </c>
      <c r="Z104" s="55"/>
      <c r="AA104" s="32"/>
      <c r="AB104" s="32"/>
      <c r="AC104" s="55"/>
      <c r="AD104" s="32"/>
      <c r="AE104" s="54"/>
      <c r="AF104" s="21" t="str">
        <f>IFERROR(VLOOKUP(October[[#This Row],[Drug Name3]],'Data Options'!$R$1:$S$100,2,FALSE), " ")</f>
        <v xml:space="preserve"> </v>
      </c>
      <c r="AG104" s="55"/>
      <c r="AH104" s="32"/>
      <c r="AI104" s="32"/>
      <c r="AJ104" s="55"/>
      <c r="AK104" s="32"/>
      <c r="AL104" s="32"/>
      <c r="AM104" s="32"/>
      <c r="AN104" s="32"/>
      <c r="AO104" s="32"/>
      <c r="AP104" s="31"/>
      <c r="AQ104" s="31"/>
      <c r="AR104" s="54"/>
      <c r="AS104" s="21" t="str">
        <f>IFERROR(VLOOKUP(October[[#This Row],[Drug Name4]],'Data Options'!$R$1:$S$100,2,FALSE), " ")</f>
        <v xml:space="preserve"> </v>
      </c>
      <c r="AT104" s="55"/>
      <c r="AU104" s="32"/>
      <c r="AV104" s="32"/>
      <c r="AW104" s="55"/>
      <c r="AX104" s="32"/>
      <c r="AY104" s="54"/>
      <c r="AZ104" s="21" t="str">
        <f>IFERROR(VLOOKUP(October[[#This Row],[Drug Name5]],'Data Options'!$R$1:$S$100,2,FALSE), " ")</f>
        <v xml:space="preserve"> </v>
      </c>
      <c r="BA104" s="55"/>
      <c r="BB104" s="32"/>
      <c r="BC104" s="32"/>
      <c r="BD104" s="55"/>
      <c r="BE104" s="32"/>
      <c r="BF104" s="54"/>
      <c r="BG104" s="21" t="str">
        <f>IFERROR(VLOOKUP(October[[#This Row],[Drug Name6]],'Data Options'!$R$1:$S$100,2,FALSE), " ")</f>
        <v xml:space="preserve"> </v>
      </c>
      <c r="BH104" s="55"/>
      <c r="BI104" s="32"/>
      <c r="BJ104" s="32"/>
      <c r="BK104" s="55"/>
      <c r="BL104" s="32"/>
      <c r="BM104" s="32"/>
      <c r="BN104" s="32"/>
      <c r="BO104" s="32"/>
      <c r="BP104" s="32"/>
      <c r="BQ104" s="31"/>
      <c r="BR104" s="31"/>
      <c r="BS104" s="54"/>
      <c r="BT104" s="21" t="str">
        <f>IFERROR(VLOOKUP(October[[#This Row],[Drug Name7]],'Data Options'!$R$1:$S$100,2,FALSE), " ")</f>
        <v xml:space="preserve"> </v>
      </c>
      <c r="BU104" s="55"/>
      <c r="BV104" s="32"/>
      <c r="BW104" s="32"/>
      <c r="BX104" s="55"/>
      <c r="BY104" s="32"/>
      <c r="BZ104" s="54"/>
      <c r="CA104" s="21" t="str">
        <f>IFERROR(VLOOKUP(October[[#This Row],[Drug Name8]],'Data Options'!$R$1:$S$100,2,FALSE), " ")</f>
        <v xml:space="preserve"> </v>
      </c>
      <c r="CB104" s="55"/>
      <c r="CC104" s="32"/>
      <c r="CD104" s="32"/>
      <c r="CE104" s="55"/>
      <c r="CF104" s="32"/>
      <c r="CG104" s="54"/>
      <c r="CH104" s="21" t="str">
        <f>IFERROR(VLOOKUP(October[[#This Row],[Drug Name9]],'Data Options'!$R$1:$S$100,2,FALSE), " ")</f>
        <v xml:space="preserve"> </v>
      </c>
      <c r="CI104" s="55"/>
      <c r="CJ104" s="32"/>
      <c r="CK104" s="32"/>
      <c r="CL104" s="55"/>
      <c r="CM104" s="32"/>
    </row>
    <row r="105" spans="1:91">
      <c r="A105" s="5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1"/>
      <c r="Q105" s="54"/>
      <c r="R105" s="21" t="str">
        <f>IFERROR(VLOOKUP(October[[#This Row],[Drug Name]],'Data Options'!$R$1:$S$100,2,FALSE), " ")</f>
        <v xml:space="preserve"> </v>
      </c>
      <c r="S105" s="55"/>
      <c r="T105" s="32"/>
      <c r="U105" s="32"/>
      <c r="V105" s="55"/>
      <c r="W105" s="32"/>
      <c r="X105" s="54"/>
      <c r="Y105" s="21" t="str">
        <f>IFERROR(VLOOKUP(October[[#This Row],[Drug Name2]],'Data Options'!$R$1:$S$100,2,FALSE), " ")</f>
        <v xml:space="preserve"> </v>
      </c>
      <c r="Z105" s="55"/>
      <c r="AA105" s="32"/>
      <c r="AB105" s="32"/>
      <c r="AC105" s="55"/>
      <c r="AD105" s="32"/>
      <c r="AE105" s="54"/>
      <c r="AF105" s="21" t="str">
        <f>IFERROR(VLOOKUP(October[[#This Row],[Drug Name3]],'Data Options'!$R$1:$S$100,2,FALSE), " ")</f>
        <v xml:space="preserve"> </v>
      </c>
      <c r="AG105" s="55"/>
      <c r="AH105" s="32"/>
      <c r="AI105" s="32"/>
      <c r="AJ105" s="55"/>
      <c r="AK105" s="32"/>
      <c r="AL105" s="32"/>
      <c r="AM105" s="32"/>
      <c r="AN105" s="32"/>
      <c r="AO105" s="32"/>
      <c r="AP105" s="31"/>
      <c r="AQ105" s="31"/>
      <c r="AR105" s="54"/>
      <c r="AS105" s="21" t="str">
        <f>IFERROR(VLOOKUP(October[[#This Row],[Drug Name4]],'Data Options'!$R$1:$S$100,2,FALSE), " ")</f>
        <v xml:space="preserve"> </v>
      </c>
      <c r="AT105" s="55"/>
      <c r="AU105" s="32"/>
      <c r="AV105" s="32"/>
      <c r="AW105" s="55"/>
      <c r="AX105" s="32"/>
      <c r="AY105" s="54"/>
      <c r="AZ105" s="21" t="str">
        <f>IFERROR(VLOOKUP(October[[#This Row],[Drug Name5]],'Data Options'!$R$1:$S$100,2,FALSE), " ")</f>
        <v xml:space="preserve"> </v>
      </c>
      <c r="BA105" s="55"/>
      <c r="BB105" s="32"/>
      <c r="BC105" s="32"/>
      <c r="BD105" s="55"/>
      <c r="BE105" s="32"/>
      <c r="BF105" s="54"/>
      <c r="BG105" s="21" t="str">
        <f>IFERROR(VLOOKUP(October[[#This Row],[Drug Name6]],'Data Options'!$R$1:$S$100,2,FALSE), " ")</f>
        <v xml:space="preserve"> </v>
      </c>
      <c r="BH105" s="55"/>
      <c r="BI105" s="32"/>
      <c r="BJ105" s="32"/>
      <c r="BK105" s="55"/>
      <c r="BL105" s="32"/>
      <c r="BM105" s="32"/>
      <c r="BN105" s="32"/>
      <c r="BO105" s="32"/>
      <c r="BP105" s="32"/>
      <c r="BQ105" s="31"/>
      <c r="BR105" s="31"/>
      <c r="BS105" s="54"/>
      <c r="BT105" s="21" t="str">
        <f>IFERROR(VLOOKUP(October[[#This Row],[Drug Name7]],'Data Options'!$R$1:$S$100,2,FALSE), " ")</f>
        <v xml:space="preserve"> </v>
      </c>
      <c r="BU105" s="55"/>
      <c r="BV105" s="32"/>
      <c r="BW105" s="32"/>
      <c r="BX105" s="55"/>
      <c r="BY105" s="32"/>
      <c r="BZ105" s="54"/>
      <c r="CA105" s="21" t="str">
        <f>IFERROR(VLOOKUP(October[[#This Row],[Drug Name8]],'Data Options'!$R$1:$S$100,2,FALSE), " ")</f>
        <v xml:space="preserve"> </v>
      </c>
      <c r="CB105" s="55"/>
      <c r="CC105" s="32"/>
      <c r="CD105" s="32"/>
      <c r="CE105" s="55"/>
      <c r="CF105" s="32"/>
      <c r="CG105" s="54"/>
      <c r="CH105" s="21" t="str">
        <f>IFERROR(VLOOKUP(October[[#This Row],[Drug Name9]],'Data Options'!$R$1:$S$100,2,FALSE), " ")</f>
        <v xml:space="preserve"> </v>
      </c>
      <c r="CI105" s="55"/>
      <c r="CJ105" s="32"/>
      <c r="CK105" s="32"/>
      <c r="CL105" s="55"/>
      <c r="CM105" s="32"/>
    </row>
    <row r="106" spans="1:91">
      <c r="A106" s="5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1"/>
      <c r="P106" s="31"/>
      <c r="Q106" s="54"/>
      <c r="R106" s="21" t="str">
        <f>IFERROR(VLOOKUP(October[[#This Row],[Drug Name]],'Data Options'!$R$1:$S$100,2,FALSE), " ")</f>
        <v xml:space="preserve"> </v>
      </c>
      <c r="S106" s="55"/>
      <c r="T106" s="32"/>
      <c r="U106" s="32"/>
      <c r="V106" s="55"/>
      <c r="W106" s="32"/>
      <c r="X106" s="54"/>
      <c r="Y106" s="21" t="str">
        <f>IFERROR(VLOOKUP(October[[#This Row],[Drug Name2]],'Data Options'!$R$1:$S$100,2,FALSE), " ")</f>
        <v xml:space="preserve"> </v>
      </c>
      <c r="Z106" s="55"/>
      <c r="AA106" s="32"/>
      <c r="AB106" s="32"/>
      <c r="AC106" s="55"/>
      <c r="AD106" s="32"/>
      <c r="AE106" s="54"/>
      <c r="AF106" s="21" t="str">
        <f>IFERROR(VLOOKUP(October[[#This Row],[Drug Name3]],'Data Options'!$R$1:$S$100,2,FALSE), " ")</f>
        <v xml:space="preserve"> </v>
      </c>
      <c r="AG106" s="55"/>
      <c r="AH106" s="32"/>
      <c r="AI106" s="32"/>
      <c r="AJ106" s="55"/>
      <c r="AK106" s="32"/>
      <c r="AL106" s="32"/>
      <c r="AM106" s="32"/>
      <c r="AN106" s="32"/>
      <c r="AO106" s="32"/>
      <c r="AP106" s="31"/>
      <c r="AQ106" s="31"/>
      <c r="AR106" s="54"/>
      <c r="AS106" s="21" t="str">
        <f>IFERROR(VLOOKUP(October[[#This Row],[Drug Name4]],'Data Options'!$R$1:$S$100,2,FALSE), " ")</f>
        <v xml:space="preserve"> </v>
      </c>
      <c r="AT106" s="55"/>
      <c r="AU106" s="32"/>
      <c r="AV106" s="32"/>
      <c r="AW106" s="55"/>
      <c r="AX106" s="32"/>
      <c r="AY106" s="54"/>
      <c r="AZ106" s="21" t="str">
        <f>IFERROR(VLOOKUP(October[[#This Row],[Drug Name5]],'Data Options'!$R$1:$S$100,2,FALSE), " ")</f>
        <v xml:space="preserve"> </v>
      </c>
      <c r="BA106" s="55"/>
      <c r="BB106" s="32"/>
      <c r="BC106" s="32"/>
      <c r="BD106" s="55"/>
      <c r="BE106" s="32"/>
      <c r="BF106" s="54"/>
      <c r="BG106" s="21" t="str">
        <f>IFERROR(VLOOKUP(October[[#This Row],[Drug Name6]],'Data Options'!$R$1:$S$100,2,FALSE), " ")</f>
        <v xml:space="preserve"> </v>
      </c>
      <c r="BH106" s="55"/>
      <c r="BI106" s="32"/>
      <c r="BJ106" s="32"/>
      <c r="BK106" s="55"/>
      <c r="BL106" s="32"/>
      <c r="BM106" s="32"/>
      <c r="BN106" s="32"/>
      <c r="BO106" s="32"/>
      <c r="BP106" s="32"/>
      <c r="BQ106" s="31"/>
      <c r="BR106" s="31"/>
      <c r="BS106" s="54"/>
      <c r="BT106" s="21" t="str">
        <f>IFERROR(VLOOKUP(October[[#This Row],[Drug Name7]],'Data Options'!$R$1:$S$100,2,FALSE), " ")</f>
        <v xml:space="preserve"> </v>
      </c>
      <c r="BU106" s="55"/>
      <c r="BV106" s="32"/>
      <c r="BW106" s="32"/>
      <c r="BX106" s="55"/>
      <c r="BY106" s="32"/>
      <c r="BZ106" s="54"/>
      <c r="CA106" s="21" t="str">
        <f>IFERROR(VLOOKUP(October[[#This Row],[Drug Name8]],'Data Options'!$R$1:$S$100,2,FALSE), " ")</f>
        <v xml:space="preserve"> </v>
      </c>
      <c r="CB106" s="55"/>
      <c r="CC106" s="32"/>
      <c r="CD106" s="32"/>
      <c r="CE106" s="55"/>
      <c r="CF106" s="32"/>
      <c r="CG106" s="54"/>
      <c r="CH106" s="21" t="str">
        <f>IFERROR(VLOOKUP(October[[#This Row],[Drug Name9]],'Data Options'!$R$1:$S$100,2,FALSE), " ")</f>
        <v xml:space="preserve"> </v>
      </c>
      <c r="CI106" s="55"/>
      <c r="CJ106" s="32"/>
      <c r="CK106" s="32"/>
      <c r="CL106" s="55"/>
      <c r="CM106" s="32"/>
    </row>
    <row r="107" spans="1:91">
      <c r="A107" s="5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1"/>
      <c r="P107" s="31"/>
      <c r="Q107" s="54"/>
      <c r="R107" s="21" t="str">
        <f>IFERROR(VLOOKUP(October[[#This Row],[Drug Name]],'Data Options'!$R$1:$S$100,2,FALSE), " ")</f>
        <v xml:space="preserve"> </v>
      </c>
      <c r="S107" s="55"/>
      <c r="T107" s="32"/>
      <c r="U107" s="32"/>
      <c r="V107" s="55"/>
      <c r="W107" s="32"/>
      <c r="X107" s="54"/>
      <c r="Y107" s="21" t="str">
        <f>IFERROR(VLOOKUP(October[[#This Row],[Drug Name2]],'Data Options'!$R$1:$S$100,2,FALSE), " ")</f>
        <v xml:space="preserve"> </v>
      </c>
      <c r="Z107" s="55"/>
      <c r="AA107" s="32"/>
      <c r="AB107" s="32"/>
      <c r="AC107" s="55"/>
      <c r="AD107" s="32"/>
      <c r="AE107" s="54"/>
      <c r="AF107" s="21" t="str">
        <f>IFERROR(VLOOKUP(October[[#This Row],[Drug Name3]],'Data Options'!$R$1:$S$100,2,FALSE), " ")</f>
        <v xml:space="preserve"> </v>
      </c>
      <c r="AG107" s="55"/>
      <c r="AH107" s="32"/>
      <c r="AI107" s="32"/>
      <c r="AJ107" s="55"/>
      <c r="AK107" s="32"/>
      <c r="AL107" s="32"/>
      <c r="AM107" s="32"/>
      <c r="AN107" s="32"/>
      <c r="AO107" s="32"/>
      <c r="AP107" s="31"/>
      <c r="AQ107" s="31"/>
      <c r="AR107" s="54"/>
      <c r="AS107" s="21" t="str">
        <f>IFERROR(VLOOKUP(October[[#This Row],[Drug Name4]],'Data Options'!$R$1:$S$100,2,FALSE), " ")</f>
        <v xml:space="preserve"> </v>
      </c>
      <c r="AT107" s="55"/>
      <c r="AU107" s="32"/>
      <c r="AV107" s="32"/>
      <c r="AW107" s="55"/>
      <c r="AX107" s="32"/>
      <c r="AY107" s="54"/>
      <c r="AZ107" s="21" t="str">
        <f>IFERROR(VLOOKUP(October[[#This Row],[Drug Name5]],'Data Options'!$R$1:$S$100,2,FALSE), " ")</f>
        <v xml:space="preserve"> </v>
      </c>
      <c r="BA107" s="55"/>
      <c r="BB107" s="32"/>
      <c r="BC107" s="32"/>
      <c r="BD107" s="55"/>
      <c r="BE107" s="32"/>
      <c r="BF107" s="54"/>
      <c r="BG107" s="21" t="str">
        <f>IFERROR(VLOOKUP(October[[#This Row],[Drug Name6]],'Data Options'!$R$1:$S$100,2,FALSE), " ")</f>
        <v xml:space="preserve"> </v>
      </c>
      <c r="BH107" s="55"/>
      <c r="BI107" s="32"/>
      <c r="BJ107" s="32"/>
      <c r="BK107" s="55"/>
      <c r="BL107" s="32"/>
      <c r="BM107" s="32"/>
      <c r="BN107" s="32"/>
      <c r="BO107" s="32"/>
      <c r="BP107" s="32"/>
      <c r="BQ107" s="31"/>
      <c r="BR107" s="31"/>
      <c r="BS107" s="54"/>
      <c r="BT107" s="21" t="str">
        <f>IFERROR(VLOOKUP(October[[#This Row],[Drug Name7]],'Data Options'!$R$1:$S$100,2,FALSE), " ")</f>
        <v xml:space="preserve"> </v>
      </c>
      <c r="BU107" s="55"/>
      <c r="BV107" s="32"/>
      <c r="BW107" s="32"/>
      <c r="BX107" s="55"/>
      <c r="BY107" s="32"/>
      <c r="BZ107" s="54"/>
      <c r="CA107" s="21" t="str">
        <f>IFERROR(VLOOKUP(October[[#This Row],[Drug Name8]],'Data Options'!$R$1:$S$100,2,FALSE), " ")</f>
        <v xml:space="preserve"> </v>
      </c>
      <c r="CB107" s="55"/>
      <c r="CC107" s="32"/>
      <c r="CD107" s="32"/>
      <c r="CE107" s="55"/>
      <c r="CF107" s="32"/>
      <c r="CG107" s="54"/>
      <c r="CH107" s="21" t="str">
        <f>IFERROR(VLOOKUP(October[[#This Row],[Drug Name9]],'Data Options'!$R$1:$S$100,2,FALSE), " ")</f>
        <v xml:space="preserve"> </v>
      </c>
      <c r="CI107" s="55"/>
      <c r="CJ107" s="32"/>
      <c r="CK107" s="32"/>
      <c r="CL107" s="55"/>
      <c r="CM107" s="32"/>
    </row>
    <row r="108" spans="1:91">
      <c r="A108" s="5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1"/>
      <c r="P108" s="31"/>
      <c r="Q108" s="54"/>
      <c r="R108" s="21" t="str">
        <f>IFERROR(VLOOKUP(October[[#This Row],[Drug Name]],'Data Options'!$R$1:$S$100,2,FALSE), " ")</f>
        <v xml:space="preserve"> </v>
      </c>
      <c r="S108" s="55"/>
      <c r="T108" s="32"/>
      <c r="U108" s="32"/>
      <c r="V108" s="55"/>
      <c r="W108" s="32"/>
      <c r="X108" s="54"/>
      <c r="Y108" s="21" t="str">
        <f>IFERROR(VLOOKUP(October[[#This Row],[Drug Name2]],'Data Options'!$R$1:$S$100,2,FALSE), " ")</f>
        <v xml:space="preserve"> </v>
      </c>
      <c r="Z108" s="55"/>
      <c r="AA108" s="32"/>
      <c r="AB108" s="32"/>
      <c r="AC108" s="55"/>
      <c r="AD108" s="32"/>
      <c r="AE108" s="54"/>
      <c r="AF108" s="21" t="str">
        <f>IFERROR(VLOOKUP(October[[#This Row],[Drug Name3]],'Data Options'!$R$1:$S$100,2,FALSE), " ")</f>
        <v xml:space="preserve"> </v>
      </c>
      <c r="AG108" s="55"/>
      <c r="AH108" s="32"/>
      <c r="AI108" s="32"/>
      <c r="AJ108" s="55"/>
      <c r="AK108" s="32"/>
      <c r="AL108" s="32"/>
      <c r="AM108" s="32"/>
      <c r="AN108" s="32"/>
      <c r="AO108" s="32"/>
      <c r="AP108" s="31"/>
      <c r="AQ108" s="31"/>
      <c r="AR108" s="54"/>
      <c r="AS108" s="21" t="str">
        <f>IFERROR(VLOOKUP(October[[#This Row],[Drug Name4]],'Data Options'!$R$1:$S$100,2,FALSE), " ")</f>
        <v xml:space="preserve"> </v>
      </c>
      <c r="AT108" s="55"/>
      <c r="AU108" s="32"/>
      <c r="AV108" s="32"/>
      <c r="AW108" s="55"/>
      <c r="AX108" s="32"/>
      <c r="AY108" s="54"/>
      <c r="AZ108" s="21" t="str">
        <f>IFERROR(VLOOKUP(October[[#This Row],[Drug Name5]],'Data Options'!$R$1:$S$100,2,FALSE), " ")</f>
        <v xml:space="preserve"> </v>
      </c>
      <c r="BA108" s="55"/>
      <c r="BB108" s="32"/>
      <c r="BC108" s="32"/>
      <c r="BD108" s="55"/>
      <c r="BE108" s="32"/>
      <c r="BF108" s="54"/>
      <c r="BG108" s="21" t="str">
        <f>IFERROR(VLOOKUP(October[[#This Row],[Drug Name6]],'Data Options'!$R$1:$S$100,2,FALSE), " ")</f>
        <v xml:space="preserve"> </v>
      </c>
      <c r="BH108" s="55"/>
      <c r="BI108" s="32"/>
      <c r="BJ108" s="32"/>
      <c r="BK108" s="55"/>
      <c r="BL108" s="32"/>
      <c r="BM108" s="32"/>
      <c r="BN108" s="32"/>
      <c r="BO108" s="32"/>
      <c r="BP108" s="32"/>
      <c r="BQ108" s="31"/>
      <c r="BR108" s="31"/>
      <c r="BS108" s="54"/>
      <c r="BT108" s="21" t="str">
        <f>IFERROR(VLOOKUP(October[[#This Row],[Drug Name7]],'Data Options'!$R$1:$S$100,2,FALSE), " ")</f>
        <v xml:space="preserve"> </v>
      </c>
      <c r="BU108" s="55"/>
      <c r="BV108" s="32"/>
      <c r="BW108" s="32"/>
      <c r="BX108" s="55"/>
      <c r="BY108" s="32"/>
      <c r="BZ108" s="54"/>
      <c r="CA108" s="21" t="str">
        <f>IFERROR(VLOOKUP(October[[#This Row],[Drug Name8]],'Data Options'!$R$1:$S$100,2,FALSE), " ")</f>
        <v xml:space="preserve"> </v>
      </c>
      <c r="CB108" s="55"/>
      <c r="CC108" s="32"/>
      <c r="CD108" s="32"/>
      <c r="CE108" s="55"/>
      <c r="CF108" s="32"/>
      <c r="CG108" s="54"/>
      <c r="CH108" s="21" t="str">
        <f>IFERROR(VLOOKUP(October[[#This Row],[Drug Name9]],'Data Options'!$R$1:$S$100,2,FALSE), " ")</f>
        <v xml:space="preserve"> </v>
      </c>
      <c r="CI108" s="55"/>
      <c r="CJ108" s="32"/>
      <c r="CK108" s="32"/>
      <c r="CL108" s="55"/>
      <c r="CM108" s="32"/>
    </row>
    <row r="109" spans="1:91">
      <c r="A109" s="5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1"/>
      <c r="P109" s="31"/>
      <c r="Q109" s="54"/>
      <c r="R109" s="21" t="str">
        <f>IFERROR(VLOOKUP(October[[#This Row],[Drug Name]],'Data Options'!$R$1:$S$100,2,FALSE), " ")</f>
        <v xml:space="preserve"> </v>
      </c>
      <c r="S109" s="55"/>
      <c r="T109" s="32"/>
      <c r="U109" s="32"/>
      <c r="V109" s="55"/>
      <c r="W109" s="32"/>
      <c r="X109" s="54"/>
      <c r="Y109" s="21" t="str">
        <f>IFERROR(VLOOKUP(October[[#This Row],[Drug Name2]],'Data Options'!$R$1:$S$100,2,FALSE), " ")</f>
        <v xml:space="preserve"> </v>
      </c>
      <c r="Z109" s="55"/>
      <c r="AA109" s="32"/>
      <c r="AB109" s="32"/>
      <c r="AC109" s="55"/>
      <c r="AD109" s="32"/>
      <c r="AE109" s="54"/>
      <c r="AF109" s="21" t="str">
        <f>IFERROR(VLOOKUP(October[[#This Row],[Drug Name3]],'Data Options'!$R$1:$S$100,2,FALSE), " ")</f>
        <v xml:space="preserve"> </v>
      </c>
      <c r="AG109" s="55"/>
      <c r="AH109" s="32"/>
      <c r="AI109" s="32"/>
      <c r="AJ109" s="55"/>
      <c r="AK109" s="32"/>
      <c r="AL109" s="32"/>
      <c r="AM109" s="32"/>
      <c r="AN109" s="32"/>
      <c r="AO109" s="32"/>
      <c r="AP109" s="31"/>
      <c r="AQ109" s="31"/>
      <c r="AR109" s="54"/>
      <c r="AS109" s="21" t="str">
        <f>IFERROR(VLOOKUP(October[[#This Row],[Drug Name4]],'Data Options'!$R$1:$S$100,2,FALSE), " ")</f>
        <v xml:space="preserve"> </v>
      </c>
      <c r="AT109" s="55"/>
      <c r="AU109" s="32"/>
      <c r="AV109" s="32"/>
      <c r="AW109" s="55"/>
      <c r="AX109" s="32"/>
      <c r="AY109" s="54"/>
      <c r="AZ109" s="21" t="str">
        <f>IFERROR(VLOOKUP(October[[#This Row],[Drug Name5]],'Data Options'!$R$1:$S$100,2,FALSE), " ")</f>
        <v xml:space="preserve"> </v>
      </c>
      <c r="BA109" s="55"/>
      <c r="BB109" s="32"/>
      <c r="BC109" s="32"/>
      <c r="BD109" s="55"/>
      <c r="BE109" s="32"/>
      <c r="BF109" s="54"/>
      <c r="BG109" s="21" t="str">
        <f>IFERROR(VLOOKUP(October[[#This Row],[Drug Name6]],'Data Options'!$R$1:$S$100,2,FALSE), " ")</f>
        <v xml:space="preserve"> </v>
      </c>
      <c r="BH109" s="55"/>
      <c r="BI109" s="32"/>
      <c r="BJ109" s="32"/>
      <c r="BK109" s="55"/>
      <c r="BL109" s="32"/>
      <c r="BM109" s="32"/>
      <c r="BN109" s="32"/>
      <c r="BO109" s="32"/>
      <c r="BP109" s="32"/>
      <c r="BQ109" s="31"/>
      <c r="BR109" s="31"/>
      <c r="BS109" s="54"/>
      <c r="BT109" s="21" t="str">
        <f>IFERROR(VLOOKUP(October[[#This Row],[Drug Name7]],'Data Options'!$R$1:$S$100,2,FALSE), " ")</f>
        <v xml:space="preserve"> </v>
      </c>
      <c r="BU109" s="55"/>
      <c r="BV109" s="32"/>
      <c r="BW109" s="32"/>
      <c r="BX109" s="55"/>
      <c r="BY109" s="32"/>
      <c r="BZ109" s="54"/>
      <c r="CA109" s="21" t="str">
        <f>IFERROR(VLOOKUP(October[[#This Row],[Drug Name8]],'Data Options'!$R$1:$S$100,2,FALSE), " ")</f>
        <v xml:space="preserve"> </v>
      </c>
      <c r="CB109" s="55"/>
      <c r="CC109" s="32"/>
      <c r="CD109" s="32"/>
      <c r="CE109" s="55"/>
      <c r="CF109" s="32"/>
      <c r="CG109" s="54"/>
      <c r="CH109" s="21" t="str">
        <f>IFERROR(VLOOKUP(October[[#This Row],[Drug Name9]],'Data Options'!$R$1:$S$100,2,FALSE), " ")</f>
        <v xml:space="preserve"> </v>
      </c>
      <c r="CI109" s="55"/>
      <c r="CJ109" s="32"/>
      <c r="CK109" s="32"/>
      <c r="CL109" s="55"/>
      <c r="CM109" s="32"/>
    </row>
    <row r="110" spans="1:91">
      <c r="A110" s="5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54"/>
      <c r="R110" s="21" t="str">
        <f>IFERROR(VLOOKUP(October[[#This Row],[Drug Name]],'Data Options'!$R$1:$S$100,2,FALSE), " ")</f>
        <v xml:space="preserve"> </v>
      </c>
      <c r="S110" s="55"/>
      <c r="T110" s="32"/>
      <c r="U110" s="32"/>
      <c r="V110" s="55"/>
      <c r="W110" s="32"/>
      <c r="X110" s="54"/>
      <c r="Y110" s="21" t="str">
        <f>IFERROR(VLOOKUP(October[[#This Row],[Drug Name2]],'Data Options'!$R$1:$S$100,2,FALSE), " ")</f>
        <v xml:space="preserve"> </v>
      </c>
      <c r="Z110" s="55"/>
      <c r="AA110" s="32"/>
      <c r="AB110" s="32"/>
      <c r="AC110" s="55"/>
      <c r="AD110" s="32"/>
      <c r="AE110" s="54"/>
      <c r="AF110" s="21" t="str">
        <f>IFERROR(VLOOKUP(October[[#This Row],[Drug Name3]],'Data Options'!$R$1:$S$100,2,FALSE), " ")</f>
        <v xml:space="preserve"> </v>
      </c>
      <c r="AG110" s="55"/>
      <c r="AH110" s="32"/>
      <c r="AI110" s="32"/>
      <c r="AJ110" s="55"/>
      <c r="AK110" s="32"/>
      <c r="AL110" s="32"/>
      <c r="AM110" s="32"/>
      <c r="AN110" s="32"/>
      <c r="AO110" s="32"/>
      <c r="AP110" s="31"/>
      <c r="AQ110" s="31"/>
      <c r="AR110" s="54"/>
      <c r="AS110" s="21" t="str">
        <f>IFERROR(VLOOKUP(October[[#This Row],[Drug Name4]],'Data Options'!$R$1:$S$100,2,FALSE), " ")</f>
        <v xml:space="preserve"> </v>
      </c>
      <c r="AT110" s="55"/>
      <c r="AU110" s="32"/>
      <c r="AV110" s="32"/>
      <c r="AW110" s="55"/>
      <c r="AX110" s="32"/>
      <c r="AY110" s="54"/>
      <c r="AZ110" s="21" t="str">
        <f>IFERROR(VLOOKUP(October[[#This Row],[Drug Name5]],'Data Options'!$R$1:$S$100,2,FALSE), " ")</f>
        <v xml:space="preserve"> </v>
      </c>
      <c r="BA110" s="55"/>
      <c r="BB110" s="32"/>
      <c r="BC110" s="32"/>
      <c r="BD110" s="55"/>
      <c r="BE110" s="32"/>
      <c r="BF110" s="54"/>
      <c r="BG110" s="21" t="str">
        <f>IFERROR(VLOOKUP(October[[#This Row],[Drug Name6]],'Data Options'!$R$1:$S$100,2,FALSE), " ")</f>
        <v xml:space="preserve"> </v>
      </c>
      <c r="BH110" s="55"/>
      <c r="BI110" s="32"/>
      <c r="BJ110" s="32"/>
      <c r="BK110" s="55"/>
      <c r="BL110" s="32"/>
      <c r="BM110" s="32"/>
      <c r="BN110" s="32"/>
      <c r="BO110" s="32"/>
      <c r="BP110" s="32"/>
      <c r="BQ110" s="31"/>
      <c r="BR110" s="31"/>
      <c r="BS110" s="54"/>
      <c r="BT110" s="21" t="str">
        <f>IFERROR(VLOOKUP(October[[#This Row],[Drug Name7]],'Data Options'!$R$1:$S$100,2,FALSE), " ")</f>
        <v xml:space="preserve"> </v>
      </c>
      <c r="BU110" s="55"/>
      <c r="BV110" s="32"/>
      <c r="BW110" s="32"/>
      <c r="BX110" s="55"/>
      <c r="BY110" s="32"/>
      <c r="BZ110" s="54"/>
      <c r="CA110" s="21" t="str">
        <f>IFERROR(VLOOKUP(October[[#This Row],[Drug Name8]],'Data Options'!$R$1:$S$100,2,FALSE), " ")</f>
        <v xml:space="preserve"> </v>
      </c>
      <c r="CB110" s="55"/>
      <c r="CC110" s="32"/>
      <c r="CD110" s="32"/>
      <c r="CE110" s="55"/>
      <c r="CF110" s="32"/>
      <c r="CG110" s="54"/>
      <c r="CH110" s="21" t="str">
        <f>IFERROR(VLOOKUP(October[[#This Row],[Drug Name9]],'Data Options'!$R$1:$S$100,2,FALSE), " ")</f>
        <v xml:space="preserve"> </v>
      </c>
      <c r="CI110" s="55"/>
      <c r="CJ110" s="32"/>
      <c r="CK110" s="32"/>
      <c r="CL110" s="55"/>
      <c r="CM110" s="32"/>
    </row>
    <row r="111" spans="1:91">
      <c r="A111" s="5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1"/>
      <c r="P111" s="31"/>
      <c r="Q111" s="54"/>
      <c r="R111" s="21" t="str">
        <f>IFERROR(VLOOKUP(October[[#This Row],[Drug Name]],'Data Options'!$R$1:$S$100,2,FALSE), " ")</f>
        <v xml:space="preserve"> </v>
      </c>
      <c r="S111" s="55"/>
      <c r="T111" s="32"/>
      <c r="U111" s="32"/>
      <c r="V111" s="55"/>
      <c r="W111" s="32"/>
      <c r="X111" s="54"/>
      <c r="Y111" s="21" t="str">
        <f>IFERROR(VLOOKUP(October[[#This Row],[Drug Name2]],'Data Options'!$R$1:$S$100,2,FALSE), " ")</f>
        <v xml:space="preserve"> </v>
      </c>
      <c r="Z111" s="55"/>
      <c r="AA111" s="32"/>
      <c r="AB111" s="32"/>
      <c r="AC111" s="55"/>
      <c r="AD111" s="32"/>
      <c r="AE111" s="54"/>
      <c r="AF111" s="21" t="str">
        <f>IFERROR(VLOOKUP(October[[#This Row],[Drug Name3]],'Data Options'!$R$1:$S$100,2,FALSE), " ")</f>
        <v xml:space="preserve"> </v>
      </c>
      <c r="AG111" s="55"/>
      <c r="AH111" s="32"/>
      <c r="AI111" s="32"/>
      <c r="AJ111" s="55"/>
      <c r="AK111" s="32"/>
      <c r="AL111" s="32"/>
      <c r="AM111" s="32"/>
      <c r="AN111" s="32"/>
      <c r="AO111" s="32"/>
      <c r="AP111" s="31"/>
      <c r="AQ111" s="31"/>
      <c r="AR111" s="54"/>
      <c r="AS111" s="21" t="str">
        <f>IFERROR(VLOOKUP(October[[#This Row],[Drug Name4]],'Data Options'!$R$1:$S$100,2,FALSE), " ")</f>
        <v xml:space="preserve"> </v>
      </c>
      <c r="AT111" s="55"/>
      <c r="AU111" s="32"/>
      <c r="AV111" s="32"/>
      <c r="AW111" s="55"/>
      <c r="AX111" s="32"/>
      <c r="AY111" s="54"/>
      <c r="AZ111" s="21" t="str">
        <f>IFERROR(VLOOKUP(October[[#This Row],[Drug Name5]],'Data Options'!$R$1:$S$100,2,FALSE), " ")</f>
        <v xml:space="preserve"> </v>
      </c>
      <c r="BA111" s="55"/>
      <c r="BB111" s="32"/>
      <c r="BC111" s="32"/>
      <c r="BD111" s="55"/>
      <c r="BE111" s="32"/>
      <c r="BF111" s="54"/>
      <c r="BG111" s="21" t="str">
        <f>IFERROR(VLOOKUP(October[[#This Row],[Drug Name6]],'Data Options'!$R$1:$S$100,2,FALSE), " ")</f>
        <v xml:space="preserve"> </v>
      </c>
      <c r="BH111" s="55"/>
      <c r="BI111" s="32"/>
      <c r="BJ111" s="32"/>
      <c r="BK111" s="55"/>
      <c r="BL111" s="32"/>
      <c r="BM111" s="32"/>
      <c r="BN111" s="32"/>
      <c r="BO111" s="32"/>
      <c r="BP111" s="32"/>
      <c r="BQ111" s="31"/>
      <c r="BR111" s="31"/>
      <c r="BS111" s="54"/>
      <c r="BT111" s="21" t="str">
        <f>IFERROR(VLOOKUP(October[[#This Row],[Drug Name7]],'Data Options'!$R$1:$S$100,2,FALSE), " ")</f>
        <v xml:space="preserve"> </v>
      </c>
      <c r="BU111" s="55"/>
      <c r="BV111" s="32"/>
      <c r="BW111" s="32"/>
      <c r="BX111" s="55"/>
      <c r="BY111" s="32"/>
      <c r="BZ111" s="54"/>
      <c r="CA111" s="21" t="str">
        <f>IFERROR(VLOOKUP(October[[#This Row],[Drug Name8]],'Data Options'!$R$1:$S$100,2,FALSE), " ")</f>
        <v xml:space="preserve"> </v>
      </c>
      <c r="CB111" s="55"/>
      <c r="CC111" s="32"/>
      <c r="CD111" s="32"/>
      <c r="CE111" s="55"/>
      <c r="CF111" s="32"/>
      <c r="CG111" s="54"/>
      <c r="CH111" s="21" t="str">
        <f>IFERROR(VLOOKUP(October[[#This Row],[Drug Name9]],'Data Options'!$R$1:$S$100,2,FALSE), " ")</f>
        <v xml:space="preserve"> </v>
      </c>
      <c r="CI111" s="55"/>
      <c r="CJ111" s="32"/>
      <c r="CK111" s="32"/>
      <c r="CL111" s="55"/>
      <c r="CM111" s="32"/>
    </row>
    <row r="112" spans="1:91">
      <c r="A112" s="5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1"/>
      <c r="P112" s="31"/>
      <c r="Q112" s="54"/>
      <c r="R112" s="21" t="str">
        <f>IFERROR(VLOOKUP(October[[#This Row],[Drug Name]],'Data Options'!$R$1:$S$100,2,FALSE), " ")</f>
        <v xml:space="preserve"> </v>
      </c>
      <c r="S112" s="55"/>
      <c r="T112" s="32"/>
      <c r="U112" s="32"/>
      <c r="V112" s="55"/>
      <c r="W112" s="32"/>
      <c r="X112" s="54"/>
      <c r="Y112" s="21" t="str">
        <f>IFERROR(VLOOKUP(October[[#This Row],[Drug Name2]],'Data Options'!$R$1:$S$100,2,FALSE), " ")</f>
        <v xml:space="preserve"> </v>
      </c>
      <c r="Z112" s="55"/>
      <c r="AA112" s="32"/>
      <c r="AB112" s="32"/>
      <c r="AC112" s="55"/>
      <c r="AD112" s="32"/>
      <c r="AE112" s="54"/>
      <c r="AF112" s="21" t="str">
        <f>IFERROR(VLOOKUP(October[[#This Row],[Drug Name3]],'Data Options'!$R$1:$S$100,2,FALSE), " ")</f>
        <v xml:space="preserve"> </v>
      </c>
      <c r="AG112" s="55"/>
      <c r="AH112" s="32"/>
      <c r="AI112" s="32"/>
      <c r="AJ112" s="55"/>
      <c r="AK112" s="32"/>
      <c r="AL112" s="32"/>
      <c r="AM112" s="32"/>
      <c r="AN112" s="32"/>
      <c r="AO112" s="32"/>
      <c r="AP112" s="31"/>
      <c r="AQ112" s="31"/>
      <c r="AR112" s="54"/>
      <c r="AS112" s="21" t="str">
        <f>IFERROR(VLOOKUP(October[[#This Row],[Drug Name4]],'Data Options'!$R$1:$S$100,2,FALSE), " ")</f>
        <v xml:space="preserve"> </v>
      </c>
      <c r="AT112" s="55"/>
      <c r="AU112" s="32"/>
      <c r="AV112" s="32"/>
      <c r="AW112" s="55"/>
      <c r="AX112" s="32"/>
      <c r="AY112" s="54"/>
      <c r="AZ112" s="21" t="str">
        <f>IFERROR(VLOOKUP(October[[#This Row],[Drug Name5]],'Data Options'!$R$1:$S$100,2,FALSE), " ")</f>
        <v xml:space="preserve"> </v>
      </c>
      <c r="BA112" s="55"/>
      <c r="BB112" s="32"/>
      <c r="BC112" s="32"/>
      <c r="BD112" s="55"/>
      <c r="BE112" s="32"/>
      <c r="BF112" s="54"/>
      <c r="BG112" s="21" t="str">
        <f>IFERROR(VLOOKUP(October[[#This Row],[Drug Name6]],'Data Options'!$R$1:$S$100,2,FALSE), " ")</f>
        <v xml:space="preserve"> </v>
      </c>
      <c r="BH112" s="55"/>
      <c r="BI112" s="32"/>
      <c r="BJ112" s="32"/>
      <c r="BK112" s="55"/>
      <c r="BL112" s="32"/>
      <c r="BM112" s="32"/>
      <c r="BN112" s="32"/>
      <c r="BO112" s="32"/>
      <c r="BP112" s="32"/>
      <c r="BQ112" s="31"/>
      <c r="BR112" s="31"/>
      <c r="BS112" s="54"/>
      <c r="BT112" s="21" t="str">
        <f>IFERROR(VLOOKUP(October[[#This Row],[Drug Name7]],'Data Options'!$R$1:$S$100,2,FALSE), " ")</f>
        <v xml:space="preserve"> </v>
      </c>
      <c r="BU112" s="55"/>
      <c r="BV112" s="32"/>
      <c r="BW112" s="32"/>
      <c r="BX112" s="55"/>
      <c r="BY112" s="32"/>
      <c r="BZ112" s="54"/>
      <c r="CA112" s="21" t="str">
        <f>IFERROR(VLOOKUP(October[[#This Row],[Drug Name8]],'Data Options'!$R$1:$S$100,2,FALSE), " ")</f>
        <v xml:space="preserve"> </v>
      </c>
      <c r="CB112" s="55"/>
      <c r="CC112" s="32"/>
      <c r="CD112" s="32"/>
      <c r="CE112" s="55"/>
      <c r="CF112" s="32"/>
      <c r="CG112" s="54"/>
      <c r="CH112" s="21" t="str">
        <f>IFERROR(VLOOKUP(October[[#This Row],[Drug Name9]],'Data Options'!$R$1:$S$100,2,FALSE), " ")</f>
        <v xml:space="preserve"> </v>
      </c>
      <c r="CI112" s="55"/>
      <c r="CJ112" s="32"/>
      <c r="CK112" s="32"/>
      <c r="CL112" s="55"/>
      <c r="CM112" s="32"/>
    </row>
    <row r="113" spans="1:91">
      <c r="A113" s="5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1"/>
      <c r="P113" s="31"/>
      <c r="Q113" s="54"/>
      <c r="R113" s="21" t="str">
        <f>IFERROR(VLOOKUP(October[[#This Row],[Drug Name]],'Data Options'!$R$1:$S$100,2,FALSE), " ")</f>
        <v xml:space="preserve"> </v>
      </c>
      <c r="S113" s="55"/>
      <c r="T113" s="32"/>
      <c r="U113" s="32"/>
      <c r="V113" s="55"/>
      <c r="W113" s="32"/>
      <c r="X113" s="54"/>
      <c r="Y113" s="21" t="str">
        <f>IFERROR(VLOOKUP(October[[#This Row],[Drug Name2]],'Data Options'!$R$1:$S$100,2,FALSE), " ")</f>
        <v xml:space="preserve"> </v>
      </c>
      <c r="Z113" s="55"/>
      <c r="AA113" s="32"/>
      <c r="AB113" s="32"/>
      <c r="AC113" s="55"/>
      <c r="AD113" s="32"/>
      <c r="AE113" s="54"/>
      <c r="AF113" s="21" t="str">
        <f>IFERROR(VLOOKUP(October[[#This Row],[Drug Name3]],'Data Options'!$R$1:$S$100,2,FALSE), " ")</f>
        <v xml:space="preserve"> </v>
      </c>
      <c r="AG113" s="55"/>
      <c r="AH113" s="32"/>
      <c r="AI113" s="32"/>
      <c r="AJ113" s="55"/>
      <c r="AK113" s="32"/>
      <c r="AL113" s="32"/>
      <c r="AM113" s="32"/>
      <c r="AN113" s="32"/>
      <c r="AO113" s="32"/>
      <c r="AP113" s="31"/>
      <c r="AQ113" s="31"/>
      <c r="AR113" s="54"/>
      <c r="AS113" s="21" t="str">
        <f>IFERROR(VLOOKUP(October[[#This Row],[Drug Name4]],'Data Options'!$R$1:$S$100,2,FALSE), " ")</f>
        <v xml:space="preserve"> </v>
      </c>
      <c r="AT113" s="55"/>
      <c r="AU113" s="32"/>
      <c r="AV113" s="32"/>
      <c r="AW113" s="55"/>
      <c r="AX113" s="32"/>
      <c r="AY113" s="54"/>
      <c r="AZ113" s="21" t="str">
        <f>IFERROR(VLOOKUP(October[[#This Row],[Drug Name5]],'Data Options'!$R$1:$S$100,2,FALSE), " ")</f>
        <v xml:space="preserve"> </v>
      </c>
      <c r="BA113" s="55"/>
      <c r="BB113" s="32"/>
      <c r="BC113" s="32"/>
      <c r="BD113" s="55"/>
      <c r="BE113" s="32"/>
      <c r="BF113" s="54"/>
      <c r="BG113" s="21" t="str">
        <f>IFERROR(VLOOKUP(October[[#This Row],[Drug Name6]],'Data Options'!$R$1:$S$100,2,FALSE), " ")</f>
        <v xml:space="preserve"> </v>
      </c>
      <c r="BH113" s="55"/>
      <c r="BI113" s="32"/>
      <c r="BJ113" s="32"/>
      <c r="BK113" s="55"/>
      <c r="BL113" s="32"/>
      <c r="BM113" s="32"/>
      <c r="BN113" s="32"/>
      <c r="BO113" s="32"/>
      <c r="BP113" s="32"/>
      <c r="BQ113" s="31"/>
      <c r="BR113" s="31"/>
      <c r="BS113" s="54"/>
      <c r="BT113" s="21" t="str">
        <f>IFERROR(VLOOKUP(October[[#This Row],[Drug Name7]],'Data Options'!$R$1:$S$100,2,FALSE), " ")</f>
        <v xml:space="preserve"> </v>
      </c>
      <c r="BU113" s="55"/>
      <c r="BV113" s="32"/>
      <c r="BW113" s="32"/>
      <c r="BX113" s="55"/>
      <c r="BY113" s="32"/>
      <c r="BZ113" s="54"/>
      <c r="CA113" s="21" t="str">
        <f>IFERROR(VLOOKUP(October[[#This Row],[Drug Name8]],'Data Options'!$R$1:$S$100,2,FALSE), " ")</f>
        <v xml:space="preserve"> </v>
      </c>
      <c r="CB113" s="55"/>
      <c r="CC113" s="32"/>
      <c r="CD113" s="32"/>
      <c r="CE113" s="55"/>
      <c r="CF113" s="32"/>
      <c r="CG113" s="54"/>
      <c r="CH113" s="21" t="str">
        <f>IFERROR(VLOOKUP(October[[#This Row],[Drug Name9]],'Data Options'!$R$1:$S$100,2,FALSE), " ")</f>
        <v xml:space="preserve"> </v>
      </c>
      <c r="CI113" s="55"/>
      <c r="CJ113" s="32"/>
      <c r="CK113" s="32"/>
      <c r="CL113" s="55"/>
      <c r="CM113" s="32"/>
    </row>
    <row r="114" spans="1:91">
      <c r="A114" s="5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1"/>
      <c r="P114" s="31"/>
      <c r="Q114" s="54"/>
      <c r="R114" s="21" t="str">
        <f>IFERROR(VLOOKUP(October[[#This Row],[Drug Name]],'Data Options'!$R$1:$S$100,2,FALSE), " ")</f>
        <v xml:space="preserve"> </v>
      </c>
      <c r="S114" s="55"/>
      <c r="T114" s="32"/>
      <c r="U114" s="32"/>
      <c r="V114" s="55"/>
      <c r="W114" s="32"/>
      <c r="X114" s="54"/>
      <c r="Y114" s="21" t="str">
        <f>IFERROR(VLOOKUP(October[[#This Row],[Drug Name2]],'Data Options'!$R$1:$S$100,2,FALSE), " ")</f>
        <v xml:space="preserve"> </v>
      </c>
      <c r="Z114" s="55"/>
      <c r="AA114" s="32"/>
      <c r="AB114" s="32"/>
      <c r="AC114" s="55"/>
      <c r="AD114" s="32"/>
      <c r="AE114" s="54"/>
      <c r="AF114" s="21" t="str">
        <f>IFERROR(VLOOKUP(October[[#This Row],[Drug Name3]],'Data Options'!$R$1:$S$100,2,FALSE), " ")</f>
        <v xml:space="preserve"> </v>
      </c>
      <c r="AG114" s="55"/>
      <c r="AH114" s="32"/>
      <c r="AI114" s="32"/>
      <c r="AJ114" s="55"/>
      <c r="AK114" s="32"/>
      <c r="AL114" s="32"/>
      <c r="AM114" s="32"/>
      <c r="AN114" s="32"/>
      <c r="AO114" s="32"/>
      <c r="AP114" s="31"/>
      <c r="AQ114" s="31"/>
      <c r="AR114" s="54"/>
      <c r="AS114" s="21" t="str">
        <f>IFERROR(VLOOKUP(October[[#This Row],[Drug Name4]],'Data Options'!$R$1:$S$100,2,FALSE), " ")</f>
        <v xml:space="preserve"> </v>
      </c>
      <c r="AT114" s="55"/>
      <c r="AU114" s="32"/>
      <c r="AV114" s="32"/>
      <c r="AW114" s="55"/>
      <c r="AX114" s="32"/>
      <c r="AY114" s="54"/>
      <c r="AZ114" s="21" t="str">
        <f>IFERROR(VLOOKUP(October[[#This Row],[Drug Name5]],'Data Options'!$R$1:$S$100,2,FALSE), " ")</f>
        <v xml:space="preserve"> </v>
      </c>
      <c r="BA114" s="55"/>
      <c r="BB114" s="32"/>
      <c r="BC114" s="32"/>
      <c r="BD114" s="55"/>
      <c r="BE114" s="32"/>
      <c r="BF114" s="54"/>
      <c r="BG114" s="21" t="str">
        <f>IFERROR(VLOOKUP(October[[#This Row],[Drug Name6]],'Data Options'!$R$1:$S$100,2,FALSE), " ")</f>
        <v xml:space="preserve"> </v>
      </c>
      <c r="BH114" s="55"/>
      <c r="BI114" s="32"/>
      <c r="BJ114" s="32"/>
      <c r="BK114" s="55"/>
      <c r="BL114" s="32"/>
      <c r="BM114" s="32"/>
      <c r="BN114" s="32"/>
      <c r="BO114" s="32"/>
      <c r="BP114" s="32"/>
      <c r="BQ114" s="31"/>
      <c r="BR114" s="31"/>
      <c r="BS114" s="54"/>
      <c r="BT114" s="21" t="str">
        <f>IFERROR(VLOOKUP(October[[#This Row],[Drug Name7]],'Data Options'!$R$1:$S$100,2,FALSE), " ")</f>
        <v xml:space="preserve"> </v>
      </c>
      <c r="BU114" s="55"/>
      <c r="BV114" s="32"/>
      <c r="BW114" s="32"/>
      <c r="BX114" s="55"/>
      <c r="BY114" s="32"/>
      <c r="BZ114" s="54"/>
      <c r="CA114" s="21" t="str">
        <f>IFERROR(VLOOKUP(October[[#This Row],[Drug Name8]],'Data Options'!$R$1:$S$100,2,FALSE), " ")</f>
        <v xml:space="preserve"> </v>
      </c>
      <c r="CB114" s="55"/>
      <c r="CC114" s="32"/>
      <c r="CD114" s="32"/>
      <c r="CE114" s="55"/>
      <c r="CF114" s="32"/>
      <c r="CG114" s="54"/>
      <c r="CH114" s="21" t="str">
        <f>IFERROR(VLOOKUP(October[[#This Row],[Drug Name9]],'Data Options'!$R$1:$S$100,2,FALSE), " ")</f>
        <v xml:space="preserve"> </v>
      </c>
      <c r="CI114" s="55"/>
      <c r="CJ114" s="32"/>
      <c r="CK114" s="32"/>
      <c r="CL114" s="55"/>
      <c r="CM114" s="32"/>
    </row>
    <row r="115" spans="1:91">
      <c r="A115" s="5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1"/>
      <c r="P115" s="31"/>
      <c r="Q115" s="54"/>
      <c r="R115" s="21" t="str">
        <f>IFERROR(VLOOKUP(October[[#This Row],[Drug Name]],'Data Options'!$R$1:$S$100,2,FALSE), " ")</f>
        <v xml:space="preserve"> </v>
      </c>
      <c r="S115" s="55"/>
      <c r="T115" s="32"/>
      <c r="U115" s="32"/>
      <c r="V115" s="55"/>
      <c r="W115" s="32"/>
      <c r="X115" s="54"/>
      <c r="Y115" s="21" t="str">
        <f>IFERROR(VLOOKUP(October[[#This Row],[Drug Name2]],'Data Options'!$R$1:$S$100,2,FALSE), " ")</f>
        <v xml:space="preserve"> </v>
      </c>
      <c r="Z115" s="55"/>
      <c r="AA115" s="32"/>
      <c r="AB115" s="32"/>
      <c r="AC115" s="55"/>
      <c r="AD115" s="32"/>
      <c r="AE115" s="54"/>
      <c r="AF115" s="21" t="str">
        <f>IFERROR(VLOOKUP(October[[#This Row],[Drug Name3]],'Data Options'!$R$1:$S$100,2,FALSE), " ")</f>
        <v xml:space="preserve"> </v>
      </c>
      <c r="AG115" s="55"/>
      <c r="AH115" s="32"/>
      <c r="AI115" s="32"/>
      <c r="AJ115" s="55"/>
      <c r="AK115" s="32"/>
      <c r="AL115" s="32"/>
      <c r="AM115" s="32"/>
      <c r="AN115" s="32"/>
      <c r="AO115" s="32"/>
      <c r="AP115" s="31"/>
      <c r="AQ115" s="31"/>
      <c r="AR115" s="54"/>
      <c r="AS115" s="21" t="str">
        <f>IFERROR(VLOOKUP(October[[#This Row],[Drug Name4]],'Data Options'!$R$1:$S$100,2,FALSE), " ")</f>
        <v xml:space="preserve"> </v>
      </c>
      <c r="AT115" s="55"/>
      <c r="AU115" s="32"/>
      <c r="AV115" s="32"/>
      <c r="AW115" s="55"/>
      <c r="AX115" s="32"/>
      <c r="AY115" s="54"/>
      <c r="AZ115" s="21" t="str">
        <f>IFERROR(VLOOKUP(October[[#This Row],[Drug Name5]],'Data Options'!$R$1:$S$100,2,FALSE), " ")</f>
        <v xml:space="preserve"> </v>
      </c>
      <c r="BA115" s="55"/>
      <c r="BB115" s="32"/>
      <c r="BC115" s="32"/>
      <c r="BD115" s="55"/>
      <c r="BE115" s="32"/>
      <c r="BF115" s="54"/>
      <c r="BG115" s="21" t="str">
        <f>IFERROR(VLOOKUP(October[[#This Row],[Drug Name6]],'Data Options'!$R$1:$S$100,2,FALSE), " ")</f>
        <v xml:space="preserve"> </v>
      </c>
      <c r="BH115" s="55"/>
      <c r="BI115" s="32"/>
      <c r="BJ115" s="32"/>
      <c r="BK115" s="55"/>
      <c r="BL115" s="32"/>
      <c r="BM115" s="32"/>
      <c r="BN115" s="32"/>
      <c r="BO115" s="32"/>
      <c r="BP115" s="32"/>
      <c r="BQ115" s="31"/>
      <c r="BR115" s="31"/>
      <c r="BS115" s="54"/>
      <c r="BT115" s="21" t="str">
        <f>IFERROR(VLOOKUP(October[[#This Row],[Drug Name7]],'Data Options'!$R$1:$S$100,2,FALSE), " ")</f>
        <v xml:space="preserve"> </v>
      </c>
      <c r="BU115" s="55"/>
      <c r="BV115" s="32"/>
      <c r="BW115" s="32"/>
      <c r="BX115" s="55"/>
      <c r="BY115" s="32"/>
      <c r="BZ115" s="54"/>
      <c r="CA115" s="21" t="str">
        <f>IFERROR(VLOOKUP(October[[#This Row],[Drug Name8]],'Data Options'!$R$1:$S$100,2,FALSE), " ")</f>
        <v xml:space="preserve"> </v>
      </c>
      <c r="CB115" s="55"/>
      <c r="CC115" s="32"/>
      <c r="CD115" s="32"/>
      <c r="CE115" s="55"/>
      <c r="CF115" s="32"/>
      <c r="CG115" s="54"/>
      <c r="CH115" s="21" t="str">
        <f>IFERROR(VLOOKUP(October[[#This Row],[Drug Name9]],'Data Options'!$R$1:$S$100,2,FALSE), " ")</f>
        <v xml:space="preserve"> </v>
      </c>
      <c r="CI115" s="55"/>
      <c r="CJ115" s="32"/>
      <c r="CK115" s="32"/>
      <c r="CL115" s="55"/>
      <c r="CM115" s="32"/>
    </row>
    <row r="116" spans="1:91">
      <c r="A116" s="5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1"/>
      <c r="P116" s="31"/>
      <c r="Q116" s="54"/>
      <c r="R116" s="21" t="str">
        <f>IFERROR(VLOOKUP(October[[#This Row],[Drug Name]],'Data Options'!$R$1:$S$100,2,FALSE), " ")</f>
        <v xml:space="preserve"> </v>
      </c>
      <c r="S116" s="55"/>
      <c r="T116" s="32"/>
      <c r="U116" s="32"/>
      <c r="V116" s="55"/>
      <c r="W116" s="32"/>
      <c r="X116" s="54"/>
      <c r="Y116" s="21" t="str">
        <f>IFERROR(VLOOKUP(October[[#This Row],[Drug Name2]],'Data Options'!$R$1:$S$100,2,FALSE), " ")</f>
        <v xml:space="preserve"> </v>
      </c>
      <c r="Z116" s="55"/>
      <c r="AA116" s="32"/>
      <c r="AB116" s="32"/>
      <c r="AC116" s="55"/>
      <c r="AD116" s="32"/>
      <c r="AE116" s="54"/>
      <c r="AF116" s="21" t="str">
        <f>IFERROR(VLOOKUP(October[[#This Row],[Drug Name3]],'Data Options'!$R$1:$S$100,2,FALSE), " ")</f>
        <v xml:space="preserve"> </v>
      </c>
      <c r="AG116" s="55"/>
      <c r="AH116" s="32"/>
      <c r="AI116" s="32"/>
      <c r="AJ116" s="55"/>
      <c r="AK116" s="32"/>
      <c r="AL116" s="32"/>
      <c r="AM116" s="32"/>
      <c r="AN116" s="32"/>
      <c r="AO116" s="32"/>
      <c r="AP116" s="31"/>
      <c r="AQ116" s="31"/>
      <c r="AR116" s="54"/>
      <c r="AS116" s="21" t="str">
        <f>IFERROR(VLOOKUP(October[[#This Row],[Drug Name4]],'Data Options'!$R$1:$S$100,2,FALSE), " ")</f>
        <v xml:space="preserve"> </v>
      </c>
      <c r="AT116" s="55"/>
      <c r="AU116" s="32"/>
      <c r="AV116" s="32"/>
      <c r="AW116" s="55"/>
      <c r="AX116" s="32"/>
      <c r="AY116" s="54"/>
      <c r="AZ116" s="21" t="str">
        <f>IFERROR(VLOOKUP(October[[#This Row],[Drug Name5]],'Data Options'!$R$1:$S$100,2,FALSE), " ")</f>
        <v xml:space="preserve"> </v>
      </c>
      <c r="BA116" s="55"/>
      <c r="BB116" s="32"/>
      <c r="BC116" s="32"/>
      <c r="BD116" s="55"/>
      <c r="BE116" s="32"/>
      <c r="BF116" s="54"/>
      <c r="BG116" s="21" t="str">
        <f>IFERROR(VLOOKUP(October[[#This Row],[Drug Name6]],'Data Options'!$R$1:$S$100,2,FALSE), " ")</f>
        <v xml:space="preserve"> </v>
      </c>
      <c r="BH116" s="55"/>
      <c r="BI116" s="32"/>
      <c r="BJ116" s="32"/>
      <c r="BK116" s="55"/>
      <c r="BL116" s="32"/>
      <c r="BM116" s="32"/>
      <c r="BN116" s="32"/>
      <c r="BO116" s="32"/>
      <c r="BP116" s="32"/>
      <c r="BQ116" s="31"/>
      <c r="BR116" s="31"/>
      <c r="BS116" s="54"/>
      <c r="BT116" s="21" t="str">
        <f>IFERROR(VLOOKUP(October[[#This Row],[Drug Name7]],'Data Options'!$R$1:$S$100,2,FALSE), " ")</f>
        <v xml:space="preserve"> </v>
      </c>
      <c r="BU116" s="55"/>
      <c r="BV116" s="32"/>
      <c r="BW116" s="32"/>
      <c r="BX116" s="55"/>
      <c r="BY116" s="32"/>
      <c r="BZ116" s="54"/>
      <c r="CA116" s="21" t="str">
        <f>IFERROR(VLOOKUP(October[[#This Row],[Drug Name8]],'Data Options'!$R$1:$S$100,2,FALSE), " ")</f>
        <v xml:space="preserve"> </v>
      </c>
      <c r="CB116" s="55"/>
      <c r="CC116" s="32"/>
      <c r="CD116" s="32"/>
      <c r="CE116" s="55"/>
      <c r="CF116" s="32"/>
      <c r="CG116" s="54"/>
      <c r="CH116" s="21" t="str">
        <f>IFERROR(VLOOKUP(October[[#This Row],[Drug Name9]],'Data Options'!$R$1:$S$100,2,FALSE), " ")</f>
        <v xml:space="preserve"> </v>
      </c>
      <c r="CI116" s="55"/>
      <c r="CJ116" s="32"/>
      <c r="CK116" s="32"/>
      <c r="CL116" s="55"/>
      <c r="CM116" s="32"/>
    </row>
    <row r="117" spans="1:91">
      <c r="A117" s="5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1"/>
      <c r="P117" s="31"/>
      <c r="Q117" s="54"/>
      <c r="R117" s="21" t="str">
        <f>IFERROR(VLOOKUP(October[[#This Row],[Drug Name]],'Data Options'!$R$1:$S$100,2,FALSE), " ")</f>
        <v xml:space="preserve"> </v>
      </c>
      <c r="S117" s="55"/>
      <c r="T117" s="32"/>
      <c r="U117" s="32"/>
      <c r="V117" s="55"/>
      <c r="W117" s="32"/>
      <c r="X117" s="54"/>
      <c r="Y117" s="21" t="str">
        <f>IFERROR(VLOOKUP(October[[#This Row],[Drug Name2]],'Data Options'!$R$1:$S$100,2,FALSE), " ")</f>
        <v xml:space="preserve"> </v>
      </c>
      <c r="Z117" s="55"/>
      <c r="AA117" s="32"/>
      <c r="AB117" s="32"/>
      <c r="AC117" s="55"/>
      <c r="AD117" s="32"/>
      <c r="AE117" s="54"/>
      <c r="AF117" s="21" t="str">
        <f>IFERROR(VLOOKUP(October[[#This Row],[Drug Name3]],'Data Options'!$R$1:$S$100,2,FALSE), " ")</f>
        <v xml:space="preserve"> </v>
      </c>
      <c r="AG117" s="55"/>
      <c r="AH117" s="32"/>
      <c r="AI117" s="32"/>
      <c r="AJ117" s="55"/>
      <c r="AK117" s="32"/>
      <c r="AL117" s="32"/>
      <c r="AM117" s="32"/>
      <c r="AN117" s="32"/>
      <c r="AO117" s="32"/>
      <c r="AP117" s="31"/>
      <c r="AQ117" s="31"/>
      <c r="AR117" s="54"/>
      <c r="AS117" s="21" t="str">
        <f>IFERROR(VLOOKUP(October[[#This Row],[Drug Name4]],'Data Options'!$R$1:$S$100,2,FALSE), " ")</f>
        <v xml:space="preserve"> </v>
      </c>
      <c r="AT117" s="55"/>
      <c r="AU117" s="32"/>
      <c r="AV117" s="32"/>
      <c r="AW117" s="55"/>
      <c r="AX117" s="32"/>
      <c r="AY117" s="54"/>
      <c r="AZ117" s="21" t="str">
        <f>IFERROR(VLOOKUP(October[[#This Row],[Drug Name5]],'Data Options'!$R$1:$S$100,2,FALSE), " ")</f>
        <v xml:space="preserve"> </v>
      </c>
      <c r="BA117" s="55"/>
      <c r="BB117" s="32"/>
      <c r="BC117" s="32"/>
      <c r="BD117" s="55"/>
      <c r="BE117" s="32"/>
      <c r="BF117" s="54"/>
      <c r="BG117" s="21" t="str">
        <f>IFERROR(VLOOKUP(October[[#This Row],[Drug Name6]],'Data Options'!$R$1:$S$100,2,FALSE), " ")</f>
        <v xml:space="preserve"> </v>
      </c>
      <c r="BH117" s="55"/>
      <c r="BI117" s="32"/>
      <c r="BJ117" s="32"/>
      <c r="BK117" s="55"/>
      <c r="BL117" s="32"/>
      <c r="BM117" s="32"/>
      <c r="BN117" s="32"/>
      <c r="BO117" s="32"/>
      <c r="BP117" s="32"/>
      <c r="BQ117" s="31"/>
      <c r="BR117" s="31"/>
      <c r="BS117" s="54"/>
      <c r="BT117" s="21" t="str">
        <f>IFERROR(VLOOKUP(October[[#This Row],[Drug Name7]],'Data Options'!$R$1:$S$100,2,FALSE), " ")</f>
        <v xml:space="preserve"> </v>
      </c>
      <c r="BU117" s="55"/>
      <c r="BV117" s="32"/>
      <c r="BW117" s="32"/>
      <c r="BX117" s="55"/>
      <c r="BY117" s="32"/>
      <c r="BZ117" s="54"/>
      <c r="CA117" s="21" t="str">
        <f>IFERROR(VLOOKUP(October[[#This Row],[Drug Name8]],'Data Options'!$R$1:$S$100,2,FALSE), " ")</f>
        <v xml:space="preserve"> </v>
      </c>
      <c r="CB117" s="55"/>
      <c r="CC117" s="32"/>
      <c r="CD117" s="32"/>
      <c r="CE117" s="55"/>
      <c r="CF117" s="32"/>
      <c r="CG117" s="54"/>
      <c r="CH117" s="21" t="str">
        <f>IFERROR(VLOOKUP(October[[#This Row],[Drug Name9]],'Data Options'!$R$1:$S$100,2,FALSE), " ")</f>
        <v xml:space="preserve"> </v>
      </c>
      <c r="CI117" s="55"/>
      <c r="CJ117" s="32"/>
      <c r="CK117" s="32"/>
      <c r="CL117" s="55"/>
      <c r="CM117" s="32"/>
    </row>
    <row r="118" spans="1:91">
      <c r="A118" s="5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/>
      <c r="P118" s="31"/>
      <c r="Q118" s="54"/>
      <c r="R118" s="21" t="str">
        <f>IFERROR(VLOOKUP(October[[#This Row],[Drug Name]],'Data Options'!$R$1:$S$100,2,FALSE), " ")</f>
        <v xml:space="preserve"> </v>
      </c>
      <c r="S118" s="55"/>
      <c r="T118" s="32"/>
      <c r="U118" s="32"/>
      <c r="V118" s="55"/>
      <c r="W118" s="32"/>
      <c r="X118" s="54"/>
      <c r="Y118" s="21" t="str">
        <f>IFERROR(VLOOKUP(October[[#This Row],[Drug Name2]],'Data Options'!$R$1:$S$100,2,FALSE), " ")</f>
        <v xml:space="preserve"> </v>
      </c>
      <c r="Z118" s="55"/>
      <c r="AA118" s="32"/>
      <c r="AB118" s="32"/>
      <c r="AC118" s="55"/>
      <c r="AD118" s="32"/>
      <c r="AE118" s="54"/>
      <c r="AF118" s="21" t="str">
        <f>IFERROR(VLOOKUP(October[[#This Row],[Drug Name3]],'Data Options'!$R$1:$S$100,2,FALSE), " ")</f>
        <v xml:space="preserve"> </v>
      </c>
      <c r="AG118" s="55"/>
      <c r="AH118" s="32"/>
      <c r="AI118" s="32"/>
      <c r="AJ118" s="55"/>
      <c r="AK118" s="32"/>
      <c r="AL118" s="32"/>
      <c r="AM118" s="32"/>
      <c r="AN118" s="32"/>
      <c r="AO118" s="32"/>
      <c r="AP118" s="31"/>
      <c r="AQ118" s="31"/>
      <c r="AR118" s="54"/>
      <c r="AS118" s="21" t="str">
        <f>IFERROR(VLOOKUP(October[[#This Row],[Drug Name4]],'Data Options'!$R$1:$S$100,2,FALSE), " ")</f>
        <v xml:space="preserve"> </v>
      </c>
      <c r="AT118" s="55"/>
      <c r="AU118" s="32"/>
      <c r="AV118" s="32"/>
      <c r="AW118" s="55"/>
      <c r="AX118" s="32"/>
      <c r="AY118" s="54"/>
      <c r="AZ118" s="21" t="str">
        <f>IFERROR(VLOOKUP(October[[#This Row],[Drug Name5]],'Data Options'!$R$1:$S$100,2,FALSE), " ")</f>
        <v xml:space="preserve"> </v>
      </c>
      <c r="BA118" s="55"/>
      <c r="BB118" s="32"/>
      <c r="BC118" s="32"/>
      <c r="BD118" s="55"/>
      <c r="BE118" s="32"/>
      <c r="BF118" s="54"/>
      <c r="BG118" s="21" t="str">
        <f>IFERROR(VLOOKUP(October[[#This Row],[Drug Name6]],'Data Options'!$R$1:$S$100,2,FALSE), " ")</f>
        <v xml:space="preserve"> </v>
      </c>
      <c r="BH118" s="55"/>
      <c r="BI118" s="32"/>
      <c r="BJ118" s="32"/>
      <c r="BK118" s="55"/>
      <c r="BL118" s="32"/>
      <c r="BM118" s="32"/>
      <c r="BN118" s="32"/>
      <c r="BO118" s="32"/>
      <c r="BP118" s="32"/>
      <c r="BQ118" s="31"/>
      <c r="BR118" s="31"/>
      <c r="BS118" s="54"/>
      <c r="BT118" s="21" t="str">
        <f>IFERROR(VLOOKUP(October[[#This Row],[Drug Name7]],'Data Options'!$R$1:$S$100,2,FALSE), " ")</f>
        <v xml:space="preserve"> </v>
      </c>
      <c r="BU118" s="55"/>
      <c r="BV118" s="32"/>
      <c r="BW118" s="32"/>
      <c r="BX118" s="55"/>
      <c r="BY118" s="32"/>
      <c r="BZ118" s="54"/>
      <c r="CA118" s="21" t="str">
        <f>IFERROR(VLOOKUP(October[[#This Row],[Drug Name8]],'Data Options'!$R$1:$S$100,2,FALSE), " ")</f>
        <v xml:space="preserve"> </v>
      </c>
      <c r="CB118" s="55"/>
      <c r="CC118" s="32"/>
      <c r="CD118" s="32"/>
      <c r="CE118" s="55"/>
      <c r="CF118" s="32"/>
      <c r="CG118" s="54"/>
      <c r="CH118" s="21" t="str">
        <f>IFERROR(VLOOKUP(October[[#This Row],[Drug Name9]],'Data Options'!$R$1:$S$100,2,FALSE), " ")</f>
        <v xml:space="preserve"> </v>
      </c>
      <c r="CI118" s="55"/>
      <c r="CJ118" s="32"/>
      <c r="CK118" s="32"/>
      <c r="CL118" s="55"/>
      <c r="CM118" s="32"/>
    </row>
    <row r="119" spans="1:91">
      <c r="A119" s="5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1"/>
      <c r="P119" s="31"/>
      <c r="Q119" s="54"/>
      <c r="R119" s="21" t="str">
        <f>IFERROR(VLOOKUP(October[[#This Row],[Drug Name]],'Data Options'!$R$1:$S$100,2,FALSE), " ")</f>
        <v xml:space="preserve"> </v>
      </c>
      <c r="S119" s="55"/>
      <c r="T119" s="32"/>
      <c r="U119" s="32"/>
      <c r="V119" s="55"/>
      <c r="W119" s="32"/>
      <c r="X119" s="54"/>
      <c r="Y119" s="21" t="str">
        <f>IFERROR(VLOOKUP(October[[#This Row],[Drug Name2]],'Data Options'!$R$1:$S$100,2,FALSE), " ")</f>
        <v xml:space="preserve"> </v>
      </c>
      <c r="Z119" s="55"/>
      <c r="AA119" s="32"/>
      <c r="AB119" s="32"/>
      <c r="AC119" s="55"/>
      <c r="AD119" s="32"/>
      <c r="AE119" s="54"/>
      <c r="AF119" s="21" t="str">
        <f>IFERROR(VLOOKUP(October[[#This Row],[Drug Name3]],'Data Options'!$R$1:$S$100,2,FALSE), " ")</f>
        <v xml:space="preserve"> </v>
      </c>
      <c r="AG119" s="55"/>
      <c r="AH119" s="32"/>
      <c r="AI119" s="32"/>
      <c r="AJ119" s="55"/>
      <c r="AK119" s="32"/>
      <c r="AL119" s="32"/>
      <c r="AM119" s="32"/>
      <c r="AN119" s="32"/>
      <c r="AO119" s="32"/>
      <c r="AP119" s="31"/>
      <c r="AQ119" s="31"/>
      <c r="AR119" s="54"/>
      <c r="AS119" s="21" t="str">
        <f>IFERROR(VLOOKUP(October[[#This Row],[Drug Name4]],'Data Options'!$R$1:$S$100,2,FALSE), " ")</f>
        <v xml:space="preserve"> </v>
      </c>
      <c r="AT119" s="55"/>
      <c r="AU119" s="32"/>
      <c r="AV119" s="32"/>
      <c r="AW119" s="55"/>
      <c r="AX119" s="32"/>
      <c r="AY119" s="54"/>
      <c r="AZ119" s="21" t="str">
        <f>IFERROR(VLOOKUP(October[[#This Row],[Drug Name5]],'Data Options'!$R$1:$S$100,2,FALSE), " ")</f>
        <v xml:space="preserve"> </v>
      </c>
      <c r="BA119" s="55"/>
      <c r="BB119" s="32"/>
      <c r="BC119" s="32"/>
      <c r="BD119" s="55"/>
      <c r="BE119" s="32"/>
      <c r="BF119" s="54"/>
      <c r="BG119" s="21" t="str">
        <f>IFERROR(VLOOKUP(October[[#This Row],[Drug Name6]],'Data Options'!$R$1:$S$100,2,FALSE), " ")</f>
        <v xml:space="preserve"> </v>
      </c>
      <c r="BH119" s="55"/>
      <c r="BI119" s="32"/>
      <c r="BJ119" s="32"/>
      <c r="BK119" s="55"/>
      <c r="BL119" s="32"/>
      <c r="BM119" s="32"/>
      <c r="BN119" s="32"/>
      <c r="BO119" s="32"/>
      <c r="BP119" s="32"/>
      <c r="BQ119" s="31"/>
      <c r="BR119" s="31"/>
      <c r="BS119" s="54"/>
      <c r="BT119" s="21" t="str">
        <f>IFERROR(VLOOKUP(October[[#This Row],[Drug Name7]],'Data Options'!$R$1:$S$100,2,FALSE), " ")</f>
        <v xml:space="preserve"> </v>
      </c>
      <c r="BU119" s="55"/>
      <c r="BV119" s="32"/>
      <c r="BW119" s="32"/>
      <c r="BX119" s="55"/>
      <c r="BY119" s="32"/>
      <c r="BZ119" s="54"/>
      <c r="CA119" s="21" t="str">
        <f>IFERROR(VLOOKUP(October[[#This Row],[Drug Name8]],'Data Options'!$R$1:$S$100,2,FALSE), " ")</f>
        <v xml:space="preserve"> </v>
      </c>
      <c r="CB119" s="55"/>
      <c r="CC119" s="32"/>
      <c r="CD119" s="32"/>
      <c r="CE119" s="55"/>
      <c r="CF119" s="32"/>
      <c r="CG119" s="54"/>
      <c r="CH119" s="21" t="str">
        <f>IFERROR(VLOOKUP(October[[#This Row],[Drug Name9]],'Data Options'!$R$1:$S$100,2,FALSE), " ")</f>
        <v xml:space="preserve"> </v>
      </c>
      <c r="CI119" s="55"/>
      <c r="CJ119" s="32"/>
      <c r="CK119" s="32"/>
      <c r="CL119" s="55"/>
      <c r="CM119" s="32"/>
    </row>
    <row r="120" spans="1:91">
      <c r="A120" s="5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/>
      <c r="P120" s="31"/>
      <c r="Q120" s="54"/>
      <c r="R120" s="21" t="str">
        <f>IFERROR(VLOOKUP(October[[#This Row],[Drug Name]],'Data Options'!$R$1:$S$100,2,FALSE), " ")</f>
        <v xml:space="preserve"> </v>
      </c>
      <c r="S120" s="55"/>
      <c r="T120" s="32"/>
      <c r="U120" s="32"/>
      <c r="V120" s="55"/>
      <c r="W120" s="32"/>
      <c r="X120" s="54"/>
      <c r="Y120" s="21" t="str">
        <f>IFERROR(VLOOKUP(October[[#This Row],[Drug Name2]],'Data Options'!$R$1:$S$100,2,FALSE), " ")</f>
        <v xml:space="preserve"> </v>
      </c>
      <c r="Z120" s="55"/>
      <c r="AA120" s="32"/>
      <c r="AB120" s="32"/>
      <c r="AC120" s="55"/>
      <c r="AD120" s="32"/>
      <c r="AE120" s="54"/>
      <c r="AF120" s="21" t="str">
        <f>IFERROR(VLOOKUP(October[[#This Row],[Drug Name3]],'Data Options'!$R$1:$S$100,2,FALSE), " ")</f>
        <v xml:space="preserve"> </v>
      </c>
      <c r="AG120" s="55"/>
      <c r="AH120" s="32"/>
      <c r="AI120" s="32"/>
      <c r="AJ120" s="55"/>
      <c r="AK120" s="32"/>
      <c r="AL120" s="32"/>
      <c r="AM120" s="32"/>
      <c r="AN120" s="32"/>
      <c r="AO120" s="32"/>
      <c r="AP120" s="31"/>
      <c r="AQ120" s="31"/>
      <c r="AR120" s="54"/>
      <c r="AS120" s="21" t="str">
        <f>IFERROR(VLOOKUP(October[[#This Row],[Drug Name4]],'Data Options'!$R$1:$S$100,2,FALSE), " ")</f>
        <v xml:space="preserve"> </v>
      </c>
      <c r="AT120" s="55"/>
      <c r="AU120" s="32"/>
      <c r="AV120" s="32"/>
      <c r="AW120" s="55"/>
      <c r="AX120" s="32"/>
      <c r="AY120" s="54"/>
      <c r="AZ120" s="21" t="str">
        <f>IFERROR(VLOOKUP(October[[#This Row],[Drug Name5]],'Data Options'!$R$1:$S$100,2,FALSE), " ")</f>
        <v xml:space="preserve"> </v>
      </c>
      <c r="BA120" s="55"/>
      <c r="BB120" s="32"/>
      <c r="BC120" s="32"/>
      <c r="BD120" s="55"/>
      <c r="BE120" s="32"/>
      <c r="BF120" s="54"/>
      <c r="BG120" s="21" t="str">
        <f>IFERROR(VLOOKUP(October[[#This Row],[Drug Name6]],'Data Options'!$R$1:$S$100,2,FALSE), " ")</f>
        <v xml:space="preserve"> </v>
      </c>
      <c r="BH120" s="55"/>
      <c r="BI120" s="32"/>
      <c r="BJ120" s="32"/>
      <c r="BK120" s="55"/>
      <c r="BL120" s="32"/>
      <c r="BM120" s="32"/>
      <c r="BN120" s="32"/>
      <c r="BO120" s="32"/>
      <c r="BP120" s="32"/>
      <c r="BQ120" s="31"/>
      <c r="BR120" s="31"/>
      <c r="BS120" s="54"/>
      <c r="BT120" s="21" t="str">
        <f>IFERROR(VLOOKUP(October[[#This Row],[Drug Name7]],'Data Options'!$R$1:$S$100,2,FALSE), " ")</f>
        <v xml:space="preserve"> </v>
      </c>
      <c r="BU120" s="55"/>
      <c r="BV120" s="32"/>
      <c r="BW120" s="32"/>
      <c r="BX120" s="55"/>
      <c r="BY120" s="32"/>
      <c r="BZ120" s="54"/>
      <c r="CA120" s="21" t="str">
        <f>IFERROR(VLOOKUP(October[[#This Row],[Drug Name8]],'Data Options'!$R$1:$S$100,2,FALSE), " ")</f>
        <v xml:space="preserve"> </v>
      </c>
      <c r="CB120" s="55"/>
      <c r="CC120" s="32"/>
      <c r="CD120" s="32"/>
      <c r="CE120" s="55"/>
      <c r="CF120" s="32"/>
      <c r="CG120" s="54"/>
      <c r="CH120" s="21" t="str">
        <f>IFERROR(VLOOKUP(October[[#This Row],[Drug Name9]],'Data Options'!$R$1:$S$100,2,FALSE), " ")</f>
        <v xml:space="preserve"> </v>
      </c>
      <c r="CI120" s="55"/>
      <c r="CJ120" s="32"/>
      <c r="CK120" s="32"/>
      <c r="CL120" s="55"/>
      <c r="CM120" s="32"/>
    </row>
    <row r="121" spans="1:91">
      <c r="A121" s="5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1"/>
      <c r="P121" s="31"/>
      <c r="Q121" s="54"/>
      <c r="R121" s="21" t="str">
        <f>IFERROR(VLOOKUP(October[[#This Row],[Drug Name]],'Data Options'!$R$1:$S$100,2,FALSE), " ")</f>
        <v xml:space="preserve"> </v>
      </c>
      <c r="S121" s="55"/>
      <c r="T121" s="32"/>
      <c r="U121" s="32"/>
      <c r="V121" s="55"/>
      <c r="W121" s="32"/>
      <c r="X121" s="54"/>
      <c r="Y121" s="21" t="str">
        <f>IFERROR(VLOOKUP(October[[#This Row],[Drug Name2]],'Data Options'!$R$1:$S$100,2,FALSE), " ")</f>
        <v xml:space="preserve"> </v>
      </c>
      <c r="Z121" s="55"/>
      <c r="AA121" s="32"/>
      <c r="AB121" s="32"/>
      <c r="AC121" s="55"/>
      <c r="AD121" s="32"/>
      <c r="AE121" s="54"/>
      <c r="AF121" s="21" t="str">
        <f>IFERROR(VLOOKUP(October[[#This Row],[Drug Name3]],'Data Options'!$R$1:$S$100,2,FALSE), " ")</f>
        <v xml:space="preserve"> </v>
      </c>
      <c r="AG121" s="55"/>
      <c r="AH121" s="32"/>
      <c r="AI121" s="32"/>
      <c r="AJ121" s="55"/>
      <c r="AK121" s="32"/>
      <c r="AL121" s="32"/>
      <c r="AM121" s="32"/>
      <c r="AN121" s="32"/>
      <c r="AO121" s="32"/>
      <c r="AP121" s="31"/>
      <c r="AQ121" s="31"/>
      <c r="AR121" s="54"/>
      <c r="AS121" s="21" t="str">
        <f>IFERROR(VLOOKUP(October[[#This Row],[Drug Name4]],'Data Options'!$R$1:$S$100,2,FALSE), " ")</f>
        <v xml:space="preserve"> </v>
      </c>
      <c r="AT121" s="55"/>
      <c r="AU121" s="32"/>
      <c r="AV121" s="32"/>
      <c r="AW121" s="55"/>
      <c r="AX121" s="32"/>
      <c r="AY121" s="54"/>
      <c r="AZ121" s="21" t="str">
        <f>IFERROR(VLOOKUP(October[[#This Row],[Drug Name5]],'Data Options'!$R$1:$S$100,2,FALSE), " ")</f>
        <v xml:space="preserve"> </v>
      </c>
      <c r="BA121" s="55"/>
      <c r="BB121" s="32"/>
      <c r="BC121" s="32"/>
      <c r="BD121" s="55"/>
      <c r="BE121" s="32"/>
      <c r="BF121" s="54"/>
      <c r="BG121" s="21" t="str">
        <f>IFERROR(VLOOKUP(October[[#This Row],[Drug Name6]],'Data Options'!$R$1:$S$100,2,FALSE), " ")</f>
        <v xml:space="preserve"> </v>
      </c>
      <c r="BH121" s="55"/>
      <c r="BI121" s="32"/>
      <c r="BJ121" s="32"/>
      <c r="BK121" s="55"/>
      <c r="BL121" s="32"/>
      <c r="BM121" s="32"/>
      <c r="BN121" s="32"/>
      <c r="BO121" s="32"/>
      <c r="BP121" s="32"/>
      <c r="BQ121" s="31"/>
      <c r="BR121" s="31"/>
      <c r="BS121" s="54"/>
      <c r="BT121" s="21" t="str">
        <f>IFERROR(VLOOKUP(October[[#This Row],[Drug Name7]],'Data Options'!$R$1:$S$100,2,FALSE), " ")</f>
        <v xml:space="preserve"> </v>
      </c>
      <c r="BU121" s="55"/>
      <c r="BV121" s="32"/>
      <c r="BW121" s="32"/>
      <c r="BX121" s="55"/>
      <c r="BY121" s="32"/>
      <c r="BZ121" s="54"/>
      <c r="CA121" s="21" t="str">
        <f>IFERROR(VLOOKUP(October[[#This Row],[Drug Name8]],'Data Options'!$R$1:$S$100,2,FALSE), " ")</f>
        <v xml:space="preserve"> </v>
      </c>
      <c r="CB121" s="55"/>
      <c r="CC121" s="32"/>
      <c r="CD121" s="32"/>
      <c r="CE121" s="55"/>
      <c r="CF121" s="32"/>
      <c r="CG121" s="54"/>
      <c r="CH121" s="21" t="str">
        <f>IFERROR(VLOOKUP(October[[#This Row],[Drug Name9]],'Data Options'!$R$1:$S$100,2,FALSE), " ")</f>
        <v xml:space="preserve"> </v>
      </c>
      <c r="CI121" s="55"/>
      <c r="CJ121" s="32"/>
      <c r="CK121" s="32"/>
      <c r="CL121" s="55"/>
      <c r="CM121" s="32"/>
    </row>
    <row r="122" spans="1:91">
      <c r="A122" s="5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1"/>
      <c r="P122" s="31"/>
      <c r="Q122" s="54"/>
      <c r="R122" s="21" t="str">
        <f>IFERROR(VLOOKUP(October[[#This Row],[Drug Name]],'Data Options'!$R$1:$S$100,2,FALSE), " ")</f>
        <v xml:space="preserve"> </v>
      </c>
      <c r="S122" s="55"/>
      <c r="T122" s="32"/>
      <c r="U122" s="32"/>
      <c r="V122" s="55"/>
      <c r="W122" s="32"/>
      <c r="X122" s="54"/>
      <c r="Y122" s="21" t="str">
        <f>IFERROR(VLOOKUP(October[[#This Row],[Drug Name2]],'Data Options'!$R$1:$S$100,2,FALSE), " ")</f>
        <v xml:space="preserve"> </v>
      </c>
      <c r="Z122" s="55"/>
      <c r="AA122" s="32"/>
      <c r="AB122" s="32"/>
      <c r="AC122" s="55"/>
      <c r="AD122" s="32"/>
      <c r="AE122" s="54"/>
      <c r="AF122" s="21" t="str">
        <f>IFERROR(VLOOKUP(October[[#This Row],[Drug Name3]],'Data Options'!$R$1:$S$100,2,FALSE), " ")</f>
        <v xml:space="preserve"> </v>
      </c>
      <c r="AG122" s="55"/>
      <c r="AH122" s="32"/>
      <c r="AI122" s="32"/>
      <c r="AJ122" s="55"/>
      <c r="AK122" s="32"/>
      <c r="AL122" s="32"/>
      <c r="AM122" s="32"/>
      <c r="AN122" s="32"/>
      <c r="AO122" s="32"/>
      <c r="AP122" s="31"/>
      <c r="AQ122" s="31"/>
      <c r="AR122" s="54"/>
      <c r="AS122" s="21" t="str">
        <f>IFERROR(VLOOKUP(October[[#This Row],[Drug Name4]],'Data Options'!$R$1:$S$100,2,FALSE), " ")</f>
        <v xml:space="preserve"> </v>
      </c>
      <c r="AT122" s="55"/>
      <c r="AU122" s="32"/>
      <c r="AV122" s="32"/>
      <c r="AW122" s="55"/>
      <c r="AX122" s="32"/>
      <c r="AY122" s="54"/>
      <c r="AZ122" s="21" t="str">
        <f>IFERROR(VLOOKUP(October[[#This Row],[Drug Name5]],'Data Options'!$R$1:$S$100,2,FALSE), " ")</f>
        <v xml:space="preserve"> </v>
      </c>
      <c r="BA122" s="55"/>
      <c r="BB122" s="32"/>
      <c r="BC122" s="32"/>
      <c r="BD122" s="55"/>
      <c r="BE122" s="32"/>
      <c r="BF122" s="54"/>
      <c r="BG122" s="21" t="str">
        <f>IFERROR(VLOOKUP(October[[#This Row],[Drug Name6]],'Data Options'!$R$1:$S$100,2,FALSE), " ")</f>
        <v xml:space="preserve"> </v>
      </c>
      <c r="BH122" s="55"/>
      <c r="BI122" s="32"/>
      <c r="BJ122" s="32"/>
      <c r="BK122" s="55"/>
      <c r="BL122" s="32"/>
      <c r="BM122" s="32"/>
      <c r="BN122" s="32"/>
      <c r="BO122" s="32"/>
      <c r="BP122" s="32"/>
      <c r="BQ122" s="31"/>
      <c r="BR122" s="31"/>
      <c r="BS122" s="54"/>
      <c r="BT122" s="21" t="str">
        <f>IFERROR(VLOOKUP(October[[#This Row],[Drug Name7]],'Data Options'!$R$1:$S$100,2,FALSE), " ")</f>
        <v xml:space="preserve"> </v>
      </c>
      <c r="BU122" s="55"/>
      <c r="BV122" s="32"/>
      <c r="BW122" s="32"/>
      <c r="BX122" s="55"/>
      <c r="BY122" s="32"/>
      <c r="BZ122" s="54"/>
      <c r="CA122" s="21" t="str">
        <f>IFERROR(VLOOKUP(October[[#This Row],[Drug Name8]],'Data Options'!$R$1:$S$100,2,FALSE), " ")</f>
        <v xml:space="preserve"> </v>
      </c>
      <c r="CB122" s="55"/>
      <c r="CC122" s="32"/>
      <c r="CD122" s="32"/>
      <c r="CE122" s="55"/>
      <c r="CF122" s="32"/>
      <c r="CG122" s="54"/>
      <c r="CH122" s="21" t="str">
        <f>IFERROR(VLOOKUP(October[[#This Row],[Drug Name9]],'Data Options'!$R$1:$S$100,2,FALSE), " ")</f>
        <v xml:space="preserve"> </v>
      </c>
      <c r="CI122" s="55"/>
      <c r="CJ122" s="32"/>
      <c r="CK122" s="32"/>
      <c r="CL122" s="55"/>
      <c r="CM122" s="32"/>
    </row>
    <row r="123" spans="1:91">
      <c r="A123" s="5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1"/>
      <c r="P123" s="31"/>
      <c r="Q123" s="54"/>
      <c r="R123" s="21" t="str">
        <f>IFERROR(VLOOKUP(October[[#This Row],[Drug Name]],'Data Options'!$R$1:$S$100,2,FALSE), " ")</f>
        <v xml:space="preserve"> </v>
      </c>
      <c r="S123" s="55"/>
      <c r="T123" s="32"/>
      <c r="U123" s="32"/>
      <c r="V123" s="55"/>
      <c r="W123" s="32"/>
      <c r="X123" s="54"/>
      <c r="Y123" s="21" t="str">
        <f>IFERROR(VLOOKUP(October[[#This Row],[Drug Name2]],'Data Options'!$R$1:$S$100,2,FALSE), " ")</f>
        <v xml:space="preserve"> </v>
      </c>
      <c r="Z123" s="55"/>
      <c r="AA123" s="32"/>
      <c r="AB123" s="32"/>
      <c r="AC123" s="55"/>
      <c r="AD123" s="32"/>
      <c r="AE123" s="54"/>
      <c r="AF123" s="21" t="str">
        <f>IFERROR(VLOOKUP(October[[#This Row],[Drug Name3]],'Data Options'!$R$1:$S$100,2,FALSE), " ")</f>
        <v xml:space="preserve"> </v>
      </c>
      <c r="AG123" s="55"/>
      <c r="AH123" s="32"/>
      <c r="AI123" s="32"/>
      <c r="AJ123" s="55"/>
      <c r="AK123" s="32"/>
      <c r="AL123" s="32"/>
      <c r="AM123" s="32"/>
      <c r="AN123" s="32"/>
      <c r="AO123" s="32"/>
      <c r="AP123" s="31"/>
      <c r="AQ123" s="31"/>
      <c r="AR123" s="54"/>
      <c r="AS123" s="21" t="str">
        <f>IFERROR(VLOOKUP(October[[#This Row],[Drug Name4]],'Data Options'!$R$1:$S$100,2,FALSE), " ")</f>
        <v xml:space="preserve"> </v>
      </c>
      <c r="AT123" s="55"/>
      <c r="AU123" s="32"/>
      <c r="AV123" s="32"/>
      <c r="AW123" s="55"/>
      <c r="AX123" s="32"/>
      <c r="AY123" s="54"/>
      <c r="AZ123" s="21" t="str">
        <f>IFERROR(VLOOKUP(October[[#This Row],[Drug Name5]],'Data Options'!$R$1:$S$100,2,FALSE), " ")</f>
        <v xml:space="preserve"> </v>
      </c>
      <c r="BA123" s="55"/>
      <c r="BB123" s="32"/>
      <c r="BC123" s="32"/>
      <c r="BD123" s="55"/>
      <c r="BE123" s="32"/>
      <c r="BF123" s="54"/>
      <c r="BG123" s="21" t="str">
        <f>IFERROR(VLOOKUP(October[[#This Row],[Drug Name6]],'Data Options'!$R$1:$S$100,2,FALSE), " ")</f>
        <v xml:space="preserve"> </v>
      </c>
      <c r="BH123" s="55"/>
      <c r="BI123" s="32"/>
      <c r="BJ123" s="32"/>
      <c r="BK123" s="55"/>
      <c r="BL123" s="32"/>
      <c r="BM123" s="32"/>
      <c r="BN123" s="32"/>
      <c r="BO123" s="32"/>
      <c r="BP123" s="32"/>
      <c r="BQ123" s="31"/>
      <c r="BR123" s="31"/>
      <c r="BS123" s="54"/>
      <c r="BT123" s="21" t="str">
        <f>IFERROR(VLOOKUP(October[[#This Row],[Drug Name7]],'Data Options'!$R$1:$S$100,2,FALSE), " ")</f>
        <v xml:space="preserve"> </v>
      </c>
      <c r="BU123" s="55"/>
      <c r="BV123" s="32"/>
      <c r="BW123" s="32"/>
      <c r="BX123" s="55"/>
      <c r="BY123" s="32"/>
      <c r="BZ123" s="54"/>
      <c r="CA123" s="21" t="str">
        <f>IFERROR(VLOOKUP(October[[#This Row],[Drug Name8]],'Data Options'!$R$1:$S$100,2,FALSE), " ")</f>
        <v xml:space="preserve"> </v>
      </c>
      <c r="CB123" s="55"/>
      <c r="CC123" s="32"/>
      <c r="CD123" s="32"/>
      <c r="CE123" s="55"/>
      <c r="CF123" s="32"/>
      <c r="CG123" s="54"/>
      <c r="CH123" s="21" t="str">
        <f>IFERROR(VLOOKUP(October[[#This Row],[Drug Name9]],'Data Options'!$R$1:$S$100,2,FALSE), " ")</f>
        <v xml:space="preserve"> </v>
      </c>
      <c r="CI123" s="55"/>
      <c r="CJ123" s="32"/>
      <c r="CK123" s="32"/>
      <c r="CL123" s="55"/>
      <c r="CM123" s="32"/>
    </row>
    <row r="124" spans="1:91">
      <c r="A124" s="5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1"/>
      <c r="P124" s="31"/>
      <c r="Q124" s="54"/>
      <c r="R124" s="21" t="str">
        <f>IFERROR(VLOOKUP(October[[#This Row],[Drug Name]],'Data Options'!$R$1:$S$100,2,FALSE), " ")</f>
        <v xml:space="preserve"> </v>
      </c>
      <c r="S124" s="55"/>
      <c r="T124" s="32"/>
      <c r="U124" s="32"/>
      <c r="V124" s="55"/>
      <c r="W124" s="32"/>
      <c r="X124" s="54"/>
      <c r="Y124" s="21" t="str">
        <f>IFERROR(VLOOKUP(October[[#This Row],[Drug Name2]],'Data Options'!$R$1:$S$100,2,FALSE), " ")</f>
        <v xml:space="preserve"> </v>
      </c>
      <c r="Z124" s="55"/>
      <c r="AA124" s="32"/>
      <c r="AB124" s="32"/>
      <c r="AC124" s="55"/>
      <c r="AD124" s="32"/>
      <c r="AE124" s="54"/>
      <c r="AF124" s="21" t="str">
        <f>IFERROR(VLOOKUP(October[[#This Row],[Drug Name3]],'Data Options'!$R$1:$S$100,2,FALSE), " ")</f>
        <v xml:space="preserve"> </v>
      </c>
      <c r="AG124" s="55"/>
      <c r="AH124" s="32"/>
      <c r="AI124" s="32"/>
      <c r="AJ124" s="55"/>
      <c r="AK124" s="32"/>
      <c r="AL124" s="32"/>
      <c r="AM124" s="32"/>
      <c r="AN124" s="32"/>
      <c r="AO124" s="32"/>
      <c r="AP124" s="31"/>
      <c r="AQ124" s="31"/>
      <c r="AR124" s="54"/>
      <c r="AS124" s="21" t="str">
        <f>IFERROR(VLOOKUP(October[[#This Row],[Drug Name4]],'Data Options'!$R$1:$S$100,2,FALSE), " ")</f>
        <v xml:space="preserve"> </v>
      </c>
      <c r="AT124" s="55"/>
      <c r="AU124" s="32"/>
      <c r="AV124" s="32"/>
      <c r="AW124" s="55"/>
      <c r="AX124" s="32"/>
      <c r="AY124" s="54"/>
      <c r="AZ124" s="21" t="str">
        <f>IFERROR(VLOOKUP(October[[#This Row],[Drug Name5]],'Data Options'!$R$1:$S$100,2,FALSE), " ")</f>
        <v xml:space="preserve"> </v>
      </c>
      <c r="BA124" s="55"/>
      <c r="BB124" s="32"/>
      <c r="BC124" s="32"/>
      <c r="BD124" s="55"/>
      <c r="BE124" s="32"/>
      <c r="BF124" s="54"/>
      <c r="BG124" s="21" t="str">
        <f>IFERROR(VLOOKUP(October[[#This Row],[Drug Name6]],'Data Options'!$R$1:$S$100,2,FALSE), " ")</f>
        <v xml:space="preserve"> </v>
      </c>
      <c r="BH124" s="55"/>
      <c r="BI124" s="32"/>
      <c r="BJ124" s="32"/>
      <c r="BK124" s="55"/>
      <c r="BL124" s="32"/>
      <c r="BM124" s="32"/>
      <c r="BN124" s="32"/>
      <c r="BO124" s="32"/>
      <c r="BP124" s="32"/>
      <c r="BQ124" s="31"/>
      <c r="BR124" s="31"/>
      <c r="BS124" s="54"/>
      <c r="BT124" s="21" t="str">
        <f>IFERROR(VLOOKUP(October[[#This Row],[Drug Name7]],'Data Options'!$R$1:$S$100,2,FALSE), " ")</f>
        <v xml:space="preserve"> </v>
      </c>
      <c r="BU124" s="55"/>
      <c r="BV124" s="32"/>
      <c r="BW124" s="32"/>
      <c r="BX124" s="55"/>
      <c r="BY124" s="32"/>
      <c r="BZ124" s="54"/>
      <c r="CA124" s="21" t="str">
        <f>IFERROR(VLOOKUP(October[[#This Row],[Drug Name8]],'Data Options'!$R$1:$S$100,2,FALSE), " ")</f>
        <v xml:space="preserve"> </v>
      </c>
      <c r="CB124" s="55"/>
      <c r="CC124" s="32"/>
      <c r="CD124" s="32"/>
      <c r="CE124" s="55"/>
      <c r="CF124" s="32"/>
      <c r="CG124" s="54"/>
      <c r="CH124" s="21" t="str">
        <f>IFERROR(VLOOKUP(October[[#This Row],[Drug Name9]],'Data Options'!$R$1:$S$100,2,FALSE), " ")</f>
        <v xml:space="preserve"> </v>
      </c>
      <c r="CI124" s="55"/>
      <c r="CJ124" s="32"/>
      <c r="CK124" s="32"/>
      <c r="CL124" s="55"/>
      <c r="CM124" s="32"/>
    </row>
    <row r="125" spans="1:91">
      <c r="A125" s="5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1"/>
      <c r="P125" s="31"/>
      <c r="Q125" s="54"/>
      <c r="R125" s="21" t="str">
        <f>IFERROR(VLOOKUP(October[[#This Row],[Drug Name]],'Data Options'!$R$1:$S$100,2,FALSE), " ")</f>
        <v xml:space="preserve"> </v>
      </c>
      <c r="S125" s="55"/>
      <c r="T125" s="32"/>
      <c r="U125" s="32"/>
      <c r="V125" s="55"/>
      <c r="W125" s="32"/>
      <c r="X125" s="54"/>
      <c r="Y125" s="21" t="str">
        <f>IFERROR(VLOOKUP(October[[#This Row],[Drug Name2]],'Data Options'!$R$1:$S$100,2,FALSE), " ")</f>
        <v xml:space="preserve"> </v>
      </c>
      <c r="Z125" s="55"/>
      <c r="AA125" s="32"/>
      <c r="AB125" s="32"/>
      <c r="AC125" s="55"/>
      <c r="AD125" s="32"/>
      <c r="AE125" s="54"/>
      <c r="AF125" s="21" t="str">
        <f>IFERROR(VLOOKUP(October[[#This Row],[Drug Name3]],'Data Options'!$R$1:$S$100,2,FALSE), " ")</f>
        <v xml:space="preserve"> </v>
      </c>
      <c r="AG125" s="55"/>
      <c r="AH125" s="32"/>
      <c r="AI125" s="32"/>
      <c r="AJ125" s="55"/>
      <c r="AK125" s="32"/>
      <c r="AL125" s="32"/>
      <c r="AM125" s="32"/>
      <c r="AN125" s="32"/>
      <c r="AO125" s="32"/>
      <c r="AP125" s="31"/>
      <c r="AQ125" s="31"/>
      <c r="AR125" s="54"/>
      <c r="AS125" s="21" t="str">
        <f>IFERROR(VLOOKUP(October[[#This Row],[Drug Name4]],'Data Options'!$R$1:$S$100,2,FALSE), " ")</f>
        <v xml:space="preserve"> </v>
      </c>
      <c r="AT125" s="55"/>
      <c r="AU125" s="32"/>
      <c r="AV125" s="32"/>
      <c r="AW125" s="55"/>
      <c r="AX125" s="32"/>
      <c r="AY125" s="54"/>
      <c r="AZ125" s="21" t="str">
        <f>IFERROR(VLOOKUP(October[[#This Row],[Drug Name5]],'Data Options'!$R$1:$S$100,2,FALSE), " ")</f>
        <v xml:space="preserve"> </v>
      </c>
      <c r="BA125" s="55"/>
      <c r="BB125" s="32"/>
      <c r="BC125" s="32"/>
      <c r="BD125" s="55"/>
      <c r="BE125" s="32"/>
      <c r="BF125" s="54"/>
      <c r="BG125" s="21" t="str">
        <f>IFERROR(VLOOKUP(October[[#This Row],[Drug Name6]],'Data Options'!$R$1:$S$100,2,FALSE), " ")</f>
        <v xml:space="preserve"> </v>
      </c>
      <c r="BH125" s="55"/>
      <c r="BI125" s="32"/>
      <c r="BJ125" s="32"/>
      <c r="BK125" s="55"/>
      <c r="BL125" s="32"/>
      <c r="BM125" s="32"/>
      <c r="BN125" s="32"/>
      <c r="BO125" s="32"/>
      <c r="BP125" s="32"/>
      <c r="BQ125" s="31"/>
      <c r="BR125" s="31"/>
      <c r="BS125" s="54"/>
      <c r="BT125" s="21" t="str">
        <f>IFERROR(VLOOKUP(October[[#This Row],[Drug Name7]],'Data Options'!$R$1:$S$100,2,FALSE), " ")</f>
        <v xml:space="preserve"> </v>
      </c>
      <c r="BU125" s="55"/>
      <c r="BV125" s="32"/>
      <c r="BW125" s="32"/>
      <c r="BX125" s="55"/>
      <c r="BY125" s="32"/>
      <c r="BZ125" s="54"/>
      <c r="CA125" s="21" t="str">
        <f>IFERROR(VLOOKUP(October[[#This Row],[Drug Name8]],'Data Options'!$R$1:$S$100,2,FALSE), " ")</f>
        <v xml:space="preserve"> </v>
      </c>
      <c r="CB125" s="55"/>
      <c r="CC125" s="32"/>
      <c r="CD125" s="32"/>
      <c r="CE125" s="55"/>
      <c r="CF125" s="32"/>
      <c r="CG125" s="54"/>
      <c r="CH125" s="21" t="str">
        <f>IFERROR(VLOOKUP(October[[#This Row],[Drug Name9]],'Data Options'!$R$1:$S$100,2,FALSE), " ")</f>
        <v xml:space="preserve"> </v>
      </c>
      <c r="CI125" s="55"/>
      <c r="CJ125" s="32"/>
      <c r="CK125" s="32"/>
      <c r="CL125" s="55"/>
      <c r="CM125" s="32"/>
    </row>
    <row r="126" spans="1:91">
      <c r="A126" s="5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1"/>
      <c r="P126" s="31"/>
      <c r="Q126" s="54"/>
      <c r="R126" s="21" t="str">
        <f>IFERROR(VLOOKUP(October[[#This Row],[Drug Name]],'Data Options'!$R$1:$S$100,2,FALSE), " ")</f>
        <v xml:space="preserve"> </v>
      </c>
      <c r="S126" s="55"/>
      <c r="T126" s="32"/>
      <c r="U126" s="32"/>
      <c r="V126" s="55"/>
      <c r="W126" s="32"/>
      <c r="X126" s="54"/>
      <c r="Y126" s="21" t="str">
        <f>IFERROR(VLOOKUP(October[[#This Row],[Drug Name2]],'Data Options'!$R$1:$S$100,2,FALSE), " ")</f>
        <v xml:space="preserve"> </v>
      </c>
      <c r="Z126" s="55"/>
      <c r="AA126" s="32"/>
      <c r="AB126" s="32"/>
      <c r="AC126" s="55"/>
      <c r="AD126" s="32"/>
      <c r="AE126" s="54"/>
      <c r="AF126" s="21" t="str">
        <f>IFERROR(VLOOKUP(October[[#This Row],[Drug Name3]],'Data Options'!$R$1:$S$100,2,FALSE), " ")</f>
        <v xml:space="preserve"> </v>
      </c>
      <c r="AG126" s="55"/>
      <c r="AH126" s="32"/>
      <c r="AI126" s="32"/>
      <c r="AJ126" s="55"/>
      <c r="AK126" s="32"/>
      <c r="AL126" s="32"/>
      <c r="AM126" s="32"/>
      <c r="AN126" s="32"/>
      <c r="AO126" s="32"/>
      <c r="AP126" s="31"/>
      <c r="AQ126" s="31"/>
      <c r="AR126" s="54"/>
      <c r="AS126" s="21" t="str">
        <f>IFERROR(VLOOKUP(October[[#This Row],[Drug Name4]],'Data Options'!$R$1:$S$100,2,FALSE), " ")</f>
        <v xml:space="preserve"> </v>
      </c>
      <c r="AT126" s="55"/>
      <c r="AU126" s="32"/>
      <c r="AV126" s="32"/>
      <c r="AW126" s="55"/>
      <c r="AX126" s="32"/>
      <c r="AY126" s="54"/>
      <c r="AZ126" s="21" t="str">
        <f>IFERROR(VLOOKUP(October[[#This Row],[Drug Name5]],'Data Options'!$R$1:$S$100,2,FALSE), " ")</f>
        <v xml:space="preserve"> </v>
      </c>
      <c r="BA126" s="55"/>
      <c r="BB126" s="32"/>
      <c r="BC126" s="32"/>
      <c r="BD126" s="55"/>
      <c r="BE126" s="32"/>
      <c r="BF126" s="54"/>
      <c r="BG126" s="21" t="str">
        <f>IFERROR(VLOOKUP(October[[#This Row],[Drug Name6]],'Data Options'!$R$1:$S$100,2,FALSE), " ")</f>
        <v xml:space="preserve"> </v>
      </c>
      <c r="BH126" s="55"/>
      <c r="BI126" s="32"/>
      <c r="BJ126" s="32"/>
      <c r="BK126" s="55"/>
      <c r="BL126" s="32"/>
      <c r="BM126" s="32"/>
      <c r="BN126" s="32"/>
      <c r="BO126" s="32"/>
      <c r="BP126" s="32"/>
      <c r="BQ126" s="31"/>
      <c r="BR126" s="31"/>
      <c r="BS126" s="54"/>
      <c r="BT126" s="21" t="str">
        <f>IFERROR(VLOOKUP(October[[#This Row],[Drug Name7]],'Data Options'!$R$1:$S$100,2,FALSE), " ")</f>
        <v xml:space="preserve"> </v>
      </c>
      <c r="BU126" s="55"/>
      <c r="BV126" s="32"/>
      <c r="BW126" s="32"/>
      <c r="BX126" s="55"/>
      <c r="BY126" s="32"/>
      <c r="BZ126" s="54"/>
      <c r="CA126" s="21" t="str">
        <f>IFERROR(VLOOKUP(October[[#This Row],[Drug Name8]],'Data Options'!$R$1:$S$100,2,FALSE), " ")</f>
        <v xml:space="preserve"> </v>
      </c>
      <c r="CB126" s="55"/>
      <c r="CC126" s="32"/>
      <c r="CD126" s="32"/>
      <c r="CE126" s="55"/>
      <c r="CF126" s="32"/>
      <c r="CG126" s="54"/>
      <c r="CH126" s="21" t="str">
        <f>IFERROR(VLOOKUP(October[[#This Row],[Drug Name9]],'Data Options'!$R$1:$S$100,2,FALSE), " ")</f>
        <v xml:space="preserve"> </v>
      </c>
      <c r="CI126" s="55"/>
      <c r="CJ126" s="32"/>
      <c r="CK126" s="32"/>
      <c r="CL126" s="55"/>
      <c r="CM126" s="32"/>
    </row>
    <row r="127" spans="1:91">
      <c r="A127" s="5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1"/>
      <c r="P127" s="31"/>
      <c r="Q127" s="54"/>
      <c r="R127" s="21" t="str">
        <f>IFERROR(VLOOKUP(October[[#This Row],[Drug Name]],'Data Options'!$R$1:$S$100,2,FALSE), " ")</f>
        <v xml:space="preserve"> </v>
      </c>
      <c r="S127" s="55"/>
      <c r="T127" s="32"/>
      <c r="U127" s="32"/>
      <c r="V127" s="55"/>
      <c r="W127" s="32"/>
      <c r="X127" s="54"/>
      <c r="Y127" s="21" t="str">
        <f>IFERROR(VLOOKUP(October[[#This Row],[Drug Name2]],'Data Options'!$R$1:$S$100,2,FALSE), " ")</f>
        <v xml:space="preserve"> </v>
      </c>
      <c r="Z127" s="55"/>
      <c r="AA127" s="32"/>
      <c r="AB127" s="32"/>
      <c r="AC127" s="55"/>
      <c r="AD127" s="32"/>
      <c r="AE127" s="54"/>
      <c r="AF127" s="21" t="str">
        <f>IFERROR(VLOOKUP(October[[#This Row],[Drug Name3]],'Data Options'!$R$1:$S$100,2,FALSE), " ")</f>
        <v xml:space="preserve"> </v>
      </c>
      <c r="AG127" s="55"/>
      <c r="AH127" s="32"/>
      <c r="AI127" s="32"/>
      <c r="AJ127" s="55"/>
      <c r="AK127" s="32"/>
      <c r="AL127" s="32"/>
      <c r="AM127" s="32"/>
      <c r="AN127" s="32"/>
      <c r="AO127" s="32"/>
      <c r="AP127" s="31"/>
      <c r="AQ127" s="31"/>
      <c r="AR127" s="54"/>
      <c r="AS127" s="21" t="str">
        <f>IFERROR(VLOOKUP(October[[#This Row],[Drug Name4]],'Data Options'!$R$1:$S$100,2,FALSE), " ")</f>
        <v xml:space="preserve"> </v>
      </c>
      <c r="AT127" s="55"/>
      <c r="AU127" s="32"/>
      <c r="AV127" s="32"/>
      <c r="AW127" s="55"/>
      <c r="AX127" s="32"/>
      <c r="AY127" s="54"/>
      <c r="AZ127" s="21" t="str">
        <f>IFERROR(VLOOKUP(October[[#This Row],[Drug Name5]],'Data Options'!$R$1:$S$100,2,FALSE), " ")</f>
        <v xml:space="preserve"> </v>
      </c>
      <c r="BA127" s="55"/>
      <c r="BB127" s="32"/>
      <c r="BC127" s="32"/>
      <c r="BD127" s="55"/>
      <c r="BE127" s="32"/>
      <c r="BF127" s="54"/>
      <c r="BG127" s="21" t="str">
        <f>IFERROR(VLOOKUP(October[[#This Row],[Drug Name6]],'Data Options'!$R$1:$S$100,2,FALSE), " ")</f>
        <v xml:space="preserve"> </v>
      </c>
      <c r="BH127" s="55"/>
      <c r="BI127" s="32"/>
      <c r="BJ127" s="32"/>
      <c r="BK127" s="55"/>
      <c r="BL127" s="32"/>
      <c r="BM127" s="32"/>
      <c r="BN127" s="32"/>
      <c r="BO127" s="32"/>
      <c r="BP127" s="32"/>
      <c r="BQ127" s="31"/>
      <c r="BR127" s="31"/>
      <c r="BS127" s="54"/>
      <c r="BT127" s="21" t="str">
        <f>IFERROR(VLOOKUP(October[[#This Row],[Drug Name7]],'Data Options'!$R$1:$S$100,2,FALSE), " ")</f>
        <v xml:space="preserve"> </v>
      </c>
      <c r="BU127" s="55"/>
      <c r="BV127" s="32"/>
      <c r="BW127" s="32"/>
      <c r="BX127" s="55"/>
      <c r="BY127" s="32"/>
      <c r="BZ127" s="54"/>
      <c r="CA127" s="21" t="str">
        <f>IFERROR(VLOOKUP(October[[#This Row],[Drug Name8]],'Data Options'!$R$1:$S$100,2,FALSE), " ")</f>
        <v xml:space="preserve"> </v>
      </c>
      <c r="CB127" s="55"/>
      <c r="CC127" s="32"/>
      <c r="CD127" s="32"/>
      <c r="CE127" s="55"/>
      <c r="CF127" s="32"/>
      <c r="CG127" s="54"/>
      <c r="CH127" s="21" t="str">
        <f>IFERROR(VLOOKUP(October[[#This Row],[Drug Name9]],'Data Options'!$R$1:$S$100,2,FALSE), " ")</f>
        <v xml:space="preserve"> </v>
      </c>
      <c r="CI127" s="55"/>
      <c r="CJ127" s="32"/>
      <c r="CK127" s="32"/>
      <c r="CL127" s="55"/>
      <c r="CM127" s="32"/>
    </row>
    <row r="128" spans="1:91">
      <c r="A128" s="5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1"/>
      <c r="P128" s="31"/>
      <c r="Q128" s="54"/>
      <c r="R128" s="21" t="str">
        <f>IFERROR(VLOOKUP(October[[#This Row],[Drug Name]],'Data Options'!$R$1:$S$100,2,FALSE), " ")</f>
        <v xml:space="preserve"> </v>
      </c>
      <c r="S128" s="55"/>
      <c r="T128" s="32"/>
      <c r="U128" s="32"/>
      <c r="V128" s="55"/>
      <c r="W128" s="32"/>
      <c r="X128" s="54"/>
      <c r="Y128" s="21" t="str">
        <f>IFERROR(VLOOKUP(October[[#This Row],[Drug Name2]],'Data Options'!$R$1:$S$100,2,FALSE), " ")</f>
        <v xml:space="preserve"> </v>
      </c>
      <c r="Z128" s="55"/>
      <c r="AA128" s="32"/>
      <c r="AB128" s="32"/>
      <c r="AC128" s="55"/>
      <c r="AD128" s="32"/>
      <c r="AE128" s="54"/>
      <c r="AF128" s="21" t="str">
        <f>IFERROR(VLOOKUP(October[[#This Row],[Drug Name3]],'Data Options'!$R$1:$S$100,2,FALSE), " ")</f>
        <v xml:space="preserve"> </v>
      </c>
      <c r="AG128" s="55"/>
      <c r="AH128" s="32"/>
      <c r="AI128" s="32"/>
      <c r="AJ128" s="55"/>
      <c r="AK128" s="32"/>
      <c r="AL128" s="32"/>
      <c r="AM128" s="32"/>
      <c r="AN128" s="32"/>
      <c r="AO128" s="32"/>
      <c r="AP128" s="31"/>
      <c r="AQ128" s="31"/>
      <c r="AR128" s="54"/>
      <c r="AS128" s="21" t="str">
        <f>IFERROR(VLOOKUP(October[[#This Row],[Drug Name4]],'Data Options'!$R$1:$S$100,2,FALSE), " ")</f>
        <v xml:space="preserve"> </v>
      </c>
      <c r="AT128" s="55"/>
      <c r="AU128" s="32"/>
      <c r="AV128" s="32"/>
      <c r="AW128" s="55"/>
      <c r="AX128" s="32"/>
      <c r="AY128" s="54"/>
      <c r="AZ128" s="21" t="str">
        <f>IFERROR(VLOOKUP(October[[#This Row],[Drug Name5]],'Data Options'!$R$1:$S$100,2,FALSE), " ")</f>
        <v xml:space="preserve"> </v>
      </c>
      <c r="BA128" s="55"/>
      <c r="BB128" s="32"/>
      <c r="BC128" s="32"/>
      <c r="BD128" s="55"/>
      <c r="BE128" s="32"/>
      <c r="BF128" s="54"/>
      <c r="BG128" s="21" t="str">
        <f>IFERROR(VLOOKUP(October[[#This Row],[Drug Name6]],'Data Options'!$R$1:$S$100,2,FALSE), " ")</f>
        <v xml:space="preserve"> </v>
      </c>
      <c r="BH128" s="55"/>
      <c r="BI128" s="32"/>
      <c r="BJ128" s="32"/>
      <c r="BK128" s="55"/>
      <c r="BL128" s="32"/>
      <c r="BM128" s="32"/>
      <c r="BN128" s="32"/>
      <c r="BO128" s="32"/>
      <c r="BP128" s="32"/>
      <c r="BQ128" s="31"/>
      <c r="BR128" s="31"/>
      <c r="BS128" s="54"/>
      <c r="BT128" s="21" t="str">
        <f>IFERROR(VLOOKUP(October[[#This Row],[Drug Name7]],'Data Options'!$R$1:$S$100,2,FALSE), " ")</f>
        <v xml:space="preserve"> </v>
      </c>
      <c r="BU128" s="55"/>
      <c r="BV128" s="32"/>
      <c r="BW128" s="32"/>
      <c r="BX128" s="55"/>
      <c r="BY128" s="32"/>
      <c r="BZ128" s="54"/>
      <c r="CA128" s="21" t="str">
        <f>IFERROR(VLOOKUP(October[[#This Row],[Drug Name8]],'Data Options'!$R$1:$S$100,2,FALSE), " ")</f>
        <v xml:space="preserve"> </v>
      </c>
      <c r="CB128" s="55"/>
      <c r="CC128" s="32"/>
      <c r="CD128" s="32"/>
      <c r="CE128" s="55"/>
      <c r="CF128" s="32"/>
      <c r="CG128" s="54"/>
      <c r="CH128" s="21" t="str">
        <f>IFERROR(VLOOKUP(October[[#This Row],[Drug Name9]],'Data Options'!$R$1:$S$100,2,FALSE), " ")</f>
        <v xml:space="preserve"> </v>
      </c>
      <c r="CI128" s="55"/>
      <c r="CJ128" s="32"/>
      <c r="CK128" s="32"/>
      <c r="CL128" s="55"/>
      <c r="CM128" s="32"/>
    </row>
    <row r="129" spans="1:91">
      <c r="A129" s="5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1"/>
      <c r="P129" s="31"/>
      <c r="Q129" s="54"/>
      <c r="R129" s="21" t="str">
        <f>IFERROR(VLOOKUP(October[[#This Row],[Drug Name]],'Data Options'!$R$1:$S$100,2,FALSE), " ")</f>
        <v xml:space="preserve"> </v>
      </c>
      <c r="S129" s="55"/>
      <c r="T129" s="32"/>
      <c r="U129" s="32"/>
      <c r="V129" s="55"/>
      <c r="W129" s="32"/>
      <c r="X129" s="54"/>
      <c r="Y129" s="21" t="str">
        <f>IFERROR(VLOOKUP(October[[#This Row],[Drug Name2]],'Data Options'!$R$1:$S$100,2,FALSE), " ")</f>
        <v xml:space="preserve"> </v>
      </c>
      <c r="Z129" s="55"/>
      <c r="AA129" s="32"/>
      <c r="AB129" s="32"/>
      <c r="AC129" s="55"/>
      <c r="AD129" s="32"/>
      <c r="AE129" s="54"/>
      <c r="AF129" s="21" t="str">
        <f>IFERROR(VLOOKUP(October[[#This Row],[Drug Name3]],'Data Options'!$R$1:$S$100,2,FALSE), " ")</f>
        <v xml:space="preserve"> </v>
      </c>
      <c r="AG129" s="55"/>
      <c r="AH129" s="32"/>
      <c r="AI129" s="32"/>
      <c r="AJ129" s="55"/>
      <c r="AK129" s="32"/>
      <c r="AL129" s="32"/>
      <c r="AM129" s="32"/>
      <c r="AN129" s="32"/>
      <c r="AO129" s="32"/>
      <c r="AP129" s="31"/>
      <c r="AQ129" s="31"/>
      <c r="AR129" s="54"/>
      <c r="AS129" s="21" t="str">
        <f>IFERROR(VLOOKUP(October[[#This Row],[Drug Name4]],'Data Options'!$R$1:$S$100,2,FALSE), " ")</f>
        <v xml:space="preserve"> </v>
      </c>
      <c r="AT129" s="55"/>
      <c r="AU129" s="32"/>
      <c r="AV129" s="32"/>
      <c r="AW129" s="55"/>
      <c r="AX129" s="32"/>
      <c r="AY129" s="54"/>
      <c r="AZ129" s="21" t="str">
        <f>IFERROR(VLOOKUP(October[[#This Row],[Drug Name5]],'Data Options'!$R$1:$S$100,2,FALSE), " ")</f>
        <v xml:space="preserve"> </v>
      </c>
      <c r="BA129" s="55"/>
      <c r="BB129" s="32"/>
      <c r="BC129" s="32"/>
      <c r="BD129" s="55"/>
      <c r="BE129" s="32"/>
      <c r="BF129" s="54"/>
      <c r="BG129" s="21" t="str">
        <f>IFERROR(VLOOKUP(October[[#This Row],[Drug Name6]],'Data Options'!$R$1:$S$100,2,FALSE), " ")</f>
        <v xml:space="preserve"> </v>
      </c>
      <c r="BH129" s="55"/>
      <c r="BI129" s="32"/>
      <c r="BJ129" s="32"/>
      <c r="BK129" s="55"/>
      <c r="BL129" s="32"/>
      <c r="BM129" s="32"/>
      <c r="BN129" s="32"/>
      <c r="BO129" s="32"/>
      <c r="BP129" s="32"/>
      <c r="BQ129" s="31"/>
      <c r="BR129" s="31"/>
      <c r="BS129" s="54"/>
      <c r="BT129" s="21" t="str">
        <f>IFERROR(VLOOKUP(October[[#This Row],[Drug Name7]],'Data Options'!$R$1:$S$100,2,FALSE), " ")</f>
        <v xml:space="preserve"> </v>
      </c>
      <c r="BU129" s="55"/>
      <c r="BV129" s="32"/>
      <c r="BW129" s="32"/>
      <c r="BX129" s="55"/>
      <c r="BY129" s="32"/>
      <c r="BZ129" s="54"/>
      <c r="CA129" s="21" t="str">
        <f>IFERROR(VLOOKUP(October[[#This Row],[Drug Name8]],'Data Options'!$R$1:$S$100,2,FALSE), " ")</f>
        <v xml:space="preserve"> </v>
      </c>
      <c r="CB129" s="55"/>
      <c r="CC129" s="32"/>
      <c r="CD129" s="32"/>
      <c r="CE129" s="55"/>
      <c r="CF129" s="32"/>
      <c r="CG129" s="54"/>
      <c r="CH129" s="21" t="str">
        <f>IFERROR(VLOOKUP(October[[#This Row],[Drug Name9]],'Data Options'!$R$1:$S$100,2,FALSE), " ")</f>
        <v xml:space="preserve"> </v>
      </c>
      <c r="CI129" s="55"/>
      <c r="CJ129" s="32"/>
      <c r="CK129" s="32"/>
      <c r="CL129" s="55"/>
      <c r="CM129" s="32"/>
    </row>
    <row r="130" spans="1:91">
      <c r="A130" s="5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1"/>
      <c r="P130" s="31"/>
      <c r="Q130" s="54"/>
      <c r="R130" s="21" t="str">
        <f>IFERROR(VLOOKUP(October[[#This Row],[Drug Name]],'Data Options'!$R$1:$S$100,2,FALSE), " ")</f>
        <v xml:space="preserve"> </v>
      </c>
      <c r="S130" s="55"/>
      <c r="T130" s="32"/>
      <c r="U130" s="32"/>
      <c r="V130" s="55"/>
      <c r="W130" s="32"/>
      <c r="X130" s="54"/>
      <c r="Y130" s="21" t="str">
        <f>IFERROR(VLOOKUP(October[[#This Row],[Drug Name2]],'Data Options'!$R$1:$S$100,2,FALSE), " ")</f>
        <v xml:space="preserve"> </v>
      </c>
      <c r="Z130" s="55"/>
      <c r="AA130" s="32"/>
      <c r="AB130" s="32"/>
      <c r="AC130" s="55"/>
      <c r="AD130" s="32"/>
      <c r="AE130" s="54"/>
      <c r="AF130" s="21" t="str">
        <f>IFERROR(VLOOKUP(October[[#This Row],[Drug Name3]],'Data Options'!$R$1:$S$100,2,FALSE), " ")</f>
        <v xml:space="preserve"> </v>
      </c>
      <c r="AG130" s="55"/>
      <c r="AH130" s="32"/>
      <c r="AI130" s="32"/>
      <c r="AJ130" s="55"/>
      <c r="AK130" s="32"/>
      <c r="AL130" s="32"/>
      <c r="AM130" s="32"/>
      <c r="AN130" s="32"/>
      <c r="AO130" s="32"/>
      <c r="AP130" s="31"/>
      <c r="AQ130" s="31"/>
      <c r="AR130" s="54"/>
      <c r="AS130" s="21" t="str">
        <f>IFERROR(VLOOKUP(October[[#This Row],[Drug Name4]],'Data Options'!$R$1:$S$100,2,FALSE), " ")</f>
        <v xml:space="preserve"> </v>
      </c>
      <c r="AT130" s="55"/>
      <c r="AU130" s="32"/>
      <c r="AV130" s="32"/>
      <c r="AW130" s="55"/>
      <c r="AX130" s="32"/>
      <c r="AY130" s="54"/>
      <c r="AZ130" s="21" t="str">
        <f>IFERROR(VLOOKUP(October[[#This Row],[Drug Name5]],'Data Options'!$R$1:$S$100,2,FALSE), " ")</f>
        <v xml:space="preserve"> </v>
      </c>
      <c r="BA130" s="55"/>
      <c r="BB130" s="32"/>
      <c r="BC130" s="32"/>
      <c r="BD130" s="55"/>
      <c r="BE130" s="32"/>
      <c r="BF130" s="54"/>
      <c r="BG130" s="21" t="str">
        <f>IFERROR(VLOOKUP(October[[#This Row],[Drug Name6]],'Data Options'!$R$1:$S$100,2,FALSE), " ")</f>
        <v xml:space="preserve"> </v>
      </c>
      <c r="BH130" s="55"/>
      <c r="BI130" s="32"/>
      <c r="BJ130" s="32"/>
      <c r="BK130" s="55"/>
      <c r="BL130" s="32"/>
      <c r="BM130" s="32"/>
      <c r="BN130" s="32"/>
      <c r="BO130" s="32"/>
      <c r="BP130" s="32"/>
      <c r="BQ130" s="31"/>
      <c r="BR130" s="31"/>
      <c r="BS130" s="54"/>
      <c r="BT130" s="21" t="str">
        <f>IFERROR(VLOOKUP(October[[#This Row],[Drug Name7]],'Data Options'!$R$1:$S$100,2,FALSE), " ")</f>
        <v xml:space="preserve"> </v>
      </c>
      <c r="BU130" s="55"/>
      <c r="BV130" s="32"/>
      <c r="BW130" s="32"/>
      <c r="BX130" s="55"/>
      <c r="BY130" s="32"/>
      <c r="BZ130" s="54"/>
      <c r="CA130" s="21" t="str">
        <f>IFERROR(VLOOKUP(October[[#This Row],[Drug Name8]],'Data Options'!$R$1:$S$100,2,FALSE), " ")</f>
        <v xml:space="preserve"> </v>
      </c>
      <c r="CB130" s="55"/>
      <c r="CC130" s="32"/>
      <c r="CD130" s="32"/>
      <c r="CE130" s="55"/>
      <c r="CF130" s="32"/>
      <c r="CG130" s="54"/>
      <c r="CH130" s="21" t="str">
        <f>IFERROR(VLOOKUP(October[[#This Row],[Drug Name9]],'Data Options'!$R$1:$S$100,2,FALSE), " ")</f>
        <v xml:space="preserve"> </v>
      </c>
      <c r="CI130" s="55"/>
      <c r="CJ130" s="32"/>
      <c r="CK130" s="32"/>
      <c r="CL130" s="55"/>
      <c r="CM130" s="32"/>
    </row>
    <row r="131" spans="1:91">
      <c r="A131" s="5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1"/>
      <c r="P131" s="31"/>
      <c r="Q131" s="54"/>
      <c r="R131" s="21" t="str">
        <f>IFERROR(VLOOKUP(October[[#This Row],[Drug Name]],'Data Options'!$R$1:$S$100,2,FALSE), " ")</f>
        <v xml:space="preserve"> </v>
      </c>
      <c r="S131" s="55"/>
      <c r="T131" s="32"/>
      <c r="U131" s="32"/>
      <c r="V131" s="55"/>
      <c r="W131" s="32"/>
      <c r="X131" s="54"/>
      <c r="Y131" s="21" t="str">
        <f>IFERROR(VLOOKUP(October[[#This Row],[Drug Name2]],'Data Options'!$R$1:$S$100,2,FALSE), " ")</f>
        <v xml:space="preserve"> </v>
      </c>
      <c r="Z131" s="55"/>
      <c r="AA131" s="32"/>
      <c r="AB131" s="32"/>
      <c r="AC131" s="55"/>
      <c r="AD131" s="32"/>
      <c r="AE131" s="54"/>
      <c r="AF131" s="21" t="str">
        <f>IFERROR(VLOOKUP(October[[#This Row],[Drug Name3]],'Data Options'!$R$1:$S$100,2,FALSE), " ")</f>
        <v xml:space="preserve"> </v>
      </c>
      <c r="AG131" s="55"/>
      <c r="AH131" s="32"/>
      <c r="AI131" s="32"/>
      <c r="AJ131" s="55"/>
      <c r="AK131" s="32"/>
      <c r="AL131" s="32"/>
      <c r="AM131" s="32"/>
      <c r="AN131" s="32"/>
      <c r="AO131" s="32"/>
      <c r="AP131" s="31"/>
      <c r="AQ131" s="31"/>
      <c r="AR131" s="54"/>
      <c r="AS131" s="21" t="str">
        <f>IFERROR(VLOOKUP(October[[#This Row],[Drug Name4]],'Data Options'!$R$1:$S$100,2,FALSE), " ")</f>
        <v xml:space="preserve"> </v>
      </c>
      <c r="AT131" s="55"/>
      <c r="AU131" s="32"/>
      <c r="AV131" s="32"/>
      <c r="AW131" s="55"/>
      <c r="AX131" s="32"/>
      <c r="AY131" s="54"/>
      <c r="AZ131" s="21" t="str">
        <f>IFERROR(VLOOKUP(October[[#This Row],[Drug Name5]],'Data Options'!$R$1:$S$100,2,FALSE), " ")</f>
        <v xml:space="preserve"> </v>
      </c>
      <c r="BA131" s="55"/>
      <c r="BB131" s="32"/>
      <c r="BC131" s="32"/>
      <c r="BD131" s="55"/>
      <c r="BE131" s="32"/>
      <c r="BF131" s="54"/>
      <c r="BG131" s="21" t="str">
        <f>IFERROR(VLOOKUP(October[[#This Row],[Drug Name6]],'Data Options'!$R$1:$S$100,2,FALSE), " ")</f>
        <v xml:space="preserve"> </v>
      </c>
      <c r="BH131" s="55"/>
      <c r="BI131" s="32"/>
      <c r="BJ131" s="32"/>
      <c r="BK131" s="55"/>
      <c r="BL131" s="32"/>
      <c r="BM131" s="32"/>
      <c r="BN131" s="32"/>
      <c r="BO131" s="32"/>
      <c r="BP131" s="32"/>
      <c r="BQ131" s="31"/>
      <c r="BR131" s="31"/>
      <c r="BS131" s="54"/>
      <c r="BT131" s="21" t="str">
        <f>IFERROR(VLOOKUP(October[[#This Row],[Drug Name7]],'Data Options'!$R$1:$S$100,2,FALSE), " ")</f>
        <v xml:space="preserve"> </v>
      </c>
      <c r="BU131" s="55"/>
      <c r="BV131" s="32"/>
      <c r="BW131" s="32"/>
      <c r="BX131" s="55"/>
      <c r="BY131" s="32"/>
      <c r="BZ131" s="54"/>
      <c r="CA131" s="21" t="str">
        <f>IFERROR(VLOOKUP(October[[#This Row],[Drug Name8]],'Data Options'!$R$1:$S$100,2,FALSE), " ")</f>
        <v xml:space="preserve"> </v>
      </c>
      <c r="CB131" s="55"/>
      <c r="CC131" s="32"/>
      <c r="CD131" s="32"/>
      <c r="CE131" s="55"/>
      <c r="CF131" s="32"/>
      <c r="CG131" s="54"/>
      <c r="CH131" s="21" t="str">
        <f>IFERROR(VLOOKUP(October[[#This Row],[Drug Name9]],'Data Options'!$R$1:$S$100,2,FALSE), " ")</f>
        <v xml:space="preserve"> </v>
      </c>
      <c r="CI131" s="55"/>
      <c r="CJ131" s="32"/>
      <c r="CK131" s="32"/>
      <c r="CL131" s="55"/>
      <c r="CM131" s="32"/>
    </row>
    <row r="132" spans="1:91">
      <c r="A132" s="5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1"/>
      <c r="P132" s="31"/>
      <c r="Q132" s="54"/>
      <c r="R132" s="21" t="str">
        <f>IFERROR(VLOOKUP(October[[#This Row],[Drug Name]],'Data Options'!$R$1:$S$100,2,FALSE), " ")</f>
        <v xml:space="preserve"> </v>
      </c>
      <c r="S132" s="55"/>
      <c r="T132" s="32"/>
      <c r="U132" s="32"/>
      <c r="V132" s="55"/>
      <c r="W132" s="32"/>
      <c r="X132" s="54"/>
      <c r="Y132" s="21" t="str">
        <f>IFERROR(VLOOKUP(October[[#This Row],[Drug Name2]],'Data Options'!$R$1:$S$100,2,FALSE), " ")</f>
        <v xml:space="preserve"> </v>
      </c>
      <c r="Z132" s="55"/>
      <c r="AA132" s="32"/>
      <c r="AB132" s="32"/>
      <c r="AC132" s="55"/>
      <c r="AD132" s="32"/>
      <c r="AE132" s="54"/>
      <c r="AF132" s="21" t="str">
        <f>IFERROR(VLOOKUP(October[[#This Row],[Drug Name3]],'Data Options'!$R$1:$S$100,2,FALSE), " ")</f>
        <v xml:space="preserve"> </v>
      </c>
      <c r="AG132" s="55"/>
      <c r="AH132" s="32"/>
      <c r="AI132" s="32"/>
      <c r="AJ132" s="55"/>
      <c r="AK132" s="32"/>
      <c r="AL132" s="32"/>
      <c r="AM132" s="32"/>
      <c r="AN132" s="32"/>
      <c r="AO132" s="32"/>
      <c r="AP132" s="31"/>
      <c r="AQ132" s="31"/>
      <c r="AR132" s="54"/>
      <c r="AS132" s="21" t="str">
        <f>IFERROR(VLOOKUP(October[[#This Row],[Drug Name4]],'Data Options'!$R$1:$S$100,2,FALSE), " ")</f>
        <v xml:space="preserve"> </v>
      </c>
      <c r="AT132" s="55"/>
      <c r="AU132" s="32"/>
      <c r="AV132" s="32"/>
      <c r="AW132" s="55"/>
      <c r="AX132" s="32"/>
      <c r="AY132" s="54"/>
      <c r="AZ132" s="21" t="str">
        <f>IFERROR(VLOOKUP(October[[#This Row],[Drug Name5]],'Data Options'!$R$1:$S$100,2,FALSE), " ")</f>
        <v xml:space="preserve"> </v>
      </c>
      <c r="BA132" s="55"/>
      <c r="BB132" s="32"/>
      <c r="BC132" s="32"/>
      <c r="BD132" s="55"/>
      <c r="BE132" s="32"/>
      <c r="BF132" s="54"/>
      <c r="BG132" s="21" t="str">
        <f>IFERROR(VLOOKUP(October[[#This Row],[Drug Name6]],'Data Options'!$R$1:$S$100,2,FALSE), " ")</f>
        <v xml:space="preserve"> </v>
      </c>
      <c r="BH132" s="55"/>
      <c r="BI132" s="32"/>
      <c r="BJ132" s="32"/>
      <c r="BK132" s="55"/>
      <c r="BL132" s="32"/>
      <c r="BM132" s="32"/>
      <c r="BN132" s="32"/>
      <c r="BO132" s="32"/>
      <c r="BP132" s="32"/>
      <c r="BQ132" s="31"/>
      <c r="BR132" s="31"/>
      <c r="BS132" s="54"/>
      <c r="BT132" s="21" t="str">
        <f>IFERROR(VLOOKUP(October[[#This Row],[Drug Name7]],'Data Options'!$R$1:$S$100,2,FALSE), " ")</f>
        <v xml:space="preserve"> </v>
      </c>
      <c r="BU132" s="55"/>
      <c r="BV132" s="32"/>
      <c r="BW132" s="32"/>
      <c r="BX132" s="55"/>
      <c r="BY132" s="32"/>
      <c r="BZ132" s="54"/>
      <c r="CA132" s="21" t="str">
        <f>IFERROR(VLOOKUP(October[[#This Row],[Drug Name8]],'Data Options'!$R$1:$S$100,2,FALSE), " ")</f>
        <v xml:space="preserve"> </v>
      </c>
      <c r="CB132" s="55"/>
      <c r="CC132" s="32"/>
      <c r="CD132" s="32"/>
      <c r="CE132" s="55"/>
      <c r="CF132" s="32"/>
      <c r="CG132" s="54"/>
      <c r="CH132" s="21" t="str">
        <f>IFERROR(VLOOKUP(October[[#This Row],[Drug Name9]],'Data Options'!$R$1:$S$100,2,FALSE), " ")</f>
        <v xml:space="preserve"> </v>
      </c>
      <c r="CI132" s="55"/>
      <c r="CJ132" s="32"/>
      <c r="CK132" s="32"/>
      <c r="CL132" s="55"/>
      <c r="CM132" s="32"/>
    </row>
    <row r="133" spans="1:91">
      <c r="A133" s="5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54"/>
      <c r="R133" s="21" t="str">
        <f>IFERROR(VLOOKUP(October[[#This Row],[Drug Name]],'Data Options'!$R$1:$S$100,2,FALSE), " ")</f>
        <v xml:space="preserve"> </v>
      </c>
      <c r="S133" s="55"/>
      <c r="T133" s="32"/>
      <c r="U133" s="32"/>
      <c r="V133" s="55"/>
      <c r="W133" s="32"/>
      <c r="X133" s="54"/>
      <c r="Y133" s="21" t="str">
        <f>IFERROR(VLOOKUP(October[[#This Row],[Drug Name2]],'Data Options'!$R$1:$S$100,2,FALSE), " ")</f>
        <v xml:space="preserve"> </v>
      </c>
      <c r="Z133" s="55"/>
      <c r="AA133" s="32"/>
      <c r="AB133" s="32"/>
      <c r="AC133" s="55"/>
      <c r="AD133" s="32"/>
      <c r="AE133" s="54"/>
      <c r="AF133" s="21" t="str">
        <f>IFERROR(VLOOKUP(October[[#This Row],[Drug Name3]],'Data Options'!$R$1:$S$100,2,FALSE), " ")</f>
        <v xml:space="preserve"> </v>
      </c>
      <c r="AG133" s="55"/>
      <c r="AH133" s="32"/>
      <c r="AI133" s="32"/>
      <c r="AJ133" s="55"/>
      <c r="AK133" s="32"/>
      <c r="AL133" s="32"/>
      <c r="AM133" s="32"/>
      <c r="AN133" s="32"/>
      <c r="AO133" s="32"/>
      <c r="AP133" s="31"/>
      <c r="AQ133" s="31"/>
      <c r="AR133" s="54"/>
      <c r="AS133" s="21" t="str">
        <f>IFERROR(VLOOKUP(October[[#This Row],[Drug Name4]],'Data Options'!$R$1:$S$100,2,FALSE), " ")</f>
        <v xml:space="preserve"> </v>
      </c>
      <c r="AT133" s="55"/>
      <c r="AU133" s="32"/>
      <c r="AV133" s="32"/>
      <c r="AW133" s="55"/>
      <c r="AX133" s="32"/>
      <c r="AY133" s="54"/>
      <c r="AZ133" s="21" t="str">
        <f>IFERROR(VLOOKUP(October[[#This Row],[Drug Name5]],'Data Options'!$R$1:$S$100,2,FALSE), " ")</f>
        <v xml:space="preserve"> </v>
      </c>
      <c r="BA133" s="55"/>
      <c r="BB133" s="32"/>
      <c r="BC133" s="32"/>
      <c r="BD133" s="55"/>
      <c r="BE133" s="32"/>
      <c r="BF133" s="54"/>
      <c r="BG133" s="21" t="str">
        <f>IFERROR(VLOOKUP(October[[#This Row],[Drug Name6]],'Data Options'!$R$1:$S$100,2,FALSE), " ")</f>
        <v xml:space="preserve"> </v>
      </c>
      <c r="BH133" s="55"/>
      <c r="BI133" s="32"/>
      <c r="BJ133" s="32"/>
      <c r="BK133" s="55"/>
      <c r="BL133" s="32"/>
      <c r="BM133" s="32"/>
      <c r="BN133" s="32"/>
      <c r="BO133" s="32"/>
      <c r="BP133" s="32"/>
      <c r="BQ133" s="31"/>
      <c r="BR133" s="31"/>
      <c r="BS133" s="54"/>
      <c r="BT133" s="21" t="str">
        <f>IFERROR(VLOOKUP(October[[#This Row],[Drug Name7]],'Data Options'!$R$1:$S$100,2,FALSE), " ")</f>
        <v xml:space="preserve"> </v>
      </c>
      <c r="BU133" s="55"/>
      <c r="BV133" s="32"/>
      <c r="BW133" s="32"/>
      <c r="BX133" s="55"/>
      <c r="BY133" s="32"/>
      <c r="BZ133" s="54"/>
      <c r="CA133" s="21" t="str">
        <f>IFERROR(VLOOKUP(October[[#This Row],[Drug Name8]],'Data Options'!$R$1:$S$100,2,FALSE), " ")</f>
        <v xml:space="preserve"> </v>
      </c>
      <c r="CB133" s="55"/>
      <c r="CC133" s="32"/>
      <c r="CD133" s="32"/>
      <c r="CE133" s="55"/>
      <c r="CF133" s="32"/>
      <c r="CG133" s="54"/>
      <c r="CH133" s="21" t="str">
        <f>IFERROR(VLOOKUP(October[[#This Row],[Drug Name9]],'Data Options'!$R$1:$S$100,2,FALSE), " ")</f>
        <v xml:space="preserve"> </v>
      </c>
      <c r="CI133" s="55"/>
      <c r="CJ133" s="32"/>
      <c r="CK133" s="32"/>
      <c r="CL133" s="55"/>
      <c r="CM133" s="32"/>
    </row>
    <row r="134" spans="1:91">
      <c r="A134" s="5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54"/>
      <c r="R134" s="21" t="str">
        <f>IFERROR(VLOOKUP(October[[#This Row],[Drug Name]],'Data Options'!$R$1:$S$100,2,FALSE), " ")</f>
        <v xml:space="preserve"> </v>
      </c>
      <c r="S134" s="55"/>
      <c r="T134" s="32"/>
      <c r="U134" s="32"/>
      <c r="V134" s="55"/>
      <c r="W134" s="32"/>
      <c r="X134" s="54"/>
      <c r="Y134" s="21" t="str">
        <f>IFERROR(VLOOKUP(October[[#This Row],[Drug Name2]],'Data Options'!$R$1:$S$100,2,FALSE), " ")</f>
        <v xml:space="preserve"> </v>
      </c>
      <c r="Z134" s="55"/>
      <c r="AA134" s="32"/>
      <c r="AB134" s="32"/>
      <c r="AC134" s="55"/>
      <c r="AD134" s="32"/>
      <c r="AE134" s="54"/>
      <c r="AF134" s="21" t="str">
        <f>IFERROR(VLOOKUP(October[[#This Row],[Drug Name3]],'Data Options'!$R$1:$S$100,2,FALSE), " ")</f>
        <v xml:space="preserve"> </v>
      </c>
      <c r="AG134" s="55"/>
      <c r="AH134" s="32"/>
      <c r="AI134" s="32"/>
      <c r="AJ134" s="55"/>
      <c r="AK134" s="32"/>
      <c r="AL134" s="32"/>
      <c r="AM134" s="32"/>
      <c r="AN134" s="32"/>
      <c r="AO134" s="32"/>
      <c r="AP134" s="31"/>
      <c r="AQ134" s="31"/>
      <c r="AR134" s="54"/>
      <c r="AS134" s="21" t="str">
        <f>IFERROR(VLOOKUP(October[[#This Row],[Drug Name4]],'Data Options'!$R$1:$S$100,2,FALSE), " ")</f>
        <v xml:space="preserve"> </v>
      </c>
      <c r="AT134" s="55"/>
      <c r="AU134" s="32"/>
      <c r="AV134" s="32"/>
      <c r="AW134" s="55"/>
      <c r="AX134" s="32"/>
      <c r="AY134" s="54"/>
      <c r="AZ134" s="21" t="str">
        <f>IFERROR(VLOOKUP(October[[#This Row],[Drug Name5]],'Data Options'!$R$1:$S$100,2,FALSE), " ")</f>
        <v xml:space="preserve"> </v>
      </c>
      <c r="BA134" s="55"/>
      <c r="BB134" s="32"/>
      <c r="BC134" s="32"/>
      <c r="BD134" s="55"/>
      <c r="BE134" s="32"/>
      <c r="BF134" s="54"/>
      <c r="BG134" s="21" t="str">
        <f>IFERROR(VLOOKUP(October[[#This Row],[Drug Name6]],'Data Options'!$R$1:$S$100,2,FALSE), " ")</f>
        <v xml:space="preserve"> </v>
      </c>
      <c r="BH134" s="55"/>
      <c r="BI134" s="32"/>
      <c r="BJ134" s="32"/>
      <c r="BK134" s="55"/>
      <c r="BL134" s="32"/>
      <c r="BM134" s="32"/>
      <c r="BN134" s="32"/>
      <c r="BO134" s="32"/>
      <c r="BP134" s="32"/>
      <c r="BQ134" s="31"/>
      <c r="BR134" s="31"/>
      <c r="BS134" s="54"/>
      <c r="BT134" s="21" t="str">
        <f>IFERROR(VLOOKUP(October[[#This Row],[Drug Name7]],'Data Options'!$R$1:$S$100,2,FALSE), " ")</f>
        <v xml:space="preserve"> </v>
      </c>
      <c r="BU134" s="55"/>
      <c r="BV134" s="32"/>
      <c r="BW134" s="32"/>
      <c r="BX134" s="55"/>
      <c r="BY134" s="32"/>
      <c r="BZ134" s="54"/>
      <c r="CA134" s="21" t="str">
        <f>IFERROR(VLOOKUP(October[[#This Row],[Drug Name8]],'Data Options'!$R$1:$S$100,2,FALSE), " ")</f>
        <v xml:space="preserve"> </v>
      </c>
      <c r="CB134" s="55"/>
      <c r="CC134" s="32"/>
      <c r="CD134" s="32"/>
      <c r="CE134" s="55"/>
      <c r="CF134" s="32"/>
      <c r="CG134" s="54"/>
      <c r="CH134" s="21" t="str">
        <f>IFERROR(VLOOKUP(October[[#This Row],[Drug Name9]],'Data Options'!$R$1:$S$100,2,FALSE), " ")</f>
        <v xml:space="preserve"> </v>
      </c>
      <c r="CI134" s="55"/>
      <c r="CJ134" s="32"/>
      <c r="CK134" s="32"/>
      <c r="CL134" s="55"/>
      <c r="CM134" s="32"/>
    </row>
    <row r="135" spans="1:91">
      <c r="A135" s="5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1"/>
      <c r="P135" s="31"/>
      <c r="Q135" s="54"/>
      <c r="R135" s="21" t="str">
        <f>IFERROR(VLOOKUP(October[[#This Row],[Drug Name]],'Data Options'!$R$1:$S$100,2,FALSE), " ")</f>
        <v xml:space="preserve"> </v>
      </c>
      <c r="S135" s="55"/>
      <c r="T135" s="32"/>
      <c r="U135" s="32"/>
      <c r="V135" s="55"/>
      <c r="W135" s="32"/>
      <c r="X135" s="54"/>
      <c r="Y135" s="21" t="str">
        <f>IFERROR(VLOOKUP(October[[#This Row],[Drug Name2]],'Data Options'!$R$1:$S$100,2,FALSE), " ")</f>
        <v xml:space="preserve"> </v>
      </c>
      <c r="Z135" s="55"/>
      <c r="AA135" s="32"/>
      <c r="AB135" s="32"/>
      <c r="AC135" s="55"/>
      <c r="AD135" s="32"/>
      <c r="AE135" s="54"/>
      <c r="AF135" s="21" t="str">
        <f>IFERROR(VLOOKUP(October[[#This Row],[Drug Name3]],'Data Options'!$R$1:$S$100,2,FALSE), " ")</f>
        <v xml:space="preserve"> </v>
      </c>
      <c r="AG135" s="55"/>
      <c r="AH135" s="32"/>
      <c r="AI135" s="32"/>
      <c r="AJ135" s="55"/>
      <c r="AK135" s="32"/>
      <c r="AL135" s="32"/>
      <c r="AM135" s="32"/>
      <c r="AN135" s="32"/>
      <c r="AO135" s="32"/>
      <c r="AP135" s="31"/>
      <c r="AQ135" s="31"/>
      <c r="AR135" s="54"/>
      <c r="AS135" s="21" t="str">
        <f>IFERROR(VLOOKUP(October[[#This Row],[Drug Name4]],'Data Options'!$R$1:$S$100,2,FALSE), " ")</f>
        <v xml:space="preserve"> </v>
      </c>
      <c r="AT135" s="55"/>
      <c r="AU135" s="32"/>
      <c r="AV135" s="32"/>
      <c r="AW135" s="55"/>
      <c r="AX135" s="32"/>
      <c r="AY135" s="54"/>
      <c r="AZ135" s="21" t="str">
        <f>IFERROR(VLOOKUP(October[[#This Row],[Drug Name5]],'Data Options'!$R$1:$S$100,2,FALSE), " ")</f>
        <v xml:space="preserve"> </v>
      </c>
      <c r="BA135" s="55"/>
      <c r="BB135" s="32"/>
      <c r="BC135" s="32"/>
      <c r="BD135" s="55"/>
      <c r="BE135" s="32"/>
      <c r="BF135" s="54"/>
      <c r="BG135" s="21" t="str">
        <f>IFERROR(VLOOKUP(October[[#This Row],[Drug Name6]],'Data Options'!$R$1:$S$100,2,FALSE), " ")</f>
        <v xml:space="preserve"> </v>
      </c>
      <c r="BH135" s="55"/>
      <c r="BI135" s="32"/>
      <c r="BJ135" s="32"/>
      <c r="BK135" s="55"/>
      <c r="BL135" s="32"/>
      <c r="BM135" s="32"/>
      <c r="BN135" s="32"/>
      <c r="BO135" s="32"/>
      <c r="BP135" s="32"/>
      <c r="BQ135" s="31"/>
      <c r="BR135" s="31"/>
      <c r="BS135" s="54"/>
      <c r="BT135" s="21" t="str">
        <f>IFERROR(VLOOKUP(October[[#This Row],[Drug Name7]],'Data Options'!$R$1:$S$100,2,FALSE), " ")</f>
        <v xml:space="preserve"> </v>
      </c>
      <c r="BU135" s="55"/>
      <c r="BV135" s="32"/>
      <c r="BW135" s="32"/>
      <c r="BX135" s="55"/>
      <c r="BY135" s="32"/>
      <c r="BZ135" s="54"/>
      <c r="CA135" s="21" t="str">
        <f>IFERROR(VLOOKUP(October[[#This Row],[Drug Name8]],'Data Options'!$R$1:$S$100,2,FALSE), " ")</f>
        <v xml:space="preserve"> </v>
      </c>
      <c r="CB135" s="55"/>
      <c r="CC135" s="32"/>
      <c r="CD135" s="32"/>
      <c r="CE135" s="55"/>
      <c r="CF135" s="32"/>
      <c r="CG135" s="54"/>
      <c r="CH135" s="21" t="str">
        <f>IFERROR(VLOOKUP(October[[#This Row],[Drug Name9]],'Data Options'!$R$1:$S$100,2,FALSE), " ")</f>
        <v xml:space="preserve"> </v>
      </c>
      <c r="CI135" s="55"/>
      <c r="CJ135" s="32"/>
      <c r="CK135" s="32"/>
      <c r="CL135" s="55"/>
      <c r="CM135" s="32"/>
    </row>
    <row r="136" spans="1:91">
      <c r="A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1"/>
      <c r="P136" s="31"/>
      <c r="Q136" s="54"/>
      <c r="R136" s="21" t="str">
        <f>IFERROR(VLOOKUP(October[[#This Row],[Drug Name]],'Data Options'!$R$1:$S$100,2,FALSE), " ")</f>
        <v xml:space="preserve"> </v>
      </c>
      <c r="S136" s="55"/>
      <c r="T136" s="32"/>
      <c r="U136" s="32"/>
      <c r="V136" s="55"/>
      <c r="W136" s="32"/>
      <c r="X136" s="54"/>
      <c r="Y136" s="21" t="str">
        <f>IFERROR(VLOOKUP(October[[#This Row],[Drug Name2]],'Data Options'!$R$1:$S$100,2,FALSE), " ")</f>
        <v xml:space="preserve"> </v>
      </c>
      <c r="Z136" s="55"/>
      <c r="AA136" s="32"/>
      <c r="AB136" s="32"/>
      <c r="AC136" s="55"/>
      <c r="AD136" s="32"/>
      <c r="AE136" s="54"/>
      <c r="AF136" s="21" t="str">
        <f>IFERROR(VLOOKUP(October[[#This Row],[Drug Name3]],'Data Options'!$R$1:$S$100,2,FALSE), " ")</f>
        <v xml:space="preserve"> </v>
      </c>
      <c r="AG136" s="55"/>
      <c r="AH136" s="32"/>
      <c r="AI136" s="32"/>
      <c r="AJ136" s="55"/>
      <c r="AK136" s="32"/>
      <c r="AL136" s="32"/>
      <c r="AM136" s="32"/>
      <c r="AN136" s="32"/>
      <c r="AO136" s="32"/>
      <c r="AP136" s="31"/>
      <c r="AQ136" s="31"/>
      <c r="AR136" s="54"/>
      <c r="AS136" s="21" t="str">
        <f>IFERROR(VLOOKUP(October[[#This Row],[Drug Name4]],'Data Options'!$R$1:$S$100,2,FALSE), " ")</f>
        <v xml:space="preserve"> </v>
      </c>
      <c r="AT136" s="55"/>
      <c r="AU136" s="32"/>
      <c r="AV136" s="32"/>
      <c r="AW136" s="55"/>
      <c r="AX136" s="32"/>
      <c r="AY136" s="54"/>
      <c r="AZ136" s="21" t="str">
        <f>IFERROR(VLOOKUP(October[[#This Row],[Drug Name5]],'Data Options'!$R$1:$S$100,2,FALSE), " ")</f>
        <v xml:space="preserve"> </v>
      </c>
      <c r="BA136" s="55"/>
      <c r="BB136" s="32"/>
      <c r="BC136" s="32"/>
      <c r="BD136" s="55"/>
      <c r="BE136" s="32"/>
      <c r="BF136" s="54"/>
      <c r="BG136" s="21" t="str">
        <f>IFERROR(VLOOKUP(October[[#This Row],[Drug Name6]],'Data Options'!$R$1:$S$100,2,FALSE), " ")</f>
        <v xml:space="preserve"> </v>
      </c>
      <c r="BH136" s="55"/>
      <c r="BI136" s="32"/>
      <c r="BJ136" s="32"/>
      <c r="BK136" s="55"/>
      <c r="BL136" s="32"/>
      <c r="BM136" s="32"/>
      <c r="BN136" s="32"/>
      <c r="BO136" s="32"/>
      <c r="BP136" s="32"/>
      <c r="BQ136" s="31"/>
      <c r="BR136" s="31"/>
      <c r="BS136" s="54"/>
      <c r="BT136" s="21" t="str">
        <f>IFERROR(VLOOKUP(October[[#This Row],[Drug Name7]],'Data Options'!$R$1:$S$100,2,FALSE), " ")</f>
        <v xml:space="preserve"> </v>
      </c>
      <c r="BU136" s="55"/>
      <c r="BV136" s="32"/>
      <c r="BW136" s="32"/>
      <c r="BX136" s="55"/>
      <c r="BY136" s="32"/>
      <c r="BZ136" s="54"/>
      <c r="CA136" s="21" t="str">
        <f>IFERROR(VLOOKUP(October[[#This Row],[Drug Name8]],'Data Options'!$R$1:$S$100,2,FALSE), " ")</f>
        <v xml:space="preserve"> </v>
      </c>
      <c r="CB136" s="55"/>
      <c r="CC136" s="32"/>
      <c r="CD136" s="32"/>
      <c r="CE136" s="55"/>
      <c r="CF136" s="32"/>
      <c r="CG136" s="54"/>
      <c r="CH136" s="21" t="str">
        <f>IFERROR(VLOOKUP(October[[#This Row],[Drug Name9]],'Data Options'!$R$1:$S$100,2,FALSE), " ")</f>
        <v xml:space="preserve"> </v>
      </c>
      <c r="CI136" s="55"/>
      <c r="CJ136" s="32"/>
      <c r="CK136" s="32"/>
      <c r="CL136" s="55"/>
      <c r="CM136" s="32"/>
    </row>
    <row r="137" spans="1:91">
      <c r="A137" s="5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/>
      <c r="P137" s="31"/>
      <c r="Q137" s="54"/>
      <c r="R137" s="21" t="str">
        <f>IFERROR(VLOOKUP(October[[#This Row],[Drug Name]],'Data Options'!$R$1:$S$100,2,FALSE), " ")</f>
        <v xml:space="preserve"> </v>
      </c>
      <c r="S137" s="55"/>
      <c r="T137" s="32"/>
      <c r="U137" s="32"/>
      <c r="V137" s="55"/>
      <c r="W137" s="32"/>
      <c r="X137" s="54"/>
      <c r="Y137" s="21" t="str">
        <f>IFERROR(VLOOKUP(October[[#This Row],[Drug Name2]],'Data Options'!$R$1:$S$100,2,FALSE), " ")</f>
        <v xml:space="preserve"> </v>
      </c>
      <c r="Z137" s="55"/>
      <c r="AA137" s="32"/>
      <c r="AB137" s="32"/>
      <c r="AC137" s="55"/>
      <c r="AD137" s="32"/>
      <c r="AE137" s="54"/>
      <c r="AF137" s="21" t="str">
        <f>IFERROR(VLOOKUP(October[[#This Row],[Drug Name3]],'Data Options'!$R$1:$S$100,2,FALSE), " ")</f>
        <v xml:space="preserve"> </v>
      </c>
      <c r="AG137" s="55"/>
      <c r="AH137" s="32"/>
      <c r="AI137" s="32"/>
      <c r="AJ137" s="55"/>
      <c r="AK137" s="32"/>
      <c r="AL137" s="32"/>
      <c r="AM137" s="32"/>
      <c r="AN137" s="32"/>
      <c r="AO137" s="32"/>
      <c r="AP137" s="31"/>
      <c r="AQ137" s="31"/>
      <c r="AR137" s="54"/>
      <c r="AS137" s="21" t="str">
        <f>IFERROR(VLOOKUP(October[[#This Row],[Drug Name4]],'Data Options'!$R$1:$S$100,2,FALSE), " ")</f>
        <v xml:space="preserve"> </v>
      </c>
      <c r="AT137" s="55"/>
      <c r="AU137" s="32"/>
      <c r="AV137" s="32"/>
      <c r="AW137" s="55"/>
      <c r="AX137" s="32"/>
      <c r="AY137" s="54"/>
      <c r="AZ137" s="21" t="str">
        <f>IFERROR(VLOOKUP(October[[#This Row],[Drug Name5]],'Data Options'!$R$1:$S$100,2,FALSE), " ")</f>
        <v xml:space="preserve"> </v>
      </c>
      <c r="BA137" s="55"/>
      <c r="BB137" s="32"/>
      <c r="BC137" s="32"/>
      <c r="BD137" s="55"/>
      <c r="BE137" s="32"/>
      <c r="BF137" s="54"/>
      <c r="BG137" s="21" t="str">
        <f>IFERROR(VLOOKUP(October[[#This Row],[Drug Name6]],'Data Options'!$R$1:$S$100,2,FALSE), " ")</f>
        <v xml:space="preserve"> </v>
      </c>
      <c r="BH137" s="55"/>
      <c r="BI137" s="32"/>
      <c r="BJ137" s="32"/>
      <c r="BK137" s="55"/>
      <c r="BL137" s="32"/>
      <c r="BM137" s="32"/>
      <c r="BN137" s="32"/>
      <c r="BO137" s="32"/>
      <c r="BP137" s="32"/>
      <c r="BQ137" s="31"/>
      <c r="BR137" s="31"/>
      <c r="BS137" s="54"/>
      <c r="BT137" s="21" t="str">
        <f>IFERROR(VLOOKUP(October[[#This Row],[Drug Name7]],'Data Options'!$R$1:$S$100,2,FALSE), " ")</f>
        <v xml:space="preserve"> </v>
      </c>
      <c r="BU137" s="55"/>
      <c r="BV137" s="32"/>
      <c r="BW137" s="32"/>
      <c r="BX137" s="55"/>
      <c r="BY137" s="32"/>
      <c r="BZ137" s="54"/>
      <c r="CA137" s="21" t="str">
        <f>IFERROR(VLOOKUP(October[[#This Row],[Drug Name8]],'Data Options'!$R$1:$S$100,2,FALSE), " ")</f>
        <v xml:space="preserve"> </v>
      </c>
      <c r="CB137" s="55"/>
      <c r="CC137" s="32"/>
      <c r="CD137" s="32"/>
      <c r="CE137" s="55"/>
      <c r="CF137" s="32"/>
      <c r="CG137" s="54"/>
      <c r="CH137" s="21" t="str">
        <f>IFERROR(VLOOKUP(October[[#This Row],[Drug Name9]],'Data Options'!$R$1:$S$100,2,FALSE), " ")</f>
        <v xml:space="preserve"> </v>
      </c>
      <c r="CI137" s="55"/>
      <c r="CJ137" s="32"/>
      <c r="CK137" s="32"/>
      <c r="CL137" s="55"/>
      <c r="CM137" s="32"/>
    </row>
    <row r="138" spans="1:91">
      <c r="A138" s="5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1"/>
      <c r="P138" s="31"/>
      <c r="Q138" s="54"/>
      <c r="R138" s="21" t="str">
        <f>IFERROR(VLOOKUP(October[[#This Row],[Drug Name]],'Data Options'!$R$1:$S$100,2,FALSE), " ")</f>
        <v xml:space="preserve"> </v>
      </c>
      <c r="S138" s="55"/>
      <c r="T138" s="32"/>
      <c r="U138" s="32"/>
      <c r="V138" s="55"/>
      <c r="W138" s="32"/>
      <c r="X138" s="54"/>
      <c r="Y138" s="21" t="str">
        <f>IFERROR(VLOOKUP(October[[#This Row],[Drug Name2]],'Data Options'!$R$1:$S$100,2,FALSE), " ")</f>
        <v xml:space="preserve"> </v>
      </c>
      <c r="Z138" s="55"/>
      <c r="AA138" s="32"/>
      <c r="AB138" s="32"/>
      <c r="AC138" s="55"/>
      <c r="AD138" s="32"/>
      <c r="AE138" s="54"/>
      <c r="AF138" s="21" t="str">
        <f>IFERROR(VLOOKUP(October[[#This Row],[Drug Name3]],'Data Options'!$R$1:$S$100,2,FALSE), " ")</f>
        <v xml:space="preserve"> </v>
      </c>
      <c r="AG138" s="55"/>
      <c r="AH138" s="32"/>
      <c r="AI138" s="32"/>
      <c r="AJ138" s="55"/>
      <c r="AK138" s="32"/>
      <c r="AL138" s="32"/>
      <c r="AM138" s="32"/>
      <c r="AN138" s="32"/>
      <c r="AO138" s="32"/>
      <c r="AP138" s="31"/>
      <c r="AQ138" s="31"/>
      <c r="AR138" s="54"/>
      <c r="AS138" s="21" t="str">
        <f>IFERROR(VLOOKUP(October[[#This Row],[Drug Name4]],'Data Options'!$R$1:$S$100,2,FALSE), " ")</f>
        <v xml:space="preserve"> </v>
      </c>
      <c r="AT138" s="55"/>
      <c r="AU138" s="32"/>
      <c r="AV138" s="32"/>
      <c r="AW138" s="55"/>
      <c r="AX138" s="32"/>
      <c r="AY138" s="54"/>
      <c r="AZ138" s="21" t="str">
        <f>IFERROR(VLOOKUP(October[[#This Row],[Drug Name5]],'Data Options'!$R$1:$S$100,2,FALSE), " ")</f>
        <v xml:space="preserve"> </v>
      </c>
      <c r="BA138" s="55"/>
      <c r="BB138" s="32"/>
      <c r="BC138" s="32"/>
      <c r="BD138" s="55"/>
      <c r="BE138" s="32"/>
      <c r="BF138" s="54"/>
      <c r="BG138" s="21" t="str">
        <f>IFERROR(VLOOKUP(October[[#This Row],[Drug Name6]],'Data Options'!$R$1:$S$100,2,FALSE), " ")</f>
        <v xml:space="preserve"> </v>
      </c>
      <c r="BH138" s="55"/>
      <c r="BI138" s="32"/>
      <c r="BJ138" s="32"/>
      <c r="BK138" s="55"/>
      <c r="BL138" s="32"/>
      <c r="BM138" s="32"/>
      <c r="BN138" s="32"/>
      <c r="BO138" s="32"/>
      <c r="BP138" s="32"/>
      <c r="BQ138" s="31"/>
      <c r="BR138" s="31"/>
      <c r="BS138" s="54"/>
      <c r="BT138" s="21" t="str">
        <f>IFERROR(VLOOKUP(October[[#This Row],[Drug Name7]],'Data Options'!$R$1:$S$100,2,FALSE), " ")</f>
        <v xml:space="preserve"> </v>
      </c>
      <c r="BU138" s="55"/>
      <c r="BV138" s="32"/>
      <c r="BW138" s="32"/>
      <c r="BX138" s="55"/>
      <c r="BY138" s="32"/>
      <c r="BZ138" s="54"/>
      <c r="CA138" s="21" t="str">
        <f>IFERROR(VLOOKUP(October[[#This Row],[Drug Name8]],'Data Options'!$R$1:$S$100,2,FALSE), " ")</f>
        <v xml:space="preserve"> </v>
      </c>
      <c r="CB138" s="55"/>
      <c r="CC138" s="32"/>
      <c r="CD138" s="32"/>
      <c r="CE138" s="55"/>
      <c r="CF138" s="32"/>
      <c r="CG138" s="54"/>
      <c r="CH138" s="21" t="str">
        <f>IFERROR(VLOOKUP(October[[#This Row],[Drug Name9]],'Data Options'!$R$1:$S$100,2,FALSE), " ")</f>
        <v xml:space="preserve"> </v>
      </c>
      <c r="CI138" s="55"/>
      <c r="CJ138" s="32"/>
      <c r="CK138" s="32"/>
      <c r="CL138" s="55"/>
      <c r="CM138" s="32"/>
    </row>
    <row r="139" spans="1:91">
      <c r="A139" s="5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1"/>
      <c r="P139" s="31"/>
      <c r="Q139" s="54"/>
      <c r="R139" s="21" t="str">
        <f>IFERROR(VLOOKUP(October[[#This Row],[Drug Name]],'Data Options'!$R$1:$S$100,2,FALSE), " ")</f>
        <v xml:space="preserve"> </v>
      </c>
      <c r="S139" s="55"/>
      <c r="T139" s="32"/>
      <c r="U139" s="32"/>
      <c r="V139" s="55"/>
      <c r="W139" s="32"/>
      <c r="X139" s="54"/>
      <c r="Y139" s="21" t="str">
        <f>IFERROR(VLOOKUP(October[[#This Row],[Drug Name2]],'Data Options'!$R$1:$S$100,2,FALSE), " ")</f>
        <v xml:space="preserve"> </v>
      </c>
      <c r="Z139" s="55"/>
      <c r="AA139" s="32"/>
      <c r="AB139" s="32"/>
      <c r="AC139" s="55"/>
      <c r="AD139" s="32"/>
      <c r="AE139" s="54"/>
      <c r="AF139" s="21" t="str">
        <f>IFERROR(VLOOKUP(October[[#This Row],[Drug Name3]],'Data Options'!$R$1:$S$100,2,FALSE), " ")</f>
        <v xml:space="preserve"> </v>
      </c>
      <c r="AG139" s="55"/>
      <c r="AH139" s="32"/>
      <c r="AI139" s="32"/>
      <c r="AJ139" s="55"/>
      <c r="AK139" s="32"/>
      <c r="AL139" s="32"/>
      <c r="AM139" s="32"/>
      <c r="AN139" s="32"/>
      <c r="AO139" s="32"/>
      <c r="AP139" s="31"/>
      <c r="AQ139" s="31"/>
      <c r="AR139" s="54"/>
      <c r="AS139" s="21" t="str">
        <f>IFERROR(VLOOKUP(October[[#This Row],[Drug Name4]],'Data Options'!$R$1:$S$100,2,FALSE), " ")</f>
        <v xml:space="preserve"> </v>
      </c>
      <c r="AT139" s="55"/>
      <c r="AU139" s="32"/>
      <c r="AV139" s="32"/>
      <c r="AW139" s="55"/>
      <c r="AX139" s="32"/>
      <c r="AY139" s="54"/>
      <c r="AZ139" s="21" t="str">
        <f>IFERROR(VLOOKUP(October[[#This Row],[Drug Name5]],'Data Options'!$R$1:$S$100,2,FALSE), " ")</f>
        <v xml:space="preserve"> </v>
      </c>
      <c r="BA139" s="55"/>
      <c r="BB139" s="32"/>
      <c r="BC139" s="32"/>
      <c r="BD139" s="55"/>
      <c r="BE139" s="32"/>
      <c r="BF139" s="54"/>
      <c r="BG139" s="21" t="str">
        <f>IFERROR(VLOOKUP(October[[#This Row],[Drug Name6]],'Data Options'!$R$1:$S$100,2,FALSE), " ")</f>
        <v xml:space="preserve"> </v>
      </c>
      <c r="BH139" s="55"/>
      <c r="BI139" s="32"/>
      <c r="BJ139" s="32"/>
      <c r="BK139" s="55"/>
      <c r="BL139" s="32"/>
      <c r="BM139" s="32"/>
      <c r="BN139" s="32"/>
      <c r="BO139" s="32"/>
      <c r="BP139" s="32"/>
      <c r="BQ139" s="31"/>
      <c r="BR139" s="31"/>
      <c r="BS139" s="54"/>
      <c r="BT139" s="21" t="str">
        <f>IFERROR(VLOOKUP(October[[#This Row],[Drug Name7]],'Data Options'!$R$1:$S$100,2,FALSE), " ")</f>
        <v xml:space="preserve"> </v>
      </c>
      <c r="BU139" s="55"/>
      <c r="BV139" s="32"/>
      <c r="BW139" s="32"/>
      <c r="BX139" s="55"/>
      <c r="BY139" s="32"/>
      <c r="BZ139" s="54"/>
      <c r="CA139" s="21" t="str">
        <f>IFERROR(VLOOKUP(October[[#This Row],[Drug Name8]],'Data Options'!$R$1:$S$100,2,FALSE), " ")</f>
        <v xml:space="preserve"> </v>
      </c>
      <c r="CB139" s="55"/>
      <c r="CC139" s="32"/>
      <c r="CD139" s="32"/>
      <c r="CE139" s="55"/>
      <c r="CF139" s="32"/>
      <c r="CG139" s="54"/>
      <c r="CH139" s="21" t="str">
        <f>IFERROR(VLOOKUP(October[[#This Row],[Drug Name9]],'Data Options'!$R$1:$S$100,2,FALSE), " ")</f>
        <v xml:space="preserve"> </v>
      </c>
      <c r="CI139" s="55"/>
      <c r="CJ139" s="32"/>
      <c r="CK139" s="32"/>
      <c r="CL139" s="55"/>
      <c r="CM139" s="32"/>
    </row>
    <row r="140" spans="1:91">
      <c r="A140" s="5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1"/>
      <c r="P140" s="31"/>
      <c r="Q140" s="54"/>
      <c r="R140" s="21" t="str">
        <f>IFERROR(VLOOKUP(October[[#This Row],[Drug Name]],'Data Options'!$R$1:$S$100,2,FALSE), " ")</f>
        <v xml:space="preserve"> </v>
      </c>
      <c r="S140" s="55"/>
      <c r="T140" s="32"/>
      <c r="U140" s="32"/>
      <c r="V140" s="55"/>
      <c r="W140" s="32"/>
      <c r="X140" s="54"/>
      <c r="Y140" s="21" t="str">
        <f>IFERROR(VLOOKUP(October[[#This Row],[Drug Name2]],'Data Options'!$R$1:$S$100,2,FALSE), " ")</f>
        <v xml:space="preserve"> </v>
      </c>
      <c r="Z140" s="55"/>
      <c r="AA140" s="32"/>
      <c r="AB140" s="32"/>
      <c r="AC140" s="55"/>
      <c r="AD140" s="32"/>
      <c r="AE140" s="54"/>
      <c r="AF140" s="21" t="str">
        <f>IFERROR(VLOOKUP(October[[#This Row],[Drug Name3]],'Data Options'!$R$1:$S$100,2,FALSE), " ")</f>
        <v xml:space="preserve"> </v>
      </c>
      <c r="AG140" s="55"/>
      <c r="AH140" s="32"/>
      <c r="AI140" s="32"/>
      <c r="AJ140" s="55"/>
      <c r="AK140" s="32"/>
      <c r="AL140" s="32"/>
      <c r="AM140" s="32"/>
      <c r="AN140" s="32"/>
      <c r="AO140" s="32"/>
      <c r="AP140" s="31"/>
      <c r="AQ140" s="31"/>
      <c r="AR140" s="54"/>
      <c r="AS140" s="21" t="str">
        <f>IFERROR(VLOOKUP(October[[#This Row],[Drug Name4]],'Data Options'!$R$1:$S$100,2,FALSE), " ")</f>
        <v xml:space="preserve"> </v>
      </c>
      <c r="AT140" s="55"/>
      <c r="AU140" s="32"/>
      <c r="AV140" s="32"/>
      <c r="AW140" s="55"/>
      <c r="AX140" s="32"/>
      <c r="AY140" s="54"/>
      <c r="AZ140" s="21" t="str">
        <f>IFERROR(VLOOKUP(October[[#This Row],[Drug Name5]],'Data Options'!$R$1:$S$100,2,FALSE), " ")</f>
        <v xml:space="preserve"> </v>
      </c>
      <c r="BA140" s="55"/>
      <c r="BB140" s="32"/>
      <c r="BC140" s="32"/>
      <c r="BD140" s="55"/>
      <c r="BE140" s="32"/>
      <c r="BF140" s="54"/>
      <c r="BG140" s="21" t="str">
        <f>IFERROR(VLOOKUP(October[[#This Row],[Drug Name6]],'Data Options'!$R$1:$S$100,2,FALSE), " ")</f>
        <v xml:space="preserve"> </v>
      </c>
      <c r="BH140" s="55"/>
      <c r="BI140" s="32"/>
      <c r="BJ140" s="32"/>
      <c r="BK140" s="55"/>
      <c r="BL140" s="32"/>
      <c r="BM140" s="32"/>
      <c r="BN140" s="32"/>
      <c r="BO140" s="32"/>
      <c r="BP140" s="32"/>
      <c r="BQ140" s="31"/>
      <c r="BR140" s="31"/>
      <c r="BS140" s="54"/>
      <c r="BT140" s="21" t="str">
        <f>IFERROR(VLOOKUP(October[[#This Row],[Drug Name7]],'Data Options'!$R$1:$S$100,2,FALSE), " ")</f>
        <v xml:space="preserve"> </v>
      </c>
      <c r="BU140" s="55"/>
      <c r="BV140" s="32"/>
      <c r="BW140" s="32"/>
      <c r="BX140" s="55"/>
      <c r="BY140" s="32"/>
      <c r="BZ140" s="54"/>
      <c r="CA140" s="21" t="str">
        <f>IFERROR(VLOOKUP(October[[#This Row],[Drug Name8]],'Data Options'!$R$1:$S$100,2,FALSE), " ")</f>
        <v xml:space="preserve"> </v>
      </c>
      <c r="CB140" s="55"/>
      <c r="CC140" s="32"/>
      <c r="CD140" s="32"/>
      <c r="CE140" s="55"/>
      <c r="CF140" s="32"/>
      <c r="CG140" s="54"/>
      <c r="CH140" s="21" t="str">
        <f>IFERROR(VLOOKUP(October[[#This Row],[Drug Name9]],'Data Options'!$R$1:$S$100,2,FALSE), " ")</f>
        <v xml:space="preserve"> </v>
      </c>
      <c r="CI140" s="55"/>
      <c r="CJ140" s="32"/>
      <c r="CK140" s="32"/>
      <c r="CL140" s="55"/>
      <c r="CM140" s="32"/>
    </row>
    <row r="141" spans="1:91">
      <c r="A141" s="5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1"/>
      <c r="Q141" s="54"/>
      <c r="R141" s="21" t="str">
        <f>IFERROR(VLOOKUP(October[[#This Row],[Drug Name]],'Data Options'!$R$1:$S$100,2,FALSE), " ")</f>
        <v xml:space="preserve"> </v>
      </c>
      <c r="S141" s="55"/>
      <c r="T141" s="32"/>
      <c r="U141" s="32"/>
      <c r="V141" s="55"/>
      <c r="W141" s="32"/>
      <c r="X141" s="54"/>
      <c r="Y141" s="21" t="str">
        <f>IFERROR(VLOOKUP(October[[#This Row],[Drug Name2]],'Data Options'!$R$1:$S$100,2,FALSE), " ")</f>
        <v xml:space="preserve"> </v>
      </c>
      <c r="Z141" s="55"/>
      <c r="AA141" s="32"/>
      <c r="AB141" s="32"/>
      <c r="AC141" s="55"/>
      <c r="AD141" s="32"/>
      <c r="AE141" s="54"/>
      <c r="AF141" s="21" t="str">
        <f>IFERROR(VLOOKUP(October[[#This Row],[Drug Name3]],'Data Options'!$R$1:$S$100,2,FALSE), " ")</f>
        <v xml:space="preserve"> </v>
      </c>
      <c r="AG141" s="55"/>
      <c r="AH141" s="32"/>
      <c r="AI141" s="32"/>
      <c r="AJ141" s="55"/>
      <c r="AK141" s="32"/>
      <c r="AL141" s="32"/>
      <c r="AM141" s="32"/>
      <c r="AN141" s="32"/>
      <c r="AO141" s="32"/>
      <c r="AP141" s="31"/>
      <c r="AQ141" s="31"/>
      <c r="AR141" s="54"/>
      <c r="AS141" s="21" t="str">
        <f>IFERROR(VLOOKUP(October[[#This Row],[Drug Name4]],'Data Options'!$R$1:$S$100,2,FALSE), " ")</f>
        <v xml:space="preserve"> </v>
      </c>
      <c r="AT141" s="55"/>
      <c r="AU141" s="32"/>
      <c r="AV141" s="32"/>
      <c r="AW141" s="55"/>
      <c r="AX141" s="32"/>
      <c r="AY141" s="54"/>
      <c r="AZ141" s="21" t="str">
        <f>IFERROR(VLOOKUP(October[[#This Row],[Drug Name5]],'Data Options'!$R$1:$S$100,2,FALSE), " ")</f>
        <v xml:space="preserve"> </v>
      </c>
      <c r="BA141" s="55"/>
      <c r="BB141" s="32"/>
      <c r="BC141" s="32"/>
      <c r="BD141" s="55"/>
      <c r="BE141" s="32"/>
      <c r="BF141" s="54"/>
      <c r="BG141" s="21" t="str">
        <f>IFERROR(VLOOKUP(October[[#This Row],[Drug Name6]],'Data Options'!$R$1:$S$100,2,FALSE), " ")</f>
        <v xml:space="preserve"> </v>
      </c>
      <c r="BH141" s="55"/>
      <c r="BI141" s="32"/>
      <c r="BJ141" s="32"/>
      <c r="BK141" s="55"/>
      <c r="BL141" s="32"/>
      <c r="BM141" s="32"/>
      <c r="BN141" s="32"/>
      <c r="BO141" s="32"/>
      <c r="BP141" s="32"/>
      <c r="BQ141" s="31"/>
      <c r="BR141" s="31"/>
      <c r="BS141" s="54"/>
      <c r="BT141" s="21" t="str">
        <f>IFERROR(VLOOKUP(October[[#This Row],[Drug Name7]],'Data Options'!$R$1:$S$100,2,FALSE), " ")</f>
        <v xml:space="preserve"> </v>
      </c>
      <c r="BU141" s="55"/>
      <c r="BV141" s="32"/>
      <c r="BW141" s="32"/>
      <c r="BX141" s="55"/>
      <c r="BY141" s="32"/>
      <c r="BZ141" s="54"/>
      <c r="CA141" s="21" t="str">
        <f>IFERROR(VLOOKUP(October[[#This Row],[Drug Name8]],'Data Options'!$R$1:$S$100,2,FALSE), " ")</f>
        <v xml:space="preserve"> </v>
      </c>
      <c r="CB141" s="55"/>
      <c r="CC141" s="32"/>
      <c r="CD141" s="32"/>
      <c r="CE141" s="55"/>
      <c r="CF141" s="32"/>
      <c r="CG141" s="54"/>
      <c r="CH141" s="21" t="str">
        <f>IFERROR(VLOOKUP(October[[#This Row],[Drug Name9]],'Data Options'!$R$1:$S$100,2,FALSE), " ")</f>
        <v xml:space="preserve"> </v>
      </c>
      <c r="CI141" s="55"/>
      <c r="CJ141" s="32"/>
      <c r="CK141" s="32"/>
      <c r="CL141" s="55"/>
      <c r="CM141" s="32"/>
    </row>
    <row r="142" spans="1:91">
      <c r="A142" s="5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1"/>
      <c r="P142" s="31"/>
      <c r="Q142" s="54"/>
      <c r="R142" s="21" t="str">
        <f>IFERROR(VLOOKUP(October[[#This Row],[Drug Name]],'Data Options'!$R$1:$S$100,2,FALSE), " ")</f>
        <v xml:space="preserve"> </v>
      </c>
      <c r="S142" s="55"/>
      <c r="T142" s="32"/>
      <c r="U142" s="32"/>
      <c r="V142" s="55"/>
      <c r="W142" s="32"/>
      <c r="X142" s="54"/>
      <c r="Y142" s="21" t="str">
        <f>IFERROR(VLOOKUP(October[[#This Row],[Drug Name2]],'Data Options'!$R$1:$S$100,2,FALSE), " ")</f>
        <v xml:space="preserve"> </v>
      </c>
      <c r="Z142" s="55"/>
      <c r="AA142" s="32"/>
      <c r="AB142" s="32"/>
      <c r="AC142" s="55"/>
      <c r="AD142" s="32"/>
      <c r="AE142" s="54"/>
      <c r="AF142" s="21" t="str">
        <f>IFERROR(VLOOKUP(October[[#This Row],[Drug Name3]],'Data Options'!$R$1:$S$100,2,FALSE), " ")</f>
        <v xml:space="preserve"> </v>
      </c>
      <c r="AG142" s="55"/>
      <c r="AH142" s="32"/>
      <c r="AI142" s="32"/>
      <c r="AJ142" s="55"/>
      <c r="AK142" s="32"/>
      <c r="AL142" s="32"/>
      <c r="AM142" s="32"/>
      <c r="AN142" s="32"/>
      <c r="AO142" s="32"/>
      <c r="AP142" s="31"/>
      <c r="AQ142" s="31"/>
      <c r="AR142" s="54"/>
      <c r="AS142" s="21" t="str">
        <f>IFERROR(VLOOKUP(October[[#This Row],[Drug Name4]],'Data Options'!$R$1:$S$100,2,FALSE), " ")</f>
        <v xml:space="preserve"> </v>
      </c>
      <c r="AT142" s="55"/>
      <c r="AU142" s="32"/>
      <c r="AV142" s="32"/>
      <c r="AW142" s="55"/>
      <c r="AX142" s="32"/>
      <c r="AY142" s="54"/>
      <c r="AZ142" s="21" t="str">
        <f>IFERROR(VLOOKUP(October[[#This Row],[Drug Name5]],'Data Options'!$R$1:$S$100,2,FALSE), " ")</f>
        <v xml:space="preserve"> </v>
      </c>
      <c r="BA142" s="55"/>
      <c r="BB142" s="32"/>
      <c r="BC142" s="32"/>
      <c r="BD142" s="55"/>
      <c r="BE142" s="32"/>
      <c r="BF142" s="54"/>
      <c r="BG142" s="21" t="str">
        <f>IFERROR(VLOOKUP(October[[#This Row],[Drug Name6]],'Data Options'!$R$1:$S$100,2,FALSE), " ")</f>
        <v xml:space="preserve"> </v>
      </c>
      <c r="BH142" s="55"/>
      <c r="BI142" s="32"/>
      <c r="BJ142" s="32"/>
      <c r="BK142" s="55"/>
      <c r="BL142" s="32"/>
      <c r="BM142" s="32"/>
      <c r="BN142" s="32"/>
      <c r="BO142" s="32"/>
      <c r="BP142" s="32"/>
      <c r="BQ142" s="31"/>
      <c r="BR142" s="31"/>
      <c r="BS142" s="54"/>
      <c r="BT142" s="21" t="str">
        <f>IFERROR(VLOOKUP(October[[#This Row],[Drug Name7]],'Data Options'!$R$1:$S$100,2,FALSE), " ")</f>
        <v xml:space="preserve"> </v>
      </c>
      <c r="BU142" s="55"/>
      <c r="BV142" s="32"/>
      <c r="BW142" s="32"/>
      <c r="BX142" s="55"/>
      <c r="BY142" s="32"/>
      <c r="BZ142" s="54"/>
      <c r="CA142" s="21" t="str">
        <f>IFERROR(VLOOKUP(October[[#This Row],[Drug Name8]],'Data Options'!$R$1:$S$100,2,FALSE), " ")</f>
        <v xml:space="preserve"> </v>
      </c>
      <c r="CB142" s="55"/>
      <c r="CC142" s="32"/>
      <c r="CD142" s="32"/>
      <c r="CE142" s="55"/>
      <c r="CF142" s="32"/>
      <c r="CG142" s="54"/>
      <c r="CH142" s="21" t="str">
        <f>IFERROR(VLOOKUP(October[[#This Row],[Drug Name9]],'Data Options'!$R$1:$S$100,2,FALSE), " ")</f>
        <v xml:space="preserve"> </v>
      </c>
      <c r="CI142" s="55"/>
      <c r="CJ142" s="32"/>
      <c r="CK142" s="32"/>
      <c r="CL142" s="55"/>
      <c r="CM142" s="32"/>
    </row>
    <row r="143" spans="1:91">
      <c r="A143" s="5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1"/>
      <c r="P143" s="31"/>
      <c r="Q143" s="54"/>
      <c r="R143" s="21" t="str">
        <f>IFERROR(VLOOKUP(October[[#This Row],[Drug Name]],'Data Options'!$R$1:$S$100,2,FALSE), " ")</f>
        <v xml:space="preserve"> </v>
      </c>
      <c r="S143" s="55"/>
      <c r="T143" s="32"/>
      <c r="U143" s="32"/>
      <c r="V143" s="55"/>
      <c r="W143" s="32"/>
      <c r="X143" s="54"/>
      <c r="Y143" s="21" t="str">
        <f>IFERROR(VLOOKUP(October[[#This Row],[Drug Name2]],'Data Options'!$R$1:$S$100,2,FALSE), " ")</f>
        <v xml:space="preserve"> </v>
      </c>
      <c r="Z143" s="55"/>
      <c r="AA143" s="32"/>
      <c r="AB143" s="32"/>
      <c r="AC143" s="55"/>
      <c r="AD143" s="32"/>
      <c r="AE143" s="54"/>
      <c r="AF143" s="21" t="str">
        <f>IFERROR(VLOOKUP(October[[#This Row],[Drug Name3]],'Data Options'!$R$1:$S$100,2,FALSE), " ")</f>
        <v xml:space="preserve"> </v>
      </c>
      <c r="AG143" s="55"/>
      <c r="AH143" s="32"/>
      <c r="AI143" s="32"/>
      <c r="AJ143" s="55"/>
      <c r="AK143" s="32"/>
      <c r="AL143" s="32"/>
      <c r="AM143" s="32"/>
      <c r="AN143" s="32"/>
      <c r="AO143" s="32"/>
      <c r="AP143" s="31"/>
      <c r="AQ143" s="31"/>
      <c r="AR143" s="54"/>
      <c r="AS143" s="21" t="str">
        <f>IFERROR(VLOOKUP(October[[#This Row],[Drug Name4]],'Data Options'!$R$1:$S$100,2,FALSE), " ")</f>
        <v xml:space="preserve"> </v>
      </c>
      <c r="AT143" s="55"/>
      <c r="AU143" s="32"/>
      <c r="AV143" s="32"/>
      <c r="AW143" s="55"/>
      <c r="AX143" s="32"/>
      <c r="AY143" s="54"/>
      <c r="AZ143" s="21" t="str">
        <f>IFERROR(VLOOKUP(October[[#This Row],[Drug Name5]],'Data Options'!$R$1:$S$100,2,FALSE), " ")</f>
        <v xml:space="preserve"> </v>
      </c>
      <c r="BA143" s="55"/>
      <c r="BB143" s="32"/>
      <c r="BC143" s="32"/>
      <c r="BD143" s="55"/>
      <c r="BE143" s="32"/>
      <c r="BF143" s="54"/>
      <c r="BG143" s="21" t="str">
        <f>IFERROR(VLOOKUP(October[[#This Row],[Drug Name6]],'Data Options'!$R$1:$S$100,2,FALSE), " ")</f>
        <v xml:space="preserve"> </v>
      </c>
      <c r="BH143" s="55"/>
      <c r="BI143" s="32"/>
      <c r="BJ143" s="32"/>
      <c r="BK143" s="55"/>
      <c r="BL143" s="32"/>
      <c r="BM143" s="32"/>
      <c r="BN143" s="32"/>
      <c r="BO143" s="32"/>
      <c r="BP143" s="32"/>
      <c r="BQ143" s="31"/>
      <c r="BR143" s="31"/>
      <c r="BS143" s="54"/>
      <c r="BT143" s="21" t="str">
        <f>IFERROR(VLOOKUP(October[[#This Row],[Drug Name7]],'Data Options'!$R$1:$S$100,2,FALSE), " ")</f>
        <v xml:space="preserve"> </v>
      </c>
      <c r="BU143" s="55"/>
      <c r="BV143" s="32"/>
      <c r="BW143" s="32"/>
      <c r="BX143" s="55"/>
      <c r="BY143" s="32"/>
      <c r="BZ143" s="54"/>
      <c r="CA143" s="21" t="str">
        <f>IFERROR(VLOOKUP(October[[#This Row],[Drug Name8]],'Data Options'!$R$1:$S$100,2,FALSE), " ")</f>
        <v xml:space="preserve"> </v>
      </c>
      <c r="CB143" s="55"/>
      <c r="CC143" s="32"/>
      <c r="CD143" s="32"/>
      <c r="CE143" s="55"/>
      <c r="CF143" s="32"/>
      <c r="CG143" s="54"/>
      <c r="CH143" s="21" t="str">
        <f>IFERROR(VLOOKUP(October[[#This Row],[Drug Name9]],'Data Options'!$R$1:$S$100,2,FALSE), " ")</f>
        <v xml:space="preserve"> </v>
      </c>
      <c r="CI143" s="55"/>
      <c r="CJ143" s="32"/>
      <c r="CK143" s="32"/>
      <c r="CL143" s="55"/>
      <c r="CM143" s="32"/>
    </row>
    <row r="144" spans="1:91">
      <c r="A144" s="5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1"/>
      <c r="P144" s="31"/>
      <c r="Q144" s="54"/>
      <c r="R144" s="21" t="str">
        <f>IFERROR(VLOOKUP(October[[#This Row],[Drug Name]],'Data Options'!$R$1:$S$100,2,FALSE), " ")</f>
        <v xml:space="preserve"> </v>
      </c>
      <c r="S144" s="55"/>
      <c r="T144" s="32"/>
      <c r="U144" s="32"/>
      <c r="V144" s="55"/>
      <c r="W144" s="32"/>
      <c r="X144" s="54"/>
      <c r="Y144" s="21" t="str">
        <f>IFERROR(VLOOKUP(October[[#This Row],[Drug Name2]],'Data Options'!$R$1:$S$100,2,FALSE), " ")</f>
        <v xml:space="preserve"> </v>
      </c>
      <c r="Z144" s="55"/>
      <c r="AA144" s="32"/>
      <c r="AB144" s="32"/>
      <c r="AC144" s="55"/>
      <c r="AD144" s="32"/>
      <c r="AE144" s="54"/>
      <c r="AF144" s="21" t="str">
        <f>IFERROR(VLOOKUP(October[[#This Row],[Drug Name3]],'Data Options'!$R$1:$S$100,2,FALSE), " ")</f>
        <v xml:space="preserve"> </v>
      </c>
      <c r="AG144" s="55"/>
      <c r="AH144" s="32"/>
      <c r="AI144" s="32"/>
      <c r="AJ144" s="55"/>
      <c r="AK144" s="32"/>
      <c r="AL144" s="32"/>
      <c r="AM144" s="32"/>
      <c r="AN144" s="32"/>
      <c r="AO144" s="32"/>
      <c r="AP144" s="31"/>
      <c r="AQ144" s="31"/>
      <c r="AR144" s="54"/>
      <c r="AS144" s="21" t="str">
        <f>IFERROR(VLOOKUP(October[[#This Row],[Drug Name4]],'Data Options'!$R$1:$S$100,2,FALSE), " ")</f>
        <v xml:space="preserve"> </v>
      </c>
      <c r="AT144" s="55"/>
      <c r="AU144" s="32"/>
      <c r="AV144" s="32"/>
      <c r="AW144" s="55"/>
      <c r="AX144" s="32"/>
      <c r="AY144" s="54"/>
      <c r="AZ144" s="21" t="str">
        <f>IFERROR(VLOOKUP(October[[#This Row],[Drug Name5]],'Data Options'!$R$1:$S$100,2,FALSE), " ")</f>
        <v xml:space="preserve"> </v>
      </c>
      <c r="BA144" s="55"/>
      <c r="BB144" s="32"/>
      <c r="BC144" s="32"/>
      <c r="BD144" s="55"/>
      <c r="BE144" s="32"/>
      <c r="BF144" s="54"/>
      <c r="BG144" s="21" t="str">
        <f>IFERROR(VLOOKUP(October[[#This Row],[Drug Name6]],'Data Options'!$R$1:$S$100,2,FALSE), " ")</f>
        <v xml:space="preserve"> </v>
      </c>
      <c r="BH144" s="55"/>
      <c r="BI144" s="32"/>
      <c r="BJ144" s="32"/>
      <c r="BK144" s="55"/>
      <c r="BL144" s="32"/>
      <c r="BM144" s="32"/>
      <c r="BN144" s="32"/>
      <c r="BO144" s="32"/>
      <c r="BP144" s="32"/>
      <c r="BQ144" s="31"/>
      <c r="BR144" s="31"/>
      <c r="BS144" s="54"/>
      <c r="BT144" s="21" t="str">
        <f>IFERROR(VLOOKUP(October[[#This Row],[Drug Name7]],'Data Options'!$R$1:$S$100,2,FALSE), " ")</f>
        <v xml:space="preserve"> </v>
      </c>
      <c r="BU144" s="55"/>
      <c r="BV144" s="32"/>
      <c r="BW144" s="32"/>
      <c r="BX144" s="55"/>
      <c r="BY144" s="32"/>
      <c r="BZ144" s="54"/>
      <c r="CA144" s="21" t="str">
        <f>IFERROR(VLOOKUP(October[[#This Row],[Drug Name8]],'Data Options'!$R$1:$S$100,2,FALSE), " ")</f>
        <v xml:space="preserve"> </v>
      </c>
      <c r="CB144" s="55"/>
      <c r="CC144" s="32"/>
      <c r="CD144" s="32"/>
      <c r="CE144" s="55"/>
      <c r="CF144" s="32"/>
      <c r="CG144" s="54"/>
      <c r="CH144" s="21" t="str">
        <f>IFERROR(VLOOKUP(October[[#This Row],[Drug Name9]],'Data Options'!$R$1:$S$100,2,FALSE), " ")</f>
        <v xml:space="preserve"> </v>
      </c>
      <c r="CI144" s="55"/>
      <c r="CJ144" s="32"/>
      <c r="CK144" s="32"/>
      <c r="CL144" s="55"/>
      <c r="CM144" s="32"/>
    </row>
    <row r="145" spans="1:91">
      <c r="A145" s="5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1"/>
      <c r="P145" s="31"/>
      <c r="Q145" s="54"/>
      <c r="R145" s="21" t="str">
        <f>IFERROR(VLOOKUP(October[[#This Row],[Drug Name]],'Data Options'!$R$1:$S$100,2,FALSE), " ")</f>
        <v xml:space="preserve"> </v>
      </c>
      <c r="S145" s="55"/>
      <c r="T145" s="32"/>
      <c r="U145" s="32"/>
      <c r="V145" s="55"/>
      <c r="W145" s="32"/>
      <c r="X145" s="54"/>
      <c r="Y145" s="21" t="str">
        <f>IFERROR(VLOOKUP(October[[#This Row],[Drug Name2]],'Data Options'!$R$1:$S$100,2,FALSE), " ")</f>
        <v xml:space="preserve"> </v>
      </c>
      <c r="Z145" s="55"/>
      <c r="AA145" s="32"/>
      <c r="AB145" s="32"/>
      <c r="AC145" s="55"/>
      <c r="AD145" s="32"/>
      <c r="AE145" s="54"/>
      <c r="AF145" s="21" t="str">
        <f>IFERROR(VLOOKUP(October[[#This Row],[Drug Name3]],'Data Options'!$R$1:$S$100,2,FALSE), " ")</f>
        <v xml:space="preserve"> </v>
      </c>
      <c r="AG145" s="55"/>
      <c r="AH145" s="32"/>
      <c r="AI145" s="32"/>
      <c r="AJ145" s="55"/>
      <c r="AK145" s="32"/>
      <c r="AL145" s="32"/>
      <c r="AM145" s="32"/>
      <c r="AN145" s="32"/>
      <c r="AO145" s="32"/>
      <c r="AP145" s="31"/>
      <c r="AQ145" s="31"/>
      <c r="AR145" s="54"/>
      <c r="AS145" s="21" t="str">
        <f>IFERROR(VLOOKUP(October[[#This Row],[Drug Name4]],'Data Options'!$R$1:$S$100,2,FALSE), " ")</f>
        <v xml:space="preserve"> </v>
      </c>
      <c r="AT145" s="55"/>
      <c r="AU145" s="32"/>
      <c r="AV145" s="32"/>
      <c r="AW145" s="55"/>
      <c r="AX145" s="32"/>
      <c r="AY145" s="54"/>
      <c r="AZ145" s="21" t="str">
        <f>IFERROR(VLOOKUP(October[[#This Row],[Drug Name5]],'Data Options'!$R$1:$S$100,2,FALSE), " ")</f>
        <v xml:space="preserve"> </v>
      </c>
      <c r="BA145" s="55"/>
      <c r="BB145" s="32"/>
      <c r="BC145" s="32"/>
      <c r="BD145" s="55"/>
      <c r="BE145" s="32"/>
      <c r="BF145" s="54"/>
      <c r="BG145" s="21" t="str">
        <f>IFERROR(VLOOKUP(October[[#This Row],[Drug Name6]],'Data Options'!$R$1:$S$100,2,FALSE), " ")</f>
        <v xml:space="preserve"> </v>
      </c>
      <c r="BH145" s="55"/>
      <c r="BI145" s="32"/>
      <c r="BJ145" s="32"/>
      <c r="BK145" s="55"/>
      <c r="BL145" s="32"/>
      <c r="BM145" s="32"/>
      <c r="BN145" s="32"/>
      <c r="BO145" s="32"/>
      <c r="BP145" s="32"/>
      <c r="BQ145" s="31"/>
      <c r="BR145" s="31"/>
      <c r="BS145" s="54"/>
      <c r="BT145" s="21" t="str">
        <f>IFERROR(VLOOKUP(October[[#This Row],[Drug Name7]],'Data Options'!$R$1:$S$100,2,FALSE), " ")</f>
        <v xml:space="preserve"> </v>
      </c>
      <c r="BU145" s="55"/>
      <c r="BV145" s="32"/>
      <c r="BW145" s="32"/>
      <c r="BX145" s="55"/>
      <c r="BY145" s="32"/>
      <c r="BZ145" s="54"/>
      <c r="CA145" s="21" t="str">
        <f>IFERROR(VLOOKUP(October[[#This Row],[Drug Name8]],'Data Options'!$R$1:$S$100,2,FALSE), " ")</f>
        <v xml:space="preserve"> </v>
      </c>
      <c r="CB145" s="55"/>
      <c r="CC145" s="32"/>
      <c r="CD145" s="32"/>
      <c r="CE145" s="55"/>
      <c r="CF145" s="32"/>
      <c r="CG145" s="54"/>
      <c r="CH145" s="21" t="str">
        <f>IFERROR(VLOOKUP(October[[#This Row],[Drug Name9]],'Data Options'!$R$1:$S$100,2,FALSE), " ")</f>
        <v xml:space="preserve"> </v>
      </c>
      <c r="CI145" s="55"/>
      <c r="CJ145" s="32"/>
      <c r="CK145" s="32"/>
      <c r="CL145" s="55"/>
      <c r="CM145" s="32"/>
    </row>
    <row r="146" spans="1:91">
      <c r="A146" s="5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1"/>
      <c r="P146" s="31"/>
      <c r="Q146" s="54"/>
      <c r="R146" s="21" t="str">
        <f>IFERROR(VLOOKUP(October[[#This Row],[Drug Name]],'Data Options'!$R$1:$S$100,2,FALSE), " ")</f>
        <v xml:space="preserve"> </v>
      </c>
      <c r="S146" s="55"/>
      <c r="T146" s="32"/>
      <c r="U146" s="32"/>
      <c r="V146" s="55"/>
      <c r="W146" s="32"/>
      <c r="X146" s="54"/>
      <c r="Y146" s="21" t="str">
        <f>IFERROR(VLOOKUP(October[[#This Row],[Drug Name2]],'Data Options'!$R$1:$S$100,2,FALSE), " ")</f>
        <v xml:space="preserve"> </v>
      </c>
      <c r="Z146" s="55"/>
      <c r="AA146" s="32"/>
      <c r="AB146" s="32"/>
      <c r="AC146" s="55"/>
      <c r="AD146" s="32"/>
      <c r="AE146" s="54"/>
      <c r="AF146" s="21" t="str">
        <f>IFERROR(VLOOKUP(October[[#This Row],[Drug Name3]],'Data Options'!$R$1:$S$100,2,FALSE), " ")</f>
        <v xml:space="preserve"> </v>
      </c>
      <c r="AG146" s="55"/>
      <c r="AH146" s="32"/>
      <c r="AI146" s="32"/>
      <c r="AJ146" s="55"/>
      <c r="AK146" s="32"/>
      <c r="AL146" s="32"/>
      <c r="AM146" s="32"/>
      <c r="AN146" s="32"/>
      <c r="AO146" s="32"/>
      <c r="AP146" s="31"/>
      <c r="AQ146" s="31"/>
      <c r="AR146" s="54"/>
      <c r="AS146" s="21" t="str">
        <f>IFERROR(VLOOKUP(October[[#This Row],[Drug Name4]],'Data Options'!$R$1:$S$100,2,FALSE), " ")</f>
        <v xml:space="preserve"> </v>
      </c>
      <c r="AT146" s="55"/>
      <c r="AU146" s="32"/>
      <c r="AV146" s="32"/>
      <c r="AW146" s="55"/>
      <c r="AX146" s="32"/>
      <c r="AY146" s="54"/>
      <c r="AZ146" s="21" t="str">
        <f>IFERROR(VLOOKUP(October[[#This Row],[Drug Name5]],'Data Options'!$R$1:$S$100,2,FALSE), " ")</f>
        <v xml:space="preserve"> </v>
      </c>
      <c r="BA146" s="55"/>
      <c r="BB146" s="32"/>
      <c r="BC146" s="32"/>
      <c r="BD146" s="55"/>
      <c r="BE146" s="32"/>
      <c r="BF146" s="54"/>
      <c r="BG146" s="21" t="str">
        <f>IFERROR(VLOOKUP(October[[#This Row],[Drug Name6]],'Data Options'!$R$1:$S$100,2,FALSE), " ")</f>
        <v xml:space="preserve"> </v>
      </c>
      <c r="BH146" s="55"/>
      <c r="BI146" s="32"/>
      <c r="BJ146" s="32"/>
      <c r="BK146" s="55"/>
      <c r="BL146" s="32"/>
      <c r="BM146" s="32"/>
      <c r="BN146" s="32"/>
      <c r="BO146" s="32"/>
      <c r="BP146" s="32"/>
      <c r="BQ146" s="31"/>
      <c r="BR146" s="31"/>
      <c r="BS146" s="54"/>
      <c r="BT146" s="21" t="str">
        <f>IFERROR(VLOOKUP(October[[#This Row],[Drug Name7]],'Data Options'!$R$1:$S$100,2,FALSE), " ")</f>
        <v xml:space="preserve"> </v>
      </c>
      <c r="BU146" s="55"/>
      <c r="BV146" s="32"/>
      <c r="BW146" s="32"/>
      <c r="BX146" s="55"/>
      <c r="BY146" s="32"/>
      <c r="BZ146" s="54"/>
      <c r="CA146" s="21" t="str">
        <f>IFERROR(VLOOKUP(October[[#This Row],[Drug Name8]],'Data Options'!$R$1:$S$100,2,FALSE), " ")</f>
        <v xml:space="preserve"> </v>
      </c>
      <c r="CB146" s="55"/>
      <c r="CC146" s="32"/>
      <c r="CD146" s="32"/>
      <c r="CE146" s="55"/>
      <c r="CF146" s="32"/>
      <c r="CG146" s="54"/>
      <c r="CH146" s="21" t="str">
        <f>IFERROR(VLOOKUP(October[[#This Row],[Drug Name9]],'Data Options'!$R$1:$S$100,2,FALSE), " ")</f>
        <v xml:space="preserve"> </v>
      </c>
      <c r="CI146" s="55"/>
      <c r="CJ146" s="32"/>
      <c r="CK146" s="32"/>
      <c r="CL146" s="55"/>
      <c r="CM146" s="32"/>
    </row>
    <row r="147" spans="1:91">
      <c r="A147" s="5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1"/>
      <c r="P147" s="31"/>
      <c r="Q147" s="54"/>
      <c r="R147" s="21" t="str">
        <f>IFERROR(VLOOKUP(October[[#This Row],[Drug Name]],'Data Options'!$R$1:$S$100,2,FALSE), " ")</f>
        <v xml:space="preserve"> </v>
      </c>
      <c r="S147" s="55"/>
      <c r="T147" s="32"/>
      <c r="U147" s="32"/>
      <c r="V147" s="55"/>
      <c r="W147" s="32"/>
      <c r="X147" s="54"/>
      <c r="Y147" s="21" t="str">
        <f>IFERROR(VLOOKUP(October[[#This Row],[Drug Name2]],'Data Options'!$R$1:$S$100,2,FALSE), " ")</f>
        <v xml:space="preserve"> </v>
      </c>
      <c r="Z147" s="55"/>
      <c r="AA147" s="32"/>
      <c r="AB147" s="32"/>
      <c r="AC147" s="55"/>
      <c r="AD147" s="32"/>
      <c r="AE147" s="54"/>
      <c r="AF147" s="21" t="str">
        <f>IFERROR(VLOOKUP(October[[#This Row],[Drug Name3]],'Data Options'!$R$1:$S$100,2,FALSE), " ")</f>
        <v xml:space="preserve"> </v>
      </c>
      <c r="AG147" s="55"/>
      <c r="AH147" s="32"/>
      <c r="AI147" s="32"/>
      <c r="AJ147" s="55"/>
      <c r="AK147" s="32"/>
      <c r="AL147" s="32"/>
      <c r="AM147" s="32"/>
      <c r="AN147" s="32"/>
      <c r="AO147" s="32"/>
      <c r="AP147" s="31"/>
      <c r="AQ147" s="31"/>
      <c r="AR147" s="54"/>
      <c r="AS147" s="21" t="str">
        <f>IFERROR(VLOOKUP(October[[#This Row],[Drug Name4]],'Data Options'!$R$1:$S$100,2,FALSE), " ")</f>
        <v xml:space="preserve"> </v>
      </c>
      <c r="AT147" s="55"/>
      <c r="AU147" s="32"/>
      <c r="AV147" s="32"/>
      <c r="AW147" s="55"/>
      <c r="AX147" s="32"/>
      <c r="AY147" s="54"/>
      <c r="AZ147" s="21" t="str">
        <f>IFERROR(VLOOKUP(October[[#This Row],[Drug Name5]],'Data Options'!$R$1:$S$100,2,FALSE), " ")</f>
        <v xml:space="preserve"> </v>
      </c>
      <c r="BA147" s="55"/>
      <c r="BB147" s="32"/>
      <c r="BC147" s="32"/>
      <c r="BD147" s="55"/>
      <c r="BE147" s="32"/>
      <c r="BF147" s="54"/>
      <c r="BG147" s="21" t="str">
        <f>IFERROR(VLOOKUP(October[[#This Row],[Drug Name6]],'Data Options'!$R$1:$S$100,2,FALSE), " ")</f>
        <v xml:space="preserve"> </v>
      </c>
      <c r="BH147" s="55"/>
      <c r="BI147" s="32"/>
      <c r="BJ147" s="32"/>
      <c r="BK147" s="55"/>
      <c r="BL147" s="32"/>
      <c r="BM147" s="32"/>
      <c r="BN147" s="32"/>
      <c r="BO147" s="32"/>
      <c r="BP147" s="32"/>
      <c r="BQ147" s="31"/>
      <c r="BR147" s="31"/>
      <c r="BS147" s="54"/>
      <c r="BT147" s="21" t="str">
        <f>IFERROR(VLOOKUP(October[[#This Row],[Drug Name7]],'Data Options'!$R$1:$S$100,2,FALSE), " ")</f>
        <v xml:space="preserve"> </v>
      </c>
      <c r="BU147" s="55"/>
      <c r="BV147" s="32"/>
      <c r="BW147" s="32"/>
      <c r="BX147" s="55"/>
      <c r="BY147" s="32"/>
      <c r="BZ147" s="54"/>
      <c r="CA147" s="21" t="str">
        <f>IFERROR(VLOOKUP(October[[#This Row],[Drug Name8]],'Data Options'!$R$1:$S$100,2,FALSE), " ")</f>
        <v xml:space="preserve"> </v>
      </c>
      <c r="CB147" s="55"/>
      <c r="CC147" s="32"/>
      <c r="CD147" s="32"/>
      <c r="CE147" s="55"/>
      <c r="CF147" s="32"/>
      <c r="CG147" s="54"/>
      <c r="CH147" s="21" t="str">
        <f>IFERROR(VLOOKUP(October[[#This Row],[Drug Name9]],'Data Options'!$R$1:$S$100,2,FALSE), " ")</f>
        <v xml:space="preserve"> </v>
      </c>
      <c r="CI147" s="55"/>
      <c r="CJ147" s="32"/>
      <c r="CK147" s="32"/>
      <c r="CL147" s="55"/>
      <c r="CM147" s="32"/>
    </row>
    <row r="148" spans="1:91">
      <c r="A148" s="5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1"/>
      <c r="P148" s="31"/>
      <c r="Q148" s="54"/>
      <c r="R148" s="21" t="str">
        <f>IFERROR(VLOOKUP(October[[#This Row],[Drug Name]],'Data Options'!$R$1:$S$100,2,FALSE), " ")</f>
        <v xml:space="preserve"> </v>
      </c>
      <c r="S148" s="55"/>
      <c r="T148" s="32"/>
      <c r="U148" s="32"/>
      <c r="V148" s="55"/>
      <c r="W148" s="32"/>
      <c r="X148" s="54"/>
      <c r="Y148" s="21" t="str">
        <f>IFERROR(VLOOKUP(October[[#This Row],[Drug Name2]],'Data Options'!$R$1:$S$100,2,FALSE), " ")</f>
        <v xml:space="preserve"> </v>
      </c>
      <c r="Z148" s="55"/>
      <c r="AA148" s="32"/>
      <c r="AB148" s="32"/>
      <c r="AC148" s="55"/>
      <c r="AD148" s="32"/>
      <c r="AE148" s="54"/>
      <c r="AF148" s="21" t="str">
        <f>IFERROR(VLOOKUP(October[[#This Row],[Drug Name3]],'Data Options'!$R$1:$S$100,2,FALSE), " ")</f>
        <v xml:space="preserve"> </v>
      </c>
      <c r="AG148" s="55"/>
      <c r="AH148" s="32"/>
      <c r="AI148" s="32"/>
      <c r="AJ148" s="55"/>
      <c r="AK148" s="32"/>
      <c r="AL148" s="32"/>
      <c r="AM148" s="32"/>
      <c r="AN148" s="32"/>
      <c r="AO148" s="32"/>
      <c r="AP148" s="31"/>
      <c r="AQ148" s="31"/>
      <c r="AR148" s="54"/>
      <c r="AS148" s="21" t="str">
        <f>IFERROR(VLOOKUP(October[[#This Row],[Drug Name4]],'Data Options'!$R$1:$S$100,2,FALSE), " ")</f>
        <v xml:space="preserve"> </v>
      </c>
      <c r="AT148" s="55"/>
      <c r="AU148" s="32"/>
      <c r="AV148" s="32"/>
      <c r="AW148" s="55"/>
      <c r="AX148" s="32"/>
      <c r="AY148" s="54"/>
      <c r="AZ148" s="21" t="str">
        <f>IFERROR(VLOOKUP(October[[#This Row],[Drug Name5]],'Data Options'!$R$1:$S$100,2,FALSE), " ")</f>
        <v xml:space="preserve"> </v>
      </c>
      <c r="BA148" s="55"/>
      <c r="BB148" s="32"/>
      <c r="BC148" s="32"/>
      <c r="BD148" s="55"/>
      <c r="BE148" s="32"/>
      <c r="BF148" s="54"/>
      <c r="BG148" s="21" t="str">
        <f>IFERROR(VLOOKUP(October[[#This Row],[Drug Name6]],'Data Options'!$R$1:$S$100,2,FALSE), " ")</f>
        <v xml:space="preserve"> </v>
      </c>
      <c r="BH148" s="55"/>
      <c r="BI148" s="32"/>
      <c r="BJ148" s="32"/>
      <c r="BK148" s="55"/>
      <c r="BL148" s="32"/>
      <c r="BM148" s="32"/>
      <c r="BN148" s="32"/>
      <c r="BO148" s="32"/>
      <c r="BP148" s="32"/>
      <c r="BQ148" s="31"/>
      <c r="BR148" s="31"/>
      <c r="BS148" s="54"/>
      <c r="BT148" s="21" t="str">
        <f>IFERROR(VLOOKUP(October[[#This Row],[Drug Name7]],'Data Options'!$R$1:$S$100,2,FALSE), " ")</f>
        <v xml:space="preserve"> </v>
      </c>
      <c r="BU148" s="55"/>
      <c r="BV148" s="32"/>
      <c r="BW148" s="32"/>
      <c r="BX148" s="55"/>
      <c r="BY148" s="32"/>
      <c r="BZ148" s="54"/>
      <c r="CA148" s="21" t="str">
        <f>IFERROR(VLOOKUP(October[[#This Row],[Drug Name8]],'Data Options'!$R$1:$S$100,2,FALSE), " ")</f>
        <v xml:space="preserve"> </v>
      </c>
      <c r="CB148" s="55"/>
      <c r="CC148" s="32"/>
      <c r="CD148" s="32"/>
      <c r="CE148" s="55"/>
      <c r="CF148" s="32"/>
      <c r="CG148" s="54"/>
      <c r="CH148" s="21" t="str">
        <f>IFERROR(VLOOKUP(October[[#This Row],[Drug Name9]],'Data Options'!$R$1:$S$100,2,FALSE), " ")</f>
        <v xml:space="preserve"> </v>
      </c>
      <c r="CI148" s="55"/>
      <c r="CJ148" s="32"/>
      <c r="CK148" s="32"/>
      <c r="CL148" s="55"/>
      <c r="CM148" s="32"/>
    </row>
    <row r="149" spans="1:91">
      <c r="A149" s="5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1"/>
      <c r="P149" s="31"/>
      <c r="Q149" s="54"/>
      <c r="R149" s="21" t="str">
        <f>IFERROR(VLOOKUP(October[[#This Row],[Drug Name]],'Data Options'!$R$1:$S$100,2,FALSE), " ")</f>
        <v xml:space="preserve"> </v>
      </c>
      <c r="S149" s="55"/>
      <c r="T149" s="32"/>
      <c r="U149" s="32"/>
      <c r="V149" s="55"/>
      <c r="W149" s="32"/>
      <c r="X149" s="54"/>
      <c r="Y149" s="21" t="str">
        <f>IFERROR(VLOOKUP(October[[#This Row],[Drug Name2]],'Data Options'!$R$1:$S$100,2,FALSE), " ")</f>
        <v xml:space="preserve"> </v>
      </c>
      <c r="Z149" s="55"/>
      <c r="AA149" s="32"/>
      <c r="AB149" s="32"/>
      <c r="AC149" s="55"/>
      <c r="AD149" s="32"/>
      <c r="AE149" s="54"/>
      <c r="AF149" s="21" t="str">
        <f>IFERROR(VLOOKUP(October[[#This Row],[Drug Name3]],'Data Options'!$R$1:$S$100,2,FALSE), " ")</f>
        <v xml:space="preserve"> </v>
      </c>
      <c r="AG149" s="55"/>
      <c r="AH149" s="32"/>
      <c r="AI149" s="32"/>
      <c r="AJ149" s="55"/>
      <c r="AK149" s="32"/>
      <c r="AL149" s="32"/>
      <c r="AM149" s="32"/>
      <c r="AN149" s="32"/>
      <c r="AO149" s="32"/>
      <c r="AP149" s="31"/>
      <c r="AQ149" s="31"/>
      <c r="AR149" s="54"/>
      <c r="AS149" s="21" t="str">
        <f>IFERROR(VLOOKUP(October[[#This Row],[Drug Name4]],'Data Options'!$R$1:$S$100,2,FALSE), " ")</f>
        <v xml:space="preserve"> </v>
      </c>
      <c r="AT149" s="55"/>
      <c r="AU149" s="32"/>
      <c r="AV149" s="32"/>
      <c r="AW149" s="55"/>
      <c r="AX149" s="32"/>
      <c r="AY149" s="54"/>
      <c r="AZ149" s="21" t="str">
        <f>IFERROR(VLOOKUP(October[[#This Row],[Drug Name5]],'Data Options'!$R$1:$S$100,2,FALSE), " ")</f>
        <v xml:space="preserve"> </v>
      </c>
      <c r="BA149" s="55"/>
      <c r="BB149" s="32"/>
      <c r="BC149" s="32"/>
      <c r="BD149" s="55"/>
      <c r="BE149" s="32"/>
      <c r="BF149" s="54"/>
      <c r="BG149" s="21" t="str">
        <f>IFERROR(VLOOKUP(October[[#This Row],[Drug Name6]],'Data Options'!$R$1:$S$100,2,FALSE), " ")</f>
        <v xml:space="preserve"> </v>
      </c>
      <c r="BH149" s="55"/>
      <c r="BI149" s="32"/>
      <c r="BJ149" s="32"/>
      <c r="BK149" s="55"/>
      <c r="BL149" s="32"/>
      <c r="BM149" s="32"/>
      <c r="BN149" s="32"/>
      <c r="BO149" s="32"/>
      <c r="BP149" s="32"/>
      <c r="BQ149" s="31"/>
      <c r="BR149" s="31"/>
      <c r="BS149" s="54"/>
      <c r="BT149" s="21" t="str">
        <f>IFERROR(VLOOKUP(October[[#This Row],[Drug Name7]],'Data Options'!$R$1:$S$100,2,FALSE), " ")</f>
        <v xml:space="preserve"> </v>
      </c>
      <c r="BU149" s="55"/>
      <c r="BV149" s="32"/>
      <c r="BW149" s="32"/>
      <c r="BX149" s="55"/>
      <c r="BY149" s="32"/>
      <c r="BZ149" s="54"/>
      <c r="CA149" s="21" t="str">
        <f>IFERROR(VLOOKUP(October[[#This Row],[Drug Name8]],'Data Options'!$R$1:$S$100,2,FALSE), " ")</f>
        <v xml:space="preserve"> </v>
      </c>
      <c r="CB149" s="55"/>
      <c r="CC149" s="32"/>
      <c r="CD149" s="32"/>
      <c r="CE149" s="55"/>
      <c r="CF149" s="32"/>
      <c r="CG149" s="54"/>
      <c r="CH149" s="21" t="str">
        <f>IFERROR(VLOOKUP(October[[#This Row],[Drug Name9]],'Data Options'!$R$1:$S$100,2,FALSE), " ")</f>
        <v xml:space="preserve"> </v>
      </c>
      <c r="CI149" s="55"/>
      <c r="CJ149" s="32"/>
      <c r="CK149" s="32"/>
      <c r="CL149" s="55"/>
      <c r="CM149" s="32"/>
    </row>
    <row r="150" spans="1:91">
      <c r="A150" s="5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1"/>
      <c r="P150" s="31"/>
      <c r="Q150" s="54"/>
      <c r="R150" s="21" t="str">
        <f>IFERROR(VLOOKUP(October[[#This Row],[Drug Name]],'Data Options'!$R$1:$S$100,2,FALSE), " ")</f>
        <v xml:space="preserve"> </v>
      </c>
      <c r="S150" s="55"/>
      <c r="T150" s="32"/>
      <c r="U150" s="32"/>
      <c r="V150" s="55"/>
      <c r="W150" s="32"/>
      <c r="X150" s="54"/>
      <c r="Y150" s="21" t="str">
        <f>IFERROR(VLOOKUP(October[[#This Row],[Drug Name2]],'Data Options'!$R$1:$S$100,2,FALSE), " ")</f>
        <v xml:space="preserve"> </v>
      </c>
      <c r="Z150" s="55"/>
      <c r="AA150" s="32"/>
      <c r="AB150" s="32"/>
      <c r="AC150" s="55"/>
      <c r="AD150" s="32"/>
      <c r="AE150" s="54"/>
      <c r="AF150" s="21" t="str">
        <f>IFERROR(VLOOKUP(October[[#This Row],[Drug Name3]],'Data Options'!$R$1:$S$100,2,FALSE), " ")</f>
        <v xml:space="preserve"> </v>
      </c>
      <c r="AG150" s="55"/>
      <c r="AH150" s="32"/>
      <c r="AI150" s="32"/>
      <c r="AJ150" s="55"/>
      <c r="AK150" s="32"/>
      <c r="AL150" s="32"/>
      <c r="AM150" s="32"/>
      <c r="AN150" s="32"/>
      <c r="AO150" s="32"/>
      <c r="AP150" s="31"/>
      <c r="AQ150" s="31"/>
      <c r="AR150" s="54"/>
      <c r="AS150" s="21" t="str">
        <f>IFERROR(VLOOKUP(October[[#This Row],[Drug Name4]],'Data Options'!$R$1:$S$100,2,FALSE), " ")</f>
        <v xml:space="preserve"> </v>
      </c>
      <c r="AT150" s="55"/>
      <c r="AU150" s="32"/>
      <c r="AV150" s="32"/>
      <c r="AW150" s="55"/>
      <c r="AX150" s="32"/>
      <c r="AY150" s="54"/>
      <c r="AZ150" s="21" t="str">
        <f>IFERROR(VLOOKUP(October[[#This Row],[Drug Name5]],'Data Options'!$R$1:$S$100,2,FALSE), " ")</f>
        <v xml:space="preserve"> </v>
      </c>
      <c r="BA150" s="55"/>
      <c r="BB150" s="32"/>
      <c r="BC150" s="32"/>
      <c r="BD150" s="55"/>
      <c r="BE150" s="32"/>
      <c r="BF150" s="54"/>
      <c r="BG150" s="21" t="str">
        <f>IFERROR(VLOOKUP(October[[#This Row],[Drug Name6]],'Data Options'!$R$1:$S$100,2,FALSE), " ")</f>
        <v xml:space="preserve"> </v>
      </c>
      <c r="BH150" s="55"/>
      <c r="BI150" s="32"/>
      <c r="BJ150" s="32"/>
      <c r="BK150" s="55"/>
      <c r="BL150" s="32"/>
      <c r="BM150" s="32"/>
      <c r="BN150" s="32"/>
      <c r="BO150" s="32"/>
      <c r="BP150" s="32"/>
      <c r="BQ150" s="31"/>
      <c r="BR150" s="31"/>
      <c r="BS150" s="54"/>
      <c r="BT150" s="21" t="str">
        <f>IFERROR(VLOOKUP(October[[#This Row],[Drug Name7]],'Data Options'!$R$1:$S$100,2,FALSE), " ")</f>
        <v xml:space="preserve"> </v>
      </c>
      <c r="BU150" s="55"/>
      <c r="BV150" s="32"/>
      <c r="BW150" s="32"/>
      <c r="BX150" s="55"/>
      <c r="BY150" s="32"/>
      <c r="BZ150" s="54"/>
      <c r="CA150" s="21" t="str">
        <f>IFERROR(VLOOKUP(October[[#This Row],[Drug Name8]],'Data Options'!$R$1:$S$100,2,FALSE), " ")</f>
        <v xml:space="preserve"> </v>
      </c>
      <c r="CB150" s="55"/>
      <c r="CC150" s="32"/>
      <c r="CD150" s="32"/>
      <c r="CE150" s="55"/>
      <c r="CF150" s="32"/>
      <c r="CG150" s="54"/>
      <c r="CH150" s="21" t="str">
        <f>IFERROR(VLOOKUP(October[[#This Row],[Drug Name9]],'Data Options'!$R$1:$S$100,2,FALSE), " ")</f>
        <v xml:space="preserve"> </v>
      </c>
      <c r="CI150" s="55"/>
      <c r="CJ150" s="32"/>
      <c r="CK150" s="32"/>
      <c r="CL150" s="55"/>
      <c r="CM150" s="32"/>
    </row>
    <row r="151" spans="1:91">
      <c r="A151" s="5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1"/>
      <c r="P151" s="31"/>
      <c r="Q151" s="54"/>
      <c r="R151" s="21" t="str">
        <f>IFERROR(VLOOKUP(October[[#This Row],[Drug Name]],'Data Options'!$R$1:$S$100,2,FALSE), " ")</f>
        <v xml:space="preserve"> </v>
      </c>
      <c r="S151" s="55"/>
      <c r="T151" s="32"/>
      <c r="U151" s="32"/>
      <c r="V151" s="55"/>
      <c r="W151" s="32"/>
      <c r="X151" s="54"/>
      <c r="Y151" s="21" t="str">
        <f>IFERROR(VLOOKUP(October[[#This Row],[Drug Name2]],'Data Options'!$R$1:$S$100,2,FALSE), " ")</f>
        <v xml:space="preserve"> </v>
      </c>
      <c r="Z151" s="55"/>
      <c r="AA151" s="32"/>
      <c r="AB151" s="32"/>
      <c r="AC151" s="55"/>
      <c r="AD151" s="32"/>
      <c r="AE151" s="54"/>
      <c r="AF151" s="21" t="str">
        <f>IFERROR(VLOOKUP(October[[#This Row],[Drug Name3]],'Data Options'!$R$1:$S$100,2,FALSE), " ")</f>
        <v xml:space="preserve"> </v>
      </c>
      <c r="AG151" s="55"/>
      <c r="AH151" s="32"/>
      <c r="AI151" s="32"/>
      <c r="AJ151" s="55"/>
      <c r="AK151" s="32"/>
      <c r="AL151" s="32"/>
      <c r="AM151" s="32"/>
      <c r="AN151" s="32"/>
      <c r="AO151" s="32"/>
      <c r="AP151" s="31"/>
      <c r="AQ151" s="31"/>
      <c r="AR151" s="54"/>
      <c r="AS151" s="21" t="str">
        <f>IFERROR(VLOOKUP(October[[#This Row],[Drug Name4]],'Data Options'!$R$1:$S$100,2,FALSE), " ")</f>
        <v xml:space="preserve"> </v>
      </c>
      <c r="AT151" s="55"/>
      <c r="AU151" s="32"/>
      <c r="AV151" s="32"/>
      <c r="AW151" s="55"/>
      <c r="AX151" s="32"/>
      <c r="AY151" s="54"/>
      <c r="AZ151" s="21" t="str">
        <f>IFERROR(VLOOKUP(October[[#This Row],[Drug Name5]],'Data Options'!$R$1:$S$100,2,FALSE), " ")</f>
        <v xml:space="preserve"> </v>
      </c>
      <c r="BA151" s="55"/>
      <c r="BB151" s="32"/>
      <c r="BC151" s="32"/>
      <c r="BD151" s="55"/>
      <c r="BE151" s="32"/>
      <c r="BF151" s="54"/>
      <c r="BG151" s="21" t="str">
        <f>IFERROR(VLOOKUP(October[[#This Row],[Drug Name6]],'Data Options'!$R$1:$S$100,2,FALSE), " ")</f>
        <v xml:space="preserve"> </v>
      </c>
      <c r="BH151" s="55"/>
      <c r="BI151" s="32"/>
      <c r="BJ151" s="32"/>
      <c r="BK151" s="55"/>
      <c r="BL151" s="32"/>
      <c r="BM151" s="32"/>
      <c r="BN151" s="32"/>
      <c r="BO151" s="32"/>
      <c r="BP151" s="32"/>
      <c r="BQ151" s="31"/>
      <c r="BR151" s="31"/>
      <c r="BS151" s="54"/>
      <c r="BT151" s="21" t="str">
        <f>IFERROR(VLOOKUP(October[[#This Row],[Drug Name7]],'Data Options'!$R$1:$S$100,2,FALSE), " ")</f>
        <v xml:space="preserve"> </v>
      </c>
      <c r="BU151" s="55"/>
      <c r="BV151" s="32"/>
      <c r="BW151" s="32"/>
      <c r="BX151" s="55"/>
      <c r="BY151" s="32"/>
      <c r="BZ151" s="54"/>
      <c r="CA151" s="21" t="str">
        <f>IFERROR(VLOOKUP(October[[#This Row],[Drug Name8]],'Data Options'!$R$1:$S$100,2,FALSE), " ")</f>
        <v xml:space="preserve"> </v>
      </c>
      <c r="CB151" s="55"/>
      <c r="CC151" s="32"/>
      <c r="CD151" s="32"/>
      <c r="CE151" s="55"/>
      <c r="CF151" s="32"/>
      <c r="CG151" s="54"/>
      <c r="CH151" s="21" t="str">
        <f>IFERROR(VLOOKUP(October[[#This Row],[Drug Name9]],'Data Options'!$R$1:$S$100,2,FALSE), " ")</f>
        <v xml:space="preserve"> </v>
      </c>
      <c r="CI151" s="55"/>
      <c r="CJ151" s="32"/>
      <c r="CK151" s="32"/>
      <c r="CL151" s="55"/>
      <c r="CM151" s="32"/>
    </row>
    <row r="152" spans="1:91">
      <c r="A152" s="5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1"/>
      <c r="P152" s="31"/>
      <c r="Q152" s="54"/>
      <c r="R152" s="21" t="str">
        <f>IFERROR(VLOOKUP(October[[#This Row],[Drug Name]],'Data Options'!$R$1:$S$100,2,FALSE), " ")</f>
        <v xml:space="preserve"> </v>
      </c>
      <c r="S152" s="55"/>
      <c r="T152" s="32"/>
      <c r="U152" s="32"/>
      <c r="V152" s="55"/>
      <c r="W152" s="32"/>
      <c r="X152" s="54"/>
      <c r="Y152" s="21" t="str">
        <f>IFERROR(VLOOKUP(October[[#This Row],[Drug Name2]],'Data Options'!$R$1:$S$100,2,FALSE), " ")</f>
        <v xml:space="preserve"> </v>
      </c>
      <c r="Z152" s="55"/>
      <c r="AA152" s="32"/>
      <c r="AB152" s="32"/>
      <c r="AC152" s="55"/>
      <c r="AD152" s="32"/>
      <c r="AE152" s="54"/>
      <c r="AF152" s="21" t="str">
        <f>IFERROR(VLOOKUP(October[[#This Row],[Drug Name3]],'Data Options'!$R$1:$S$100,2,FALSE), " ")</f>
        <v xml:space="preserve"> </v>
      </c>
      <c r="AG152" s="55"/>
      <c r="AH152" s="32"/>
      <c r="AI152" s="32"/>
      <c r="AJ152" s="55"/>
      <c r="AK152" s="32"/>
      <c r="AL152" s="32"/>
      <c r="AM152" s="32"/>
      <c r="AN152" s="32"/>
      <c r="AO152" s="32"/>
      <c r="AP152" s="31"/>
      <c r="AQ152" s="31"/>
      <c r="AR152" s="54"/>
      <c r="AS152" s="21" t="str">
        <f>IFERROR(VLOOKUP(October[[#This Row],[Drug Name4]],'Data Options'!$R$1:$S$100,2,FALSE), " ")</f>
        <v xml:space="preserve"> </v>
      </c>
      <c r="AT152" s="55"/>
      <c r="AU152" s="32"/>
      <c r="AV152" s="32"/>
      <c r="AW152" s="55"/>
      <c r="AX152" s="32"/>
      <c r="AY152" s="54"/>
      <c r="AZ152" s="21" t="str">
        <f>IFERROR(VLOOKUP(October[[#This Row],[Drug Name5]],'Data Options'!$R$1:$S$100,2,FALSE), " ")</f>
        <v xml:space="preserve"> </v>
      </c>
      <c r="BA152" s="55"/>
      <c r="BB152" s="32"/>
      <c r="BC152" s="32"/>
      <c r="BD152" s="55"/>
      <c r="BE152" s="32"/>
      <c r="BF152" s="54"/>
      <c r="BG152" s="21" t="str">
        <f>IFERROR(VLOOKUP(October[[#This Row],[Drug Name6]],'Data Options'!$R$1:$S$100,2,FALSE), " ")</f>
        <v xml:space="preserve"> </v>
      </c>
      <c r="BH152" s="55"/>
      <c r="BI152" s="32"/>
      <c r="BJ152" s="32"/>
      <c r="BK152" s="55"/>
      <c r="BL152" s="32"/>
      <c r="BM152" s="32"/>
      <c r="BN152" s="32"/>
      <c r="BO152" s="32"/>
      <c r="BP152" s="32"/>
      <c r="BQ152" s="31"/>
      <c r="BR152" s="31"/>
      <c r="BS152" s="54"/>
      <c r="BT152" s="21" t="str">
        <f>IFERROR(VLOOKUP(October[[#This Row],[Drug Name7]],'Data Options'!$R$1:$S$100,2,FALSE), " ")</f>
        <v xml:space="preserve"> </v>
      </c>
      <c r="BU152" s="55"/>
      <c r="BV152" s="32"/>
      <c r="BW152" s="32"/>
      <c r="BX152" s="55"/>
      <c r="BY152" s="32"/>
      <c r="BZ152" s="54"/>
      <c r="CA152" s="21" t="str">
        <f>IFERROR(VLOOKUP(October[[#This Row],[Drug Name8]],'Data Options'!$R$1:$S$100,2,FALSE), " ")</f>
        <v xml:space="preserve"> </v>
      </c>
      <c r="CB152" s="55"/>
      <c r="CC152" s="32"/>
      <c r="CD152" s="32"/>
      <c r="CE152" s="55"/>
      <c r="CF152" s="32"/>
      <c r="CG152" s="54"/>
      <c r="CH152" s="21" t="str">
        <f>IFERROR(VLOOKUP(October[[#This Row],[Drug Name9]],'Data Options'!$R$1:$S$100,2,FALSE), " ")</f>
        <v xml:space="preserve"> </v>
      </c>
      <c r="CI152" s="55"/>
      <c r="CJ152" s="32"/>
      <c r="CK152" s="32"/>
      <c r="CL152" s="55"/>
      <c r="CM152" s="32"/>
    </row>
    <row r="153" spans="1:91">
      <c r="A153" s="5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1"/>
      <c r="P153" s="31"/>
      <c r="Q153" s="54"/>
      <c r="R153" s="21" t="str">
        <f>IFERROR(VLOOKUP(October[[#This Row],[Drug Name]],'Data Options'!$R$1:$S$100,2,FALSE), " ")</f>
        <v xml:space="preserve"> </v>
      </c>
      <c r="S153" s="55"/>
      <c r="T153" s="32"/>
      <c r="U153" s="32"/>
      <c r="V153" s="55"/>
      <c r="W153" s="32"/>
      <c r="X153" s="54"/>
      <c r="Y153" s="21" t="str">
        <f>IFERROR(VLOOKUP(October[[#This Row],[Drug Name2]],'Data Options'!$R$1:$S$100,2,FALSE), " ")</f>
        <v xml:space="preserve"> </v>
      </c>
      <c r="Z153" s="55"/>
      <c r="AA153" s="32"/>
      <c r="AB153" s="32"/>
      <c r="AC153" s="55"/>
      <c r="AD153" s="32"/>
      <c r="AE153" s="54"/>
      <c r="AF153" s="21" t="str">
        <f>IFERROR(VLOOKUP(October[[#This Row],[Drug Name3]],'Data Options'!$R$1:$S$100,2,FALSE), " ")</f>
        <v xml:space="preserve"> </v>
      </c>
      <c r="AG153" s="55"/>
      <c r="AH153" s="32"/>
      <c r="AI153" s="32"/>
      <c r="AJ153" s="55"/>
      <c r="AK153" s="32"/>
      <c r="AL153" s="32"/>
      <c r="AM153" s="32"/>
      <c r="AN153" s="32"/>
      <c r="AO153" s="32"/>
      <c r="AP153" s="31"/>
      <c r="AQ153" s="31"/>
      <c r="AR153" s="54"/>
      <c r="AS153" s="21" t="str">
        <f>IFERROR(VLOOKUP(October[[#This Row],[Drug Name4]],'Data Options'!$R$1:$S$100,2,FALSE), " ")</f>
        <v xml:space="preserve"> </v>
      </c>
      <c r="AT153" s="55"/>
      <c r="AU153" s="32"/>
      <c r="AV153" s="32"/>
      <c r="AW153" s="55"/>
      <c r="AX153" s="32"/>
      <c r="AY153" s="54"/>
      <c r="AZ153" s="21" t="str">
        <f>IFERROR(VLOOKUP(October[[#This Row],[Drug Name5]],'Data Options'!$R$1:$S$100,2,FALSE), " ")</f>
        <v xml:space="preserve"> </v>
      </c>
      <c r="BA153" s="55"/>
      <c r="BB153" s="32"/>
      <c r="BC153" s="32"/>
      <c r="BD153" s="55"/>
      <c r="BE153" s="32"/>
      <c r="BF153" s="54"/>
      <c r="BG153" s="21" t="str">
        <f>IFERROR(VLOOKUP(October[[#This Row],[Drug Name6]],'Data Options'!$R$1:$S$100,2,FALSE), " ")</f>
        <v xml:space="preserve"> </v>
      </c>
      <c r="BH153" s="55"/>
      <c r="BI153" s="32"/>
      <c r="BJ153" s="32"/>
      <c r="BK153" s="55"/>
      <c r="BL153" s="32"/>
      <c r="BM153" s="32"/>
      <c r="BN153" s="32"/>
      <c r="BO153" s="32"/>
      <c r="BP153" s="32"/>
      <c r="BQ153" s="31"/>
      <c r="BR153" s="31"/>
      <c r="BS153" s="54"/>
      <c r="BT153" s="21" t="str">
        <f>IFERROR(VLOOKUP(October[[#This Row],[Drug Name7]],'Data Options'!$R$1:$S$100,2,FALSE), " ")</f>
        <v xml:space="preserve"> </v>
      </c>
      <c r="BU153" s="55"/>
      <c r="BV153" s="32"/>
      <c r="BW153" s="32"/>
      <c r="BX153" s="55"/>
      <c r="BY153" s="32"/>
      <c r="BZ153" s="54"/>
      <c r="CA153" s="21" t="str">
        <f>IFERROR(VLOOKUP(October[[#This Row],[Drug Name8]],'Data Options'!$R$1:$S$100,2,FALSE), " ")</f>
        <v xml:space="preserve"> </v>
      </c>
      <c r="CB153" s="55"/>
      <c r="CC153" s="32"/>
      <c r="CD153" s="32"/>
      <c r="CE153" s="55"/>
      <c r="CF153" s="32"/>
      <c r="CG153" s="54"/>
      <c r="CH153" s="21" t="str">
        <f>IFERROR(VLOOKUP(October[[#This Row],[Drug Name9]],'Data Options'!$R$1:$S$100,2,FALSE), " ")</f>
        <v xml:space="preserve"> </v>
      </c>
      <c r="CI153" s="55"/>
      <c r="CJ153" s="32"/>
      <c r="CK153" s="32"/>
      <c r="CL153" s="55"/>
      <c r="CM153" s="32"/>
    </row>
    <row r="154" spans="1:91">
      <c r="A154" s="5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1"/>
      <c r="P154" s="31"/>
      <c r="Q154" s="54"/>
      <c r="R154" s="21" t="str">
        <f>IFERROR(VLOOKUP(October[[#This Row],[Drug Name]],'Data Options'!$R$1:$S$100,2,FALSE), " ")</f>
        <v xml:space="preserve"> </v>
      </c>
      <c r="S154" s="55"/>
      <c r="T154" s="32"/>
      <c r="U154" s="32"/>
      <c r="V154" s="55"/>
      <c r="W154" s="32"/>
      <c r="X154" s="54"/>
      <c r="Y154" s="21" t="str">
        <f>IFERROR(VLOOKUP(October[[#This Row],[Drug Name2]],'Data Options'!$R$1:$S$100,2,FALSE), " ")</f>
        <v xml:space="preserve"> </v>
      </c>
      <c r="Z154" s="55"/>
      <c r="AA154" s="32"/>
      <c r="AB154" s="32"/>
      <c r="AC154" s="55"/>
      <c r="AD154" s="32"/>
      <c r="AE154" s="54"/>
      <c r="AF154" s="21" t="str">
        <f>IFERROR(VLOOKUP(October[[#This Row],[Drug Name3]],'Data Options'!$R$1:$S$100,2,FALSE), " ")</f>
        <v xml:space="preserve"> </v>
      </c>
      <c r="AG154" s="55"/>
      <c r="AH154" s="32"/>
      <c r="AI154" s="32"/>
      <c r="AJ154" s="55"/>
      <c r="AK154" s="32"/>
      <c r="AL154" s="32"/>
      <c r="AM154" s="32"/>
      <c r="AN154" s="32"/>
      <c r="AO154" s="32"/>
      <c r="AP154" s="31"/>
      <c r="AQ154" s="31"/>
      <c r="AR154" s="54"/>
      <c r="AS154" s="21" t="str">
        <f>IFERROR(VLOOKUP(October[[#This Row],[Drug Name4]],'Data Options'!$R$1:$S$100,2,FALSE), " ")</f>
        <v xml:space="preserve"> </v>
      </c>
      <c r="AT154" s="55"/>
      <c r="AU154" s="32"/>
      <c r="AV154" s="32"/>
      <c r="AW154" s="55"/>
      <c r="AX154" s="32"/>
      <c r="AY154" s="54"/>
      <c r="AZ154" s="21" t="str">
        <f>IFERROR(VLOOKUP(October[[#This Row],[Drug Name5]],'Data Options'!$R$1:$S$100,2,FALSE), " ")</f>
        <v xml:space="preserve"> </v>
      </c>
      <c r="BA154" s="55"/>
      <c r="BB154" s="32"/>
      <c r="BC154" s="32"/>
      <c r="BD154" s="55"/>
      <c r="BE154" s="32"/>
      <c r="BF154" s="54"/>
      <c r="BG154" s="21" t="str">
        <f>IFERROR(VLOOKUP(October[[#This Row],[Drug Name6]],'Data Options'!$R$1:$S$100,2,FALSE), " ")</f>
        <v xml:space="preserve"> </v>
      </c>
      <c r="BH154" s="55"/>
      <c r="BI154" s="32"/>
      <c r="BJ154" s="32"/>
      <c r="BK154" s="55"/>
      <c r="BL154" s="32"/>
      <c r="BM154" s="32"/>
      <c r="BN154" s="32"/>
      <c r="BO154" s="32"/>
      <c r="BP154" s="32"/>
      <c r="BQ154" s="31"/>
      <c r="BR154" s="31"/>
      <c r="BS154" s="54"/>
      <c r="BT154" s="21" t="str">
        <f>IFERROR(VLOOKUP(October[[#This Row],[Drug Name7]],'Data Options'!$R$1:$S$100,2,FALSE), " ")</f>
        <v xml:space="preserve"> </v>
      </c>
      <c r="BU154" s="55"/>
      <c r="BV154" s="32"/>
      <c r="BW154" s="32"/>
      <c r="BX154" s="55"/>
      <c r="BY154" s="32"/>
      <c r="BZ154" s="54"/>
      <c r="CA154" s="21" t="str">
        <f>IFERROR(VLOOKUP(October[[#This Row],[Drug Name8]],'Data Options'!$R$1:$S$100,2,FALSE), " ")</f>
        <v xml:space="preserve"> </v>
      </c>
      <c r="CB154" s="55"/>
      <c r="CC154" s="32"/>
      <c r="CD154" s="32"/>
      <c r="CE154" s="55"/>
      <c r="CF154" s="32"/>
      <c r="CG154" s="54"/>
      <c r="CH154" s="21" t="str">
        <f>IFERROR(VLOOKUP(October[[#This Row],[Drug Name9]],'Data Options'!$R$1:$S$100,2,FALSE), " ")</f>
        <v xml:space="preserve"> </v>
      </c>
      <c r="CI154" s="55"/>
      <c r="CJ154" s="32"/>
      <c r="CK154" s="32"/>
      <c r="CL154" s="55"/>
      <c r="CM154" s="32"/>
    </row>
    <row r="155" spans="1:91">
      <c r="A155" s="5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54"/>
      <c r="R155" s="21" t="str">
        <f>IFERROR(VLOOKUP(October[[#This Row],[Drug Name]],'Data Options'!$R$1:$S$100,2,FALSE), " ")</f>
        <v xml:space="preserve"> </v>
      </c>
      <c r="S155" s="55"/>
      <c r="T155" s="32"/>
      <c r="U155" s="32"/>
      <c r="V155" s="55"/>
      <c r="W155" s="32"/>
      <c r="X155" s="54"/>
      <c r="Y155" s="21" t="str">
        <f>IFERROR(VLOOKUP(October[[#This Row],[Drug Name2]],'Data Options'!$R$1:$S$100,2,FALSE), " ")</f>
        <v xml:space="preserve"> </v>
      </c>
      <c r="Z155" s="55"/>
      <c r="AA155" s="32"/>
      <c r="AB155" s="32"/>
      <c r="AC155" s="55"/>
      <c r="AD155" s="32"/>
      <c r="AE155" s="54"/>
      <c r="AF155" s="21" t="str">
        <f>IFERROR(VLOOKUP(October[[#This Row],[Drug Name3]],'Data Options'!$R$1:$S$100,2,FALSE), " ")</f>
        <v xml:space="preserve"> </v>
      </c>
      <c r="AG155" s="55"/>
      <c r="AH155" s="32"/>
      <c r="AI155" s="32"/>
      <c r="AJ155" s="55"/>
      <c r="AK155" s="32"/>
      <c r="AL155" s="32"/>
      <c r="AM155" s="32"/>
      <c r="AN155" s="32"/>
      <c r="AO155" s="32"/>
      <c r="AP155" s="31"/>
      <c r="AQ155" s="31"/>
      <c r="AR155" s="54"/>
      <c r="AS155" s="21" t="str">
        <f>IFERROR(VLOOKUP(October[[#This Row],[Drug Name4]],'Data Options'!$R$1:$S$100,2,FALSE), " ")</f>
        <v xml:space="preserve"> </v>
      </c>
      <c r="AT155" s="55"/>
      <c r="AU155" s="32"/>
      <c r="AV155" s="32"/>
      <c r="AW155" s="55"/>
      <c r="AX155" s="32"/>
      <c r="AY155" s="54"/>
      <c r="AZ155" s="21" t="str">
        <f>IFERROR(VLOOKUP(October[[#This Row],[Drug Name5]],'Data Options'!$R$1:$S$100,2,FALSE), " ")</f>
        <v xml:space="preserve"> </v>
      </c>
      <c r="BA155" s="55"/>
      <c r="BB155" s="32"/>
      <c r="BC155" s="32"/>
      <c r="BD155" s="55"/>
      <c r="BE155" s="32"/>
      <c r="BF155" s="54"/>
      <c r="BG155" s="21" t="str">
        <f>IFERROR(VLOOKUP(October[[#This Row],[Drug Name6]],'Data Options'!$R$1:$S$100,2,FALSE), " ")</f>
        <v xml:space="preserve"> </v>
      </c>
      <c r="BH155" s="55"/>
      <c r="BI155" s="32"/>
      <c r="BJ155" s="32"/>
      <c r="BK155" s="55"/>
      <c r="BL155" s="32"/>
      <c r="BM155" s="32"/>
      <c r="BN155" s="32"/>
      <c r="BO155" s="32"/>
      <c r="BP155" s="32"/>
      <c r="BQ155" s="31"/>
      <c r="BR155" s="31"/>
      <c r="BS155" s="54"/>
      <c r="BT155" s="21" t="str">
        <f>IFERROR(VLOOKUP(October[[#This Row],[Drug Name7]],'Data Options'!$R$1:$S$100,2,FALSE), " ")</f>
        <v xml:space="preserve"> </v>
      </c>
      <c r="BU155" s="55"/>
      <c r="BV155" s="32"/>
      <c r="BW155" s="32"/>
      <c r="BX155" s="55"/>
      <c r="BY155" s="32"/>
      <c r="BZ155" s="54"/>
      <c r="CA155" s="21" t="str">
        <f>IFERROR(VLOOKUP(October[[#This Row],[Drug Name8]],'Data Options'!$R$1:$S$100,2,FALSE), " ")</f>
        <v xml:space="preserve"> </v>
      </c>
      <c r="CB155" s="55"/>
      <c r="CC155" s="32"/>
      <c r="CD155" s="32"/>
      <c r="CE155" s="55"/>
      <c r="CF155" s="32"/>
      <c r="CG155" s="54"/>
      <c r="CH155" s="21" t="str">
        <f>IFERROR(VLOOKUP(October[[#This Row],[Drug Name9]],'Data Options'!$R$1:$S$100,2,FALSE), " ")</f>
        <v xml:space="preserve"> </v>
      </c>
      <c r="CI155" s="55"/>
      <c r="CJ155" s="32"/>
      <c r="CK155" s="32"/>
      <c r="CL155" s="55"/>
      <c r="CM155" s="32"/>
    </row>
    <row r="156" spans="1:91">
      <c r="A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1"/>
      <c r="P156" s="31"/>
      <c r="Q156" s="54"/>
      <c r="R156" s="21" t="str">
        <f>IFERROR(VLOOKUP(October[[#This Row],[Drug Name]],'Data Options'!$R$1:$S$100,2,FALSE), " ")</f>
        <v xml:space="preserve"> </v>
      </c>
      <c r="S156" s="55"/>
      <c r="T156" s="32"/>
      <c r="U156" s="32"/>
      <c r="V156" s="55"/>
      <c r="W156" s="32"/>
      <c r="X156" s="54"/>
      <c r="Y156" s="21" t="str">
        <f>IFERROR(VLOOKUP(October[[#This Row],[Drug Name2]],'Data Options'!$R$1:$S$100,2,FALSE), " ")</f>
        <v xml:space="preserve"> </v>
      </c>
      <c r="Z156" s="55"/>
      <c r="AA156" s="32"/>
      <c r="AB156" s="32"/>
      <c r="AC156" s="55"/>
      <c r="AD156" s="32"/>
      <c r="AE156" s="54"/>
      <c r="AF156" s="21" t="str">
        <f>IFERROR(VLOOKUP(October[[#This Row],[Drug Name3]],'Data Options'!$R$1:$S$100,2,FALSE), " ")</f>
        <v xml:space="preserve"> </v>
      </c>
      <c r="AG156" s="55"/>
      <c r="AH156" s="32"/>
      <c r="AI156" s="32"/>
      <c r="AJ156" s="55"/>
      <c r="AK156" s="32"/>
      <c r="AL156" s="32"/>
      <c r="AM156" s="32"/>
      <c r="AN156" s="32"/>
      <c r="AO156" s="32"/>
      <c r="AP156" s="31"/>
      <c r="AQ156" s="31"/>
      <c r="AR156" s="54"/>
      <c r="AS156" s="21" t="str">
        <f>IFERROR(VLOOKUP(October[[#This Row],[Drug Name4]],'Data Options'!$R$1:$S$100,2,FALSE), " ")</f>
        <v xml:space="preserve"> </v>
      </c>
      <c r="AT156" s="55"/>
      <c r="AU156" s="32"/>
      <c r="AV156" s="32"/>
      <c r="AW156" s="55"/>
      <c r="AX156" s="32"/>
      <c r="AY156" s="54"/>
      <c r="AZ156" s="21" t="str">
        <f>IFERROR(VLOOKUP(October[[#This Row],[Drug Name5]],'Data Options'!$R$1:$S$100,2,FALSE), " ")</f>
        <v xml:space="preserve"> </v>
      </c>
      <c r="BA156" s="55"/>
      <c r="BB156" s="32"/>
      <c r="BC156" s="32"/>
      <c r="BD156" s="55"/>
      <c r="BE156" s="32"/>
      <c r="BF156" s="54"/>
      <c r="BG156" s="21" t="str">
        <f>IFERROR(VLOOKUP(October[[#This Row],[Drug Name6]],'Data Options'!$R$1:$S$100,2,FALSE), " ")</f>
        <v xml:space="preserve"> </v>
      </c>
      <c r="BH156" s="55"/>
      <c r="BI156" s="32"/>
      <c r="BJ156" s="32"/>
      <c r="BK156" s="55"/>
      <c r="BL156" s="32"/>
      <c r="BM156" s="32"/>
      <c r="BN156" s="32"/>
      <c r="BO156" s="32"/>
      <c r="BP156" s="32"/>
      <c r="BQ156" s="31"/>
      <c r="BR156" s="31"/>
      <c r="BS156" s="54"/>
      <c r="BT156" s="21" t="str">
        <f>IFERROR(VLOOKUP(October[[#This Row],[Drug Name7]],'Data Options'!$R$1:$S$100,2,FALSE), " ")</f>
        <v xml:space="preserve"> </v>
      </c>
      <c r="BU156" s="55"/>
      <c r="BV156" s="32"/>
      <c r="BW156" s="32"/>
      <c r="BX156" s="55"/>
      <c r="BY156" s="32"/>
      <c r="BZ156" s="54"/>
      <c r="CA156" s="21" t="str">
        <f>IFERROR(VLOOKUP(October[[#This Row],[Drug Name8]],'Data Options'!$R$1:$S$100,2,FALSE), " ")</f>
        <v xml:space="preserve"> </v>
      </c>
      <c r="CB156" s="55"/>
      <c r="CC156" s="32"/>
      <c r="CD156" s="32"/>
      <c r="CE156" s="55"/>
      <c r="CF156" s="32"/>
      <c r="CG156" s="54"/>
      <c r="CH156" s="21" t="str">
        <f>IFERROR(VLOOKUP(October[[#This Row],[Drug Name9]],'Data Options'!$R$1:$S$100,2,FALSE), " ")</f>
        <v xml:space="preserve"> </v>
      </c>
      <c r="CI156" s="55"/>
      <c r="CJ156" s="32"/>
      <c r="CK156" s="32"/>
      <c r="CL156" s="55"/>
      <c r="CM156" s="32"/>
    </row>
    <row r="157" spans="1:91">
      <c r="A157" s="5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1"/>
      <c r="P157" s="31"/>
      <c r="Q157" s="54"/>
      <c r="R157" s="21" t="str">
        <f>IFERROR(VLOOKUP(October[[#This Row],[Drug Name]],'Data Options'!$R$1:$S$100,2,FALSE), " ")</f>
        <v xml:space="preserve"> </v>
      </c>
      <c r="S157" s="55"/>
      <c r="T157" s="32"/>
      <c r="U157" s="32"/>
      <c r="V157" s="55"/>
      <c r="W157" s="32"/>
      <c r="X157" s="54"/>
      <c r="Y157" s="21" t="str">
        <f>IFERROR(VLOOKUP(October[[#This Row],[Drug Name2]],'Data Options'!$R$1:$S$100,2,FALSE), " ")</f>
        <v xml:space="preserve"> </v>
      </c>
      <c r="Z157" s="55"/>
      <c r="AA157" s="32"/>
      <c r="AB157" s="32"/>
      <c r="AC157" s="55"/>
      <c r="AD157" s="32"/>
      <c r="AE157" s="54"/>
      <c r="AF157" s="21" t="str">
        <f>IFERROR(VLOOKUP(October[[#This Row],[Drug Name3]],'Data Options'!$R$1:$S$100,2,FALSE), " ")</f>
        <v xml:space="preserve"> </v>
      </c>
      <c r="AG157" s="55"/>
      <c r="AH157" s="32"/>
      <c r="AI157" s="32"/>
      <c r="AJ157" s="55"/>
      <c r="AK157" s="32"/>
      <c r="AL157" s="32"/>
      <c r="AM157" s="32"/>
      <c r="AN157" s="32"/>
      <c r="AO157" s="32"/>
      <c r="AP157" s="31"/>
      <c r="AQ157" s="31"/>
      <c r="AR157" s="54"/>
      <c r="AS157" s="21" t="str">
        <f>IFERROR(VLOOKUP(October[[#This Row],[Drug Name4]],'Data Options'!$R$1:$S$100,2,FALSE), " ")</f>
        <v xml:space="preserve"> </v>
      </c>
      <c r="AT157" s="55"/>
      <c r="AU157" s="32"/>
      <c r="AV157" s="32"/>
      <c r="AW157" s="55"/>
      <c r="AX157" s="32"/>
      <c r="AY157" s="54"/>
      <c r="AZ157" s="21" t="str">
        <f>IFERROR(VLOOKUP(October[[#This Row],[Drug Name5]],'Data Options'!$R$1:$S$100,2,FALSE), " ")</f>
        <v xml:space="preserve"> </v>
      </c>
      <c r="BA157" s="55"/>
      <c r="BB157" s="32"/>
      <c r="BC157" s="32"/>
      <c r="BD157" s="55"/>
      <c r="BE157" s="32"/>
      <c r="BF157" s="54"/>
      <c r="BG157" s="21" t="str">
        <f>IFERROR(VLOOKUP(October[[#This Row],[Drug Name6]],'Data Options'!$R$1:$S$100,2,FALSE), " ")</f>
        <v xml:space="preserve"> </v>
      </c>
      <c r="BH157" s="55"/>
      <c r="BI157" s="32"/>
      <c r="BJ157" s="32"/>
      <c r="BK157" s="55"/>
      <c r="BL157" s="32"/>
      <c r="BM157" s="32"/>
      <c r="BN157" s="32"/>
      <c r="BO157" s="32"/>
      <c r="BP157" s="32"/>
      <c r="BQ157" s="31"/>
      <c r="BR157" s="31"/>
      <c r="BS157" s="54"/>
      <c r="BT157" s="21" t="str">
        <f>IFERROR(VLOOKUP(October[[#This Row],[Drug Name7]],'Data Options'!$R$1:$S$100,2,FALSE), " ")</f>
        <v xml:space="preserve"> </v>
      </c>
      <c r="BU157" s="55"/>
      <c r="BV157" s="32"/>
      <c r="BW157" s="32"/>
      <c r="BX157" s="55"/>
      <c r="BY157" s="32"/>
      <c r="BZ157" s="54"/>
      <c r="CA157" s="21" t="str">
        <f>IFERROR(VLOOKUP(October[[#This Row],[Drug Name8]],'Data Options'!$R$1:$S$100,2,FALSE), " ")</f>
        <v xml:space="preserve"> </v>
      </c>
      <c r="CB157" s="55"/>
      <c r="CC157" s="32"/>
      <c r="CD157" s="32"/>
      <c r="CE157" s="55"/>
      <c r="CF157" s="32"/>
      <c r="CG157" s="54"/>
      <c r="CH157" s="21" t="str">
        <f>IFERROR(VLOOKUP(October[[#This Row],[Drug Name9]],'Data Options'!$R$1:$S$100,2,FALSE), " ")</f>
        <v xml:space="preserve"> </v>
      </c>
      <c r="CI157" s="55"/>
      <c r="CJ157" s="32"/>
      <c r="CK157" s="32"/>
      <c r="CL157" s="55"/>
      <c r="CM157" s="32"/>
    </row>
    <row r="158" spans="1:91">
      <c r="A158" s="5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1"/>
      <c r="P158" s="31"/>
      <c r="Q158" s="54"/>
      <c r="R158" s="21" t="str">
        <f>IFERROR(VLOOKUP(October[[#This Row],[Drug Name]],'Data Options'!$R$1:$S$100,2,FALSE), " ")</f>
        <v xml:space="preserve"> </v>
      </c>
      <c r="S158" s="55"/>
      <c r="T158" s="32"/>
      <c r="U158" s="32"/>
      <c r="V158" s="55"/>
      <c r="W158" s="32"/>
      <c r="X158" s="54"/>
      <c r="Y158" s="21" t="str">
        <f>IFERROR(VLOOKUP(October[[#This Row],[Drug Name2]],'Data Options'!$R$1:$S$100,2,FALSE), " ")</f>
        <v xml:space="preserve"> </v>
      </c>
      <c r="Z158" s="55"/>
      <c r="AA158" s="32"/>
      <c r="AB158" s="32"/>
      <c r="AC158" s="55"/>
      <c r="AD158" s="32"/>
      <c r="AE158" s="54"/>
      <c r="AF158" s="21" t="str">
        <f>IFERROR(VLOOKUP(October[[#This Row],[Drug Name3]],'Data Options'!$R$1:$S$100,2,FALSE), " ")</f>
        <v xml:space="preserve"> </v>
      </c>
      <c r="AG158" s="55"/>
      <c r="AH158" s="32"/>
      <c r="AI158" s="32"/>
      <c r="AJ158" s="55"/>
      <c r="AK158" s="32"/>
      <c r="AL158" s="32"/>
      <c r="AM158" s="32"/>
      <c r="AN158" s="32"/>
      <c r="AO158" s="32"/>
      <c r="AP158" s="31"/>
      <c r="AQ158" s="31"/>
      <c r="AR158" s="54"/>
      <c r="AS158" s="21" t="str">
        <f>IFERROR(VLOOKUP(October[[#This Row],[Drug Name4]],'Data Options'!$R$1:$S$100,2,FALSE), " ")</f>
        <v xml:space="preserve"> </v>
      </c>
      <c r="AT158" s="55"/>
      <c r="AU158" s="32"/>
      <c r="AV158" s="32"/>
      <c r="AW158" s="55"/>
      <c r="AX158" s="32"/>
      <c r="AY158" s="54"/>
      <c r="AZ158" s="21" t="str">
        <f>IFERROR(VLOOKUP(October[[#This Row],[Drug Name5]],'Data Options'!$R$1:$S$100,2,FALSE), " ")</f>
        <v xml:space="preserve"> </v>
      </c>
      <c r="BA158" s="55"/>
      <c r="BB158" s="32"/>
      <c r="BC158" s="32"/>
      <c r="BD158" s="55"/>
      <c r="BE158" s="32"/>
      <c r="BF158" s="54"/>
      <c r="BG158" s="21" t="str">
        <f>IFERROR(VLOOKUP(October[[#This Row],[Drug Name6]],'Data Options'!$R$1:$S$100,2,FALSE), " ")</f>
        <v xml:space="preserve"> </v>
      </c>
      <c r="BH158" s="55"/>
      <c r="BI158" s="32"/>
      <c r="BJ158" s="32"/>
      <c r="BK158" s="55"/>
      <c r="BL158" s="32"/>
      <c r="BM158" s="32"/>
      <c r="BN158" s="32"/>
      <c r="BO158" s="32"/>
      <c r="BP158" s="32"/>
      <c r="BQ158" s="31"/>
      <c r="BR158" s="31"/>
      <c r="BS158" s="54"/>
      <c r="BT158" s="21" t="str">
        <f>IFERROR(VLOOKUP(October[[#This Row],[Drug Name7]],'Data Options'!$R$1:$S$100,2,FALSE), " ")</f>
        <v xml:space="preserve"> </v>
      </c>
      <c r="BU158" s="55"/>
      <c r="BV158" s="32"/>
      <c r="BW158" s="32"/>
      <c r="BX158" s="55"/>
      <c r="BY158" s="32"/>
      <c r="BZ158" s="54"/>
      <c r="CA158" s="21" t="str">
        <f>IFERROR(VLOOKUP(October[[#This Row],[Drug Name8]],'Data Options'!$R$1:$S$100,2,FALSE), " ")</f>
        <v xml:space="preserve"> </v>
      </c>
      <c r="CB158" s="55"/>
      <c r="CC158" s="32"/>
      <c r="CD158" s="32"/>
      <c r="CE158" s="55"/>
      <c r="CF158" s="32"/>
      <c r="CG158" s="54"/>
      <c r="CH158" s="21" t="str">
        <f>IFERROR(VLOOKUP(October[[#This Row],[Drug Name9]],'Data Options'!$R$1:$S$100,2,FALSE), " ")</f>
        <v xml:space="preserve"> </v>
      </c>
      <c r="CI158" s="55"/>
      <c r="CJ158" s="32"/>
      <c r="CK158" s="32"/>
      <c r="CL158" s="55"/>
      <c r="CM158" s="32"/>
    </row>
    <row r="159" spans="1:91">
      <c r="A159" s="5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1"/>
      <c r="P159" s="31"/>
      <c r="Q159" s="54"/>
      <c r="R159" s="21" t="str">
        <f>IFERROR(VLOOKUP(October[[#This Row],[Drug Name]],'Data Options'!$R$1:$S$100,2,FALSE), " ")</f>
        <v xml:space="preserve"> </v>
      </c>
      <c r="S159" s="55"/>
      <c r="T159" s="32"/>
      <c r="U159" s="32"/>
      <c r="V159" s="55"/>
      <c r="W159" s="32"/>
      <c r="X159" s="54"/>
      <c r="Y159" s="21" t="str">
        <f>IFERROR(VLOOKUP(October[[#This Row],[Drug Name2]],'Data Options'!$R$1:$S$100,2,FALSE), " ")</f>
        <v xml:space="preserve"> </v>
      </c>
      <c r="Z159" s="55"/>
      <c r="AA159" s="32"/>
      <c r="AB159" s="32"/>
      <c r="AC159" s="55"/>
      <c r="AD159" s="32"/>
      <c r="AE159" s="54"/>
      <c r="AF159" s="21" t="str">
        <f>IFERROR(VLOOKUP(October[[#This Row],[Drug Name3]],'Data Options'!$R$1:$S$100,2,FALSE), " ")</f>
        <v xml:space="preserve"> </v>
      </c>
      <c r="AG159" s="55"/>
      <c r="AH159" s="32"/>
      <c r="AI159" s="32"/>
      <c r="AJ159" s="55"/>
      <c r="AK159" s="32"/>
      <c r="AL159" s="32"/>
      <c r="AM159" s="32"/>
      <c r="AN159" s="32"/>
      <c r="AO159" s="32"/>
      <c r="AP159" s="31"/>
      <c r="AQ159" s="31"/>
      <c r="AR159" s="54"/>
      <c r="AS159" s="21" t="str">
        <f>IFERROR(VLOOKUP(October[[#This Row],[Drug Name4]],'Data Options'!$R$1:$S$100,2,FALSE), " ")</f>
        <v xml:space="preserve"> </v>
      </c>
      <c r="AT159" s="55"/>
      <c r="AU159" s="32"/>
      <c r="AV159" s="32"/>
      <c r="AW159" s="55"/>
      <c r="AX159" s="32"/>
      <c r="AY159" s="54"/>
      <c r="AZ159" s="21" t="str">
        <f>IFERROR(VLOOKUP(October[[#This Row],[Drug Name5]],'Data Options'!$R$1:$S$100,2,FALSE), " ")</f>
        <v xml:space="preserve"> </v>
      </c>
      <c r="BA159" s="55"/>
      <c r="BB159" s="32"/>
      <c r="BC159" s="32"/>
      <c r="BD159" s="55"/>
      <c r="BE159" s="32"/>
      <c r="BF159" s="54"/>
      <c r="BG159" s="21" t="str">
        <f>IFERROR(VLOOKUP(October[[#This Row],[Drug Name6]],'Data Options'!$R$1:$S$100,2,FALSE), " ")</f>
        <v xml:space="preserve"> </v>
      </c>
      <c r="BH159" s="55"/>
      <c r="BI159" s="32"/>
      <c r="BJ159" s="32"/>
      <c r="BK159" s="55"/>
      <c r="BL159" s="32"/>
      <c r="BM159" s="32"/>
      <c r="BN159" s="32"/>
      <c r="BO159" s="32"/>
      <c r="BP159" s="32"/>
      <c r="BQ159" s="31"/>
      <c r="BR159" s="31"/>
      <c r="BS159" s="54"/>
      <c r="BT159" s="21" t="str">
        <f>IFERROR(VLOOKUP(October[[#This Row],[Drug Name7]],'Data Options'!$R$1:$S$100,2,FALSE), " ")</f>
        <v xml:space="preserve"> </v>
      </c>
      <c r="BU159" s="55"/>
      <c r="BV159" s="32"/>
      <c r="BW159" s="32"/>
      <c r="BX159" s="55"/>
      <c r="BY159" s="32"/>
      <c r="BZ159" s="54"/>
      <c r="CA159" s="21" t="str">
        <f>IFERROR(VLOOKUP(October[[#This Row],[Drug Name8]],'Data Options'!$R$1:$S$100,2,FALSE), " ")</f>
        <v xml:space="preserve"> </v>
      </c>
      <c r="CB159" s="55"/>
      <c r="CC159" s="32"/>
      <c r="CD159" s="32"/>
      <c r="CE159" s="55"/>
      <c r="CF159" s="32"/>
      <c r="CG159" s="54"/>
      <c r="CH159" s="21" t="str">
        <f>IFERROR(VLOOKUP(October[[#This Row],[Drug Name9]],'Data Options'!$R$1:$S$100,2,FALSE), " ")</f>
        <v xml:space="preserve"> </v>
      </c>
      <c r="CI159" s="55"/>
      <c r="CJ159" s="32"/>
      <c r="CK159" s="32"/>
      <c r="CL159" s="55"/>
      <c r="CM159" s="32"/>
    </row>
    <row r="160" spans="1:91">
      <c r="A160" s="5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1"/>
      <c r="P160" s="31"/>
      <c r="Q160" s="54"/>
      <c r="R160" s="21" t="str">
        <f>IFERROR(VLOOKUP(October[[#This Row],[Drug Name]],'Data Options'!$R$1:$S$100,2,FALSE), " ")</f>
        <v xml:space="preserve"> </v>
      </c>
      <c r="S160" s="55"/>
      <c r="T160" s="32"/>
      <c r="U160" s="32"/>
      <c r="V160" s="55"/>
      <c r="W160" s="32"/>
      <c r="X160" s="54"/>
      <c r="Y160" s="21" t="str">
        <f>IFERROR(VLOOKUP(October[[#This Row],[Drug Name2]],'Data Options'!$R$1:$S$100,2,FALSE), " ")</f>
        <v xml:space="preserve"> </v>
      </c>
      <c r="Z160" s="55"/>
      <c r="AA160" s="32"/>
      <c r="AB160" s="32"/>
      <c r="AC160" s="55"/>
      <c r="AD160" s="32"/>
      <c r="AE160" s="54"/>
      <c r="AF160" s="21" t="str">
        <f>IFERROR(VLOOKUP(October[[#This Row],[Drug Name3]],'Data Options'!$R$1:$S$100,2,FALSE), " ")</f>
        <v xml:space="preserve"> </v>
      </c>
      <c r="AG160" s="55"/>
      <c r="AH160" s="32"/>
      <c r="AI160" s="32"/>
      <c r="AJ160" s="55"/>
      <c r="AK160" s="32"/>
      <c r="AL160" s="32"/>
      <c r="AM160" s="32"/>
      <c r="AN160" s="32"/>
      <c r="AO160" s="32"/>
      <c r="AP160" s="31"/>
      <c r="AQ160" s="31"/>
      <c r="AR160" s="54"/>
      <c r="AS160" s="21" t="str">
        <f>IFERROR(VLOOKUP(October[[#This Row],[Drug Name4]],'Data Options'!$R$1:$S$100,2,FALSE), " ")</f>
        <v xml:space="preserve"> </v>
      </c>
      <c r="AT160" s="55"/>
      <c r="AU160" s="32"/>
      <c r="AV160" s="32"/>
      <c r="AW160" s="55"/>
      <c r="AX160" s="32"/>
      <c r="AY160" s="54"/>
      <c r="AZ160" s="21" t="str">
        <f>IFERROR(VLOOKUP(October[[#This Row],[Drug Name5]],'Data Options'!$R$1:$S$100,2,FALSE), " ")</f>
        <v xml:space="preserve"> </v>
      </c>
      <c r="BA160" s="55"/>
      <c r="BB160" s="32"/>
      <c r="BC160" s="32"/>
      <c r="BD160" s="55"/>
      <c r="BE160" s="32"/>
      <c r="BF160" s="54"/>
      <c r="BG160" s="21" t="str">
        <f>IFERROR(VLOOKUP(October[[#This Row],[Drug Name6]],'Data Options'!$R$1:$S$100,2,FALSE), " ")</f>
        <v xml:space="preserve"> </v>
      </c>
      <c r="BH160" s="55"/>
      <c r="BI160" s="32"/>
      <c r="BJ160" s="32"/>
      <c r="BK160" s="55"/>
      <c r="BL160" s="32"/>
      <c r="BM160" s="32"/>
      <c r="BN160" s="32"/>
      <c r="BO160" s="32"/>
      <c r="BP160" s="32"/>
      <c r="BQ160" s="31"/>
      <c r="BR160" s="31"/>
      <c r="BS160" s="54"/>
      <c r="BT160" s="21" t="str">
        <f>IFERROR(VLOOKUP(October[[#This Row],[Drug Name7]],'Data Options'!$R$1:$S$100,2,FALSE), " ")</f>
        <v xml:space="preserve"> </v>
      </c>
      <c r="BU160" s="55"/>
      <c r="BV160" s="32"/>
      <c r="BW160" s="32"/>
      <c r="BX160" s="55"/>
      <c r="BY160" s="32"/>
      <c r="BZ160" s="54"/>
      <c r="CA160" s="21" t="str">
        <f>IFERROR(VLOOKUP(October[[#This Row],[Drug Name8]],'Data Options'!$R$1:$S$100,2,FALSE), " ")</f>
        <v xml:space="preserve"> </v>
      </c>
      <c r="CB160" s="55"/>
      <c r="CC160" s="32"/>
      <c r="CD160" s="32"/>
      <c r="CE160" s="55"/>
      <c r="CF160" s="32"/>
      <c r="CG160" s="54"/>
      <c r="CH160" s="21" t="str">
        <f>IFERROR(VLOOKUP(October[[#This Row],[Drug Name9]],'Data Options'!$R$1:$S$100,2,FALSE), " ")</f>
        <v xml:space="preserve"> </v>
      </c>
      <c r="CI160" s="55"/>
      <c r="CJ160" s="32"/>
      <c r="CK160" s="32"/>
      <c r="CL160" s="55"/>
      <c r="CM160" s="32"/>
    </row>
    <row r="161" spans="1:91">
      <c r="A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1"/>
      <c r="P161" s="31"/>
      <c r="Q161" s="54"/>
      <c r="R161" s="21" t="str">
        <f>IFERROR(VLOOKUP(October[[#This Row],[Drug Name]],'Data Options'!$R$1:$S$100,2,FALSE), " ")</f>
        <v xml:space="preserve"> </v>
      </c>
      <c r="S161" s="55"/>
      <c r="T161" s="32"/>
      <c r="U161" s="32"/>
      <c r="V161" s="55"/>
      <c r="W161" s="32"/>
      <c r="X161" s="54"/>
      <c r="Y161" s="21" t="str">
        <f>IFERROR(VLOOKUP(October[[#This Row],[Drug Name2]],'Data Options'!$R$1:$S$100,2,FALSE), " ")</f>
        <v xml:space="preserve"> </v>
      </c>
      <c r="Z161" s="55"/>
      <c r="AA161" s="32"/>
      <c r="AB161" s="32"/>
      <c r="AC161" s="55"/>
      <c r="AD161" s="32"/>
      <c r="AE161" s="54"/>
      <c r="AF161" s="21" t="str">
        <f>IFERROR(VLOOKUP(October[[#This Row],[Drug Name3]],'Data Options'!$R$1:$S$100,2,FALSE), " ")</f>
        <v xml:space="preserve"> </v>
      </c>
      <c r="AG161" s="55"/>
      <c r="AH161" s="32"/>
      <c r="AI161" s="32"/>
      <c r="AJ161" s="55"/>
      <c r="AK161" s="32"/>
      <c r="AL161" s="32"/>
      <c r="AM161" s="32"/>
      <c r="AN161" s="32"/>
      <c r="AO161" s="32"/>
      <c r="AP161" s="31"/>
      <c r="AQ161" s="31"/>
      <c r="AR161" s="54"/>
      <c r="AS161" s="21" t="str">
        <f>IFERROR(VLOOKUP(October[[#This Row],[Drug Name4]],'Data Options'!$R$1:$S$100,2,FALSE), " ")</f>
        <v xml:space="preserve"> </v>
      </c>
      <c r="AT161" s="55"/>
      <c r="AU161" s="32"/>
      <c r="AV161" s="32"/>
      <c r="AW161" s="55"/>
      <c r="AX161" s="32"/>
      <c r="AY161" s="54"/>
      <c r="AZ161" s="21" t="str">
        <f>IFERROR(VLOOKUP(October[[#This Row],[Drug Name5]],'Data Options'!$R$1:$S$100,2,FALSE), " ")</f>
        <v xml:space="preserve"> </v>
      </c>
      <c r="BA161" s="55"/>
      <c r="BB161" s="32"/>
      <c r="BC161" s="32"/>
      <c r="BD161" s="55"/>
      <c r="BE161" s="32"/>
      <c r="BF161" s="54"/>
      <c r="BG161" s="21" t="str">
        <f>IFERROR(VLOOKUP(October[[#This Row],[Drug Name6]],'Data Options'!$R$1:$S$100,2,FALSE), " ")</f>
        <v xml:space="preserve"> </v>
      </c>
      <c r="BH161" s="55"/>
      <c r="BI161" s="32"/>
      <c r="BJ161" s="32"/>
      <c r="BK161" s="55"/>
      <c r="BL161" s="32"/>
      <c r="BM161" s="32"/>
      <c r="BN161" s="32"/>
      <c r="BO161" s="32"/>
      <c r="BP161" s="32"/>
      <c r="BQ161" s="31"/>
      <c r="BR161" s="31"/>
      <c r="BS161" s="54"/>
      <c r="BT161" s="21" t="str">
        <f>IFERROR(VLOOKUP(October[[#This Row],[Drug Name7]],'Data Options'!$R$1:$S$100,2,FALSE), " ")</f>
        <v xml:space="preserve"> </v>
      </c>
      <c r="BU161" s="55"/>
      <c r="BV161" s="32"/>
      <c r="BW161" s="32"/>
      <c r="BX161" s="55"/>
      <c r="BY161" s="32"/>
      <c r="BZ161" s="54"/>
      <c r="CA161" s="21" t="str">
        <f>IFERROR(VLOOKUP(October[[#This Row],[Drug Name8]],'Data Options'!$R$1:$S$100,2,FALSE), " ")</f>
        <v xml:space="preserve"> </v>
      </c>
      <c r="CB161" s="55"/>
      <c r="CC161" s="32"/>
      <c r="CD161" s="32"/>
      <c r="CE161" s="55"/>
      <c r="CF161" s="32"/>
      <c r="CG161" s="54"/>
      <c r="CH161" s="21" t="str">
        <f>IFERROR(VLOOKUP(October[[#This Row],[Drug Name9]],'Data Options'!$R$1:$S$100,2,FALSE), " ")</f>
        <v xml:space="preserve"> </v>
      </c>
      <c r="CI161" s="55"/>
      <c r="CJ161" s="32"/>
      <c r="CK161" s="32"/>
      <c r="CL161" s="55"/>
      <c r="CM161" s="32"/>
    </row>
    <row r="162" spans="1:91">
      <c r="A162" s="5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1"/>
      <c r="P162" s="31"/>
      <c r="Q162" s="54"/>
      <c r="R162" s="21" t="str">
        <f>IFERROR(VLOOKUP(October[[#This Row],[Drug Name]],'Data Options'!$R$1:$S$100,2,FALSE), " ")</f>
        <v xml:space="preserve"> </v>
      </c>
      <c r="S162" s="55"/>
      <c r="T162" s="32"/>
      <c r="U162" s="32"/>
      <c r="V162" s="55"/>
      <c r="W162" s="32"/>
      <c r="X162" s="54"/>
      <c r="Y162" s="21" t="str">
        <f>IFERROR(VLOOKUP(October[[#This Row],[Drug Name2]],'Data Options'!$R$1:$S$100,2,FALSE), " ")</f>
        <v xml:space="preserve"> </v>
      </c>
      <c r="Z162" s="55"/>
      <c r="AA162" s="32"/>
      <c r="AB162" s="32"/>
      <c r="AC162" s="55"/>
      <c r="AD162" s="32"/>
      <c r="AE162" s="54"/>
      <c r="AF162" s="21" t="str">
        <f>IFERROR(VLOOKUP(October[[#This Row],[Drug Name3]],'Data Options'!$R$1:$S$100,2,FALSE), " ")</f>
        <v xml:space="preserve"> </v>
      </c>
      <c r="AG162" s="55"/>
      <c r="AH162" s="32"/>
      <c r="AI162" s="32"/>
      <c r="AJ162" s="55"/>
      <c r="AK162" s="32"/>
      <c r="AL162" s="32"/>
      <c r="AM162" s="32"/>
      <c r="AN162" s="32"/>
      <c r="AO162" s="32"/>
      <c r="AP162" s="31"/>
      <c r="AQ162" s="31"/>
      <c r="AR162" s="54"/>
      <c r="AS162" s="21" t="str">
        <f>IFERROR(VLOOKUP(October[[#This Row],[Drug Name4]],'Data Options'!$R$1:$S$100,2,FALSE), " ")</f>
        <v xml:space="preserve"> </v>
      </c>
      <c r="AT162" s="55"/>
      <c r="AU162" s="32"/>
      <c r="AV162" s="32"/>
      <c r="AW162" s="55"/>
      <c r="AX162" s="32"/>
      <c r="AY162" s="54"/>
      <c r="AZ162" s="21" t="str">
        <f>IFERROR(VLOOKUP(October[[#This Row],[Drug Name5]],'Data Options'!$R$1:$S$100,2,FALSE), " ")</f>
        <v xml:space="preserve"> </v>
      </c>
      <c r="BA162" s="55"/>
      <c r="BB162" s="32"/>
      <c r="BC162" s="32"/>
      <c r="BD162" s="55"/>
      <c r="BE162" s="32"/>
      <c r="BF162" s="54"/>
      <c r="BG162" s="21" t="str">
        <f>IFERROR(VLOOKUP(October[[#This Row],[Drug Name6]],'Data Options'!$R$1:$S$100,2,FALSE), " ")</f>
        <v xml:space="preserve"> </v>
      </c>
      <c r="BH162" s="55"/>
      <c r="BI162" s="32"/>
      <c r="BJ162" s="32"/>
      <c r="BK162" s="55"/>
      <c r="BL162" s="32"/>
      <c r="BM162" s="32"/>
      <c r="BN162" s="32"/>
      <c r="BO162" s="32"/>
      <c r="BP162" s="32"/>
      <c r="BQ162" s="31"/>
      <c r="BR162" s="31"/>
      <c r="BS162" s="54"/>
      <c r="BT162" s="21" t="str">
        <f>IFERROR(VLOOKUP(October[[#This Row],[Drug Name7]],'Data Options'!$R$1:$S$100,2,FALSE), " ")</f>
        <v xml:space="preserve"> </v>
      </c>
      <c r="BU162" s="55"/>
      <c r="BV162" s="32"/>
      <c r="BW162" s="32"/>
      <c r="BX162" s="55"/>
      <c r="BY162" s="32"/>
      <c r="BZ162" s="54"/>
      <c r="CA162" s="21" t="str">
        <f>IFERROR(VLOOKUP(October[[#This Row],[Drug Name8]],'Data Options'!$R$1:$S$100,2,FALSE), " ")</f>
        <v xml:space="preserve"> </v>
      </c>
      <c r="CB162" s="55"/>
      <c r="CC162" s="32"/>
      <c r="CD162" s="32"/>
      <c r="CE162" s="55"/>
      <c r="CF162" s="32"/>
      <c r="CG162" s="54"/>
      <c r="CH162" s="21" t="str">
        <f>IFERROR(VLOOKUP(October[[#This Row],[Drug Name9]],'Data Options'!$R$1:$S$100,2,FALSE), " ")</f>
        <v xml:space="preserve"> </v>
      </c>
      <c r="CI162" s="55"/>
      <c r="CJ162" s="32"/>
      <c r="CK162" s="32"/>
      <c r="CL162" s="55"/>
      <c r="CM162" s="32"/>
    </row>
    <row r="163" spans="1:91">
      <c r="A163" s="5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1"/>
      <c r="P163" s="31"/>
      <c r="Q163" s="54"/>
      <c r="R163" s="21" t="str">
        <f>IFERROR(VLOOKUP(October[[#This Row],[Drug Name]],'Data Options'!$R$1:$S$100,2,FALSE), " ")</f>
        <v xml:space="preserve"> </v>
      </c>
      <c r="S163" s="55"/>
      <c r="T163" s="32"/>
      <c r="U163" s="32"/>
      <c r="V163" s="55"/>
      <c r="W163" s="32"/>
      <c r="X163" s="54"/>
      <c r="Y163" s="21" t="str">
        <f>IFERROR(VLOOKUP(October[[#This Row],[Drug Name2]],'Data Options'!$R$1:$S$100,2,FALSE), " ")</f>
        <v xml:space="preserve"> </v>
      </c>
      <c r="Z163" s="55"/>
      <c r="AA163" s="32"/>
      <c r="AB163" s="32"/>
      <c r="AC163" s="55"/>
      <c r="AD163" s="32"/>
      <c r="AE163" s="54"/>
      <c r="AF163" s="21" t="str">
        <f>IFERROR(VLOOKUP(October[[#This Row],[Drug Name3]],'Data Options'!$R$1:$S$100,2,FALSE), " ")</f>
        <v xml:space="preserve"> </v>
      </c>
      <c r="AG163" s="55"/>
      <c r="AH163" s="32"/>
      <c r="AI163" s="32"/>
      <c r="AJ163" s="55"/>
      <c r="AK163" s="32"/>
      <c r="AL163" s="32"/>
      <c r="AM163" s="32"/>
      <c r="AN163" s="32"/>
      <c r="AO163" s="32"/>
      <c r="AP163" s="31"/>
      <c r="AQ163" s="31"/>
      <c r="AR163" s="54"/>
      <c r="AS163" s="21" t="str">
        <f>IFERROR(VLOOKUP(October[[#This Row],[Drug Name4]],'Data Options'!$R$1:$S$100,2,FALSE), " ")</f>
        <v xml:space="preserve"> </v>
      </c>
      <c r="AT163" s="55"/>
      <c r="AU163" s="32"/>
      <c r="AV163" s="32"/>
      <c r="AW163" s="55"/>
      <c r="AX163" s="32"/>
      <c r="AY163" s="54"/>
      <c r="AZ163" s="21" t="str">
        <f>IFERROR(VLOOKUP(October[[#This Row],[Drug Name5]],'Data Options'!$R$1:$S$100,2,FALSE), " ")</f>
        <v xml:space="preserve"> </v>
      </c>
      <c r="BA163" s="55"/>
      <c r="BB163" s="32"/>
      <c r="BC163" s="32"/>
      <c r="BD163" s="55"/>
      <c r="BE163" s="32"/>
      <c r="BF163" s="54"/>
      <c r="BG163" s="21" t="str">
        <f>IFERROR(VLOOKUP(October[[#This Row],[Drug Name6]],'Data Options'!$R$1:$S$100,2,FALSE), " ")</f>
        <v xml:space="preserve"> </v>
      </c>
      <c r="BH163" s="55"/>
      <c r="BI163" s="32"/>
      <c r="BJ163" s="32"/>
      <c r="BK163" s="55"/>
      <c r="BL163" s="32"/>
      <c r="BM163" s="32"/>
      <c r="BN163" s="32"/>
      <c r="BO163" s="32"/>
      <c r="BP163" s="32"/>
      <c r="BQ163" s="31"/>
      <c r="BR163" s="31"/>
      <c r="BS163" s="54"/>
      <c r="BT163" s="21" t="str">
        <f>IFERROR(VLOOKUP(October[[#This Row],[Drug Name7]],'Data Options'!$R$1:$S$100,2,FALSE), " ")</f>
        <v xml:space="preserve"> </v>
      </c>
      <c r="BU163" s="55"/>
      <c r="BV163" s="32"/>
      <c r="BW163" s="32"/>
      <c r="BX163" s="55"/>
      <c r="BY163" s="32"/>
      <c r="BZ163" s="54"/>
      <c r="CA163" s="21" t="str">
        <f>IFERROR(VLOOKUP(October[[#This Row],[Drug Name8]],'Data Options'!$R$1:$S$100,2,FALSE), " ")</f>
        <v xml:space="preserve"> </v>
      </c>
      <c r="CB163" s="55"/>
      <c r="CC163" s="32"/>
      <c r="CD163" s="32"/>
      <c r="CE163" s="55"/>
      <c r="CF163" s="32"/>
      <c r="CG163" s="54"/>
      <c r="CH163" s="21" t="str">
        <f>IFERROR(VLOOKUP(October[[#This Row],[Drug Name9]],'Data Options'!$R$1:$S$100,2,FALSE), " ")</f>
        <v xml:space="preserve"> </v>
      </c>
      <c r="CI163" s="55"/>
      <c r="CJ163" s="32"/>
      <c r="CK163" s="32"/>
      <c r="CL163" s="55"/>
      <c r="CM163" s="32"/>
    </row>
    <row r="164" spans="1:91">
      <c r="A164" s="5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1"/>
      <c r="P164" s="31"/>
      <c r="Q164" s="54"/>
      <c r="R164" s="21" t="str">
        <f>IFERROR(VLOOKUP(October[[#This Row],[Drug Name]],'Data Options'!$R$1:$S$100,2,FALSE), " ")</f>
        <v xml:space="preserve"> </v>
      </c>
      <c r="S164" s="55"/>
      <c r="T164" s="32"/>
      <c r="U164" s="32"/>
      <c r="V164" s="55"/>
      <c r="W164" s="32"/>
      <c r="X164" s="54"/>
      <c r="Y164" s="21" t="str">
        <f>IFERROR(VLOOKUP(October[[#This Row],[Drug Name2]],'Data Options'!$R$1:$S$100,2,FALSE), " ")</f>
        <v xml:space="preserve"> </v>
      </c>
      <c r="Z164" s="55"/>
      <c r="AA164" s="32"/>
      <c r="AB164" s="32"/>
      <c r="AC164" s="55"/>
      <c r="AD164" s="32"/>
      <c r="AE164" s="54"/>
      <c r="AF164" s="21" t="str">
        <f>IFERROR(VLOOKUP(October[[#This Row],[Drug Name3]],'Data Options'!$R$1:$S$100,2,FALSE), " ")</f>
        <v xml:space="preserve"> </v>
      </c>
      <c r="AG164" s="55"/>
      <c r="AH164" s="32"/>
      <c r="AI164" s="32"/>
      <c r="AJ164" s="55"/>
      <c r="AK164" s="32"/>
      <c r="AL164" s="32"/>
      <c r="AM164" s="32"/>
      <c r="AN164" s="32"/>
      <c r="AO164" s="32"/>
      <c r="AP164" s="31"/>
      <c r="AQ164" s="31"/>
      <c r="AR164" s="54"/>
      <c r="AS164" s="21" t="str">
        <f>IFERROR(VLOOKUP(October[[#This Row],[Drug Name4]],'Data Options'!$R$1:$S$100,2,FALSE), " ")</f>
        <v xml:space="preserve"> </v>
      </c>
      <c r="AT164" s="55"/>
      <c r="AU164" s="32"/>
      <c r="AV164" s="32"/>
      <c r="AW164" s="55"/>
      <c r="AX164" s="32"/>
      <c r="AY164" s="54"/>
      <c r="AZ164" s="21" t="str">
        <f>IFERROR(VLOOKUP(October[[#This Row],[Drug Name5]],'Data Options'!$R$1:$S$100,2,FALSE), " ")</f>
        <v xml:space="preserve"> </v>
      </c>
      <c r="BA164" s="55"/>
      <c r="BB164" s="32"/>
      <c r="BC164" s="32"/>
      <c r="BD164" s="55"/>
      <c r="BE164" s="32"/>
      <c r="BF164" s="54"/>
      <c r="BG164" s="21" t="str">
        <f>IFERROR(VLOOKUP(October[[#This Row],[Drug Name6]],'Data Options'!$R$1:$S$100,2,FALSE), " ")</f>
        <v xml:space="preserve"> </v>
      </c>
      <c r="BH164" s="55"/>
      <c r="BI164" s="32"/>
      <c r="BJ164" s="32"/>
      <c r="BK164" s="55"/>
      <c r="BL164" s="32"/>
      <c r="BM164" s="32"/>
      <c r="BN164" s="32"/>
      <c r="BO164" s="32"/>
      <c r="BP164" s="32"/>
      <c r="BQ164" s="31"/>
      <c r="BR164" s="31"/>
      <c r="BS164" s="54"/>
      <c r="BT164" s="21" t="str">
        <f>IFERROR(VLOOKUP(October[[#This Row],[Drug Name7]],'Data Options'!$R$1:$S$100,2,FALSE), " ")</f>
        <v xml:space="preserve"> </v>
      </c>
      <c r="BU164" s="55"/>
      <c r="BV164" s="32"/>
      <c r="BW164" s="32"/>
      <c r="BX164" s="55"/>
      <c r="BY164" s="32"/>
      <c r="BZ164" s="54"/>
      <c r="CA164" s="21" t="str">
        <f>IFERROR(VLOOKUP(October[[#This Row],[Drug Name8]],'Data Options'!$R$1:$S$100,2,FALSE), " ")</f>
        <v xml:space="preserve"> </v>
      </c>
      <c r="CB164" s="55"/>
      <c r="CC164" s="32"/>
      <c r="CD164" s="32"/>
      <c r="CE164" s="55"/>
      <c r="CF164" s="32"/>
      <c r="CG164" s="54"/>
      <c r="CH164" s="21" t="str">
        <f>IFERROR(VLOOKUP(October[[#This Row],[Drug Name9]],'Data Options'!$R$1:$S$100,2,FALSE), " ")</f>
        <v xml:space="preserve"> </v>
      </c>
      <c r="CI164" s="55"/>
      <c r="CJ164" s="32"/>
      <c r="CK164" s="32"/>
      <c r="CL164" s="55"/>
      <c r="CM164" s="32"/>
    </row>
    <row r="165" spans="1:91">
      <c r="A165" s="5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1"/>
      <c r="P165" s="31"/>
      <c r="Q165" s="54"/>
      <c r="R165" s="21" t="str">
        <f>IFERROR(VLOOKUP(October[[#This Row],[Drug Name]],'Data Options'!$R$1:$S$100,2,FALSE), " ")</f>
        <v xml:space="preserve"> </v>
      </c>
      <c r="S165" s="55"/>
      <c r="T165" s="32"/>
      <c r="U165" s="32"/>
      <c r="V165" s="55"/>
      <c r="W165" s="32"/>
      <c r="X165" s="54"/>
      <c r="Y165" s="21" t="str">
        <f>IFERROR(VLOOKUP(October[[#This Row],[Drug Name2]],'Data Options'!$R$1:$S$100,2,FALSE), " ")</f>
        <v xml:space="preserve"> </v>
      </c>
      <c r="Z165" s="55"/>
      <c r="AA165" s="32"/>
      <c r="AB165" s="32"/>
      <c r="AC165" s="55"/>
      <c r="AD165" s="32"/>
      <c r="AE165" s="54"/>
      <c r="AF165" s="21" t="str">
        <f>IFERROR(VLOOKUP(October[[#This Row],[Drug Name3]],'Data Options'!$R$1:$S$100,2,FALSE), " ")</f>
        <v xml:space="preserve"> </v>
      </c>
      <c r="AG165" s="55"/>
      <c r="AH165" s="32"/>
      <c r="AI165" s="32"/>
      <c r="AJ165" s="55"/>
      <c r="AK165" s="32"/>
      <c r="AL165" s="32"/>
      <c r="AM165" s="32"/>
      <c r="AN165" s="32"/>
      <c r="AO165" s="32"/>
      <c r="AP165" s="31"/>
      <c r="AQ165" s="31"/>
      <c r="AR165" s="54"/>
      <c r="AS165" s="21" t="str">
        <f>IFERROR(VLOOKUP(October[[#This Row],[Drug Name4]],'Data Options'!$R$1:$S$100,2,FALSE), " ")</f>
        <v xml:space="preserve"> </v>
      </c>
      <c r="AT165" s="55"/>
      <c r="AU165" s="32"/>
      <c r="AV165" s="32"/>
      <c r="AW165" s="55"/>
      <c r="AX165" s="32"/>
      <c r="AY165" s="54"/>
      <c r="AZ165" s="21" t="str">
        <f>IFERROR(VLOOKUP(October[[#This Row],[Drug Name5]],'Data Options'!$R$1:$S$100,2,FALSE), " ")</f>
        <v xml:space="preserve"> </v>
      </c>
      <c r="BA165" s="55"/>
      <c r="BB165" s="32"/>
      <c r="BC165" s="32"/>
      <c r="BD165" s="55"/>
      <c r="BE165" s="32"/>
      <c r="BF165" s="54"/>
      <c r="BG165" s="21" t="str">
        <f>IFERROR(VLOOKUP(October[[#This Row],[Drug Name6]],'Data Options'!$R$1:$S$100,2,FALSE), " ")</f>
        <v xml:space="preserve"> </v>
      </c>
      <c r="BH165" s="55"/>
      <c r="BI165" s="32"/>
      <c r="BJ165" s="32"/>
      <c r="BK165" s="55"/>
      <c r="BL165" s="32"/>
      <c r="BM165" s="32"/>
      <c r="BN165" s="32"/>
      <c r="BO165" s="32"/>
      <c r="BP165" s="32"/>
      <c r="BQ165" s="31"/>
      <c r="BR165" s="31"/>
      <c r="BS165" s="54"/>
      <c r="BT165" s="21" t="str">
        <f>IFERROR(VLOOKUP(October[[#This Row],[Drug Name7]],'Data Options'!$R$1:$S$100,2,FALSE), " ")</f>
        <v xml:space="preserve"> </v>
      </c>
      <c r="BU165" s="55"/>
      <c r="BV165" s="32"/>
      <c r="BW165" s="32"/>
      <c r="BX165" s="55"/>
      <c r="BY165" s="32"/>
      <c r="BZ165" s="54"/>
      <c r="CA165" s="21" t="str">
        <f>IFERROR(VLOOKUP(October[[#This Row],[Drug Name8]],'Data Options'!$R$1:$S$100,2,FALSE), " ")</f>
        <v xml:space="preserve"> </v>
      </c>
      <c r="CB165" s="55"/>
      <c r="CC165" s="32"/>
      <c r="CD165" s="32"/>
      <c r="CE165" s="55"/>
      <c r="CF165" s="32"/>
      <c r="CG165" s="54"/>
      <c r="CH165" s="21" t="str">
        <f>IFERROR(VLOOKUP(October[[#This Row],[Drug Name9]],'Data Options'!$R$1:$S$100,2,FALSE), " ")</f>
        <v xml:space="preserve"> </v>
      </c>
      <c r="CI165" s="55"/>
      <c r="CJ165" s="32"/>
      <c r="CK165" s="32"/>
      <c r="CL165" s="55"/>
      <c r="CM165" s="32"/>
    </row>
    <row r="166" spans="1:91">
      <c r="A166" s="5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1"/>
      <c r="P166" s="31"/>
      <c r="Q166" s="54"/>
      <c r="R166" s="21" t="str">
        <f>IFERROR(VLOOKUP(October[[#This Row],[Drug Name]],'Data Options'!$R$1:$S$100,2,FALSE), " ")</f>
        <v xml:space="preserve"> </v>
      </c>
      <c r="S166" s="55"/>
      <c r="T166" s="32"/>
      <c r="U166" s="32"/>
      <c r="V166" s="55"/>
      <c r="W166" s="32"/>
      <c r="X166" s="54"/>
      <c r="Y166" s="21" t="str">
        <f>IFERROR(VLOOKUP(October[[#This Row],[Drug Name2]],'Data Options'!$R$1:$S$100,2,FALSE), " ")</f>
        <v xml:space="preserve"> </v>
      </c>
      <c r="Z166" s="55"/>
      <c r="AA166" s="32"/>
      <c r="AB166" s="32"/>
      <c r="AC166" s="55"/>
      <c r="AD166" s="32"/>
      <c r="AE166" s="54"/>
      <c r="AF166" s="21" t="str">
        <f>IFERROR(VLOOKUP(October[[#This Row],[Drug Name3]],'Data Options'!$R$1:$S$100,2,FALSE), " ")</f>
        <v xml:space="preserve"> </v>
      </c>
      <c r="AG166" s="55"/>
      <c r="AH166" s="32"/>
      <c r="AI166" s="32"/>
      <c r="AJ166" s="55"/>
      <c r="AK166" s="32"/>
      <c r="AL166" s="32"/>
      <c r="AM166" s="32"/>
      <c r="AN166" s="32"/>
      <c r="AO166" s="32"/>
      <c r="AP166" s="31"/>
      <c r="AQ166" s="31"/>
      <c r="AR166" s="54"/>
      <c r="AS166" s="21" t="str">
        <f>IFERROR(VLOOKUP(October[[#This Row],[Drug Name4]],'Data Options'!$R$1:$S$100,2,FALSE), " ")</f>
        <v xml:space="preserve"> </v>
      </c>
      <c r="AT166" s="55"/>
      <c r="AU166" s="32"/>
      <c r="AV166" s="32"/>
      <c r="AW166" s="55"/>
      <c r="AX166" s="32"/>
      <c r="AY166" s="54"/>
      <c r="AZ166" s="21" t="str">
        <f>IFERROR(VLOOKUP(October[[#This Row],[Drug Name5]],'Data Options'!$R$1:$S$100,2,FALSE), " ")</f>
        <v xml:space="preserve"> </v>
      </c>
      <c r="BA166" s="55"/>
      <c r="BB166" s="32"/>
      <c r="BC166" s="32"/>
      <c r="BD166" s="55"/>
      <c r="BE166" s="32"/>
      <c r="BF166" s="54"/>
      <c r="BG166" s="21" t="str">
        <f>IFERROR(VLOOKUP(October[[#This Row],[Drug Name6]],'Data Options'!$R$1:$S$100,2,FALSE), " ")</f>
        <v xml:space="preserve"> </v>
      </c>
      <c r="BH166" s="55"/>
      <c r="BI166" s="32"/>
      <c r="BJ166" s="32"/>
      <c r="BK166" s="55"/>
      <c r="BL166" s="32"/>
      <c r="BM166" s="32"/>
      <c r="BN166" s="32"/>
      <c r="BO166" s="32"/>
      <c r="BP166" s="32"/>
      <c r="BQ166" s="31"/>
      <c r="BR166" s="31"/>
      <c r="BS166" s="54"/>
      <c r="BT166" s="21" t="str">
        <f>IFERROR(VLOOKUP(October[[#This Row],[Drug Name7]],'Data Options'!$R$1:$S$100,2,FALSE), " ")</f>
        <v xml:space="preserve"> </v>
      </c>
      <c r="BU166" s="55"/>
      <c r="BV166" s="32"/>
      <c r="BW166" s="32"/>
      <c r="BX166" s="55"/>
      <c r="BY166" s="32"/>
      <c r="BZ166" s="54"/>
      <c r="CA166" s="21" t="str">
        <f>IFERROR(VLOOKUP(October[[#This Row],[Drug Name8]],'Data Options'!$R$1:$S$100,2,FALSE), " ")</f>
        <v xml:space="preserve"> </v>
      </c>
      <c r="CB166" s="55"/>
      <c r="CC166" s="32"/>
      <c r="CD166" s="32"/>
      <c r="CE166" s="55"/>
      <c r="CF166" s="32"/>
      <c r="CG166" s="54"/>
      <c r="CH166" s="21" t="str">
        <f>IFERROR(VLOOKUP(October[[#This Row],[Drug Name9]],'Data Options'!$R$1:$S$100,2,FALSE), " ")</f>
        <v xml:space="preserve"> </v>
      </c>
      <c r="CI166" s="55"/>
      <c r="CJ166" s="32"/>
      <c r="CK166" s="32"/>
      <c r="CL166" s="55"/>
      <c r="CM166" s="32"/>
    </row>
    <row r="167" spans="1:91">
      <c r="A167" s="5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1"/>
      <c r="P167" s="31"/>
      <c r="Q167" s="54"/>
      <c r="R167" s="21" t="str">
        <f>IFERROR(VLOOKUP(October[[#This Row],[Drug Name]],'Data Options'!$R$1:$S$100,2,FALSE), " ")</f>
        <v xml:space="preserve"> </v>
      </c>
      <c r="S167" s="55"/>
      <c r="T167" s="32"/>
      <c r="U167" s="32"/>
      <c r="V167" s="55"/>
      <c r="W167" s="32"/>
      <c r="X167" s="54"/>
      <c r="Y167" s="21" t="str">
        <f>IFERROR(VLOOKUP(October[[#This Row],[Drug Name2]],'Data Options'!$R$1:$S$100,2,FALSE), " ")</f>
        <v xml:space="preserve"> </v>
      </c>
      <c r="Z167" s="55"/>
      <c r="AA167" s="32"/>
      <c r="AB167" s="32"/>
      <c r="AC167" s="55"/>
      <c r="AD167" s="32"/>
      <c r="AE167" s="54"/>
      <c r="AF167" s="21" t="str">
        <f>IFERROR(VLOOKUP(October[[#This Row],[Drug Name3]],'Data Options'!$R$1:$S$100,2,FALSE), " ")</f>
        <v xml:space="preserve"> </v>
      </c>
      <c r="AG167" s="55"/>
      <c r="AH167" s="32"/>
      <c r="AI167" s="32"/>
      <c r="AJ167" s="55"/>
      <c r="AK167" s="32"/>
      <c r="AL167" s="32"/>
      <c r="AM167" s="32"/>
      <c r="AN167" s="32"/>
      <c r="AO167" s="32"/>
      <c r="AP167" s="31"/>
      <c r="AQ167" s="31"/>
      <c r="AR167" s="54"/>
      <c r="AS167" s="21" t="str">
        <f>IFERROR(VLOOKUP(October[[#This Row],[Drug Name4]],'Data Options'!$R$1:$S$100,2,FALSE), " ")</f>
        <v xml:space="preserve"> </v>
      </c>
      <c r="AT167" s="55"/>
      <c r="AU167" s="32"/>
      <c r="AV167" s="32"/>
      <c r="AW167" s="55"/>
      <c r="AX167" s="32"/>
      <c r="AY167" s="54"/>
      <c r="AZ167" s="21" t="str">
        <f>IFERROR(VLOOKUP(October[[#This Row],[Drug Name5]],'Data Options'!$R$1:$S$100,2,FALSE), " ")</f>
        <v xml:space="preserve"> </v>
      </c>
      <c r="BA167" s="55"/>
      <c r="BB167" s="32"/>
      <c r="BC167" s="32"/>
      <c r="BD167" s="55"/>
      <c r="BE167" s="32"/>
      <c r="BF167" s="54"/>
      <c r="BG167" s="21" t="str">
        <f>IFERROR(VLOOKUP(October[[#This Row],[Drug Name6]],'Data Options'!$R$1:$S$100,2,FALSE), " ")</f>
        <v xml:space="preserve"> </v>
      </c>
      <c r="BH167" s="55"/>
      <c r="BI167" s="32"/>
      <c r="BJ167" s="32"/>
      <c r="BK167" s="55"/>
      <c r="BL167" s="32"/>
      <c r="BM167" s="32"/>
      <c r="BN167" s="32"/>
      <c r="BO167" s="32"/>
      <c r="BP167" s="32"/>
      <c r="BQ167" s="31"/>
      <c r="BR167" s="31"/>
      <c r="BS167" s="54"/>
      <c r="BT167" s="21" t="str">
        <f>IFERROR(VLOOKUP(October[[#This Row],[Drug Name7]],'Data Options'!$R$1:$S$100,2,FALSE), " ")</f>
        <v xml:space="preserve"> </v>
      </c>
      <c r="BU167" s="55"/>
      <c r="BV167" s="32"/>
      <c r="BW167" s="32"/>
      <c r="BX167" s="55"/>
      <c r="BY167" s="32"/>
      <c r="BZ167" s="54"/>
      <c r="CA167" s="21" t="str">
        <f>IFERROR(VLOOKUP(October[[#This Row],[Drug Name8]],'Data Options'!$R$1:$S$100,2,FALSE), " ")</f>
        <v xml:space="preserve"> </v>
      </c>
      <c r="CB167" s="55"/>
      <c r="CC167" s="32"/>
      <c r="CD167" s="32"/>
      <c r="CE167" s="55"/>
      <c r="CF167" s="32"/>
      <c r="CG167" s="54"/>
      <c r="CH167" s="21" t="str">
        <f>IFERROR(VLOOKUP(October[[#This Row],[Drug Name9]],'Data Options'!$R$1:$S$100,2,FALSE), " ")</f>
        <v xml:space="preserve"> </v>
      </c>
      <c r="CI167" s="55"/>
      <c r="CJ167" s="32"/>
      <c r="CK167" s="32"/>
      <c r="CL167" s="55"/>
      <c r="CM167" s="32"/>
    </row>
    <row r="168" spans="1:91">
      <c r="A168" s="5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1"/>
      <c r="P168" s="31"/>
      <c r="Q168" s="54"/>
      <c r="R168" s="21" t="str">
        <f>IFERROR(VLOOKUP(October[[#This Row],[Drug Name]],'Data Options'!$R$1:$S$100,2,FALSE), " ")</f>
        <v xml:space="preserve"> </v>
      </c>
      <c r="S168" s="55"/>
      <c r="T168" s="32"/>
      <c r="U168" s="32"/>
      <c r="V168" s="55"/>
      <c r="W168" s="32"/>
      <c r="X168" s="54"/>
      <c r="Y168" s="21" t="str">
        <f>IFERROR(VLOOKUP(October[[#This Row],[Drug Name2]],'Data Options'!$R$1:$S$100,2,FALSE), " ")</f>
        <v xml:space="preserve"> </v>
      </c>
      <c r="Z168" s="55"/>
      <c r="AA168" s="32"/>
      <c r="AB168" s="32"/>
      <c r="AC168" s="55"/>
      <c r="AD168" s="32"/>
      <c r="AE168" s="54"/>
      <c r="AF168" s="21" t="str">
        <f>IFERROR(VLOOKUP(October[[#This Row],[Drug Name3]],'Data Options'!$R$1:$S$100,2,FALSE), " ")</f>
        <v xml:space="preserve"> </v>
      </c>
      <c r="AG168" s="55"/>
      <c r="AH168" s="32"/>
      <c r="AI168" s="32"/>
      <c r="AJ168" s="55"/>
      <c r="AK168" s="32"/>
      <c r="AL168" s="32"/>
      <c r="AM168" s="32"/>
      <c r="AN168" s="32"/>
      <c r="AO168" s="32"/>
      <c r="AP168" s="31"/>
      <c r="AQ168" s="31"/>
      <c r="AR168" s="54"/>
      <c r="AS168" s="21" t="str">
        <f>IFERROR(VLOOKUP(October[[#This Row],[Drug Name4]],'Data Options'!$R$1:$S$100,2,FALSE), " ")</f>
        <v xml:space="preserve"> </v>
      </c>
      <c r="AT168" s="55"/>
      <c r="AU168" s="32"/>
      <c r="AV168" s="32"/>
      <c r="AW168" s="55"/>
      <c r="AX168" s="32"/>
      <c r="AY168" s="54"/>
      <c r="AZ168" s="21" t="str">
        <f>IFERROR(VLOOKUP(October[[#This Row],[Drug Name5]],'Data Options'!$R$1:$S$100,2,FALSE), " ")</f>
        <v xml:space="preserve"> </v>
      </c>
      <c r="BA168" s="55"/>
      <c r="BB168" s="32"/>
      <c r="BC168" s="32"/>
      <c r="BD168" s="55"/>
      <c r="BE168" s="32"/>
      <c r="BF168" s="54"/>
      <c r="BG168" s="21" t="str">
        <f>IFERROR(VLOOKUP(October[[#This Row],[Drug Name6]],'Data Options'!$R$1:$S$100,2,FALSE), " ")</f>
        <v xml:space="preserve"> </v>
      </c>
      <c r="BH168" s="55"/>
      <c r="BI168" s="32"/>
      <c r="BJ168" s="32"/>
      <c r="BK168" s="55"/>
      <c r="BL168" s="32"/>
      <c r="BM168" s="32"/>
      <c r="BN168" s="32"/>
      <c r="BO168" s="32"/>
      <c r="BP168" s="32"/>
      <c r="BQ168" s="31"/>
      <c r="BR168" s="31"/>
      <c r="BS168" s="54"/>
      <c r="BT168" s="21" t="str">
        <f>IFERROR(VLOOKUP(October[[#This Row],[Drug Name7]],'Data Options'!$R$1:$S$100,2,FALSE), " ")</f>
        <v xml:space="preserve"> </v>
      </c>
      <c r="BU168" s="55"/>
      <c r="BV168" s="32"/>
      <c r="BW168" s="32"/>
      <c r="BX168" s="55"/>
      <c r="BY168" s="32"/>
      <c r="BZ168" s="54"/>
      <c r="CA168" s="21" t="str">
        <f>IFERROR(VLOOKUP(October[[#This Row],[Drug Name8]],'Data Options'!$R$1:$S$100,2,FALSE), " ")</f>
        <v xml:space="preserve"> </v>
      </c>
      <c r="CB168" s="55"/>
      <c r="CC168" s="32"/>
      <c r="CD168" s="32"/>
      <c r="CE168" s="55"/>
      <c r="CF168" s="32"/>
      <c r="CG168" s="54"/>
      <c r="CH168" s="21" t="str">
        <f>IFERROR(VLOOKUP(October[[#This Row],[Drug Name9]],'Data Options'!$R$1:$S$100,2,FALSE), " ")</f>
        <v xml:space="preserve"> </v>
      </c>
      <c r="CI168" s="55"/>
      <c r="CJ168" s="32"/>
      <c r="CK168" s="32"/>
      <c r="CL168" s="55"/>
      <c r="CM168" s="32"/>
    </row>
    <row r="169" spans="1:91">
      <c r="A169" s="5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1"/>
      <c r="P169" s="31"/>
      <c r="Q169" s="54"/>
      <c r="R169" s="21" t="str">
        <f>IFERROR(VLOOKUP(October[[#This Row],[Drug Name]],'Data Options'!$R$1:$S$100,2,FALSE), " ")</f>
        <v xml:space="preserve"> </v>
      </c>
      <c r="S169" s="55"/>
      <c r="T169" s="32"/>
      <c r="U169" s="32"/>
      <c r="V169" s="55"/>
      <c r="W169" s="32"/>
      <c r="X169" s="54"/>
      <c r="Y169" s="21" t="str">
        <f>IFERROR(VLOOKUP(October[[#This Row],[Drug Name2]],'Data Options'!$R$1:$S$100,2,FALSE), " ")</f>
        <v xml:space="preserve"> </v>
      </c>
      <c r="Z169" s="55"/>
      <c r="AA169" s="32"/>
      <c r="AB169" s="32"/>
      <c r="AC169" s="55"/>
      <c r="AD169" s="32"/>
      <c r="AE169" s="54"/>
      <c r="AF169" s="21" t="str">
        <f>IFERROR(VLOOKUP(October[[#This Row],[Drug Name3]],'Data Options'!$R$1:$S$100,2,FALSE), " ")</f>
        <v xml:space="preserve"> </v>
      </c>
      <c r="AG169" s="55"/>
      <c r="AH169" s="32"/>
      <c r="AI169" s="32"/>
      <c r="AJ169" s="55"/>
      <c r="AK169" s="32"/>
      <c r="AL169" s="32"/>
      <c r="AM169" s="32"/>
      <c r="AN169" s="32"/>
      <c r="AO169" s="32"/>
      <c r="AP169" s="31"/>
      <c r="AQ169" s="31"/>
      <c r="AR169" s="54"/>
      <c r="AS169" s="21" t="str">
        <f>IFERROR(VLOOKUP(October[[#This Row],[Drug Name4]],'Data Options'!$R$1:$S$100,2,FALSE), " ")</f>
        <v xml:space="preserve"> </v>
      </c>
      <c r="AT169" s="55"/>
      <c r="AU169" s="32"/>
      <c r="AV169" s="32"/>
      <c r="AW169" s="55"/>
      <c r="AX169" s="32"/>
      <c r="AY169" s="54"/>
      <c r="AZ169" s="21" t="str">
        <f>IFERROR(VLOOKUP(October[[#This Row],[Drug Name5]],'Data Options'!$R$1:$S$100,2,FALSE), " ")</f>
        <v xml:space="preserve"> </v>
      </c>
      <c r="BA169" s="55"/>
      <c r="BB169" s="32"/>
      <c r="BC169" s="32"/>
      <c r="BD169" s="55"/>
      <c r="BE169" s="32"/>
      <c r="BF169" s="54"/>
      <c r="BG169" s="21" t="str">
        <f>IFERROR(VLOOKUP(October[[#This Row],[Drug Name6]],'Data Options'!$R$1:$S$100,2,FALSE), " ")</f>
        <v xml:space="preserve"> </v>
      </c>
      <c r="BH169" s="55"/>
      <c r="BI169" s="32"/>
      <c r="BJ169" s="32"/>
      <c r="BK169" s="55"/>
      <c r="BL169" s="32"/>
      <c r="BM169" s="32"/>
      <c r="BN169" s="32"/>
      <c r="BO169" s="32"/>
      <c r="BP169" s="32"/>
      <c r="BQ169" s="31"/>
      <c r="BR169" s="31"/>
      <c r="BS169" s="54"/>
      <c r="BT169" s="21" t="str">
        <f>IFERROR(VLOOKUP(October[[#This Row],[Drug Name7]],'Data Options'!$R$1:$S$100,2,FALSE), " ")</f>
        <v xml:space="preserve"> </v>
      </c>
      <c r="BU169" s="55"/>
      <c r="BV169" s="32"/>
      <c r="BW169" s="32"/>
      <c r="BX169" s="55"/>
      <c r="BY169" s="32"/>
      <c r="BZ169" s="54"/>
      <c r="CA169" s="21" t="str">
        <f>IFERROR(VLOOKUP(October[[#This Row],[Drug Name8]],'Data Options'!$R$1:$S$100,2,FALSE), " ")</f>
        <v xml:space="preserve"> </v>
      </c>
      <c r="CB169" s="55"/>
      <c r="CC169" s="32"/>
      <c r="CD169" s="32"/>
      <c r="CE169" s="55"/>
      <c r="CF169" s="32"/>
      <c r="CG169" s="54"/>
      <c r="CH169" s="21" t="str">
        <f>IFERROR(VLOOKUP(October[[#This Row],[Drug Name9]],'Data Options'!$R$1:$S$100,2,FALSE), " ")</f>
        <v xml:space="preserve"> </v>
      </c>
      <c r="CI169" s="55"/>
      <c r="CJ169" s="32"/>
      <c r="CK169" s="32"/>
      <c r="CL169" s="55"/>
      <c r="CM169" s="32"/>
    </row>
    <row r="170" spans="1:91">
      <c r="A170" s="5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1"/>
      <c r="P170" s="31"/>
      <c r="Q170" s="54"/>
      <c r="R170" s="21" t="str">
        <f>IFERROR(VLOOKUP(October[[#This Row],[Drug Name]],'Data Options'!$R$1:$S$100,2,FALSE), " ")</f>
        <v xml:space="preserve"> </v>
      </c>
      <c r="S170" s="55"/>
      <c r="T170" s="32"/>
      <c r="U170" s="32"/>
      <c r="V170" s="55"/>
      <c r="W170" s="32"/>
      <c r="X170" s="54"/>
      <c r="Y170" s="21" t="str">
        <f>IFERROR(VLOOKUP(October[[#This Row],[Drug Name2]],'Data Options'!$R$1:$S$100,2,FALSE), " ")</f>
        <v xml:space="preserve"> </v>
      </c>
      <c r="Z170" s="55"/>
      <c r="AA170" s="32"/>
      <c r="AB170" s="32"/>
      <c r="AC170" s="55"/>
      <c r="AD170" s="32"/>
      <c r="AE170" s="54"/>
      <c r="AF170" s="21" t="str">
        <f>IFERROR(VLOOKUP(October[[#This Row],[Drug Name3]],'Data Options'!$R$1:$S$100,2,FALSE), " ")</f>
        <v xml:space="preserve"> </v>
      </c>
      <c r="AG170" s="55"/>
      <c r="AH170" s="32"/>
      <c r="AI170" s="32"/>
      <c r="AJ170" s="55"/>
      <c r="AK170" s="32"/>
      <c r="AL170" s="32"/>
      <c r="AM170" s="32"/>
      <c r="AN170" s="32"/>
      <c r="AO170" s="32"/>
      <c r="AP170" s="31"/>
      <c r="AQ170" s="31"/>
      <c r="AR170" s="54"/>
      <c r="AS170" s="21" t="str">
        <f>IFERROR(VLOOKUP(October[[#This Row],[Drug Name4]],'Data Options'!$R$1:$S$100,2,FALSE), " ")</f>
        <v xml:space="preserve"> </v>
      </c>
      <c r="AT170" s="55"/>
      <c r="AU170" s="32"/>
      <c r="AV170" s="32"/>
      <c r="AW170" s="55"/>
      <c r="AX170" s="32"/>
      <c r="AY170" s="54"/>
      <c r="AZ170" s="21" t="str">
        <f>IFERROR(VLOOKUP(October[[#This Row],[Drug Name5]],'Data Options'!$R$1:$S$100,2,FALSE), " ")</f>
        <v xml:space="preserve"> </v>
      </c>
      <c r="BA170" s="55"/>
      <c r="BB170" s="32"/>
      <c r="BC170" s="32"/>
      <c r="BD170" s="55"/>
      <c r="BE170" s="32"/>
      <c r="BF170" s="54"/>
      <c r="BG170" s="21" t="str">
        <f>IFERROR(VLOOKUP(October[[#This Row],[Drug Name6]],'Data Options'!$R$1:$S$100,2,FALSE), " ")</f>
        <v xml:space="preserve"> </v>
      </c>
      <c r="BH170" s="55"/>
      <c r="BI170" s="32"/>
      <c r="BJ170" s="32"/>
      <c r="BK170" s="55"/>
      <c r="BL170" s="32"/>
      <c r="BM170" s="32"/>
      <c r="BN170" s="32"/>
      <c r="BO170" s="32"/>
      <c r="BP170" s="32"/>
      <c r="BQ170" s="31"/>
      <c r="BR170" s="31"/>
      <c r="BS170" s="54"/>
      <c r="BT170" s="21" t="str">
        <f>IFERROR(VLOOKUP(October[[#This Row],[Drug Name7]],'Data Options'!$R$1:$S$100,2,FALSE), " ")</f>
        <v xml:space="preserve"> </v>
      </c>
      <c r="BU170" s="55"/>
      <c r="BV170" s="32"/>
      <c r="BW170" s="32"/>
      <c r="BX170" s="55"/>
      <c r="BY170" s="32"/>
      <c r="BZ170" s="54"/>
      <c r="CA170" s="21" t="str">
        <f>IFERROR(VLOOKUP(October[[#This Row],[Drug Name8]],'Data Options'!$R$1:$S$100,2,FALSE), " ")</f>
        <v xml:space="preserve"> </v>
      </c>
      <c r="CB170" s="55"/>
      <c r="CC170" s="32"/>
      <c r="CD170" s="32"/>
      <c r="CE170" s="55"/>
      <c r="CF170" s="32"/>
      <c r="CG170" s="54"/>
      <c r="CH170" s="21" t="str">
        <f>IFERROR(VLOOKUP(October[[#This Row],[Drug Name9]],'Data Options'!$R$1:$S$100,2,FALSE), " ")</f>
        <v xml:space="preserve"> </v>
      </c>
      <c r="CI170" s="55"/>
      <c r="CJ170" s="32"/>
      <c r="CK170" s="32"/>
      <c r="CL170" s="55"/>
      <c r="CM170" s="32"/>
    </row>
    <row r="171" spans="1:91">
      <c r="A171" s="5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1"/>
      <c r="P171" s="31"/>
      <c r="Q171" s="54"/>
      <c r="R171" s="21" t="str">
        <f>IFERROR(VLOOKUP(October[[#This Row],[Drug Name]],'Data Options'!$R$1:$S$100,2,FALSE), " ")</f>
        <v xml:space="preserve"> </v>
      </c>
      <c r="S171" s="55"/>
      <c r="T171" s="32"/>
      <c r="U171" s="32"/>
      <c r="V171" s="55"/>
      <c r="W171" s="32"/>
      <c r="X171" s="54"/>
      <c r="Y171" s="21" t="str">
        <f>IFERROR(VLOOKUP(October[[#This Row],[Drug Name2]],'Data Options'!$R$1:$S$100,2,FALSE), " ")</f>
        <v xml:space="preserve"> </v>
      </c>
      <c r="Z171" s="55"/>
      <c r="AA171" s="32"/>
      <c r="AB171" s="32"/>
      <c r="AC171" s="55"/>
      <c r="AD171" s="32"/>
      <c r="AE171" s="54"/>
      <c r="AF171" s="21" t="str">
        <f>IFERROR(VLOOKUP(October[[#This Row],[Drug Name3]],'Data Options'!$R$1:$S$100,2,FALSE), " ")</f>
        <v xml:space="preserve"> </v>
      </c>
      <c r="AG171" s="55"/>
      <c r="AH171" s="32"/>
      <c r="AI171" s="32"/>
      <c r="AJ171" s="55"/>
      <c r="AK171" s="32"/>
      <c r="AL171" s="32"/>
      <c r="AM171" s="32"/>
      <c r="AN171" s="32"/>
      <c r="AO171" s="32"/>
      <c r="AP171" s="31"/>
      <c r="AQ171" s="31"/>
      <c r="AR171" s="54"/>
      <c r="AS171" s="21" t="str">
        <f>IFERROR(VLOOKUP(October[[#This Row],[Drug Name4]],'Data Options'!$R$1:$S$100,2,FALSE), " ")</f>
        <v xml:space="preserve"> </v>
      </c>
      <c r="AT171" s="55"/>
      <c r="AU171" s="32"/>
      <c r="AV171" s="32"/>
      <c r="AW171" s="55"/>
      <c r="AX171" s="32"/>
      <c r="AY171" s="54"/>
      <c r="AZ171" s="21" t="str">
        <f>IFERROR(VLOOKUP(October[[#This Row],[Drug Name5]],'Data Options'!$R$1:$S$100,2,FALSE), " ")</f>
        <v xml:space="preserve"> </v>
      </c>
      <c r="BA171" s="55"/>
      <c r="BB171" s="32"/>
      <c r="BC171" s="32"/>
      <c r="BD171" s="55"/>
      <c r="BE171" s="32"/>
      <c r="BF171" s="54"/>
      <c r="BG171" s="21" t="str">
        <f>IFERROR(VLOOKUP(October[[#This Row],[Drug Name6]],'Data Options'!$R$1:$S$100,2,FALSE), " ")</f>
        <v xml:space="preserve"> </v>
      </c>
      <c r="BH171" s="55"/>
      <c r="BI171" s="32"/>
      <c r="BJ171" s="32"/>
      <c r="BK171" s="55"/>
      <c r="BL171" s="32"/>
      <c r="BM171" s="32"/>
      <c r="BN171" s="32"/>
      <c r="BO171" s="32"/>
      <c r="BP171" s="32"/>
      <c r="BQ171" s="31"/>
      <c r="BR171" s="31"/>
      <c r="BS171" s="54"/>
      <c r="BT171" s="21" t="str">
        <f>IFERROR(VLOOKUP(October[[#This Row],[Drug Name7]],'Data Options'!$R$1:$S$100,2,FALSE), " ")</f>
        <v xml:space="preserve"> </v>
      </c>
      <c r="BU171" s="55"/>
      <c r="BV171" s="32"/>
      <c r="BW171" s="32"/>
      <c r="BX171" s="55"/>
      <c r="BY171" s="32"/>
      <c r="BZ171" s="54"/>
      <c r="CA171" s="21" t="str">
        <f>IFERROR(VLOOKUP(October[[#This Row],[Drug Name8]],'Data Options'!$R$1:$S$100,2,FALSE), " ")</f>
        <v xml:space="preserve"> </v>
      </c>
      <c r="CB171" s="55"/>
      <c r="CC171" s="32"/>
      <c r="CD171" s="32"/>
      <c r="CE171" s="55"/>
      <c r="CF171" s="32"/>
      <c r="CG171" s="54"/>
      <c r="CH171" s="21" t="str">
        <f>IFERROR(VLOOKUP(October[[#This Row],[Drug Name9]],'Data Options'!$R$1:$S$100,2,FALSE), " ")</f>
        <v xml:space="preserve"> </v>
      </c>
      <c r="CI171" s="55"/>
      <c r="CJ171" s="32"/>
      <c r="CK171" s="32"/>
      <c r="CL171" s="55"/>
      <c r="CM171" s="32"/>
    </row>
    <row r="172" spans="1:91">
      <c r="A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1"/>
      <c r="P172" s="31"/>
      <c r="Q172" s="54"/>
      <c r="R172" s="21" t="str">
        <f>IFERROR(VLOOKUP(October[[#This Row],[Drug Name]],'Data Options'!$R$1:$S$100,2,FALSE), " ")</f>
        <v xml:space="preserve"> </v>
      </c>
      <c r="S172" s="55"/>
      <c r="T172" s="32"/>
      <c r="U172" s="32"/>
      <c r="V172" s="55"/>
      <c r="W172" s="32"/>
      <c r="X172" s="54"/>
      <c r="Y172" s="21" t="str">
        <f>IFERROR(VLOOKUP(October[[#This Row],[Drug Name2]],'Data Options'!$R$1:$S$100,2,FALSE), " ")</f>
        <v xml:space="preserve"> </v>
      </c>
      <c r="Z172" s="55"/>
      <c r="AA172" s="32"/>
      <c r="AB172" s="32"/>
      <c r="AC172" s="55"/>
      <c r="AD172" s="32"/>
      <c r="AE172" s="54"/>
      <c r="AF172" s="21" t="str">
        <f>IFERROR(VLOOKUP(October[[#This Row],[Drug Name3]],'Data Options'!$R$1:$S$100,2,FALSE), " ")</f>
        <v xml:space="preserve"> </v>
      </c>
      <c r="AG172" s="55"/>
      <c r="AH172" s="32"/>
      <c r="AI172" s="32"/>
      <c r="AJ172" s="55"/>
      <c r="AK172" s="32"/>
      <c r="AL172" s="32"/>
      <c r="AM172" s="32"/>
      <c r="AN172" s="32"/>
      <c r="AO172" s="32"/>
      <c r="AP172" s="31"/>
      <c r="AQ172" s="31"/>
      <c r="AR172" s="54"/>
      <c r="AS172" s="21" t="str">
        <f>IFERROR(VLOOKUP(October[[#This Row],[Drug Name4]],'Data Options'!$R$1:$S$100,2,FALSE), " ")</f>
        <v xml:space="preserve"> </v>
      </c>
      <c r="AT172" s="55"/>
      <c r="AU172" s="32"/>
      <c r="AV172" s="32"/>
      <c r="AW172" s="55"/>
      <c r="AX172" s="32"/>
      <c r="AY172" s="54"/>
      <c r="AZ172" s="21" t="str">
        <f>IFERROR(VLOOKUP(October[[#This Row],[Drug Name5]],'Data Options'!$R$1:$S$100,2,FALSE), " ")</f>
        <v xml:space="preserve"> </v>
      </c>
      <c r="BA172" s="55"/>
      <c r="BB172" s="32"/>
      <c r="BC172" s="32"/>
      <c r="BD172" s="55"/>
      <c r="BE172" s="32"/>
      <c r="BF172" s="54"/>
      <c r="BG172" s="21" t="str">
        <f>IFERROR(VLOOKUP(October[[#This Row],[Drug Name6]],'Data Options'!$R$1:$S$100,2,FALSE), " ")</f>
        <v xml:space="preserve"> </v>
      </c>
      <c r="BH172" s="55"/>
      <c r="BI172" s="32"/>
      <c r="BJ172" s="32"/>
      <c r="BK172" s="55"/>
      <c r="BL172" s="32"/>
      <c r="BM172" s="32"/>
      <c r="BN172" s="32"/>
      <c r="BO172" s="32"/>
      <c r="BP172" s="32"/>
      <c r="BQ172" s="31"/>
      <c r="BR172" s="31"/>
      <c r="BS172" s="54"/>
      <c r="BT172" s="21" t="str">
        <f>IFERROR(VLOOKUP(October[[#This Row],[Drug Name7]],'Data Options'!$R$1:$S$100,2,FALSE), " ")</f>
        <v xml:space="preserve"> </v>
      </c>
      <c r="BU172" s="55"/>
      <c r="BV172" s="32"/>
      <c r="BW172" s="32"/>
      <c r="BX172" s="55"/>
      <c r="BY172" s="32"/>
      <c r="BZ172" s="54"/>
      <c r="CA172" s="21" t="str">
        <f>IFERROR(VLOOKUP(October[[#This Row],[Drug Name8]],'Data Options'!$R$1:$S$100,2,FALSE), " ")</f>
        <v xml:space="preserve"> </v>
      </c>
      <c r="CB172" s="55"/>
      <c r="CC172" s="32"/>
      <c r="CD172" s="32"/>
      <c r="CE172" s="55"/>
      <c r="CF172" s="32"/>
      <c r="CG172" s="54"/>
      <c r="CH172" s="21" t="str">
        <f>IFERROR(VLOOKUP(October[[#This Row],[Drug Name9]],'Data Options'!$R$1:$S$100,2,FALSE), " ")</f>
        <v xml:space="preserve"> </v>
      </c>
      <c r="CI172" s="55"/>
      <c r="CJ172" s="32"/>
      <c r="CK172" s="32"/>
      <c r="CL172" s="55"/>
      <c r="CM172" s="32"/>
    </row>
    <row r="173" spans="1:91">
      <c r="A173" s="5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1"/>
      <c r="P173" s="31"/>
      <c r="Q173" s="54"/>
      <c r="R173" s="21" t="str">
        <f>IFERROR(VLOOKUP(October[[#This Row],[Drug Name]],'Data Options'!$R$1:$S$100,2,FALSE), " ")</f>
        <v xml:space="preserve"> </v>
      </c>
      <c r="S173" s="55"/>
      <c r="T173" s="32"/>
      <c r="U173" s="32"/>
      <c r="V173" s="55"/>
      <c r="W173" s="32"/>
      <c r="X173" s="54"/>
      <c r="Y173" s="21" t="str">
        <f>IFERROR(VLOOKUP(October[[#This Row],[Drug Name2]],'Data Options'!$R$1:$S$100,2,FALSE), " ")</f>
        <v xml:space="preserve"> </v>
      </c>
      <c r="Z173" s="55"/>
      <c r="AA173" s="32"/>
      <c r="AB173" s="32"/>
      <c r="AC173" s="55"/>
      <c r="AD173" s="32"/>
      <c r="AE173" s="54"/>
      <c r="AF173" s="21" t="str">
        <f>IFERROR(VLOOKUP(October[[#This Row],[Drug Name3]],'Data Options'!$R$1:$S$100,2,FALSE), " ")</f>
        <v xml:space="preserve"> </v>
      </c>
      <c r="AG173" s="55"/>
      <c r="AH173" s="32"/>
      <c r="AI173" s="32"/>
      <c r="AJ173" s="55"/>
      <c r="AK173" s="32"/>
      <c r="AL173" s="32"/>
      <c r="AM173" s="32"/>
      <c r="AN173" s="32"/>
      <c r="AO173" s="32"/>
      <c r="AP173" s="31"/>
      <c r="AQ173" s="31"/>
      <c r="AR173" s="54"/>
      <c r="AS173" s="21" t="str">
        <f>IFERROR(VLOOKUP(October[[#This Row],[Drug Name4]],'Data Options'!$R$1:$S$100,2,FALSE), " ")</f>
        <v xml:space="preserve"> </v>
      </c>
      <c r="AT173" s="55"/>
      <c r="AU173" s="32"/>
      <c r="AV173" s="32"/>
      <c r="AW173" s="55"/>
      <c r="AX173" s="32"/>
      <c r="AY173" s="54"/>
      <c r="AZ173" s="21" t="str">
        <f>IFERROR(VLOOKUP(October[[#This Row],[Drug Name5]],'Data Options'!$R$1:$S$100,2,FALSE), " ")</f>
        <v xml:space="preserve"> </v>
      </c>
      <c r="BA173" s="55"/>
      <c r="BB173" s="32"/>
      <c r="BC173" s="32"/>
      <c r="BD173" s="55"/>
      <c r="BE173" s="32"/>
      <c r="BF173" s="54"/>
      <c r="BG173" s="21" t="str">
        <f>IFERROR(VLOOKUP(October[[#This Row],[Drug Name6]],'Data Options'!$R$1:$S$100,2,FALSE), " ")</f>
        <v xml:space="preserve"> </v>
      </c>
      <c r="BH173" s="55"/>
      <c r="BI173" s="32"/>
      <c r="BJ173" s="32"/>
      <c r="BK173" s="55"/>
      <c r="BL173" s="32"/>
      <c r="BM173" s="32"/>
      <c r="BN173" s="32"/>
      <c r="BO173" s="32"/>
      <c r="BP173" s="32"/>
      <c r="BQ173" s="31"/>
      <c r="BR173" s="31"/>
      <c r="BS173" s="54"/>
      <c r="BT173" s="21" t="str">
        <f>IFERROR(VLOOKUP(October[[#This Row],[Drug Name7]],'Data Options'!$R$1:$S$100,2,FALSE), " ")</f>
        <v xml:space="preserve"> </v>
      </c>
      <c r="BU173" s="55"/>
      <c r="BV173" s="32"/>
      <c r="BW173" s="32"/>
      <c r="BX173" s="55"/>
      <c r="BY173" s="32"/>
      <c r="BZ173" s="54"/>
      <c r="CA173" s="21" t="str">
        <f>IFERROR(VLOOKUP(October[[#This Row],[Drug Name8]],'Data Options'!$R$1:$S$100,2,FALSE), " ")</f>
        <v xml:space="preserve"> </v>
      </c>
      <c r="CB173" s="55"/>
      <c r="CC173" s="32"/>
      <c r="CD173" s="32"/>
      <c r="CE173" s="55"/>
      <c r="CF173" s="32"/>
      <c r="CG173" s="54"/>
      <c r="CH173" s="21" t="str">
        <f>IFERROR(VLOOKUP(October[[#This Row],[Drug Name9]],'Data Options'!$R$1:$S$100,2,FALSE), " ")</f>
        <v xml:space="preserve"> </v>
      </c>
      <c r="CI173" s="55"/>
      <c r="CJ173" s="32"/>
      <c r="CK173" s="32"/>
      <c r="CL173" s="55"/>
      <c r="CM173" s="32"/>
    </row>
    <row r="174" spans="1:91">
      <c r="A174" s="5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1"/>
      <c r="P174" s="31"/>
      <c r="Q174" s="54"/>
      <c r="R174" s="21" t="str">
        <f>IFERROR(VLOOKUP(October[[#This Row],[Drug Name]],'Data Options'!$R$1:$S$100,2,FALSE), " ")</f>
        <v xml:space="preserve"> </v>
      </c>
      <c r="S174" s="55"/>
      <c r="T174" s="32"/>
      <c r="U174" s="32"/>
      <c r="V174" s="55"/>
      <c r="W174" s="32"/>
      <c r="X174" s="54"/>
      <c r="Y174" s="21" t="str">
        <f>IFERROR(VLOOKUP(October[[#This Row],[Drug Name2]],'Data Options'!$R$1:$S$100,2,FALSE), " ")</f>
        <v xml:space="preserve"> </v>
      </c>
      <c r="Z174" s="55"/>
      <c r="AA174" s="32"/>
      <c r="AB174" s="32"/>
      <c r="AC174" s="55"/>
      <c r="AD174" s="32"/>
      <c r="AE174" s="54"/>
      <c r="AF174" s="21" t="str">
        <f>IFERROR(VLOOKUP(October[[#This Row],[Drug Name3]],'Data Options'!$R$1:$S$100,2,FALSE), " ")</f>
        <v xml:space="preserve"> </v>
      </c>
      <c r="AG174" s="55"/>
      <c r="AH174" s="32"/>
      <c r="AI174" s="32"/>
      <c r="AJ174" s="55"/>
      <c r="AK174" s="32"/>
      <c r="AL174" s="32"/>
      <c r="AM174" s="32"/>
      <c r="AN174" s="32"/>
      <c r="AO174" s="32"/>
      <c r="AP174" s="31"/>
      <c r="AQ174" s="31"/>
      <c r="AR174" s="54"/>
      <c r="AS174" s="21" t="str">
        <f>IFERROR(VLOOKUP(October[[#This Row],[Drug Name4]],'Data Options'!$R$1:$S$100,2,FALSE), " ")</f>
        <v xml:space="preserve"> </v>
      </c>
      <c r="AT174" s="55"/>
      <c r="AU174" s="32"/>
      <c r="AV174" s="32"/>
      <c r="AW174" s="55"/>
      <c r="AX174" s="32"/>
      <c r="AY174" s="54"/>
      <c r="AZ174" s="21" t="str">
        <f>IFERROR(VLOOKUP(October[[#This Row],[Drug Name5]],'Data Options'!$R$1:$S$100,2,FALSE), " ")</f>
        <v xml:space="preserve"> </v>
      </c>
      <c r="BA174" s="55"/>
      <c r="BB174" s="32"/>
      <c r="BC174" s="32"/>
      <c r="BD174" s="55"/>
      <c r="BE174" s="32"/>
      <c r="BF174" s="54"/>
      <c r="BG174" s="21" t="str">
        <f>IFERROR(VLOOKUP(October[[#This Row],[Drug Name6]],'Data Options'!$R$1:$S$100,2,FALSE), " ")</f>
        <v xml:space="preserve"> </v>
      </c>
      <c r="BH174" s="55"/>
      <c r="BI174" s="32"/>
      <c r="BJ174" s="32"/>
      <c r="BK174" s="55"/>
      <c r="BL174" s="32"/>
      <c r="BM174" s="32"/>
      <c r="BN174" s="32"/>
      <c r="BO174" s="32"/>
      <c r="BP174" s="32"/>
      <c r="BQ174" s="31"/>
      <c r="BR174" s="31"/>
      <c r="BS174" s="54"/>
      <c r="BT174" s="21" t="str">
        <f>IFERROR(VLOOKUP(October[[#This Row],[Drug Name7]],'Data Options'!$R$1:$S$100,2,FALSE), " ")</f>
        <v xml:space="preserve"> </v>
      </c>
      <c r="BU174" s="55"/>
      <c r="BV174" s="32"/>
      <c r="BW174" s="32"/>
      <c r="BX174" s="55"/>
      <c r="BY174" s="32"/>
      <c r="BZ174" s="54"/>
      <c r="CA174" s="21" t="str">
        <f>IFERROR(VLOOKUP(October[[#This Row],[Drug Name8]],'Data Options'!$R$1:$S$100,2,FALSE), " ")</f>
        <v xml:space="preserve"> </v>
      </c>
      <c r="CB174" s="55"/>
      <c r="CC174" s="32"/>
      <c r="CD174" s="32"/>
      <c r="CE174" s="55"/>
      <c r="CF174" s="32"/>
      <c r="CG174" s="54"/>
      <c r="CH174" s="21" t="str">
        <f>IFERROR(VLOOKUP(October[[#This Row],[Drug Name9]],'Data Options'!$R$1:$S$100,2,FALSE), " ")</f>
        <v xml:space="preserve"> </v>
      </c>
      <c r="CI174" s="55"/>
      <c r="CJ174" s="32"/>
      <c r="CK174" s="32"/>
      <c r="CL174" s="55"/>
      <c r="CM174" s="32"/>
    </row>
    <row r="175" spans="1:91">
      <c r="A175" s="5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1"/>
      <c r="P175" s="31"/>
      <c r="Q175" s="54"/>
      <c r="R175" s="21" t="str">
        <f>IFERROR(VLOOKUP(October[[#This Row],[Drug Name]],'Data Options'!$R$1:$S$100,2,FALSE), " ")</f>
        <v xml:space="preserve"> </v>
      </c>
      <c r="S175" s="55"/>
      <c r="T175" s="32"/>
      <c r="U175" s="32"/>
      <c r="V175" s="55"/>
      <c r="W175" s="32"/>
      <c r="X175" s="54"/>
      <c r="Y175" s="21" t="str">
        <f>IFERROR(VLOOKUP(October[[#This Row],[Drug Name2]],'Data Options'!$R$1:$S$100,2,FALSE), " ")</f>
        <v xml:space="preserve"> </v>
      </c>
      <c r="Z175" s="55"/>
      <c r="AA175" s="32"/>
      <c r="AB175" s="32"/>
      <c r="AC175" s="55"/>
      <c r="AD175" s="32"/>
      <c r="AE175" s="54"/>
      <c r="AF175" s="21" t="str">
        <f>IFERROR(VLOOKUP(October[[#This Row],[Drug Name3]],'Data Options'!$R$1:$S$100,2,FALSE), " ")</f>
        <v xml:space="preserve"> </v>
      </c>
      <c r="AG175" s="55"/>
      <c r="AH175" s="32"/>
      <c r="AI175" s="32"/>
      <c r="AJ175" s="55"/>
      <c r="AK175" s="32"/>
      <c r="AL175" s="32"/>
      <c r="AM175" s="32"/>
      <c r="AN175" s="32"/>
      <c r="AO175" s="32"/>
      <c r="AP175" s="31"/>
      <c r="AQ175" s="31"/>
      <c r="AR175" s="54"/>
      <c r="AS175" s="21" t="str">
        <f>IFERROR(VLOOKUP(October[[#This Row],[Drug Name4]],'Data Options'!$R$1:$S$100,2,FALSE), " ")</f>
        <v xml:space="preserve"> </v>
      </c>
      <c r="AT175" s="55"/>
      <c r="AU175" s="32"/>
      <c r="AV175" s="32"/>
      <c r="AW175" s="55"/>
      <c r="AX175" s="32"/>
      <c r="AY175" s="54"/>
      <c r="AZ175" s="21" t="str">
        <f>IFERROR(VLOOKUP(October[[#This Row],[Drug Name5]],'Data Options'!$R$1:$S$100,2,FALSE), " ")</f>
        <v xml:space="preserve"> </v>
      </c>
      <c r="BA175" s="55"/>
      <c r="BB175" s="32"/>
      <c r="BC175" s="32"/>
      <c r="BD175" s="55"/>
      <c r="BE175" s="32"/>
      <c r="BF175" s="54"/>
      <c r="BG175" s="21" t="str">
        <f>IFERROR(VLOOKUP(October[[#This Row],[Drug Name6]],'Data Options'!$R$1:$S$100,2,FALSE), " ")</f>
        <v xml:space="preserve"> </v>
      </c>
      <c r="BH175" s="55"/>
      <c r="BI175" s="32"/>
      <c r="BJ175" s="32"/>
      <c r="BK175" s="55"/>
      <c r="BL175" s="32"/>
      <c r="BM175" s="32"/>
      <c r="BN175" s="32"/>
      <c r="BO175" s="32"/>
      <c r="BP175" s="32"/>
      <c r="BQ175" s="31"/>
      <c r="BR175" s="31"/>
      <c r="BS175" s="54"/>
      <c r="BT175" s="21" t="str">
        <f>IFERROR(VLOOKUP(October[[#This Row],[Drug Name7]],'Data Options'!$R$1:$S$100,2,FALSE), " ")</f>
        <v xml:space="preserve"> </v>
      </c>
      <c r="BU175" s="55"/>
      <c r="BV175" s="32"/>
      <c r="BW175" s="32"/>
      <c r="BX175" s="55"/>
      <c r="BY175" s="32"/>
      <c r="BZ175" s="54"/>
      <c r="CA175" s="21" t="str">
        <f>IFERROR(VLOOKUP(October[[#This Row],[Drug Name8]],'Data Options'!$R$1:$S$100,2,FALSE), " ")</f>
        <v xml:space="preserve"> </v>
      </c>
      <c r="CB175" s="55"/>
      <c r="CC175" s="32"/>
      <c r="CD175" s="32"/>
      <c r="CE175" s="55"/>
      <c r="CF175" s="32"/>
      <c r="CG175" s="54"/>
      <c r="CH175" s="21" t="str">
        <f>IFERROR(VLOOKUP(October[[#This Row],[Drug Name9]],'Data Options'!$R$1:$S$100,2,FALSE), " ")</f>
        <v xml:space="preserve"> </v>
      </c>
      <c r="CI175" s="55"/>
      <c r="CJ175" s="32"/>
      <c r="CK175" s="32"/>
      <c r="CL175" s="55"/>
      <c r="CM175" s="32"/>
    </row>
    <row r="176" spans="1:91">
      <c r="A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1"/>
      <c r="P176" s="31"/>
      <c r="Q176" s="54"/>
      <c r="R176" s="21" t="str">
        <f>IFERROR(VLOOKUP(October[[#This Row],[Drug Name]],'Data Options'!$R$1:$S$100,2,FALSE), " ")</f>
        <v xml:space="preserve"> </v>
      </c>
      <c r="S176" s="55"/>
      <c r="T176" s="32"/>
      <c r="U176" s="32"/>
      <c r="V176" s="55"/>
      <c r="W176" s="32"/>
      <c r="X176" s="54"/>
      <c r="Y176" s="21" t="str">
        <f>IFERROR(VLOOKUP(October[[#This Row],[Drug Name2]],'Data Options'!$R$1:$S$100,2,FALSE), " ")</f>
        <v xml:space="preserve"> </v>
      </c>
      <c r="Z176" s="55"/>
      <c r="AA176" s="32"/>
      <c r="AB176" s="32"/>
      <c r="AC176" s="55"/>
      <c r="AD176" s="32"/>
      <c r="AE176" s="54"/>
      <c r="AF176" s="21" t="str">
        <f>IFERROR(VLOOKUP(October[[#This Row],[Drug Name3]],'Data Options'!$R$1:$S$100,2,FALSE), " ")</f>
        <v xml:space="preserve"> </v>
      </c>
      <c r="AG176" s="55"/>
      <c r="AH176" s="32"/>
      <c r="AI176" s="32"/>
      <c r="AJ176" s="55"/>
      <c r="AK176" s="32"/>
      <c r="AL176" s="32"/>
      <c r="AM176" s="32"/>
      <c r="AN176" s="32"/>
      <c r="AO176" s="32"/>
      <c r="AP176" s="31"/>
      <c r="AQ176" s="31"/>
      <c r="AR176" s="54"/>
      <c r="AS176" s="21" t="str">
        <f>IFERROR(VLOOKUP(October[[#This Row],[Drug Name4]],'Data Options'!$R$1:$S$100,2,FALSE), " ")</f>
        <v xml:space="preserve"> </v>
      </c>
      <c r="AT176" s="55"/>
      <c r="AU176" s="32"/>
      <c r="AV176" s="32"/>
      <c r="AW176" s="55"/>
      <c r="AX176" s="32"/>
      <c r="AY176" s="54"/>
      <c r="AZ176" s="21" t="str">
        <f>IFERROR(VLOOKUP(October[[#This Row],[Drug Name5]],'Data Options'!$R$1:$S$100,2,FALSE), " ")</f>
        <v xml:space="preserve"> </v>
      </c>
      <c r="BA176" s="55"/>
      <c r="BB176" s="32"/>
      <c r="BC176" s="32"/>
      <c r="BD176" s="55"/>
      <c r="BE176" s="32"/>
      <c r="BF176" s="54"/>
      <c r="BG176" s="21" t="str">
        <f>IFERROR(VLOOKUP(October[[#This Row],[Drug Name6]],'Data Options'!$R$1:$S$100,2,FALSE), " ")</f>
        <v xml:space="preserve"> </v>
      </c>
      <c r="BH176" s="55"/>
      <c r="BI176" s="32"/>
      <c r="BJ176" s="32"/>
      <c r="BK176" s="55"/>
      <c r="BL176" s="32"/>
      <c r="BM176" s="32"/>
      <c r="BN176" s="32"/>
      <c r="BO176" s="32"/>
      <c r="BP176" s="32"/>
      <c r="BQ176" s="31"/>
      <c r="BR176" s="31"/>
      <c r="BS176" s="54"/>
      <c r="BT176" s="21" t="str">
        <f>IFERROR(VLOOKUP(October[[#This Row],[Drug Name7]],'Data Options'!$R$1:$S$100,2,FALSE), " ")</f>
        <v xml:space="preserve"> </v>
      </c>
      <c r="BU176" s="55"/>
      <c r="BV176" s="32"/>
      <c r="BW176" s="32"/>
      <c r="BX176" s="55"/>
      <c r="BY176" s="32"/>
      <c r="BZ176" s="54"/>
      <c r="CA176" s="21" t="str">
        <f>IFERROR(VLOOKUP(October[[#This Row],[Drug Name8]],'Data Options'!$R$1:$S$100,2,FALSE), " ")</f>
        <v xml:space="preserve"> </v>
      </c>
      <c r="CB176" s="55"/>
      <c r="CC176" s="32"/>
      <c r="CD176" s="32"/>
      <c r="CE176" s="55"/>
      <c r="CF176" s="32"/>
      <c r="CG176" s="54"/>
      <c r="CH176" s="21" t="str">
        <f>IFERROR(VLOOKUP(October[[#This Row],[Drug Name9]],'Data Options'!$R$1:$S$100,2,FALSE), " ")</f>
        <v xml:space="preserve"> </v>
      </c>
      <c r="CI176" s="55"/>
      <c r="CJ176" s="32"/>
      <c r="CK176" s="32"/>
      <c r="CL176" s="55"/>
      <c r="CM176" s="32"/>
    </row>
    <row r="177" spans="1:91">
      <c r="A177" s="5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1"/>
      <c r="P177" s="31"/>
      <c r="Q177" s="54"/>
      <c r="R177" s="21" t="str">
        <f>IFERROR(VLOOKUP(October[[#This Row],[Drug Name]],'Data Options'!$R$1:$S$100,2,FALSE), " ")</f>
        <v xml:space="preserve"> </v>
      </c>
      <c r="S177" s="55"/>
      <c r="T177" s="32"/>
      <c r="U177" s="32"/>
      <c r="V177" s="55"/>
      <c r="W177" s="32"/>
      <c r="X177" s="54"/>
      <c r="Y177" s="21" t="str">
        <f>IFERROR(VLOOKUP(October[[#This Row],[Drug Name2]],'Data Options'!$R$1:$S$100,2,FALSE), " ")</f>
        <v xml:space="preserve"> </v>
      </c>
      <c r="Z177" s="55"/>
      <c r="AA177" s="32"/>
      <c r="AB177" s="32"/>
      <c r="AC177" s="55"/>
      <c r="AD177" s="32"/>
      <c r="AE177" s="54"/>
      <c r="AF177" s="21" t="str">
        <f>IFERROR(VLOOKUP(October[[#This Row],[Drug Name3]],'Data Options'!$R$1:$S$100,2,FALSE), " ")</f>
        <v xml:space="preserve"> </v>
      </c>
      <c r="AG177" s="55"/>
      <c r="AH177" s="32"/>
      <c r="AI177" s="32"/>
      <c r="AJ177" s="55"/>
      <c r="AK177" s="32"/>
      <c r="AL177" s="32"/>
      <c r="AM177" s="32"/>
      <c r="AN177" s="32"/>
      <c r="AO177" s="32"/>
      <c r="AP177" s="31"/>
      <c r="AQ177" s="31"/>
      <c r="AR177" s="54"/>
      <c r="AS177" s="21" t="str">
        <f>IFERROR(VLOOKUP(October[[#This Row],[Drug Name4]],'Data Options'!$R$1:$S$100,2,FALSE), " ")</f>
        <v xml:space="preserve"> </v>
      </c>
      <c r="AT177" s="55"/>
      <c r="AU177" s="32"/>
      <c r="AV177" s="32"/>
      <c r="AW177" s="55"/>
      <c r="AX177" s="32"/>
      <c r="AY177" s="54"/>
      <c r="AZ177" s="21" t="str">
        <f>IFERROR(VLOOKUP(October[[#This Row],[Drug Name5]],'Data Options'!$R$1:$S$100,2,FALSE), " ")</f>
        <v xml:space="preserve"> </v>
      </c>
      <c r="BA177" s="55"/>
      <c r="BB177" s="32"/>
      <c r="BC177" s="32"/>
      <c r="BD177" s="55"/>
      <c r="BE177" s="32"/>
      <c r="BF177" s="54"/>
      <c r="BG177" s="21" t="str">
        <f>IFERROR(VLOOKUP(October[[#This Row],[Drug Name6]],'Data Options'!$R$1:$S$100,2,FALSE), " ")</f>
        <v xml:space="preserve"> </v>
      </c>
      <c r="BH177" s="55"/>
      <c r="BI177" s="32"/>
      <c r="BJ177" s="32"/>
      <c r="BK177" s="55"/>
      <c r="BL177" s="32"/>
      <c r="BM177" s="32"/>
      <c r="BN177" s="32"/>
      <c r="BO177" s="32"/>
      <c r="BP177" s="32"/>
      <c r="BQ177" s="31"/>
      <c r="BR177" s="31"/>
      <c r="BS177" s="54"/>
      <c r="BT177" s="21" t="str">
        <f>IFERROR(VLOOKUP(October[[#This Row],[Drug Name7]],'Data Options'!$R$1:$S$100,2,FALSE), " ")</f>
        <v xml:space="preserve"> </v>
      </c>
      <c r="BU177" s="55"/>
      <c r="BV177" s="32"/>
      <c r="BW177" s="32"/>
      <c r="BX177" s="55"/>
      <c r="BY177" s="32"/>
      <c r="BZ177" s="54"/>
      <c r="CA177" s="21" t="str">
        <f>IFERROR(VLOOKUP(October[[#This Row],[Drug Name8]],'Data Options'!$R$1:$S$100,2,FALSE), " ")</f>
        <v xml:space="preserve"> </v>
      </c>
      <c r="CB177" s="55"/>
      <c r="CC177" s="32"/>
      <c r="CD177" s="32"/>
      <c r="CE177" s="55"/>
      <c r="CF177" s="32"/>
      <c r="CG177" s="54"/>
      <c r="CH177" s="21" t="str">
        <f>IFERROR(VLOOKUP(October[[#This Row],[Drug Name9]],'Data Options'!$R$1:$S$100,2,FALSE), " ")</f>
        <v xml:space="preserve"> </v>
      </c>
      <c r="CI177" s="55"/>
      <c r="CJ177" s="32"/>
      <c r="CK177" s="32"/>
      <c r="CL177" s="55"/>
      <c r="CM177" s="32"/>
    </row>
    <row r="178" spans="1:91">
      <c r="A178" s="5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1"/>
      <c r="P178" s="31"/>
      <c r="Q178" s="54"/>
      <c r="R178" s="21" t="str">
        <f>IFERROR(VLOOKUP(October[[#This Row],[Drug Name]],'Data Options'!$R$1:$S$100,2,FALSE), " ")</f>
        <v xml:space="preserve"> </v>
      </c>
      <c r="S178" s="55"/>
      <c r="T178" s="32"/>
      <c r="U178" s="32"/>
      <c r="V178" s="55"/>
      <c r="W178" s="32"/>
      <c r="X178" s="54"/>
      <c r="Y178" s="21" t="str">
        <f>IFERROR(VLOOKUP(October[[#This Row],[Drug Name2]],'Data Options'!$R$1:$S$100,2,FALSE), " ")</f>
        <v xml:space="preserve"> </v>
      </c>
      <c r="Z178" s="55"/>
      <c r="AA178" s="32"/>
      <c r="AB178" s="32"/>
      <c r="AC178" s="55"/>
      <c r="AD178" s="32"/>
      <c r="AE178" s="54"/>
      <c r="AF178" s="21" t="str">
        <f>IFERROR(VLOOKUP(October[[#This Row],[Drug Name3]],'Data Options'!$R$1:$S$100,2,FALSE), " ")</f>
        <v xml:space="preserve"> </v>
      </c>
      <c r="AG178" s="55"/>
      <c r="AH178" s="32"/>
      <c r="AI178" s="32"/>
      <c r="AJ178" s="55"/>
      <c r="AK178" s="32"/>
      <c r="AL178" s="32"/>
      <c r="AM178" s="32"/>
      <c r="AN178" s="32"/>
      <c r="AO178" s="32"/>
      <c r="AP178" s="31"/>
      <c r="AQ178" s="31"/>
      <c r="AR178" s="54"/>
      <c r="AS178" s="21" t="str">
        <f>IFERROR(VLOOKUP(October[[#This Row],[Drug Name4]],'Data Options'!$R$1:$S$100,2,FALSE), " ")</f>
        <v xml:space="preserve"> </v>
      </c>
      <c r="AT178" s="55"/>
      <c r="AU178" s="32"/>
      <c r="AV178" s="32"/>
      <c r="AW178" s="55"/>
      <c r="AX178" s="32"/>
      <c r="AY178" s="54"/>
      <c r="AZ178" s="21" t="str">
        <f>IFERROR(VLOOKUP(October[[#This Row],[Drug Name5]],'Data Options'!$R$1:$S$100,2,FALSE), " ")</f>
        <v xml:space="preserve"> </v>
      </c>
      <c r="BA178" s="55"/>
      <c r="BB178" s="32"/>
      <c r="BC178" s="32"/>
      <c r="BD178" s="55"/>
      <c r="BE178" s="32"/>
      <c r="BF178" s="54"/>
      <c r="BG178" s="21" t="str">
        <f>IFERROR(VLOOKUP(October[[#This Row],[Drug Name6]],'Data Options'!$R$1:$S$100,2,FALSE), " ")</f>
        <v xml:space="preserve"> </v>
      </c>
      <c r="BH178" s="55"/>
      <c r="BI178" s="32"/>
      <c r="BJ178" s="32"/>
      <c r="BK178" s="55"/>
      <c r="BL178" s="32"/>
      <c r="BM178" s="32"/>
      <c r="BN178" s="32"/>
      <c r="BO178" s="32"/>
      <c r="BP178" s="32"/>
      <c r="BQ178" s="31"/>
      <c r="BR178" s="31"/>
      <c r="BS178" s="54"/>
      <c r="BT178" s="21" t="str">
        <f>IFERROR(VLOOKUP(October[[#This Row],[Drug Name7]],'Data Options'!$R$1:$S$100,2,FALSE), " ")</f>
        <v xml:space="preserve"> </v>
      </c>
      <c r="BU178" s="55"/>
      <c r="BV178" s="32"/>
      <c r="BW178" s="32"/>
      <c r="BX178" s="55"/>
      <c r="BY178" s="32"/>
      <c r="BZ178" s="54"/>
      <c r="CA178" s="21" t="str">
        <f>IFERROR(VLOOKUP(October[[#This Row],[Drug Name8]],'Data Options'!$R$1:$S$100,2,FALSE), " ")</f>
        <v xml:space="preserve"> </v>
      </c>
      <c r="CB178" s="55"/>
      <c r="CC178" s="32"/>
      <c r="CD178" s="32"/>
      <c r="CE178" s="55"/>
      <c r="CF178" s="32"/>
      <c r="CG178" s="54"/>
      <c r="CH178" s="21" t="str">
        <f>IFERROR(VLOOKUP(October[[#This Row],[Drug Name9]],'Data Options'!$R$1:$S$100,2,FALSE), " ")</f>
        <v xml:space="preserve"> </v>
      </c>
      <c r="CI178" s="55"/>
      <c r="CJ178" s="32"/>
      <c r="CK178" s="32"/>
      <c r="CL178" s="55"/>
      <c r="CM178" s="32"/>
    </row>
    <row r="179" spans="1:91">
      <c r="A179" s="5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1"/>
      <c r="P179" s="31"/>
      <c r="Q179" s="54"/>
      <c r="R179" s="21" t="str">
        <f>IFERROR(VLOOKUP(October[[#This Row],[Drug Name]],'Data Options'!$R$1:$S$100,2,FALSE), " ")</f>
        <v xml:space="preserve"> </v>
      </c>
      <c r="S179" s="55"/>
      <c r="T179" s="32"/>
      <c r="U179" s="32"/>
      <c r="V179" s="55"/>
      <c r="W179" s="32"/>
      <c r="X179" s="54"/>
      <c r="Y179" s="21" t="str">
        <f>IFERROR(VLOOKUP(October[[#This Row],[Drug Name2]],'Data Options'!$R$1:$S$100,2,FALSE), " ")</f>
        <v xml:space="preserve"> </v>
      </c>
      <c r="Z179" s="55"/>
      <c r="AA179" s="32"/>
      <c r="AB179" s="32"/>
      <c r="AC179" s="55"/>
      <c r="AD179" s="32"/>
      <c r="AE179" s="54"/>
      <c r="AF179" s="21" t="str">
        <f>IFERROR(VLOOKUP(October[[#This Row],[Drug Name3]],'Data Options'!$R$1:$S$100,2,FALSE), " ")</f>
        <v xml:space="preserve"> </v>
      </c>
      <c r="AG179" s="55"/>
      <c r="AH179" s="32"/>
      <c r="AI179" s="32"/>
      <c r="AJ179" s="55"/>
      <c r="AK179" s="32"/>
      <c r="AL179" s="32"/>
      <c r="AM179" s="32"/>
      <c r="AN179" s="32"/>
      <c r="AO179" s="32"/>
      <c r="AP179" s="31"/>
      <c r="AQ179" s="31"/>
      <c r="AR179" s="54"/>
      <c r="AS179" s="21" t="str">
        <f>IFERROR(VLOOKUP(October[[#This Row],[Drug Name4]],'Data Options'!$R$1:$S$100,2,FALSE), " ")</f>
        <v xml:space="preserve"> </v>
      </c>
      <c r="AT179" s="55"/>
      <c r="AU179" s="32"/>
      <c r="AV179" s="32"/>
      <c r="AW179" s="55"/>
      <c r="AX179" s="32"/>
      <c r="AY179" s="54"/>
      <c r="AZ179" s="21" t="str">
        <f>IFERROR(VLOOKUP(October[[#This Row],[Drug Name5]],'Data Options'!$R$1:$S$100,2,FALSE), " ")</f>
        <v xml:space="preserve"> </v>
      </c>
      <c r="BA179" s="55"/>
      <c r="BB179" s="32"/>
      <c r="BC179" s="32"/>
      <c r="BD179" s="55"/>
      <c r="BE179" s="32"/>
      <c r="BF179" s="54"/>
      <c r="BG179" s="21" t="str">
        <f>IFERROR(VLOOKUP(October[[#This Row],[Drug Name6]],'Data Options'!$R$1:$S$100,2,FALSE), " ")</f>
        <v xml:space="preserve"> </v>
      </c>
      <c r="BH179" s="55"/>
      <c r="BI179" s="32"/>
      <c r="BJ179" s="32"/>
      <c r="BK179" s="55"/>
      <c r="BL179" s="32"/>
      <c r="BM179" s="32"/>
      <c r="BN179" s="32"/>
      <c r="BO179" s="32"/>
      <c r="BP179" s="32"/>
      <c r="BQ179" s="31"/>
      <c r="BR179" s="31"/>
      <c r="BS179" s="54"/>
      <c r="BT179" s="21" t="str">
        <f>IFERROR(VLOOKUP(October[[#This Row],[Drug Name7]],'Data Options'!$R$1:$S$100,2,FALSE), " ")</f>
        <v xml:space="preserve"> </v>
      </c>
      <c r="BU179" s="55"/>
      <c r="BV179" s="32"/>
      <c r="BW179" s="32"/>
      <c r="BX179" s="55"/>
      <c r="BY179" s="32"/>
      <c r="BZ179" s="54"/>
      <c r="CA179" s="21" t="str">
        <f>IFERROR(VLOOKUP(October[[#This Row],[Drug Name8]],'Data Options'!$R$1:$S$100,2,FALSE), " ")</f>
        <v xml:space="preserve"> </v>
      </c>
      <c r="CB179" s="55"/>
      <c r="CC179" s="32"/>
      <c r="CD179" s="32"/>
      <c r="CE179" s="55"/>
      <c r="CF179" s="32"/>
      <c r="CG179" s="54"/>
      <c r="CH179" s="21" t="str">
        <f>IFERROR(VLOOKUP(October[[#This Row],[Drug Name9]],'Data Options'!$R$1:$S$100,2,FALSE), " ")</f>
        <v xml:space="preserve"> </v>
      </c>
      <c r="CI179" s="55"/>
      <c r="CJ179" s="32"/>
      <c r="CK179" s="32"/>
      <c r="CL179" s="55"/>
      <c r="CM179" s="32"/>
    </row>
    <row r="180" spans="1:91">
      <c r="A180" s="5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1"/>
      <c r="P180" s="31"/>
      <c r="Q180" s="54"/>
      <c r="R180" s="21" t="str">
        <f>IFERROR(VLOOKUP(October[[#This Row],[Drug Name]],'Data Options'!$R$1:$S$100,2,FALSE), " ")</f>
        <v xml:space="preserve"> </v>
      </c>
      <c r="S180" s="55"/>
      <c r="T180" s="32"/>
      <c r="U180" s="32"/>
      <c r="V180" s="55"/>
      <c r="W180" s="32"/>
      <c r="X180" s="54"/>
      <c r="Y180" s="21" t="str">
        <f>IFERROR(VLOOKUP(October[[#This Row],[Drug Name2]],'Data Options'!$R$1:$S$100,2,FALSE), " ")</f>
        <v xml:space="preserve"> </v>
      </c>
      <c r="Z180" s="55"/>
      <c r="AA180" s="32"/>
      <c r="AB180" s="32"/>
      <c r="AC180" s="55"/>
      <c r="AD180" s="32"/>
      <c r="AE180" s="54"/>
      <c r="AF180" s="21" t="str">
        <f>IFERROR(VLOOKUP(October[[#This Row],[Drug Name3]],'Data Options'!$R$1:$S$100,2,FALSE), " ")</f>
        <v xml:space="preserve"> </v>
      </c>
      <c r="AG180" s="55"/>
      <c r="AH180" s="32"/>
      <c r="AI180" s="32"/>
      <c r="AJ180" s="55"/>
      <c r="AK180" s="32"/>
      <c r="AL180" s="32"/>
      <c r="AM180" s="32"/>
      <c r="AN180" s="32"/>
      <c r="AO180" s="32"/>
      <c r="AP180" s="31"/>
      <c r="AQ180" s="31"/>
      <c r="AR180" s="54"/>
      <c r="AS180" s="21" t="str">
        <f>IFERROR(VLOOKUP(October[[#This Row],[Drug Name4]],'Data Options'!$R$1:$S$100,2,FALSE), " ")</f>
        <v xml:space="preserve"> </v>
      </c>
      <c r="AT180" s="55"/>
      <c r="AU180" s="32"/>
      <c r="AV180" s="32"/>
      <c r="AW180" s="55"/>
      <c r="AX180" s="32"/>
      <c r="AY180" s="54"/>
      <c r="AZ180" s="21" t="str">
        <f>IFERROR(VLOOKUP(October[[#This Row],[Drug Name5]],'Data Options'!$R$1:$S$100,2,FALSE), " ")</f>
        <v xml:space="preserve"> </v>
      </c>
      <c r="BA180" s="55"/>
      <c r="BB180" s="32"/>
      <c r="BC180" s="32"/>
      <c r="BD180" s="55"/>
      <c r="BE180" s="32"/>
      <c r="BF180" s="54"/>
      <c r="BG180" s="21" t="str">
        <f>IFERROR(VLOOKUP(October[[#This Row],[Drug Name6]],'Data Options'!$R$1:$S$100,2,FALSE), " ")</f>
        <v xml:space="preserve"> </v>
      </c>
      <c r="BH180" s="55"/>
      <c r="BI180" s="32"/>
      <c r="BJ180" s="32"/>
      <c r="BK180" s="55"/>
      <c r="BL180" s="32"/>
      <c r="BM180" s="32"/>
      <c r="BN180" s="32"/>
      <c r="BO180" s="32"/>
      <c r="BP180" s="32"/>
      <c r="BQ180" s="31"/>
      <c r="BR180" s="31"/>
      <c r="BS180" s="54"/>
      <c r="BT180" s="21" t="str">
        <f>IFERROR(VLOOKUP(October[[#This Row],[Drug Name7]],'Data Options'!$R$1:$S$100,2,FALSE), " ")</f>
        <v xml:space="preserve"> </v>
      </c>
      <c r="BU180" s="55"/>
      <c r="BV180" s="32"/>
      <c r="BW180" s="32"/>
      <c r="BX180" s="55"/>
      <c r="BY180" s="32"/>
      <c r="BZ180" s="54"/>
      <c r="CA180" s="21" t="str">
        <f>IFERROR(VLOOKUP(October[[#This Row],[Drug Name8]],'Data Options'!$R$1:$S$100,2,FALSE), " ")</f>
        <v xml:space="preserve"> </v>
      </c>
      <c r="CB180" s="55"/>
      <c r="CC180" s="32"/>
      <c r="CD180" s="32"/>
      <c r="CE180" s="55"/>
      <c r="CF180" s="32"/>
      <c r="CG180" s="54"/>
      <c r="CH180" s="21" t="str">
        <f>IFERROR(VLOOKUP(October[[#This Row],[Drug Name9]],'Data Options'!$R$1:$S$100,2,FALSE), " ")</f>
        <v xml:space="preserve"> </v>
      </c>
      <c r="CI180" s="55"/>
      <c r="CJ180" s="32"/>
      <c r="CK180" s="32"/>
      <c r="CL180" s="55"/>
      <c r="CM180" s="32"/>
    </row>
    <row r="181" spans="1:91">
      <c r="A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1"/>
      <c r="P181" s="31"/>
      <c r="Q181" s="54"/>
      <c r="R181" s="21" t="str">
        <f>IFERROR(VLOOKUP(October[[#This Row],[Drug Name]],'Data Options'!$R$1:$S$100,2,FALSE), " ")</f>
        <v xml:space="preserve"> </v>
      </c>
      <c r="S181" s="55"/>
      <c r="T181" s="32"/>
      <c r="U181" s="32"/>
      <c r="V181" s="55"/>
      <c r="W181" s="32"/>
      <c r="X181" s="54"/>
      <c r="Y181" s="21" t="str">
        <f>IFERROR(VLOOKUP(October[[#This Row],[Drug Name2]],'Data Options'!$R$1:$S$100,2,FALSE), " ")</f>
        <v xml:space="preserve"> </v>
      </c>
      <c r="Z181" s="55"/>
      <c r="AA181" s="32"/>
      <c r="AB181" s="32"/>
      <c r="AC181" s="55"/>
      <c r="AD181" s="32"/>
      <c r="AE181" s="54"/>
      <c r="AF181" s="21" t="str">
        <f>IFERROR(VLOOKUP(October[[#This Row],[Drug Name3]],'Data Options'!$R$1:$S$100,2,FALSE), " ")</f>
        <v xml:space="preserve"> </v>
      </c>
      <c r="AG181" s="55"/>
      <c r="AH181" s="32"/>
      <c r="AI181" s="32"/>
      <c r="AJ181" s="55"/>
      <c r="AK181" s="32"/>
      <c r="AL181" s="32"/>
      <c r="AM181" s="32"/>
      <c r="AN181" s="32"/>
      <c r="AO181" s="32"/>
      <c r="AP181" s="31"/>
      <c r="AQ181" s="31"/>
      <c r="AR181" s="54"/>
      <c r="AS181" s="21" t="str">
        <f>IFERROR(VLOOKUP(October[[#This Row],[Drug Name4]],'Data Options'!$R$1:$S$100,2,FALSE), " ")</f>
        <v xml:space="preserve"> </v>
      </c>
      <c r="AT181" s="55"/>
      <c r="AU181" s="32"/>
      <c r="AV181" s="32"/>
      <c r="AW181" s="55"/>
      <c r="AX181" s="32"/>
      <c r="AY181" s="54"/>
      <c r="AZ181" s="21" t="str">
        <f>IFERROR(VLOOKUP(October[[#This Row],[Drug Name5]],'Data Options'!$R$1:$S$100,2,FALSE), " ")</f>
        <v xml:space="preserve"> </v>
      </c>
      <c r="BA181" s="55"/>
      <c r="BB181" s="32"/>
      <c r="BC181" s="32"/>
      <c r="BD181" s="55"/>
      <c r="BE181" s="32"/>
      <c r="BF181" s="54"/>
      <c r="BG181" s="21" t="str">
        <f>IFERROR(VLOOKUP(October[[#This Row],[Drug Name6]],'Data Options'!$R$1:$S$100,2,FALSE), " ")</f>
        <v xml:space="preserve"> </v>
      </c>
      <c r="BH181" s="55"/>
      <c r="BI181" s="32"/>
      <c r="BJ181" s="32"/>
      <c r="BK181" s="55"/>
      <c r="BL181" s="32"/>
      <c r="BM181" s="32"/>
      <c r="BN181" s="32"/>
      <c r="BO181" s="32"/>
      <c r="BP181" s="32"/>
      <c r="BQ181" s="31"/>
      <c r="BR181" s="31"/>
      <c r="BS181" s="54"/>
      <c r="BT181" s="21" t="str">
        <f>IFERROR(VLOOKUP(October[[#This Row],[Drug Name7]],'Data Options'!$R$1:$S$100,2,FALSE), " ")</f>
        <v xml:space="preserve"> </v>
      </c>
      <c r="BU181" s="55"/>
      <c r="BV181" s="32"/>
      <c r="BW181" s="32"/>
      <c r="BX181" s="55"/>
      <c r="BY181" s="32"/>
      <c r="BZ181" s="54"/>
      <c r="CA181" s="21" t="str">
        <f>IFERROR(VLOOKUP(October[[#This Row],[Drug Name8]],'Data Options'!$R$1:$S$100,2,FALSE), " ")</f>
        <v xml:space="preserve"> </v>
      </c>
      <c r="CB181" s="55"/>
      <c r="CC181" s="32"/>
      <c r="CD181" s="32"/>
      <c r="CE181" s="55"/>
      <c r="CF181" s="32"/>
      <c r="CG181" s="54"/>
      <c r="CH181" s="21" t="str">
        <f>IFERROR(VLOOKUP(October[[#This Row],[Drug Name9]],'Data Options'!$R$1:$S$100,2,FALSE), " ")</f>
        <v xml:space="preserve"> </v>
      </c>
      <c r="CI181" s="55"/>
      <c r="CJ181" s="32"/>
      <c r="CK181" s="32"/>
      <c r="CL181" s="55"/>
      <c r="CM181" s="32"/>
    </row>
    <row r="182" spans="1:91">
      <c r="A182" s="5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1"/>
      <c r="P182" s="31"/>
      <c r="Q182" s="54"/>
      <c r="R182" s="21" t="str">
        <f>IFERROR(VLOOKUP(October[[#This Row],[Drug Name]],'Data Options'!$R$1:$S$100,2,FALSE), " ")</f>
        <v xml:space="preserve"> </v>
      </c>
      <c r="S182" s="55"/>
      <c r="T182" s="32"/>
      <c r="U182" s="32"/>
      <c r="V182" s="55"/>
      <c r="W182" s="32"/>
      <c r="X182" s="54"/>
      <c r="Y182" s="21" t="str">
        <f>IFERROR(VLOOKUP(October[[#This Row],[Drug Name2]],'Data Options'!$R$1:$S$100,2,FALSE), " ")</f>
        <v xml:space="preserve"> </v>
      </c>
      <c r="Z182" s="55"/>
      <c r="AA182" s="32"/>
      <c r="AB182" s="32"/>
      <c r="AC182" s="55"/>
      <c r="AD182" s="32"/>
      <c r="AE182" s="54"/>
      <c r="AF182" s="21" t="str">
        <f>IFERROR(VLOOKUP(October[[#This Row],[Drug Name3]],'Data Options'!$R$1:$S$100,2,FALSE), " ")</f>
        <v xml:space="preserve"> </v>
      </c>
      <c r="AG182" s="55"/>
      <c r="AH182" s="32"/>
      <c r="AI182" s="32"/>
      <c r="AJ182" s="55"/>
      <c r="AK182" s="32"/>
      <c r="AL182" s="32"/>
      <c r="AM182" s="32"/>
      <c r="AN182" s="32"/>
      <c r="AO182" s="32"/>
      <c r="AP182" s="31"/>
      <c r="AQ182" s="31"/>
      <c r="AR182" s="54"/>
      <c r="AS182" s="21" t="str">
        <f>IFERROR(VLOOKUP(October[[#This Row],[Drug Name4]],'Data Options'!$R$1:$S$100,2,FALSE), " ")</f>
        <v xml:space="preserve"> </v>
      </c>
      <c r="AT182" s="55"/>
      <c r="AU182" s="32"/>
      <c r="AV182" s="32"/>
      <c r="AW182" s="55"/>
      <c r="AX182" s="32"/>
      <c r="AY182" s="54"/>
      <c r="AZ182" s="21" t="str">
        <f>IFERROR(VLOOKUP(October[[#This Row],[Drug Name5]],'Data Options'!$R$1:$S$100,2,FALSE), " ")</f>
        <v xml:space="preserve"> </v>
      </c>
      <c r="BA182" s="55"/>
      <c r="BB182" s="32"/>
      <c r="BC182" s="32"/>
      <c r="BD182" s="55"/>
      <c r="BE182" s="32"/>
      <c r="BF182" s="54"/>
      <c r="BG182" s="21" t="str">
        <f>IFERROR(VLOOKUP(October[[#This Row],[Drug Name6]],'Data Options'!$R$1:$S$100,2,FALSE), " ")</f>
        <v xml:space="preserve"> </v>
      </c>
      <c r="BH182" s="55"/>
      <c r="BI182" s="32"/>
      <c r="BJ182" s="32"/>
      <c r="BK182" s="55"/>
      <c r="BL182" s="32"/>
      <c r="BM182" s="32"/>
      <c r="BN182" s="32"/>
      <c r="BO182" s="32"/>
      <c r="BP182" s="32"/>
      <c r="BQ182" s="31"/>
      <c r="BR182" s="31"/>
      <c r="BS182" s="54"/>
      <c r="BT182" s="21" t="str">
        <f>IFERROR(VLOOKUP(October[[#This Row],[Drug Name7]],'Data Options'!$R$1:$S$100,2,FALSE), " ")</f>
        <v xml:space="preserve"> </v>
      </c>
      <c r="BU182" s="55"/>
      <c r="BV182" s="32"/>
      <c r="BW182" s="32"/>
      <c r="BX182" s="55"/>
      <c r="BY182" s="32"/>
      <c r="BZ182" s="54"/>
      <c r="CA182" s="21" t="str">
        <f>IFERROR(VLOOKUP(October[[#This Row],[Drug Name8]],'Data Options'!$R$1:$S$100,2,FALSE), " ")</f>
        <v xml:space="preserve"> </v>
      </c>
      <c r="CB182" s="55"/>
      <c r="CC182" s="32"/>
      <c r="CD182" s="32"/>
      <c r="CE182" s="55"/>
      <c r="CF182" s="32"/>
      <c r="CG182" s="54"/>
      <c r="CH182" s="21" t="str">
        <f>IFERROR(VLOOKUP(October[[#This Row],[Drug Name9]],'Data Options'!$R$1:$S$100,2,FALSE), " ")</f>
        <v xml:space="preserve"> </v>
      </c>
      <c r="CI182" s="55"/>
      <c r="CJ182" s="32"/>
      <c r="CK182" s="32"/>
      <c r="CL182" s="55"/>
      <c r="CM182" s="32"/>
    </row>
    <row r="183" spans="1:91">
      <c r="A183" s="5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1"/>
      <c r="P183" s="31"/>
      <c r="Q183" s="54"/>
      <c r="R183" s="21" t="str">
        <f>IFERROR(VLOOKUP(October[[#This Row],[Drug Name]],'Data Options'!$R$1:$S$100,2,FALSE), " ")</f>
        <v xml:space="preserve"> </v>
      </c>
      <c r="S183" s="55"/>
      <c r="T183" s="32"/>
      <c r="U183" s="32"/>
      <c r="V183" s="55"/>
      <c r="W183" s="32"/>
      <c r="X183" s="54"/>
      <c r="Y183" s="21" t="str">
        <f>IFERROR(VLOOKUP(October[[#This Row],[Drug Name2]],'Data Options'!$R$1:$S$100,2,FALSE), " ")</f>
        <v xml:space="preserve"> </v>
      </c>
      <c r="Z183" s="55"/>
      <c r="AA183" s="32"/>
      <c r="AB183" s="32"/>
      <c r="AC183" s="55"/>
      <c r="AD183" s="32"/>
      <c r="AE183" s="54"/>
      <c r="AF183" s="21" t="str">
        <f>IFERROR(VLOOKUP(October[[#This Row],[Drug Name3]],'Data Options'!$R$1:$S$100,2,FALSE), " ")</f>
        <v xml:space="preserve"> </v>
      </c>
      <c r="AG183" s="55"/>
      <c r="AH183" s="32"/>
      <c r="AI183" s="32"/>
      <c r="AJ183" s="55"/>
      <c r="AK183" s="32"/>
      <c r="AL183" s="32"/>
      <c r="AM183" s="32"/>
      <c r="AN183" s="32"/>
      <c r="AO183" s="32"/>
      <c r="AP183" s="31"/>
      <c r="AQ183" s="31"/>
      <c r="AR183" s="54"/>
      <c r="AS183" s="21" t="str">
        <f>IFERROR(VLOOKUP(October[[#This Row],[Drug Name4]],'Data Options'!$R$1:$S$100,2,FALSE), " ")</f>
        <v xml:space="preserve"> </v>
      </c>
      <c r="AT183" s="55"/>
      <c r="AU183" s="32"/>
      <c r="AV183" s="32"/>
      <c r="AW183" s="55"/>
      <c r="AX183" s="32"/>
      <c r="AY183" s="54"/>
      <c r="AZ183" s="21" t="str">
        <f>IFERROR(VLOOKUP(October[[#This Row],[Drug Name5]],'Data Options'!$R$1:$S$100,2,FALSE), " ")</f>
        <v xml:space="preserve"> </v>
      </c>
      <c r="BA183" s="55"/>
      <c r="BB183" s="32"/>
      <c r="BC183" s="32"/>
      <c r="BD183" s="55"/>
      <c r="BE183" s="32"/>
      <c r="BF183" s="54"/>
      <c r="BG183" s="21" t="str">
        <f>IFERROR(VLOOKUP(October[[#This Row],[Drug Name6]],'Data Options'!$R$1:$S$100,2,FALSE), " ")</f>
        <v xml:space="preserve"> </v>
      </c>
      <c r="BH183" s="55"/>
      <c r="BI183" s="32"/>
      <c r="BJ183" s="32"/>
      <c r="BK183" s="55"/>
      <c r="BL183" s="32"/>
      <c r="BM183" s="32"/>
      <c r="BN183" s="32"/>
      <c r="BO183" s="32"/>
      <c r="BP183" s="32"/>
      <c r="BQ183" s="31"/>
      <c r="BR183" s="31"/>
      <c r="BS183" s="54"/>
      <c r="BT183" s="21" t="str">
        <f>IFERROR(VLOOKUP(October[[#This Row],[Drug Name7]],'Data Options'!$R$1:$S$100,2,FALSE), " ")</f>
        <v xml:space="preserve"> </v>
      </c>
      <c r="BU183" s="55"/>
      <c r="BV183" s="32"/>
      <c r="BW183" s="32"/>
      <c r="BX183" s="55"/>
      <c r="BY183" s="32"/>
      <c r="BZ183" s="54"/>
      <c r="CA183" s="21" t="str">
        <f>IFERROR(VLOOKUP(October[[#This Row],[Drug Name8]],'Data Options'!$R$1:$S$100,2,FALSE), " ")</f>
        <v xml:space="preserve"> </v>
      </c>
      <c r="CB183" s="55"/>
      <c r="CC183" s="32"/>
      <c r="CD183" s="32"/>
      <c r="CE183" s="55"/>
      <c r="CF183" s="32"/>
      <c r="CG183" s="54"/>
      <c r="CH183" s="21" t="str">
        <f>IFERROR(VLOOKUP(October[[#This Row],[Drug Name9]],'Data Options'!$R$1:$S$100,2,FALSE), " ")</f>
        <v xml:space="preserve"> </v>
      </c>
      <c r="CI183" s="55"/>
      <c r="CJ183" s="32"/>
      <c r="CK183" s="32"/>
      <c r="CL183" s="55"/>
      <c r="CM183" s="32"/>
    </row>
    <row r="184" spans="1:91">
      <c r="A184" s="5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1"/>
      <c r="P184" s="31"/>
      <c r="Q184" s="54"/>
      <c r="R184" s="21" t="str">
        <f>IFERROR(VLOOKUP(October[[#This Row],[Drug Name]],'Data Options'!$R$1:$S$100,2,FALSE), " ")</f>
        <v xml:space="preserve"> </v>
      </c>
      <c r="S184" s="55"/>
      <c r="T184" s="32"/>
      <c r="U184" s="32"/>
      <c r="V184" s="55"/>
      <c r="W184" s="32"/>
      <c r="X184" s="54"/>
      <c r="Y184" s="21" t="str">
        <f>IFERROR(VLOOKUP(October[[#This Row],[Drug Name2]],'Data Options'!$R$1:$S$100,2,FALSE), " ")</f>
        <v xml:space="preserve"> </v>
      </c>
      <c r="Z184" s="55"/>
      <c r="AA184" s="32"/>
      <c r="AB184" s="32"/>
      <c r="AC184" s="55"/>
      <c r="AD184" s="32"/>
      <c r="AE184" s="54"/>
      <c r="AF184" s="21" t="str">
        <f>IFERROR(VLOOKUP(October[[#This Row],[Drug Name3]],'Data Options'!$R$1:$S$100,2,FALSE), " ")</f>
        <v xml:space="preserve"> </v>
      </c>
      <c r="AG184" s="55"/>
      <c r="AH184" s="32"/>
      <c r="AI184" s="32"/>
      <c r="AJ184" s="55"/>
      <c r="AK184" s="32"/>
      <c r="AL184" s="32"/>
      <c r="AM184" s="32"/>
      <c r="AN184" s="32"/>
      <c r="AO184" s="32"/>
      <c r="AP184" s="31"/>
      <c r="AQ184" s="31"/>
      <c r="AR184" s="54"/>
      <c r="AS184" s="21" t="str">
        <f>IFERROR(VLOOKUP(October[[#This Row],[Drug Name4]],'Data Options'!$R$1:$S$100,2,FALSE), " ")</f>
        <v xml:space="preserve"> </v>
      </c>
      <c r="AT184" s="55"/>
      <c r="AU184" s="32"/>
      <c r="AV184" s="32"/>
      <c r="AW184" s="55"/>
      <c r="AX184" s="32"/>
      <c r="AY184" s="54"/>
      <c r="AZ184" s="21" t="str">
        <f>IFERROR(VLOOKUP(October[[#This Row],[Drug Name5]],'Data Options'!$R$1:$S$100,2,FALSE), " ")</f>
        <v xml:space="preserve"> </v>
      </c>
      <c r="BA184" s="55"/>
      <c r="BB184" s="32"/>
      <c r="BC184" s="32"/>
      <c r="BD184" s="55"/>
      <c r="BE184" s="32"/>
      <c r="BF184" s="54"/>
      <c r="BG184" s="21" t="str">
        <f>IFERROR(VLOOKUP(October[[#This Row],[Drug Name6]],'Data Options'!$R$1:$S$100,2,FALSE), " ")</f>
        <v xml:space="preserve"> </v>
      </c>
      <c r="BH184" s="55"/>
      <c r="BI184" s="32"/>
      <c r="BJ184" s="32"/>
      <c r="BK184" s="55"/>
      <c r="BL184" s="32"/>
      <c r="BM184" s="32"/>
      <c r="BN184" s="32"/>
      <c r="BO184" s="32"/>
      <c r="BP184" s="32"/>
      <c r="BQ184" s="31"/>
      <c r="BR184" s="31"/>
      <c r="BS184" s="54"/>
      <c r="BT184" s="21" t="str">
        <f>IFERROR(VLOOKUP(October[[#This Row],[Drug Name7]],'Data Options'!$R$1:$S$100,2,FALSE), " ")</f>
        <v xml:space="preserve"> </v>
      </c>
      <c r="BU184" s="55"/>
      <c r="BV184" s="32"/>
      <c r="BW184" s="32"/>
      <c r="BX184" s="55"/>
      <c r="BY184" s="32"/>
      <c r="BZ184" s="54"/>
      <c r="CA184" s="21" t="str">
        <f>IFERROR(VLOOKUP(October[[#This Row],[Drug Name8]],'Data Options'!$R$1:$S$100,2,FALSE), " ")</f>
        <v xml:space="preserve"> </v>
      </c>
      <c r="CB184" s="55"/>
      <c r="CC184" s="32"/>
      <c r="CD184" s="32"/>
      <c r="CE184" s="55"/>
      <c r="CF184" s="32"/>
      <c r="CG184" s="54"/>
      <c r="CH184" s="21" t="str">
        <f>IFERROR(VLOOKUP(October[[#This Row],[Drug Name9]],'Data Options'!$R$1:$S$100,2,FALSE), " ")</f>
        <v xml:space="preserve"> </v>
      </c>
      <c r="CI184" s="55"/>
      <c r="CJ184" s="32"/>
      <c r="CK184" s="32"/>
      <c r="CL184" s="55"/>
      <c r="CM184" s="32"/>
    </row>
    <row r="185" spans="1:91">
      <c r="A185" s="5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1"/>
      <c r="P185" s="31"/>
      <c r="Q185" s="54"/>
      <c r="R185" s="21" t="str">
        <f>IFERROR(VLOOKUP(October[[#This Row],[Drug Name]],'Data Options'!$R$1:$S$100,2,FALSE), " ")</f>
        <v xml:space="preserve"> </v>
      </c>
      <c r="S185" s="55"/>
      <c r="T185" s="32"/>
      <c r="U185" s="32"/>
      <c r="V185" s="55"/>
      <c r="W185" s="32"/>
      <c r="X185" s="54"/>
      <c r="Y185" s="21" t="str">
        <f>IFERROR(VLOOKUP(October[[#This Row],[Drug Name2]],'Data Options'!$R$1:$S$100,2,FALSE), " ")</f>
        <v xml:space="preserve"> </v>
      </c>
      <c r="Z185" s="55"/>
      <c r="AA185" s="32"/>
      <c r="AB185" s="32"/>
      <c r="AC185" s="55"/>
      <c r="AD185" s="32"/>
      <c r="AE185" s="54"/>
      <c r="AF185" s="21" t="str">
        <f>IFERROR(VLOOKUP(October[[#This Row],[Drug Name3]],'Data Options'!$R$1:$S$100,2,FALSE), " ")</f>
        <v xml:space="preserve"> </v>
      </c>
      <c r="AG185" s="55"/>
      <c r="AH185" s="32"/>
      <c r="AI185" s="32"/>
      <c r="AJ185" s="55"/>
      <c r="AK185" s="32"/>
      <c r="AL185" s="32"/>
      <c r="AM185" s="32"/>
      <c r="AN185" s="32"/>
      <c r="AO185" s="32"/>
      <c r="AP185" s="31"/>
      <c r="AQ185" s="31"/>
      <c r="AR185" s="54"/>
      <c r="AS185" s="21" t="str">
        <f>IFERROR(VLOOKUP(October[[#This Row],[Drug Name4]],'Data Options'!$R$1:$S$100,2,FALSE), " ")</f>
        <v xml:space="preserve"> </v>
      </c>
      <c r="AT185" s="55"/>
      <c r="AU185" s="32"/>
      <c r="AV185" s="32"/>
      <c r="AW185" s="55"/>
      <c r="AX185" s="32"/>
      <c r="AY185" s="54"/>
      <c r="AZ185" s="21" t="str">
        <f>IFERROR(VLOOKUP(October[[#This Row],[Drug Name5]],'Data Options'!$R$1:$S$100,2,FALSE), " ")</f>
        <v xml:space="preserve"> </v>
      </c>
      <c r="BA185" s="55"/>
      <c r="BB185" s="32"/>
      <c r="BC185" s="32"/>
      <c r="BD185" s="55"/>
      <c r="BE185" s="32"/>
      <c r="BF185" s="54"/>
      <c r="BG185" s="21" t="str">
        <f>IFERROR(VLOOKUP(October[[#This Row],[Drug Name6]],'Data Options'!$R$1:$S$100,2,FALSE), " ")</f>
        <v xml:space="preserve"> </v>
      </c>
      <c r="BH185" s="55"/>
      <c r="BI185" s="32"/>
      <c r="BJ185" s="32"/>
      <c r="BK185" s="55"/>
      <c r="BL185" s="32"/>
      <c r="BM185" s="32"/>
      <c r="BN185" s="32"/>
      <c r="BO185" s="32"/>
      <c r="BP185" s="32"/>
      <c r="BQ185" s="31"/>
      <c r="BR185" s="31"/>
      <c r="BS185" s="54"/>
      <c r="BT185" s="21" t="str">
        <f>IFERROR(VLOOKUP(October[[#This Row],[Drug Name7]],'Data Options'!$R$1:$S$100,2,FALSE), " ")</f>
        <v xml:space="preserve"> </v>
      </c>
      <c r="BU185" s="55"/>
      <c r="BV185" s="32"/>
      <c r="BW185" s="32"/>
      <c r="BX185" s="55"/>
      <c r="BY185" s="32"/>
      <c r="BZ185" s="54"/>
      <c r="CA185" s="21" t="str">
        <f>IFERROR(VLOOKUP(October[[#This Row],[Drug Name8]],'Data Options'!$R$1:$S$100,2,FALSE), " ")</f>
        <v xml:space="preserve"> </v>
      </c>
      <c r="CB185" s="55"/>
      <c r="CC185" s="32"/>
      <c r="CD185" s="32"/>
      <c r="CE185" s="55"/>
      <c r="CF185" s="32"/>
      <c r="CG185" s="54"/>
      <c r="CH185" s="21" t="str">
        <f>IFERROR(VLOOKUP(October[[#This Row],[Drug Name9]],'Data Options'!$R$1:$S$100,2,FALSE), " ")</f>
        <v xml:space="preserve"> </v>
      </c>
      <c r="CI185" s="55"/>
      <c r="CJ185" s="32"/>
      <c r="CK185" s="32"/>
      <c r="CL185" s="55"/>
      <c r="CM185" s="32"/>
    </row>
    <row r="186" spans="1:91">
      <c r="A186" s="5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1"/>
      <c r="P186" s="31"/>
      <c r="Q186" s="54"/>
      <c r="R186" s="21" t="str">
        <f>IFERROR(VLOOKUP(October[[#This Row],[Drug Name]],'Data Options'!$R$1:$S$100,2,FALSE), " ")</f>
        <v xml:space="preserve"> </v>
      </c>
      <c r="S186" s="55"/>
      <c r="T186" s="32"/>
      <c r="U186" s="32"/>
      <c r="V186" s="55"/>
      <c r="W186" s="32"/>
      <c r="X186" s="54"/>
      <c r="Y186" s="21" t="str">
        <f>IFERROR(VLOOKUP(October[[#This Row],[Drug Name2]],'Data Options'!$R$1:$S$100,2,FALSE), " ")</f>
        <v xml:space="preserve"> </v>
      </c>
      <c r="Z186" s="55"/>
      <c r="AA186" s="32"/>
      <c r="AB186" s="32"/>
      <c r="AC186" s="55"/>
      <c r="AD186" s="32"/>
      <c r="AE186" s="54"/>
      <c r="AF186" s="21" t="str">
        <f>IFERROR(VLOOKUP(October[[#This Row],[Drug Name3]],'Data Options'!$R$1:$S$100,2,FALSE), " ")</f>
        <v xml:space="preserve"> </v>
      </c>
      <c r="AG186" s="55"/>
      <c r="AH186" s="32"/>
      <c r="AI186" s="32"/>
      <c r="AJ186" s="55"/>
      <c r="AK186" s="32"/>
      <c r="AL186" s="32"/>
      <c r="AM186" s="32"/>
      <c r="AN186" s="32"/>
      <c r="AO186" s="32"/>
      <c r="AP186" s="31"/>
      <c r="AQ186" s="31"/>
      <c r="AR186" s="54"/>
      <c r="AS186" s="21" t="str">
        <f>IFERROR(VLOOKUP(October[[#This Row],[Drug Name4]],'Data Options'!$R$1:$S$100,2,FALSE), " ")</f>
        <v xml:space="preserve"> </v>
      </c>
      <c r="AT186" s="55"/>
      <c r="AU186" s="32"/>
      <c r="AV186" s="32"/>
      <c r="AW186" s="55"/>
      <c r="AX186" s="32"/>
      <c r="AY186" s="54"/>
      <c r="AZ186" s="21" t="str">
        <f>IFERROR(VLOOKUP(October[[#This Row],[Drug Name5]],'Data Options'!$R$1:$S$100,2,FALSE), " ")</f>
        <v xml:space="preserve"> </v>
      </c>
      <c r="BA186" s="55"/>
      <c r="BB186" s="32"/>
      <c r="BC186" s="32"/>
      <c r="BD186" s="55"/>
      <c r="BE186" s="32"/>
      <c r="BF186" s="54"/>
      <c r="BG186" s="21" t="str">
        <f>IFERROR(VLOOKUP(October[[#This Row],[Drug Name6]],'Data Options'!$R$1:$S$100,2,FALSE), " ")</f>
        <v xml:space="preserve"> </v>
      </c>
      <c r="BH186" s="55"/>
      <c r="BI186" s="32"/>
      <c r="BJ186" s="32"/>
      <c r="BK186" s="55"/>
      <c r="BL186" s="32"/>
      <c r="BM186" s="32"/>
      <c r="BN186" s="32"/>
      <c r="BO186" s="32"/>
      <c r="BP186" s="32"/>
      <c r="BQ186" s="31"/>
      <c r="BR186" s="31"/>
      <c r="BS186" s="54"/>
      <c r="BT186" s="21" t="str">
        <f>IFERROR(VLOOKUP(October[[#This Row],[Drug Name7]],'Data Options'!$R$1:$S$100,2,FALSE), " ")</f>
        <v xml:space="preserve"> </v>
      </c>
      <c r="BU186" s="55"/>
      <c r="BV186" s="32"/>
      <c r="BW186" s="32"/>
      <c r="BX186" s="55"/>
      <c r="BY186" s="32"/>
      <c r="BZ186" s="54"/>
      <c r="CA186" s="21" t="str">
        <f>IFERROR(VLOOKUP(October[[#This Row],[Drug Name8]],'Data Options'!$R$1:$S$100,2,FALSE), " ")</f>
        <v xml:space="preserve"> </v>
      </c>
      <c r="CB186" s="55"/>
      <c r="CC186" s="32"/>
      <c r="CD186" s="32"/>
      <c r="CE186" s="55"/>
      <c r="CF186" s="32"/>
      <c r="CG186" s="54"/>
      <c r="CH186" s="21" t="str">
        <f>IFERROR(VLOOKUP(October[[#This Row],[Drug Name9]],'Data Options'!$R$1:$S$100,2,FALSE), " ")</f>
        <v xml:space="preserve"> </v>
      </c>
      <c r="CI186" s="55"/>
      <c r="CJ186" s="32"/>
      <c r="CK186" s="32"/>
      <c r="CL186" s="55"/>
      <c r="CM186" s="32"/>
    </row>
    <row r="187" spans="1:91">
      <c r="A187" s="5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1"/>
      <c r="P187" s="31"/>
      <c r="Q187" s="54"/>
      <c r="R187" s="21" t="str">
        <f>IFERROR(VLOOKUP(October[[#This Row],[Drug Name]],'Data Options'!$R$1:$S$100,2,FALSE), " ")</f>
        <v xml:space="preserve"> </v>
      </c>
      <c r="S187" s="55"/>
      <c r="T187" s="32"/>
      <c r="U187" s="32"/>
      <c r="V187" s="55"/>
      <c r="W187" s="32"/>
      <c r="X187" s="54"/>
      <c r="Y187" s="21" t="str">
        <f>IFERROR(VLOOKUP(October[[#This Row],[Drug Name2]],'Data Options'!$R$1:$S$100,2,FALSE), " ")</f>
        <v xml:space="preserve"> </v>
      </c>
      <c r="Z187" s="55"/>
      <c r="AA187" s="32"/>
      <c r="AB187" s="32"/>
      <c r="AC187" s="55"/>
      <c r="AD187" s="32"/>
      <c r="AE187" s="54"/>
      <c r="AF187" s="21" t="str">
        <f>IFERROR(VLOOKUP(October[[#This Row],[Drug Name3]],'Data Options'!$R$1:$S$100,2,FALSE), " ")</f>
        <v xml:space="preserve"> </v>
      </c>
      <c r="AG187" s="55"/>
      <c r="AH187" s="32"/>
      <c r="AI187" s="32"/>
      <c r="AJ187" s="55"/>
      <c r="AK187" s="32"/>
      <c r="AL187" s="32"/>
      <c r="AM187" s="32"/>
      <c r="AN187" s="32"/>
      <c r="AO187" s="32"/>
      <c r="AP187" s="31"/>
      <c r="AQ187" s="31"/>
      <c r="AR187" s="54"/>
      <c r="AS187" s="21" t="str">
        <f>IFERROR(VLOOKUP(October[[#This Row],[Drug Name4]],'Data Options'!$R$1:$S$100,2,FALSE), " ")</f>
        <v xml:space="preserve"> </v>
      </c>
      <c r="AT187" s="55"/>
      <c r="AU187" s="32"/>
      <c r="AV187" s="32"/>
      <c r="AW187" s="55"/>
      <c r="AX187" s="32"/>
      <c r="AY187" s="54"/>
      <c r="AZ187" s="21" t="str">
        <f>IFERROR(VLOOKUP(October[[#This Row],[Drug Name5]],'Data Options'!$R$1:$S$100,2,FALSE), " ")</f>
        <v xml:space="preserve"> </v>
      </c>
      <c r="BA187" s="55"/>
      <c r="BB187" s="32"/>
      <c r="BC187" s="32"/>
      <c r="BD187" s="55"/>
      <c r="BE187" s="32"/>
      <c r="BF187" s="54"/>
      <c r="BG187" s="21" t="str">
        <f>IFERROR(VLOOKUP(October[[#This Row],[Drug Name6]],'Data Options'!$R$1:$S$100,2,FALSE), " ")</f>
        <v xml:space="preserve"> </v>
      </c>
      <c r="BH187" s="55"/>
      <c r="BI187" s="32"/>
      <c r="BJ187" s="32"/>
      <c r="BK187" s="55"/>
      <c r="BL187" s="32"/>
      <c r="BM187" s="32"/>
      <c r="BN187" s="32"/>
      <c r="BO187" s="32"/>
      <c r="BP187" s="32"/>
      <c r="BQ187" s="31"/>
      <c r="BR187" s="31"/>
      <c r="BS187" s="54"/>
      <c r="BT187" s="21" t="str">
        <f>IFERROR(VLOOKUP(October[[#This Row],[Drug Name7]],'Data Options'!$R$1:$S$100,2,FALSE), " ")</f>
        <v xml:space="preserve"> </v>
      </c>
      <c r="BU187" s="55"/>
      <c r="BV187" s="32"/>
      <c r="BW187" s="32"/>
      <c r="BX187" s="55"/>
      <c r="BY187" s="32"/>
      <c r="BZ187" s="54"/>
      <c r="CA187" s="21" t="str">
        <f>IFERROR(VLOOKUP(October[[#This Row],[Drug Name8]],'Data Options'!$R$1:$S$100,2,FALSE), " ")</f>
        <v xml:space="preserve"> </v>
      </c>
      <c r="CB187" s="55"/>
      <c r="CC187" s="32"/>
      <c r="CD187" s="32"/>
      <c r="CE187" s="55"/>
      <c r="CF187" s="32"/>
      <c r="CG187" s="54"/>
      <c r="CH187" s="21" t="str">
        <f>IFERROR(VLOOKUP(October[[#This Row],[Drug Name9]],'Data Options'!$R$1:$S$100,2,FALSE), " ")</f>
        <v xml:space="preserve"> </v>
      </c>
      <c r="CI187" s="55"/>
      <c r="CJ187" s="32"/>
      <c r="CK187" s="32"/>
      <c r="CL187" s="55"/>
      <c r="CM187" s="32"/>
    </row>
    <row r="188" spans="1:91">
      <c r="A188" s="5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1"/>
      <c r="P188" s="31"/>
      <c r="Q188" s="54"/>
      <c r="R188" s="21" t="str">
        <f>IFERROR(VLOOKUP(October[[#This Row],[Drug Name]],'Data Options'!$R$1:$S$100,2,FALSE), " ")</f>
        <v xml:space="preserve"> </v>
      </c>
      <c r="S188" s="55"/>
      <c r="T188" s="32"/>
      <c r="U188" s="32"/>
      <c r="V188" s="55"/>
      <c r="W188" s="32"/>
      <c r="X188" s="54"/>
      <c r="Y188" s="21" t="str">
        <f>IFERROR(VLOOKUP(October[[#This Row],[Drug Name2]],'Data Options'!$R$1:$S$100,2,FALSE), " ")</f>
        <v xml:space="preserve"> </v>
      </c>
      <c r="Z188" s="55"/>
      <c r="AA188" s="32"/>
      <c r="AB188" s="32"/>
      <c r="AC188" s="55"/>
      <c r="AD188" s="32"/>
      <c r="AE188" s="54"/>
      <c r="AF188" s="21" t="str">
        <f>IFERROR(VLOOKUP(October[[#This Row],[Drug Name3]],'Data Options'!$R$1:$S$100,2,FALSE), " ")</f>
        <v xml:space="preserve"> </v>
      </c>
      <c r="AG188" s="55"/>
      <c r="AH188" s="32"/>
      <c r="AI188" s="32"/>
      <c r="AJ188" s="55"/>
      <c r="AK188" s="32"/>
      <c r="AL188" s="32"/>
      <c r="AM188" s="32"/>
      <c r="AN188" s="32"/>
      <c r="AO188" s="32"/>
      <c r="AP188" s="31"/>
      <c r="AQ188" s="31"/>
      <c r="AR188" s="54"/>
      <c r="AS188" s="21" t="str">
        <f>IFERROR(VLOOKUP(October[[#This Row],[Drug Name4]],'Data Options'!$R$1:$S$100,2,FALSE), " ")</f>
        <v xml:space="preserve"> </v>
      </c>
      <c r="AT188" s="55"/>
      <c r="AU188" s="32"/>
      <c r="AV188" s="32"/>
      <c r="AW188" s="55"/>
      <c r="AX188" s="32"/>
      <c r="AY188" s="54"/>
      <c r="AZ188" s="21" t="str">
        <f>IFERROR(VLOOKUP(October[[#This Row],[Drug Name5]],'Data Options'!$R$1:$S$100,2,FALSE), " ")</f>
        <v xml:space="preserve"> </v>
      </c>
      <c r="BA188" s="55"/>
      <c r="BB188" s="32"/>
      <c r="BC188" s="32"/>
      <c r="BD188" s="55"/>
      <c r="BE188" s="32"/>
      <c r="BF188" s="54"/>
      <c r="BG188" s="21" t="str">
        <f>IFERROR(VLOOKUP(October[[#This Row],[Drug Name6]],'Data Options'!$R$1:$S$100,2,FALSE), " ")</f>
        <v xml:space="preserve"> </v>
      </c>
      <c r="BH188" s="55"/>
      <c r="BI188" s="32"/>
      <c r="BJ188" s="32"/>
      <c r="BK188" s="55"/>
      <c r="BL188" s="32"/>
      <c r="BM188" s="32"/>
      <c r="BN188" s="32"/>
      <c r="BO188" s="32"/>
      <c r="BP188" s="32"/>
      <c r="BQ188" s="31"/>
      <c r="BR188" s="31"/>
      <c r="BS188" s="54"/>
      <c r="BT188" s="21" t="str">
        <f>IFERROR(VLOOKUP(October[[#This Row],[Drug Name7]],'Data Options'!$R$1:$S$100,2,FALSE), " ")</f>
        <v xml:space="preserve"> </v>
      </c>
      <c r="BU188" s="55"/>
      <c r="BV188" s="32"/>
      <c r="BW188" s="32"/>
      <c r="BX188" s="55"/>
      <c r="BY188" s="32"/>
      <c r="BZ188" s="54"/>
      <c r="CA188" s="21" t="str">
        <f>IFERROR(VLOOKUP(October[[#This Row],[Drug Name8]],'Data Options'!$R$1:$S$100,2,FALSE), " ")</f>
        <v xml:space="preserve"> </v>
      </c>
      <c r="CB188" s="55"/>
      <c r="CC188" s="32"/>
      <c r="CD188" s="32"/>
      <c r="CE188" s="55"/>
      <c r="CF188" s="32"/>
      <c r="CG188" s="54"/>
      <c r="CH188" s="21" t="str">
        <f>IFERROR(VLOOKUP(October[[#This Row],[Drug Name9]],'Data Options'!$R$1:$S$100,2,FALSE), " ")</f>
        <v xml:space="preserve"> </v>
      </c>
      <c r="CI188" s="55"/>
      <c r="CJ188" s="32"/>
      <c r="CK188" s="32"/>
      <c r="CL188" s="55"/>
      <c r="CM188" s="32"/>
    </row>
    <row r="189" spans="1:91">
      <c r="A189" s="5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/>
      <c r="P189" s="31"/>
      <c r="Q189" s="54"/>
      <c r="R189" s="21" t="str">
        <f>IFERROR(VLOOKUP(October[[#This Row],[Drug Name]],'Data Options'!$R$1:$S$100,2,FALSE), " ")</f>
        <v xml:space="preserve"> </v>
      </c>
      <c r="S189" s="55"/>
      <c r="T189" s="32"/>
      <c r="U189" s="32"/>
      <c r="V189" s="55"/>
      <c r="W189" s="32"/>
      <c r="X189" s="54"/>
      <c r="Y189" s="21" t="str">
        <f>IFERROR(VLOOKUP(October[[#This Row],[Drug Name2]],'Data Options'!$R$1:$S$100,2,FALSE), " ")</f>
        <v xml:space="preserve"> </v>
      </c>
      <c r="Z189" s="55"/>
      <c r="AA189" s="32"/>
      <c r="AB189" s="32"/>
      <c r="AC189" s="55"/>
      <c r="AD189" s="32"/>
      <c r="AE189" s="54"/>
      <c r="AF189" s="21" t="str">
        <f>IFERROR(VLOOKUP(October[[#This Row],[Drug Name3]],'Data Options'!$R$1:$S$100,2,FALSE), " ")</f>
        <v xml:space="preserve"> </v>
      </c>
      <c r="AG189" s="55"/>
      <c r="AH189" s="32"/>
      <c r="AI189" s="32"/>
      <c r="AJ189" s="55"/>
      <c r="AK189" s="32"/>
      <c r="AL189" s="32"/>
      <c r="AM189" s="32"/>
      <c r="AN189" s="32"/>
      <c r="AO189" s="32"/>
      <c r="AP189" s="31"/>
      <c r="AQ189" s="31"/>
      <c r="AR189" s="54"/>
      <c r="AS189" s="21" t="str">
        <f>IFERROR(VLOOKUP(October[[#This Row],[Drug Name4]],'Data Options'!$R$1:$S$100,2,FALSE), " ")</f>
        <v xml:space="preserve"> </v>
      </c>
      <c r="AT189" s="55"/>
      <c r="AU189" s="32"/>
      <c r="AV189" s="32"/>
      <c r="AW189" s="55"/>
      <c r="AX189" s="32"/>
      <c r="AY189" s="54"/>
      <c r="AZ189" s="21" t="str">
        <f>IFERROR(VLOOKUP(October[[#This Row],[Drug Name5]],'Data Options'!$R$1:$S$100,2,FALSE), " ")</f>
        <v xml:space="preserve"> </v>
      </c>
      <c r="BA189" s="55"/>
      <c r="BB189" s="32"/>
      <c r="BC189" s="32"/>
      <c r="BD189" s="55"/>
      <c r="BE189" s="32"/>
      <c r="BF189" s="54"/>
      <c r="BG189" s="21" t="str">
        <f>IFERROR(VLOOKUP(October[[#This Row],[Drug Name6]],'Data Options'!$R$1:$S$100,2,FALSE), " ")</f>
        <v xml:space="preserve"> </v>
      </c>
      <c r="BH189" s="55"/>
      <c r="BI189" s="32"/>
      <c r="BJ189" s="32"/>
      <c r="BK189" s="55"/>
      <c r="BL189" s="32"/>
      <c r="BM189" s="32"/>
      <c r="BN189" s="32"/>
      <c r="BO189" s="32"/>
      <c r="BP189" s="32"/>
      <c r="BQ189" s="31"/>
      <c r="BR189" s="31"/>
      <c r="BS189" s="54"/>
      <c r="BT189" s="21" t="str">
        <f>IFERROR(VLOOKUP(October[[#This Row],[Drug Name7]],'Data Options'!$R$1:$S$100,2,FALSE), " ")</f>
        <v xml:space="preserve"> </v>
      </c>
      <c r="BU189" s="55"/>
      <c r="BV189" s="32"/>
      <c r="BW189" s="32"/>
      <c r="BX189" s="55"/>
      <c r="BY189" s="32"/>
      <c r="BZ189" s="54"/>
      <c r="CA189" s="21" t="str">
        <f>IFERROR(VLOOKUP(October[[#This Row],[Drug Name8]],'Data Options'!$R$1:$S$100,2,FALSE), " ")</f>
        <v xml:space="preserve"> </v>
      </c>
      <c r="CB189" s="55"/>
      <c r="CC189" s="32"/>
      <c r="CD189" s="32"/>
      <c r="CE189" s="55"/>
      <c r="CF189" s="32"/>
      <c r="CG189" s="54"/>
      <c r="CH189" s="21" t="str">
        <f>IFERROR(VLOOKUP(October[[#This Row],[Drug Name9]],'Data Options'!$R$1:$S$100,2,FALSE), " ")</f>
        <v xml:space="preserve"> </v>
      </c>
      <c r="CI189" s="55"/>
      <c r="CJ189" s="32"/>
      <c r="CK189" s="32"/>
      <c r="CL189" s="55"/>
      <c r="CM189" s="32"/>
    </row>
    <row r="190" spans="1:91">
      <c r="A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54"/>
      <c r="R190" s="21" t="str">
        <f>IFERROR(VLOOKUP(October[[#This Row],[Drug Name]],'Data Options'!$R$1:$S$100,2,FALSE), " ")</f>
        <v xml:space="preserve"> </v>
      </c>
      <c r="S190" s="55"/>
      <c r="T190" s="32"/>
      <c r="U190" s="32"/>
      <c r="V190" s="55"/>
      <c r="W190" s="32"/>
      <c r="X190" s="54"/>
      <c r="Y190" s="21" t="str">
        <f>IFERROR(VLOOKUP(October[[#This Row],[Drug Name2]],'Data Options'!$R$1:$S$100,2,FALSE), " ")</f>
        <v xml:space="preserve"> </v>
      </c>
      <c r="Z190" s="55"/>
      <c r="AA190" s="32"/>
      <c r="AB190" s="32"/>
      <c r="AC190" s="55"/>
      <c r="AD190" s="32"/>
      <c r="AE190" s="54"/>
      <c r="AF190" s="21" t="str">
        <f>IFERROR(VLOOKUP(October[[#This Row],[Drug Name3]],'Data Options'!$R$1:$S$100,2,FALSE), " ")</f>
        <v xml:space="preserve"> </v>
      </c>
      <c r="AG190" s="55"/>
      <c r="AH190" s="32"/>
      <c r="AI190" s="32"/>
      <c r="AJ190" s="55"/>
      <c r="AK190" s="32"/>
      <c r="AL190" s="32"/>
      <c r="AM190" s="32"/>
      <c r="AN190" s="32"/>
      <c r="AO190" s="32"/>
      <c r="AP190" s="31"/>
      <c r="AQ190" s="31"/>
      <c r="AR190" s="54"/>
      <c r="AS190" s="21" t="str">
        <f>IFERROR(VLOOKUP(October[[#This Row],[Drug Name4]],'Data Options'!$R$1:$S$100,2,FALSE), " ")</f>
        <v xml:space="preserve"> </v>
      </c>
      <c r="AT190" s="55"/>
      <c r="AU190" s="32"/>
      <c r="AV190" s="32"/>
      <c r="AW190" s="55"/>
      <c r="AX190" s="32"/>
      <c r="AY190" s="54"/>
      <c r="AZ190" s="21" t="str">
        <f>IFERROR(VLOOKUP(October[[#This Row],[Drug Name5]],'Data Options'!$R$1:$S$100,2,FALSE), " ")</f>
        <v xml:space="preserve"> </v>
      </c>
      <c r="BA190" s="55"/>
      <c r="BB190" s="32"/>
      <c r="BC190" s="32"/>
      <c r="BD190" s="55"/>
      <c r="BE190" s="32"/>
      <c r="BF190" s="54"/>
      <c r="BG190" s="21" t="str">
        <f>IFERROR(VLOOKUP(October[[#This Row],[Drug Name6]],'Data Options'!$R$1:$S$100,2,FALSE), " ")</f>
        <v xml:space="preserve"> </v>
      </c>
      <c r="BH190" s="55"/>
      <c r="BI190" s="32"/>
      <c r="BJ190" s="32"/>
      <c r="BK190" s="55"/>
      <c r="BL190" s="32"/>
      <c r="BM190" s="32"/>
      <c r="BN190" s="32"/>
      <c r="BO190" s="32"/>
      <c r="BP190" s="32"/>
      <c r="BQ190" s="31"/>
      <c r="BR190" s="31"/>
      <c r="BS190" s="54"/>
      <c r="BT190" s="21" t="str">
        <f>IFERROR(VLOOKUP(October[[#This Row],[Drug Name7]],'Data Options'!$R$1:$S$100,2,FALSE), " ")</f>
        <v xml:space="preserve"> </v>
      </c>
      <c r="BU190" s="55"/>
      <c r="BV190" s="32"/>
      <c r="BW190" s="32"/>
      <c r="BX190" s="55"/>
      <c r="BY190" s="32"/>
      <c r="BZ190" s="54"/>
      <c r="CA190" s="21" t="str">
        <f>IFERROR(VLOOKUP(October[[#This Row],[Drug Name8]],'Data Options'!$R$1:$S$100,2,FALSE), " ")</f>
        <v xml:space="preserve"> </v>
      </c>
      <c r="CB190" s="55"/>
      <c r="CC190" s="32"/>
      <c r="CD190" s="32"/>
      <c r="CE190" s="55"/>
      <c r="CF190" s="32"/>
      <c r="CG190" s="54"/>
      <c r="CH190" s="21" t="str">
        <f>IFERROR(VLOOKUP(October[[#This Row],[Drug Name9]],'Data Options'!$R$1:$S$100,2,FALSE), " ")</f>
        <v xml:space="preserve"> </v>
      </c>
      <c r="CI190" s="55"/>
      <c r="CJ190" s="32"/>
      <c r="CK190" s="32"/>
      <c r="CL190" s="55"/>
      <c r="CM190" s="32"/>
    </row>
    <row r="191" spans="1:91">
      <c r="A191" s="5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1"/>
      <c r="P191" s="31"/>
      <c r="Q191" s="54"/>
      <c r="R191" s="21" t="str">
        <f>IFERROR(VLOOKUP(October[[#This Row],[Drug Name]],'Data Options'!$R$1:$S$100,2,FALSE), " ")</f>
        <v xml:space="preserve"> </v>
      </c>
      <c r="S191" s="55"/>
      <c r="T191" s="32"/>
      <c r="U191" s="32"/>
      <c r="V191" s="55"/>
      <c r="W191" s="32"/>
      <c r="X191" s="54"/>
      <c r="Y191" s="21" t="str">
        <f>IFERROR(VLOOKUP(October[[#This Row],[Drug Name2]],'Data Options'!$R$1:$S$100,2,FALSE), " ")</f>
        <v xml:space="preserve"> </v>
      </c>
      <c r="Z191" s="55"/>
      <c r="AA191" s="32"/>
      <c r="AB191" s="32"/>
      <c r="AC191" s="55"/>
      <c r="AD191" s="32"/>
      <c r="AE191" s="54"/>
      <c r="AF191" s="21" t="str">
        <f>IFERROR(VLOOKUP(October[[#This Row],[Drug Name3]],'Data Options'!$R$1:$S$100,2,FALSE), " ")</f>
        <v xml:space="preserve"> </v>
      </c>
      <c r="AG191" s="55"/>
      <c r="AH191" s="32"/>
      <c r="AI191" s="32"/>
      <c r="AJ191" s="55"/>
      <c r="AK191" s="32"/>
      <c r="AL191" s="32"/>
      <c r="AM191" s="32"/>
      <c r="AN191" s="32"/>
      <c r="AO191" s="32"/>
      <c r="AP191" s="31"/>
      <c r="AQ191" s="31"/>
      <c r="AR191" s="54"/>
      <c r="AS191" s="21" t="str">
        <f>IFERROR(VLOOKUP(October[[#This Row],[Drug Name4]],'Data Options'!$R$1:$S$100,2,FALSE), " ")</f>
        <v xml:space="preserve"> </v>
      </c>
      <c r="AT191" s="55"/>
      <c r="AU191" s="32"/>
      <c r="AV191" s="32"/>
      <c r="AW191" s="55"/>
      <c r="AX191" s="32"/>
      <c r="AY191" s="54"/>
      <c r="AZ191" s="21" t="str">
        <f>IFERROR(VLOOKUP(October[[#This Row],[Drug Name5]],'Data Options'!$R$1:$S$100,2,FALSE), " ")</f>
        <v xml:space="preserve"> </v>
      </c>
      <c r="BA191" s="55"/>
      <c r="BB191" s="32"/>
      <c r="BC191" s="32"/>
      <c r="BD191" s="55"/>
      <c r="BE191" s="32"/>
      <c r="BF191" s="54"/>
      <c r="BG191" s="21" t="str">
        <f>IFERROR(VLOOKUP(October[[#This Row],[Drug Name6]],'Data Options'!$R$1:$S$100,2,FALSE), " ")</f>
        <v xml:space="preserve"> </v>
      </c>
      <c r="BH191" s="55"/>
      <c r="BI191" s="32"/>
      <c r="BJ191" s="32"/>
      <c r="BK191" s="55"/>
      <c r="BL191" s="32"/>
      <c r="BM191" s="32"/>
      <c r="BN191" s="32"/>
      <c r="BO191" s="32"/>
      <c r="BP191" s="32"/>
      <c r="BQ191" s="31"/>
      <c r="BR191" s="31"/>
      <c r="BS191" s="54"/>
      <c r="BT191" s="21" t="str">
        <f>IFERROR(VLOOKUP(October[[#This Row],[Drug Name7]],'Data Options'!$R$1:$S$100,2,FALSE), " ")</f>
        <v xml:space="preserve"> </v>
      </c>
      <c r="BU191" s="55"/>
      <c r="BV191" s="32"/>
      <c r="BW191" s="32"/>
      <c r="BX191" s="55"/>
      <c r="BY191" s="32"/>
      <c r="BZ191" s="54"/>
      <c r="CA191" s="21" t="str">
        <f>IFERROR(VLOOKUP(October[[#This Row],[Drug Name8]],'Data Options'!$R$1:$S$100,2,FALSE), " ")</f>
        <v xml:space="preserve"> </v>
      </c>
      <c r="CB191" s="55"/>
      <c r="CC191" s="32"/>
      <c r="CD191" s="32"/>
      <c r="CE191" s="55"/>
      <c r="CF191" s="32"/>
      <c r="CG191" s="54"/>
      <c r="CH191" s="21" t="str">
        <f>IFERROR(VLOOKUP(October[[#This Row],[Drug Name9]],'Data Options'!$R$1:$S$100,2,FALSE), " ")</f>
        <v xml:space="preserve"> </v>
      </c>
      <c r="CI191" s="55"/>
      <c r="CJ191" s="32"/>
      <c r="CK191" s="32"/>
      <c r="CL191" s="55"/>
      <c r="CM191" s="32"/>
    </row>
    <row r="192" spans="1:91">
      <c r="A192" s="5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1"/>
      <c r="P192" s="31"/>
      <c r="Q192" s="54"/>
      <c r="R192" s="21" t="str">
        <f>IFERROR(VLOOKUP(October[[#This Row],[Drug Name]],'Data Options'!$R$1:$S$100,2,FALSE), " ")</f>
        <v xml:space="preserve"> </v>
      </c>
      <c r="S192" s="55"/>
      <c r="T192" s="32"/>
      <c r="U192" s="32"/>
      <c r="V192" s="55"/>
      <c r="W192" s="32"/>
      <c r="X192" s="54"/>
      <c r="Y192" s="21" t="str">
        <f>IFERROR(VLOOKUP(October[[#This Row],[Drug Name2]],'Data Options'!$R$1:$S$100,2,FALSE), " ")</f>
        <v xml:space="preserve"> </v>
      </c>
      <c r="Z192" s="55"/>
      <c r="AA192" s="32"/>
      <c r="AB192" s="32"/>
      <c r="AC192" s="55"/>
      <c r="AD192" s="32"/>
      <c r="AE192" s="54"/>
      <c r="AF192" s="21" t="str">
        <f>IFERROR(VLOOKUP(October[[#This Row],[Drug Name3]],'Data Options'!$R$1:$S$100,2,FALSE), " ")</f>
        <v xml:space="preserve"> </v>
      </c>
      <c r="AG192" s="55"/>
      <c r="AH192" s="32"/>
      <c r="AI192" s="32"/>
      <c r="AJ192" s="55"/>
      <c r="AK192" s="32"/>
      <c r="AL192" s="32"/>
      <c r="AM192" s="32"/>
      <c r="AN192" s="32"/>
      <c r="AO192" s="32"/>
      <c r="AP192" s="31"/>
      <c r="AQ192" s="31"/>
      <c r="AR192" s="54"/>
      <c r="AS192" s="21" t="str">
        <f>IFERROR(VLOOKUP(October[[#This Row],[Drug Name4]],'Data Options'!$R$1:$S$100,2,FALSE), " ")</f>
        <v xml:space="preserve"> </v>
      </c>
      <c r="AT192" s="55"/>
      <c r="AU192" s="32"/>
      <c r="AV192" s="32"/>
      <c r="AW192" s="55"/>
      <c r="AX192" s="32"/>
      <c r="AY192" s="54"/>
      <c r="AZ192" s="21" t="str">
        <f>IFERROR(VLOOKUP(October[[#This Row],[Drug Name5]],'Data Options'!$R$1:$S$100,2,FALSE), " ")</f>
        <v xml:space="preserve"> </v>
      </c>
      <c r="BA192" s="55"/>
      <c r="BB192" s="32"/>
      <c r="BC192" s="32"/>
      <c r="BD192" s="55"/>
      <c r="BE192" s="32"/>
      <c r="BF192" s="54"/>
      <c r="BG192" s="21" t="str">
        <f>IFERROR(VLOOKUP(October[[#This Row],[Drug Name6]],'Data Options'!$R$1:$S$100,2,FALSE), " ")</f>
        <v xml:space="preserve"> </v>
      </c>
      <c r="BH192" s="55"/>
      <c r="BI192" s="32"/>
      <c r="BJ192" s="32"/>
      <c r="BK192" s="55"/>
      <c r="BL192" s="32"/>
      <c r="BM192" s="32"/>
      <c r="BN192" s="32"/>
      <c r="BO192" s="32"/>
      <c r="BP192" s="32"/>
      <c r="BQ192" s="31"/>
      <c r="BR192" s="31"/>
      <c r="BS192" s="54"/>
      <c r="BT192" s="21" t="str">
        <f>IFERROR(VLOOKUP(October[[#This Row],[Drug Name7]],'Data Options'!$R$1:$S$100,2,FALSE), " ")</f>
        <v xml:space="preserve"> </v>
      </c>
      <c r="BU192" s="55"/>
      <c r="BV192" s="32"/>
      <c r="BW192" s="32"/>
      <c r="BX192" s="55"/>
      <c r="BY192" s="32"/>
      <c r="BZ192" s="54"/>
      <c r="CA192" s="21" t="str">
        <f>IFERROR(VLOOKUP(October[[#This Row],[Drug Name8]],'Data Options'!$R$1:$S$100,2,FALSE), " ")</f>
        <v xml:space="preserve"> </v>
      </c>
      <c r="CB192" s="55"/>
      <c r="CC192" s="32"/>
      <c r="CD192" s="32"/>
      <c r="CE192" s="55"/>
      <c r="CF192" s="32"/>
      <c r="CG192" s="54"/>
      <c r="CH192" s="21" t="str">
        <f>IFERROR(VLOOKUP(October[[#This Row],[Drug Name9]],'Data Options'!$R$1:$S$100,2,FALSE), " ")</f>
        <v xml:space="preserve"> </v>
      </c>
      <c r="CI192" s="55"/>
      <c r="CJ192" s="32"/>
      <c r="CK192" s="32"/>
      <c r="CL192" s="55"/>
      <c r="CM192" s="32"/>
    </row>
    <row r="193" spans="1:91">
      <c r="A193" s="5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1"/>
      <c r="P193" s="31"/>
      <c r="Q193" s="54"/>
      <c r="R193" s="21" t="str">
        <f>IFERROR(VLOOKUP(October[[#This Row],[Drug Name]],'Data Options'!$R$1:$S$100,2,FALSE), " ")</f>
        <v xml:space="preserve"> </v>
      </c>
      <c r="S193" s="55"/>
      <c r="T193" s="32"/>
      <c r="U193" s="32"/>
      <c r="V193" s="55"/>
      <c r="W193" s="32"/>
      <c r="X193" s="54"/>
      <c r="Y193" s="21" t="str">
        <f>IFERROR(VLOOKUP(October[[#This Row],[Drug Name2]],'Data Options'!$R$1:$S$100,2,FALSE), " ")</f>
        <v xml:space="preserve"> </v>
      </c>
      <c r="Z193" s="55"/>
      <c r="AA193" s="32"/>
      <c r="AB193" s="32"/>
      <c r="AC193" s="55"/>
      <c r="AD193" s="32"/>
      <c r="AE193" s="54"/>
      <c r="AF193" s="21" t="str">
        <f>IFERROR(VLOOKUP(October[[#This Row],[Drug Name3]],'Data Options'!$R$1:$S$100,2,FALSE), " ")</f>
        <v xml:space="preserve"> </v>
      </c>
      <c r="AG193" s="55"/>
      <c r="AH193" s="32"/>
      <c r="AI193" s="32"/>
      <c r="AJ193" s="55"/>
      <c r="AK193" s="32"/>
      <c r="AL193" s="32"/>
      <c r="AM193" s="32"/>
      <c r="AN193" s="32"/>
      <c r="AO193" s="32"/>
      <c r="AP193" s="31"/>
      <c r="AQ193" s="31"/>
      <c r="AR193" s="54"/>
      <c r="AS193" s="21" t="str">
        <f>IFERROR(VLOOKUP(October[[#This Row],[Drug Name4]],'Data Options'!$R$1:$S$100,2,FALSE), " ")</f>
        <v xml:space="preserve"> </v>
      </c>
      <c r="AT193" s="55"/>
      <c r="AU193" s="32"/>
      <c r="AV193" s="32"/>
      <c r="AW193" s="55"/>
      <c r="AX193" s="32"/>
      <c r="AY193" s="54"/>
      <c r="AZ193" s="21" t="str">
        <f>IFERROR(VLOOKUP(October[[#This Row],[Drug Name5]],'Data Options'!$R$1:$S$100,2,FALSE), " ")</f>
        <v xml:space="preserve"> </v>
      </c>
      <c r="BA193" s="55"/>
      <c r="BB193" s="32"/>
      <c r="BC193" s="32"/>
      <c r="BD193" s="55"/>
      <c r="BE193" s="32"/>
      <c r="BF193" s="54"/>
      <c r="BG193" s="21" t="str">
        <f>IFERROR(VLOOKUP(October[[#This Row],[Drug Name6]],'Data Options'!$R$1:$S$100,2,FALSE), " ")</f>
        <v xml:space="preserve"> </v>
      </c>
      <c r="BH193" s="55"/>
      <c r="BI193" s="32"/>
      <c r="BJ193" s="32"/>
      <c r="BK193" s="55"/>
      <c r="BL193" s="32"/>
      <c r="BM193" s="32"/>
      <c r="BN193" s="32"/>
      <c r="BO193" s="32"/>
      <c r="BP193" s="32"/>
      <c r="BQ193" s="31"/>
      <c r="BR193" s="31"/>
      <c r="BS193" s="54"/>
      <c r="BT193" s="21" t="str">
        <f>IFERROR(VLOOKUP(October[[#This Row],[Drug Name7]],'Data Options'!$R$1:$S$100,2,FALSE), " ")</f>
        <v xml:space="preserve"> </v>
      </c>
      <c r="BU193" s="55"/>
      <c r="BV193" s="32"/>
      <c r="BW193" s="32"/>
      <c r="BX193" s="55"/>
      <c r="BY193" s="32"/>
      <c r="BZ193" s="54"/>
      <c r="CA193" s="21" t="str">
        <f>IFERROR(VLOOKUP(October[[#This Row],[Drug Name8]],'Data Options'!$R$1:$S$100,2,FALSE), " ")</f>
        <v xml:space="preserve"> </v>
      </c>
      <c r="CB193" s="55"/>
      <c r="CC193" s="32"/>
      <c r="CD193" s="32"/>
      <c r="CE193" s="55"/>
      <c r="CF193" s="32"/>
      <c r="CG193" s="54"/>
      <c r="CH193" s="21" t="str">
        <f>IFERROR(VLOOKUP(October[[#This Row],[Drug Name9]],'Data Options'!$R$1:$S$100,2,FALSE), " ")</f>
        <v xml:space="preserve"> </v>
      </c>
      <c r="CI193" s="55"/>
      <c r="CJ193" s="32"/>
      <c r="CK193" s="32"/>
      <c r="CL193" s="55"/>
      <c r="CM193" s="32"/>
    </row>
    <row r="194" spans="1:91">
      <c r="A194" s="5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1"/>
      <c r="P194" s="31"/>
      <c r="Q194" s="54"/>
      <c r="R194" s="21" t="str">
        <f>IFERROR(VLOOKUP(October[[#This Row],[Drug Name]],'Data Options'!$R$1:$S$100,2,FALSE), " ")</f>
        <v xml:space="preserve"> </v>
      </c>
      <c r="S194" s="55"/>
      <c r="T194" s="32"/>
      <c r="U194" s="32"/>
      <c r="V194" s="55"/>
      <c r="W194" s="32"/>
      <c r="X194" s="54"/>
      <c r="Y194" s="21" t="str">
        <f>IFERROR(VLOOKUP(October[[#This Row],[Drug Name2]],'Data Options'!$R$1:$S$100,2,FALSE), " ")</f>
        <v xml:space="preserve"> </v>
      </c>
      <c r="Z194" s="55"/>
      <c r="AA194" s="32"/>
      <c r="AB194" s="32"/>
      <c r="AC194" s="55"/>
      <c r="AD194" s="32"/>
      <c r="AE194" s="54"/>
      <c r="AF194" s="21" t="str">
        <f>IFERROR(VLOOKUP(October[[#This Row],[Drug Name3]],'Data Options'!$R$1:$S$100,2,FALSE), " ")</f>
        <v xml:space="preserve"> </v>
      </c>
      <c r="AG194" s="55"/>
      <c r="AH194" s="32"/>
      <c r="AI194" s="32"/>
      <c r="AJ194" s="55"/>
      <c r="AK194" s="32"/>
      <c r="AL194" s="32"/>
      <c r="AM194" s="32"/>
      <c r="AN194" s="32"/>
      <c r="AO194" s="32"/>
      <c r="AP194" s="31"/>
      <c r="AQ194" s="31"/>
      <c r="AR194" s="54"/>
      <c r="AS194" s="21" t="str">
        <f>IFERROR(VLOOKUP(October[[#This Row],[Drug Name4]],'Data Options'!$R$1:$S$100,2,FALSE), " ")</f>
        <v xml:space="preserve"> </v>
      </c>
      <c r="AT194" s="55"/>
      <c r="AU194" s="32"/>
      <c r="AV194" s="32"/>
      <c r="AW194" s="55"/>
      <c r="AX194" s="32"/>
      <c r="AY194" s="54"/>
      <c r="AZ194" s="21" t="str">
        <f>IFERROR(VLOOKUP(October[[#This Row],[Drug Name5]],'Data Options'!$R$1:$S$100,2,FALSE), " ")</f>
        <v xml:space="preserve"> </v>
      </c>
      <c r="BA194" s="55"/>
      <c r="BB194" s="32"/>
      <c r="BC194" s="32"/>
      <c r="BD194" s="55"/>
      <c r="BE194" s="32"/>
      <c r="BF194" s="54"/>
      <c r="BG194" s="21" t="str">
        <f>IFERROR(VLOOKUP(October[[#This Row],[Drug Name6]],'Data Options'!$R$1:$S$100,2,FALSE), " ")</f>
        <v xml:space="preserve"> </v>
      </c>
      <c r="BH194" s="55"/>
      <c r="BI194" s="32"/>
      <c r="BJ194" s="32"/>
      <c r="BK194" s="55"/>
      <c r="BL194" s="32"/>
      <c r="BM194" s="32"/>
      <c r="BN194" s="32"/>
      <c r="BO194" s="32"/>
      <c r="BP194" s="32"/>
      <c r="BQ194" s="31"/>
      <c r="BR194" s="31"/>
      <c r="BS194" s="54"/>
      <c r="BT194" s="21" t="str">
        <f>IFERROR(VLOOKUP(October[[#This Row],[Drug Name7]],'Data Options'!$R$1:$S$100,2,FALSE), " ")</f>
        <v xml:space="preserve"> </v>
      </c>
      <c r="BU194" s="55"/>
      <c r="BV194" s="32"/>
      <c r="BW194" s="32"/>
      <c r="BX194" s="55"/>
      <c r="BY194" s="32"/>
      <c r="BZ194" s="54"/>
      <c r="CA194" s="21" t="str">
        <f>IFERROR(VLOOKUP(October[[#This Row],[Drug Name8]],'Data Options'!$R$1:$S$100,2,FALSE), " ")</f>
        <v xml:space="preserve"> </v>
      </c>
      <c r="CB194" s="55"/>
      <c r="CC194" s="32"/>
      <c r="CD194" s="32"/>
      <c r="CE194" s="55"/>
      <c r="CF194" s="32"/>
      <c r="CG194" s="54"/>
      <c r="CH194" s="21" t="str">
        <f>IFERROR(VLOOKUP(October[[#This Row],[Drug Name9]],'Data Options'!$R$1:$S$100,2,FALSE), " ")</f>
        <v xml:space="preserve"> </v>
      </c>
      <c r="CI194" s="55"/>
      <c r="CJ194" s="32"/>
      <c r="CK194" s="32"/>
      <c r="CL194" s="55"/>
      <c r="CM194" s="32"/>
    </row>
    <row r="195" spans="1:91">
      <c r="A195" s="5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1"/>
      <c r="P195" s="31"/>
      <c r="Q195" s="54"/>
      <c r="R195" s="21" t="str">
        <f>IFERROR(VLOOKUP(October[[#This Row],[Drug Name]],'Data Options'!$R$1:$S$100,2,FALSE), " ")</f>
        <v xml:space="preserve"> </v>
      </c>
      <c r="S195" s="55"/>
      <c r="T195" s="32"/>
      <c r="U195" s="32"/>
      <c r="V195" s="55"/>
      <c r="W195" s="32"/>
      <c r="X195" s="54"/>
      <c r="Y195" s="21" t="str">
        <f>IFERROR(VLOOKUP(October[[#This Row],[Drug Name2]],'Data Options'!$R$1:$S$100,2,FALSE), " ")</f>
        <v xml:space="preserve"> </v>
      </c>
      <c r="Z195" s="55"/>
      <c r="AA195" s="32"/>
      <c r="AB195" s="32"/>
      <c r="AC195" s="55"/>
      <c r="AD195" s="32"/>
      <c r="AE195" s="54"/>
      <c r="AF195" s="21" t="str">
        <f>IFERROR(VLOOKUP(October[[#This Row],[Drug Name3]],'Data Options'!$R$1:$S$100,2,FALSE), " ")</f>
        <v xml:space="preserve"> </v>
      </c>
      <c r="AG195" s="55"/>
      <c r="AH195" s="32"/>
      <c r="AI195" s="32"/>
      <c r="AJ195" s="55"/>
      <c r="AK195" s="32"/>
      <c r="AL195" s="32"/>
      <c r="AM195" s="32"/>
      <c r="AN195" s="32"/>
      <c r="AO195" s="32"/>
      <c r="AP195" s="31"/>
      <c r="AQ195" s="31"/>
      <c r="AR195" s="54"/>
      <c r="AS195" s="21" t="str">
        <f>IFERROR(VLOOKUP(October[[#This Row],[Drug Name4]],'Data Options'!$R$1:$S$100,2,FALSE), " ")</f>
        <v xml:space="preserve"> </v>
      </c>
      <c r="AT195" s="55"/>
      <c r="AU195" s="32"/>
      <c r="AV195" s="32"/>
      <c r="AW195" s="55"/>
      <c r="AX195" s="32"/>
      <c r="AY195" s="54"/>
      <c r="AZ195" s="21" t="str">
        <f>IFERROR(VLOOKUP(October[[#This Row],[Drug Name5]],'Data Options'!$R$1:$S$100,2,FALSE), " ")</f>
        <v xml:space="preserve"> </v>
      </c>
      <c r="BA195" s="55"/>
      <c r="BB195" s="32"/>
      <c r="BC195" s="32"/>
      <c r="BD195" s="55"/>
      <c r="BE195" s="32"/>
      <c r="BF195" s="54"/>
      <c r="BG195" s="21" t="str">
        <f>IFERROR(VLOOKUP(October[[#This Row],[Drug Name6]],'Data Options'!$R$1:$S$100,2,FALSE), " ")</f>
        <v xml:space="preserve"> </v>
      </c>
      <c r="BH195" s="55"/>
      <c r="BI195" s="32"/>
      <c r="BJ195" s="32"/>
      <c r="BK195" s="55"/>
      <c r="BL195" s="32"/>
      <c r="BM195" s="32"/>
      <c r="BN195" s="32"/>
      <c r="BO195" s="32"/>
      <c r="BP195" s="32"/>
      <c r="BQ195" s="31"/>
      <c r="BR195" s="31"/>
      <c r="BS195" s="54"/>
      <c r="BT195" s="21" t="str">
        <f>IFERROR(VLOOKUP(October[[#This Row],[Drug Name7]],'Data Options'!$R$1:$S$100,2,FALSE), " ")</f>
        <v xml:space="preserve"> </v>
      </c>
      <c r="BU195" s="55"/>
      <c r="BV195" s="32"/>
      <c r="BW195" s="32"/>
      <c r="BX195" s="55"/>
      <c r="BY195" s="32"/>
      <c r="BZ195" s="54"/>
      <c r="CA195" s="21" t="str">
        <f>IFERROR(VLOOKUP(October[[#This Row],[Drug Name8]],'Data Options'!$R$1:$S$100,2,FALSE), " ")</f>
        <v xml:space="preserve"> </v>
      </c>
      <c r="CB195" s="55"/>
      <c r="CC195" s="32"/>
      <c r="CD195" s="32"/>
      <c r="CE195" s="55"/>
      <c r="CF195" s="32"/>
      <c r="CG195" s="54"/>
      <c r="CH195" s="21" t="str">
        <f>IFERROR(VLOOKUP(October[[#This Row],[Drug Name9]],'Data Options'!$R$1:$S$100,2,FALSE), " ")</f>
        <v xml:space="preserve"> </v>
      </c>
      <c r="CI195" s="55"/>
      <c r="CJ195" s="32"/>
      <c r="CK195" s="32"/>
      <c r="CL195" s="55"/>
      <c r="CM195" s="32"/>
    </row>
    <row r="196" spans="1:91">
      <c r="A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1"/>
      <c r="P196" s="31"/>
      <c r="Q196" s="54"/>
      <c r="R196" s="21" t="str">
        <f>IFERROR(VLOOKUP(October[[#This Row],[Drug Name]],'Data Options'!$R$1:$S$100,2,FALSE), " ")</f>
        <v xml:space="preserve"> </v>
      </c>
      <c r="S196" s="55"/>
      <c r="T196" s="32"/>
      <c r="U196" s="32"/>
      <c r="V196" s="55"/>
      <c r="W196" s="32"/>
      <c r="X196" s="54"/>
      <c r="Y196" s="21" t="str">
        <f>IFERROR(VLOOKUP(October[[#This Row],[Drug Name2]],'Data Options'!$R$1:$S$100,2,FALSE), " ")</f>
        <v xml:space="preserve"> </v>
      </c>
      <c r="Z196" s="55"/>
      <c r="AA196" s="32"/>
      <c r="AB196" s="32"/>
      <c r="AC196" s="55"/>
      <c r="AD196" s="32"/>
      <c r="AE196" s="54"/>
      <c r="AF196" s="21" t="str">
        <f>IFERROR(VLOOKUP(October[[#This Row],[Drug Name3]],'Data Options'!$R$1:$S$100,2,FALSE), " ")</f>
        <v xml:space="preserve"> </v>
      </c>
      <c r="AG196" s="55"/>
      <c r="AH196" s="32"/>
      <c r="AI196" s="32"/>
      <c r="AJ196" s="55"/>
      <c r="AK196" s="32"/>
      <c r="AL196" s="32"/>
      <c r="AM196" s="32"/>
      <c r="AN196" s="32"/>
      <c r="AO196" s="32"/>
      <c r="AP196" s="31"/>
      <c r="AQ196" s="31"/>
      <c r="AR196" s="54"/>
      <c r="AS196" s="21" t="str">
        <f>IFERROR(VLOOKUP(October[[#This Row],[Drug Name4]],'Data Options'!$R$1:$S$100,2,FALSE), " ")</f>
        <v xml:space="preserve"> </v>
      </c>
      <c r="AT196" s="55"/>
      <c r="AU196" s="32"/>
      <c r="AV196" s="32"/>
      <c r="AW196" s="55"/>
      <c r="AX196" s="32"/>
      <c r="AY196" s="54"/>
      <c r="AZ196" s="21" t="str">
        <f>IFERROR(VLOOKUP(October[[#This Row],[Drug Name5]],'Data Options'!$R$1:$S$100,2,FALSE), " ")</f>
        <v xml:space="preserve"> </v>
      </c>
      <c r="BA196" s="55"/>
      <c r="BB196" s="32"/>
      <c r="BC196" s="32"/>
      <c r="BD196" s="55"/>
      <c r="BE196" s="32"/>
      <c r="BF196" s="54"/>
      <c r="BG196" s="21" t="str">
        <f>IFERROR(VLOOKUP(October[[#This Row],[Drug Name6]],'Data Options'!$R$1:$S$100,2,FALSE), " ")</f>
        <v xml:space="preserve"> </v>
      </c>
      <c r="BH196" s="55"/>
      <c r="BI196" s="32"/>
      <c r="BJ196" s="32"/>
      <c r="BK196" s="55"/>
      <c r="BL196" s="32"/>
      <c r="BM196" s="32"/>
      <c r="BN196" s="32"/>
      <c r="BO196" s="32"/>
      <c r="BP196" s="32"/>
      <c r="BQ196" s="31"/>
      <c r="BR196" s="31"/>
      <c r="BS196" s="54"/>
      <c r="BT196" s="21" t="str">
        <f>IFERROR(VLOOKUP(October[[#This Row],[Drug Name7]],'Data Options'!$R$1:$S$100,2,FALSE), " ")</f>
        <v xml:space="preserve"> </v>
      </c>
      <c r="BU196" s="55"/>
      <c r="BV196" s="32"/>
      <c r="BW196" s="32"/>
      <c r="BX196" s="55"/>
      <c r="BY196" s="32"/>
      <c r="BZ196" s="54"/>
      <c r="CA196" s="21" t="str">
        <f>IFERROR(VLOOKUP(October[[#This Row],[Drug Name8]],'Data Options'!$R$1:$S$100,2,FALSE), " ")</f>
        <v xml:space="preserve"> </v>
      </c>
      <c r="CB196" s="55"/>
      <c r="CC196" s="32"/>
      <c r="CD196" s="32"/>
      <c r="CE196" s="55"/>
      <c r="CF196" s="32"/>
      <c r="CG196" s="54"/>
      <c r="CH196" s="21" t="str">
        <f>IFERROR(VLOOKUP(October[[#This Row],[Drug Name9]],'Data Options'!$R$1:$S$100,2,FALSE), " ")</f>
        <v xml:space="preserve"> </v>
      </c>
      <c r="CI196" s="55"/>
      <c r="CJ196" s="32"/>
      <c r="CK196" s="32"/>
      <c r="CL196" s="55"/>
      <c r="CM196" s="32"/>
    </row>
    <row r="197" spans="1:91">
      <c r="A197" s="5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1"/>
      <c r="P197" s="31"/>
      <c r="Q197" s="54"/>
      <c r="R197" s="21" t="str">
        <f>IFERROR(VLOOKUP(October[[#This Row],[Drug Name]],'Data Options'!$R$1:$S$100,2,FALSE), " ")</f>
        <v xml:space="preserve"> </v>
      </c>
      <c r="S197" s="55"/>
      <c r="T197" s="32"/>
      <c r="U197" s="32"/>
      <c r="V197" s="55"/>
      <c r="W197" s="32"/>
      <c r="X197" s="54"/>
      <c r="Y197" s="21" t="str">
        <f>IFERROR(VLOOKUP(October[[#This Row],[Drug Name2]],'Data Options'!$R$1:$S$100,2,FALSE), " ")</f>
        <v xml:space="preserve"> </v>
      </c>
      <c r="Z197" s="55"/>
      <c r="AA197" s="32"/>
      <c r="AB197" s="32"/>
      <c r="AC197" s="55"/>
      <c r="AD197" s="32"/>
      <c r="AE197" s="54"/>
      <c r="AF197" s="21" t="str">
        <f>IFERROR(VLOOKUP(October[[#This Row],[Drug Name3]],'Data Options'!$R$1:$S$100,2,FALSE), " ")</f>
        <v xml:space="preserve"> </v>
      </c>
      <c r="AG197" s="55"/>
      <c r="AH197" s="32"/>
      <c r="AI197" s="32"/>
      <c r="AJ197" s="55"/>
      <c r="AK197" s="32"/>
      <c r="AL197" s="32"/>
      <c r="AM197" s="32"/>
      <c r="AN197" s="32"/>
      <c r="AO197" s="32"/>
      <c r="AP197" s="31"/>
      <c r="AQ197" s="31"/>
      <c r="AR197" s="54"/>
      <c r="AS197" s="21" t="str">
        <f>IFERROR(VLOOKUP(October[[#This Row],[Drug Name4]],'Data Options'!$R$1:$S$100,2,FALSE), " ")</f>
        <v xml:space="preserve"> </v>
      </c>
      <c r="AT197" s="55"/>
      <c r="AU197" s="32"/>
      <c r="AV197" s="32"/>
      <c r="AW197" s="55"/>
      <c r="AX197" s="32"/>
      <c r="AY197" s="54"/>
      <c r="AZ197" s="21" t="str">
        <f>IFERROR(VLOOKUP(October[[#This Row],[Drug Name5]],'Data Options'!$R$1:$S$100,2,FALSE), " ")</f>
        <v xml:space="preserve"> </v>
      </c>
      <c r="BA197" s="55"/>
      <c r="BB197" s="32"/>
      <c r="BC197" s="32"/>
      <c r="BD197" s="55"/>
      <c r="BE197" s="32"/>
      <c r="BF197" s="54"/>
      <c r="BG197" s="21" t="str">
        <f>IFERROR(VLOOKUP(October[[#This Row],[Drug Name6]],'Data Options'!$R$1:$S$100,2,FALSE), " ")</f>
        <v xml:space="preserve"> </v>
      </c>
      <c r="BH197" s="55"/>
      <c r="BI197" s="32"/>
      <c r="BJ197" s="32"/>
      <c r="BK197" s="55"/>
      <c r="BL197" s="32"/>
      <c r="BM197" s="32"/>
      <c r="BN197" s="32"/>
      <c r="BO197" s="32"/>
      <c r="BP197" s="32"/>
      <c r="BQ197" s="31"/>
      <c r="BR197" s="31"/>
      <c r="BS197" s="54"/>
      <c r="BT197" s="21" t="str">
        <f>IFERROR(VLOOKUP(October[[#This Row],[Drug Name7]],'Data Options'!$R$1:$S$100,2,FALSE), " ")</f>
        <v xml:space="preserve"> </v>
      </c>
      <c r="BU197" s="55"/>
      <c r="BV197" s="32"/>
      <c r="BW197" s="32"/>
      <c r="BX197" s="55"/>
      <c r="BY197" s="32"/>
      <c r="BZ197" s="54"/>
      <c r="CA197" s="21" t="str">
        <f>IFERROR(VLOOKUP(October[[#This Row],[Drug Name8]],'Data Options'!$R$1:$S$100,2,FALSE), " ")</f>
        <v xml:space="preserve"> </v>
      </c>
      <c r="CB197" s="55"/>
      <c r="CC197" s="32"/>
      <c r="CD197" s="32"/>
      <c r="CE197" s="55"/>
      <c r="CF197" s="32"/>
      <c r="CG197" s="54"/>
      <c r="CH197" s="21" t="str">
        <f>IFERROR(VLOOKUP(October[[#This Row],[Drug Name9]],'Data Options'!$R$1:$S$100,2,FALSE), " ")</f>
        <v xml:space="preserve"> </v>
      </c>
      <c r="CI197" s="55"/>
      <c r="CJ197" s="32"/>
      <c r="CK197" s="32"/>
      <c r="CL197" s="55"/>
      <c r="CM197" s="32"/>
    </row>
    <row r="198" spans="1:91">
      <c r="A198" s="5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1"/>
      <c r="P198" s="31"/>
      <c r="Q198" s="54"/>
      <c r="R198" s="21" t="str">
        <f>IFERROR(VLOOKUP(October[[#This Row],[Drug Name]],'Data Options'!$R$1:$S$100,2,FALSE), " ")</f>
        <v xml:space="preserve"> </v>
      </c>
      <c r="S198" s="55"/>
      <c r="T198" s="32"/>
      <c r="U198" s="32"/>
      <c r="V198" s="55"/>
      <c r="W198" s="32"/>
      <c r="X198" s="54"/>
      <c r="Y198" s="21" t="str">
        <f>IFERROR(VLOOKUP(October[[#This Row],[Drug Name2]],'Data Options'!$R$1:$S$100,2,FALSE), " ")</f>
        <v xml:space="preserve"> </v>
      </c>
      <c r="Z198" s="55"/>
      <c r="AA198" s="32"/>
      <c r="AB198" s="32"/>
      <c r="AC198" s="55"/>
      <c r="AD198" s="32"/>
      <c r="AE198" s="54"/>
      <c r="AF198" s="21" t="str">
        <f>IFERROR(VLOOKUP(October[[#This Row],[Drug Name3]],'Data Options'!$R$1:$S$100,2,FALSE), " ")</f>
        <v xml:space="preserve"> </v>
      </c>
      <c r="AG198" s="55"/>
      <c r="AH198" s="32"/>
      <c r="AI198" s="32"/>
      <c r="AJ198" s="55"/>
      <c r="AK198" s="32"/>
      <c r="AL198" s="32"/>
      <c r="AM198" s="32"/>
      <c r="AN198" s="32"/>
      <c r="AO198" s="32"/>
      <c r="AP198" s="31"/>
      <c r="AQ198" s="31"/>
      <c r="AR198" s="54"/>
      <c r="AS198" s="21" t="str">
        <f>IFERROR(VLOOKUP(October[[#This Row],[Drug Name4]],'Data Options'!$R$1:$S$100,2,FALSE), " ")</f>
        <v xml:space="preserve"> </v>
      </c>
      <c r="AT198" s="55"/>
      <c r="AU198" s="32"/>
      <c r="AV198" s="32"/>
      <c r="AW198" s="55"/>
      <c r="AX198" s="32"/>
      <c r="AY198" s="54"/>
      <c r="AZ198" s="21" t="str">
        <f>IFERROR(VLOOKUP(October[[#This Row],[Drug Name5]],'Data Options'!$R$1:$S$100,2,FALSE), " ")</f>
        <v xml:space="preserve"> </v>
      </c>
      <c r="BA198" s="55"/>
      <c r="BB198" s="32"/>
      <c r="BC198" s="32"/>
      <c r="BD198" s="55"/>
      <c r="BE198" s="32"/>
      <c r="BF198" s="54"/>
      <c r="BG198" s="21" t="str">
        <f>IFERROR(VLOOKUP(October[[#This Row],[Drug Name6]],'Data Options'!$R$1:$S$100,2,FALSE), " ")</f>
        <v xml:space="preserve"> </v>
      </c>
      <c r="BH198" s="55"/>
      <c r="BI198" s="32"/>
      <c r="BJ198" s="32"/>
      <c r="BK198" s="55"/>
      <c r="BL198" s="32"/>
      <c r="BM198" s="32"/>
      <c r="BN198" s="32"/>
      <c r="BO198" s="32"/>
      <c r="BP198" s="32"/>
      <c r="BQ198" s="31"/>
      <c r="BR198" s="31"/>
      <c r="BS198" s="54"/>
      <c r="BT198" s="21" t="str">
        <f>IFERROR(VLOOKUP(October[[#This Row],[Drug Name7]],'Data Options'!$R$1:$S$100,2,FALSE), " ")</f>
        <v xml:space="preserve"> </v>
      </c>
      <c r="BU198" s="55"/>
      <c r="BV198" s="32"/>
      <c r="BW198" s="32"/>
      <c r="BX198" s="55"/>
      <c r="BY198" s="32"/>
      <c r="BZ198" s="54"/>
      <c r="CA198" s="21" t="str">
        <f>IFERROR(VLOOKUP(October[[#This Row],[Drug Name8]],'Data Options'!$R$1:$S$100,2,FALSE), " ")</f>
        <v xml:space="preserve"> </v>
      </c>
      <c r="CB198" s="55"/>
      <c r="CC198" s="32"/>
      <c r="CD198" s="32"/>
      <c r="CE198" s="55"/>
      <c r="CF198" s="32"/>
      <c r="CG198" s="54"/>
      <c r="CH198" s="21" t="str">
        <f>IFERROR(VLOOKUP(October[[#This Row],[Drug Name9]],'Data Options'!$R$1:$S$100,2,FALSE), " ")</f>
        <v xml:space="preserve"> </v>
      </c>
      <c r="CI198" s="55"/>
      <c r="CJ198" s="32"/>
      <c r="CK198" s="32"/>
      <c r="CL198" s="55"/>
      <c r="CM198" s="32"/>
    </row>
    <row r="199" spans="1:91">
      <c r="A199" s="5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1"/>
      <c r="P199" s="31"/>
      <c r="Q199" s="54"/>
      <c r="R199" s="21" t="str">
        <f>IFERROR(VLOOKUP(October[[#This Row],[Drug Name]],'Data Options'!$R$1:$S$100,2,FALSE), " ")</f>
        <v xml:space="preserve"> </v>
      </c>
      <c r="S199" s="55"/>
      <c r="T199" s="32"/>
      <c r="U199" s="32"/>
      <c r="V199" s="55"/>
      <c r="W199" s="32"/>
      <c r="X199" s="54"/>
      <c r="Y199" s="21" t="str">
        <f>IFERROR(VLOOKUP(October[[#This Row],[Drug Name2]],'Data Options'!$R$1:$S$100,2,FALSE), " ")</f>
        <v xml:space="preserve"> </v>
      </c>
      <c r="Z199" s="55"/>
      <c r="AA199" s="32"/>
      <c r="AB199" s="32"/>
      <c r="AC199" s="55"/>
      <c r="AD199" s="32"/>
      <c r="AE199" s="54"/>
      <c r="AF199" s="21" t="str">
        <f>IFERROR(VLOOKUP(October[[#This Row],[Drug Name3]],'Data Options'!$R$1:$S$100,2,FALSE), " ")</f>
        <v xml:space="preserve"> </v>
      </c>
      <c r="AG199" s="55"/>
      <c r="AH199" s="32"/>
      <c r="AI199" s="32"/>
      <c r="AJ199" s="55"/>
      <c r="AK199" s="32"/>
      <c r="AL199" s="32"/>
      <c r="AM199" s="32"/>
      <c r="AN199" s="32"/>
      <c r="AO199" s="32"/>
      <c r="AP199" s="31"/>
      <c r="AQ199" s="31"/>
      <c r="AR199" s="54"/>
      <c r="AS199" s="21" t="str">
        <f>IFERROR(VLOOKUP(October[[#This Row],[Drug Name4]],'Data Options'!$R$1:$S$100,2,FALSE), " ")</f>
        <v xml:space="preserve"> </v>
      </c>
      <c r="AT199" s="55"/>
      <c r="AU199" s="32"/>
      <c r="AV199" s="32"/>
      <c r="AW199" s="55"/>
      <c r="AX199" s="32"/>
      <c r="AY199" s="54"/>
      <c r="AZ199" s="21" t="str">
        <f>IFERROR(VLOOKUP(October[[#This Row],[Drug Name5]],'Data Options'!$R$1:$S$100,2,FALSE), " ")</f>
        <v xml:space="preserve"> </v>
      </c>
      <c r="BA199" s="55"/>
      <c r="BB199" s="32"/>
      <c r="BC199" s="32"/>
      <c r="BD199" s="55"/>
      <c r="BE199" s="32"/>
      <c r="BF199" s="54"/>
      <c r="BG199" s="21" t="str">
        <f>IFERROR(VLOOKUP(October[[#This Row],[Drug Name6]],'Data Options'!$R$1:$S$100,2,FALSE), " ")</f>
        <v xml:space="preserve"> </v>
      </c>
      <c r="BH199" s="55"/>
      <c r="BI199" s="32"/>
      <c r="BJ199" s="32"/>
      <c r="BK199" s="55"/>
      <c r="BL199" s="32"/>
      <c r="BM199" s="32"/>
      <c r="BN199" s="32"/>
      <c r="BO199" s="32"/>
      <c r="BP199" s="32"/>
      <c r="BQ199" s="31"/>
      <c r="BR199" s="31"/>
      <c r="BS199" s="54"/>
      <c r="BT199" s="21" t="str">
        <f>IFERROR(VLOOKUP(October[[#This Row],[Drug Name7]],'Data Options'!$R$1:$S$100,2,FALSE), " ")</f>
        <v xml:space="preserve"> </v>
      </c>
      <c r="BU199" s="55"/>
      <c r="BV199" s="32"/>
      <c r="BW199" s="32"/>
      <c r="BX199" s="55"/>
      <c r="BY199" s="32"/>
      <c r="BZ199" s="54"/>
      <c r="CA199" s="21" t="str">
        <f>IFERROR(VLOOKUP(October[[#This Row],[Drug Name8]],'Data Options'!$R$1:$S$100,2,FALSE), " ")</f>
        <v xml:space="preserve"> </v>
      </c>
      <c r="CB199" s="55"/>
      <c r="CC199" s="32"/>
      <c r="CD199" s="32"/>
      <c r="CE199" s="55"/>
      <c r="CF199" s="32"/>
      <c r="CG199" s="54"/>
      <c r="CH199" s="21" t="str">
        <f>IFERROR(VLOOKUP(October[[#This Row],[Drug Name9]],'Data Options'!$R$1:$S$100,2,FALSE), " ")</f>
        <v xml:space="preserve"> </v>
      </c>
      <c r="CI199" s="55"/>
      <c r="CJ199" s="32"/>
      <c r="CK199" s="32"/>
      <c r="CL199" s="55"/>
      <c r="CM199" s="32"/>
    </row>
    <row r="200" spans="1:91">
      <c r="A200" s="5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1"/>
      <c r="P200" s="31"/>
      <c r="Q200" s="54"/>
      <c r="R200" s="21" t="str">
        <f>IFERROR(VLOOKUP(October[[#This Row],[Drug Name]],'Data Options'!$R$1:$S$100,2,FALSE), " ")</f>
        <v xml:space="preserve"> </v>
      </c>
      <c r="S200" s="55"/>
      <c r="T200" s="32"/>
      <c r="U200" s="32"/>
      <c r="V200" s="55"/>
      <c r="W200" s="32"/>
      <c r="X200" s="54"/>
      <c r="Y200" s="21" t="str">
        <f>IFERROR(VLOOKUP(October[[#This Row],[Drug Name2]],'Data Options'!$R$1:$S$100,2,FALSE), " ")</f>
        <v xml:space="preserve"> </v>
      </c>
      <c r="Z200" s="55"/>
      <c r="AA200" s="32"/>
      <c r="AB200" s="32"/>
      <c r="AC200" s="55"/>
      <c r="AD200" s="32"/>
      <c r="AE200" s="54"/>
      <c r="AF200" s="21" t="str">
        <f>IFERROR(VLOOKUP(October[[#This Row],[Drug Name3]],'Data Options'!$R$1:$S$100,2,FALSE), " ")</f>
        <v xml:space="preserve"> </v>
      </c>
      <c r="AG200" s="55"/>
      <c r="AH200" s="32"/>
      <c r="AI200" s="32"/>
      <c r="AJ200" s="55"/>
      <c r="AK200" s="32"/>
      <c r="AL200" s="32"/>
      <c r="AM200" s="32"/>
      <c r="AN200" s="32"/>
      <c r="AO200" s="32"/>
      <c r="AP200" s="31"/>
      <c r="AQ200" s="31"/>
      <c r="AR200" s="54"/>
      <c r="AS200" s="21" t="str">
        <f>IFERROR(VLOOKUP(October[[#This Row],[Drug Name4]],'Data Options'!$R$1:$S$100,2,FALSE), " ")</f>
        <v xml:space="preserve"> </v>
      </c>
      <c r="AT200" s="55"/>
      <c r="AU200" s="32"/>
      <c r="AV200" s="32"/>
      <c r="AW200" s="55"/>
      <c r="AX200" s="32"/>
      <c r="AY200" s="54"/>
      <c r="AZ200" s="21" t="str">
        <f>IFERROR(VLOOKUP(October[[#This Row],[Drug Name5]],'Data Options'!$R$1:$S$100,2,FALSE), " ")</f>
        <v xml:space="preserve"> </v>
      </c>
      <c r="BA200" s="55"/>
      <c r="BB200" s="32"/>
      <c r="BC200" s="32"/>
      <c r="BD200" s="55"/>
      <c r="BE200" s="32"/>
      <c r="BF200" s="54"/>
      <c r="BG200" s="21" t="str">
        <f>IFERROR(VLOOKUP(October[[#This Row],[Drug Name6]],'Data Options'!$R$1:$S$100,2,FALSE), " ")</f>
        <v xml:space="preserve"> </v>
      </c>
      <c r="BH200" s="55"/>
      <c r="BI200" s="32"/>
      <c r="BJ200" s="32"/>
      <c r="BK200" s="55"/>
      <c r="BL200" s="32"/>
      <c r="BM200" s="32"/>
      <c r="BN200" s="32"/>
      <c r="BO200" s="32"/>
      <c r="BP200" s="32"/>
      <c r="BQ200" s="31"/>
      <c r="BR200" s="31"/>
      <c r="BS200" s="54"/>
      <c r="BT200" s="21" t="str">
        <f>IFERROR(VLOOKUP(October[[#This Row],[Drug Name7]],'Data Options'!$R$1:$S$100,2,FALSE), " ")</f>
        <v xml:space="preserve"> </v>
      </c>
      <c r="BU200" s="55"/>
      <c r="BV200" s="32"/>
      <c r="BW200" s="32"/>
      <c r="BX200" s="55"/>
      <c r="BY200" s="32"/>
      <c r="BZ200" s="54"/>
      <c r="CA200" s="21" t="str">
        <f>IFERROR(VLOOKUP(October[[#This Row],[Drug Name8]],'Data Options'!$R$1:$S$100,2,FALSE), " ")</f>
        <v xml:space="preserve"> </v>
      </c>
      <c r="CB200" s="55"/>
      <c r="CC200" s="32"/>
      <c r="CD200" s="32"/>
      <c r="CE200" s="55"/>
      <c r="CF200" s="32"/>
      <c r="CG200" s="54"/>
      <c r="CH200" s="21" t="str">
        <f>IFERROR(VLOOKUP(October[[#This Row],[Drug Name9]],'Data Options'!$R$1:$S$100,2,FALSE), " ")</f>
        <v xml:space="preserve"> </v>
      </c>
      <c r="CI200" s="55"/>
      <c r="CJ200" s="32"/>
      <c r="CK200" s="32"/>
      <c r="CL200" s="55"/>
      <c r="CM200" s="32"/>
    </row>
    <row r="201" spans="1:91">
      <c r="A201" s="5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1"/>
      <c r="P201" s="31"/>
      <c r="Q201" s="54"/>
      <c r="R201" s="21" t="str">
        <f>IFERROR(VLOOKUP(October[[#This Row],[Drug Name]],'Data Options'!$R$1:$S$100,2,FALSE), " ")</f>
        <v xml:space="preserve"> </v>
      </c>
      <c r="S201" s="55"/>
      <c r="T201" s="32"/>
      <c r="U201" s="32"/>
      <c r="V201" s="55"/>
      <c r="W201" s="32"/>
      <c r="X201" s="54"/>
      <c r="Y201" s="21" t="str">
        <f>IFERROR(VLOOKUP(October[[#This Row],[Drug Name2]],'Data Options'!$R$1:$S$100,2,FALSE), " ")</f>
        <v xml:space="preserve"> </v>
      </c>
      <c r="Z201" s="55"/>
      <c r="AA201" s="32"/>
      <c r="AB201" s="32"/>
      <c r="AC201" s="55"/>
      <c r="AD201" s="32"/>
      <c r="AE201" s="54"/>
      <c r="AF201" s="21" t="str">
        <f>IFERROR(VLOOKUP(October[[#This Row],[Drug Name3]],'Data Options'!$R$1:$S$100,2,FALSE), " ")</f>
        <v xml:space="preserve"> </v>
      </c>
      <c r="AG201" s="55"/>
      <c r="AH201" s="32"/>
      <c r="AI201" s="32"/>
      <c r="AJ201" s="55"/>
      <c r="AK201" s="32"/>
      <c r="AL201" s="32"/>
      <c r="AM201" s="32"/>
      <c r="AN201" s="32"/>
      <c r="AO201" s="32"/>
      <c r="AP201" s="31"/>
      <c r="AQ201" s="31"/>
      <c r="AR201" s="54"/>
      <c r="AS201" s="21" t="str">
        <f>IFERROR(VLOOKUP(October[[#This Row],[Drug Name4]],'Data Options'!$R$1:$S$100,2,FALSE), " ")</f>
        <v xml:space="preserve"> </v>
      </c>
      <c r="AT201" s="55"/>
      <c r="AU201" s="32"/>
      <c r="AV201" s="32"/>
      <c r="AW201" s="55"/>
      <c r="AX201" s="32"/>
      <c r="AY201" s="54"/>
      <c r="AZ201" s="21" t="str">
        <f>IFERROR(VLOOKUP(October[[#This Row],[Drug Name5]],'Data Options'!$R$1:$S$100,2,FALSE), " ")</f>
        <v xml:space="preserve"> </v>
      </c>
      <c r="BA201" s="55"/>
      <c r="BB201" s="32"/>
      <c r="BC201" s="32"/>
      <c r="BD201" s="55"/>
      <c r="BE201" s="32"/>
      <c r="BF201" s="54"/>
      <c r="BG201" s="21" t="str">
        <f>IFERROR(VLOOKUP(October[[#This Row],[Drug Name6]],'Data Options'!$R$1:$S$100,2,FALSE), " ")</f>
        <v xml:space="preserve"> </v>
      </c>
      <c r="BH201" s="55"/>
      <c r="BI201" s="32"/>
      <c r="BJ201" s="32"/>
      <c r="BK201" s="55"/>
      <c r="BL201" s="32"/>
      <c r="BM201" s="32"/>
      <c r="BN201" s="32"/>
      <c r="BO201" s="32"/>
      <c r="BP201" s="32"/>
      <c r="BQ201" s="31"/>
      <c r="BR201" s="31"/>
      <c r="BS201" s="54"/>
      <c r="BT201" s="21" t="str">
        <f>IFERROR(VLOOKUP(October[[#This Row],[Drug Name7]],'Data Options'!$R$1:$S$100,2,FALSE), " ")</f>
        <v xml:space="preserve"> </v>
      </c>
      <c r="BU201" s="55"/>
      <c r="BV201" s="32"/>
      <c r="BW201" s="32"/>
      <c r="BX201" s="55"/>
      <c r="BY201" s="32"/>
      <c r="BZ201" s="54"/>
      <c r="CA201" s="21" t="str">
        <f>IFERROR(VLOOKUP(October[[#This Row],[Drug Name8]],'Data Options'!$R$1:$S$100,2,FALSE), " ")</f>
        <v xml:space="preserve"> </v>
      </c>
      <c r="CB201" s="55"/>
      <c r="CC201" s="32"/>
      <c r="CD201" s="32"/>
      <c r="CE201" s="55"/>
      <c r="CF201" s="32"/>
      <c r="CG201" s="54"/>
      <c r="CH201" s="21" t="str">
        <f>IFERROR(VLOOKUP(October[[#This Row],[Drug Name9]],'Data Options'!$R$1:$S$100,2,FALSE), " ")</f>
        <v xml:space="preserve"> </v>
      </c>
      <c r="CI201" s="55"/>
      <c r="CJ201" s="32"/>
      <c r="CK201" s="32"/>
      <c r="CL201" s="55"/>
      <c r="CM201" s="32"/>
    </row>
    <row r="202" spans="1:91">
      <c r="A202" s="24" t="s">
        <v>239</v>
      </c>
      <c r="X202" s="54"/>
      <c r="Z202" s="32"/>
      <c r="AA202" s="32"/>
      <c r="AB202" s="32"/>
      <c r="AC202" s="32"/>
      <c r="AD202" s="32"/>
      <c r="AE202" s="54"/>
      <c r="AG202" s="32"/>
      <c r="AH202" s="32"/>
      <c r="AI202" s="32"/>
      <c r="AJ202" s="32"/>
      <c r="AK202" s="32"/>
      <c r="AL202" s="32"/>
      <c r="AN202" s="32"/>
      <c r="AO202" s="32"/>
      <c r="AP202" s="31"/>
      <c r="AQ202" s="31"/>
      <c r="AR202" s="54"/>
      <c r="AT202" s="32"/>
      <c r="AU202" s="32"/>
      <c r="AV202" s="32"/>
      <c r="AW202" s="32"/>
      <c r="AX202" s="32"/>
      <c r="AY202" s="54"/>
      <c r="BA202" s="32"/>
      <c r="BB202" s="32"/>
      <c r="BC202" s="32"/>
      <c r="BD202" s="32"/>
      <c r="BE202" s="32"/>
      <c r="BF202" s="54"/>
      <c r="BH202" s="32"/>
      <c r="BI202" s="32"/>
      <c r="BJ202" s="32"/>
      <c r="BK202" s="32"/>
      <c r="BL202" s="32"/>
      <c r="BM202" s="32"/>
      <c r="BO202" s="32"/>
      <c r="BP202" s="32"/>
      <c r="BQ202" s="31"/>
      <c r="BR202" s="31"/>
      <c r="BS202" s="54"/>
      <c r="BU202" s="32"/>
      <c r="BV202" s="32"/>
      <c r="BW202" s="32"/>
      <c r="BX202" s="32"/>
      <c r="BY202" s="32"/>
      <c r="BZ202" s="54"/>
      <c r="CB202" s="32"/>
      <c r="CC202" s="32"/>
      <c r="CD202" s="32"/>
      <c r="CE202" s="32"/>
      <c r="CF202" s="32"/>
      <c r="CG202" s="54"/>
      <c r="CI202" s="32"/>
      <c r="CJ202" s="32"/>
      <c r="CK202" s="32"/>
      <c r="CL202" s="32"/>
      <c r="CM202" s="40">
        <f>SUBTOTAL(103,October[Location Filled9])</f>
        <v>0</v>
      </c>
    </row>
  </sheetData>
  <sheetProtection algorithmName="SHA-512" hashValue="LUGXK1OIX9UTDn7Fyu2fobUNY4WthFBgOPUS5tIxQJ5Zz6TbfOMRunifxfllgkAiPk3ej26vVqU3nZLCD+V5Pg==" saltValue="jwhDqSs1GtQdhH54ALYf3g==" spinCount="100000" sheet="1" objects="1" scenarios="1"/>
  <mergeCells count="13">
    <mergeCell ref="AR2:AX2"/>
    <mergeCell ref="BS2:BY2"/>
    <mergeCell ref="BZ2:CF2"/>
    <mergeCell ref="CG2:CM2"/>
    <mergeCell ref="AL1:AQ2"/>
    <mergeCell ref="BM1:BR2"/>
    <mergeCell ref="BF2:BL2"/>
    <mergeCell ref="A1:J2"/>
    <mergeCell ref="K1:AF1"/>
    <mergeCell ref="K2:P2"/>
    <mergeCell ref="Q2:V2"/>
    <mergeCell ref="X2:AD2"/>
    <mergeCell ref="AE2:AK2"/>
  </mergeCells>
  <dataValidations count="19">
    <dataValidation type="list" allowBlank="1" showInputMessage="1" showErrorMessage="1" sqref="D4:D201">
      <formula1>INDIRECT("Species")</formula1>
    </dataValidation>
    <dataValidation type="list" allowBlank="1" showInputMessage="1" showErrorMessage="1" sqref="E4:E201">
      <formula1>INDIRECT("Sex")</formula1>
    </dataValidation>
    <dataValidation type="list" allowBlank="1" showInputMessage="1" showErrorMessage="1" sqref="F4:F201">
      <formula1>INDIRECT("Age")</formula1>
    </dataValidation>
    <dataValidation type="list" allowBlank="1" showInputMessage="1" showErrorMessage="1" sqref="G4:G201">
      <formula1>INDIRECT("Visit_Reason")</formula1>
    </dataValidation>
    <dataValidation type="list" allowBlank="1" showInputMessage="1" showErrorMessage="1" sqref="I4:I201">
      <formula1>INDIRECT("ABX_YN")</formula1>
    </dataValidation>
    <dataValidation type="list" allowBlank="1" showInputMessage="1" showErrorMessage="1" sqref="K4:K201 AL4:AL201 BM4:BM201">
      <formula1>INDIRECT("Disease_Type")</formula1>
    </dataValidation>
    <dataValidation type="list" allowBlank="1" showInputMessage="1" showErrorMessage="1" sqref="M4:M201 AN4:AN201 BO4:BO201">
      <formula1>INDIRECT("Disease_Descrip")</formula1>
    </dataValidation>
    <dataValidation type="list" allowBlank="1" showInputMessage="1" showErrorMessage="1" sqref="N4:N201 AO4:AO201 BP4:BP201">
      <formula1>INDIRECT("Dz_Abx_Num")</formula1>
    </dataValidation>
    <dataValidation type="list" allowBlank="1" showInputMessage="1" showErrorMessage="1" sqref="O4:O201 AP4:AP201 BQ4:BQ201">
      <formula1>INDIRECT("Diagnostics_Offer_YN")</formula1>
    </dataValidation>
    <dataValidation type="list" allowBlank="1" showInputMessage="1" showErrorMessage="1" sqref="P4:P201 AQ4:AQ201 BR4:BR201">
      <formula1>INDIRECT("Diagnostics_Performed_YN")</formula1>
    </dataValidation>
    <dataValidation type="list" allowBlank="1" showInputMessage="1" showErrorMessage="1" sqref="Q4:Q201 X4:X201 AE4:AE201 AR4:AR201 AY4:AY201 BF4:BF201 BS4:BS201 BZ4:BZ201 CG4:CG201">
      <formula1>INDIRECT("Drug_Name")</formula1>
    </dataValidation>
    <dataValidation type="list" allowBlank="1" showInputMessage="1" showErrorMessage="1" sqref="T4:T201 AA4:AA201 AH4:AH201 AU4:AU201 BB4:BB201 BI4:BI201 BV4:BV201 CC4:CC201 CJ4:CJ201">
      <formula1>INDIRECT("Abx_Freq")</formula1>
    </dataValidation>
    <dataValidation type="list" allowBlank="1" showInputMessage="1" showErrorMessage="1" sqref="U4:U201 AB4:AB201 AI4:AI201 AV4:AV201 BC4:BC201 BJ4:BJ201 BW4:BW201 CD4:CD201 CK4:CK201">
      <formula1>INDIRECT("Abx_Route")</formula1>
    </dataValidation>
    <dataValidation type="list" allowBlank="1" showInputMessage="1" showErrorMessage="1" sqref="W4:W201 AD4:AD201 AK4:AK201 AX4:AX201 BE4:BE201 BL4:BL201 BY4:BY201 CF4:CF201 CM4:CM201">
      <formula1>INDIRECT("Prescription_Type")</formula1>
    </dataValidation>
    <dataValidation allowBlank="1" showInputMessage="1" showErrorMessage="1" prompt="Only type here IF Reason for Visit is Other " sqref="H5:H201"/>
    <dataValidation type="whole" allowBlank="1" showInputMessage="1" showErrorMessage="1" promptTitle="Total Number of Antibiotics" prompt="This should include ALL antibiotics prescribed to this patient during this visit for ALL conditions. " sqref="J4:J201">
      <formula1>0</formula1>
      <formula2>9</formula2>
    </dataValidation>
    <dataValidation allowBlank="1" showInputMessage="1" showErrorMessage="1" prompt="Only type in this column IF Disease/Infection Type is Other" sqref="L4:L201 AM4:AM201 BN4:BN201"/>
    <dataValidation allowBlank="1" showInputMessage="1" showErrorMessage="1" prompt="Only type in this column IF Reason for Visit is Other " sqref="H4"/>
    <dataValidation type="decimal" allowBlank="1" showInputMessage="1" showErrorMessage="1" sqref="S4:S201 Z4:Z201 V4:V201 AC4:AC201 AG4:AG201 AJ4:AJ201 AT4:AT201 AW4:AW201 BD4:BD201 BA4:BA201 BH4:BH201 BK4:BK201 BU4:BU201 BX4:BX201 CB4:CB201 CE4:CE201 CI4:CI201 CL4:CL201">
      <formula1>0</formula1>
      <formula2>5000</formula2>
    </dataValidation>
  </dataValidation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02"/>
  <sheetViews>
    <sheetView workbookViewId="0">
      <pane ySplit="3" topLeftCell="A4" activePane="bottomLeft" state="frozen"/>
      <selection pane="bottomLeft" activeCell="A4" sqref="A4"/>
    </sheetView>
  </sheetViews>
  <sheetFormatPr defaultColWidth="10.83203125" defaultRowHeight="15.5"/>
  <cols>
    <col min="1" max="16384" width="10.83203125" style="24"/>
  </cols>
  <sheetData>
    <row r="1" spans="1:91" ht="21">
      <c r="A1" s="60" t="s">
        <v>103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43"/>
      <c r="AH1" s="43"/>
      <c r="AI1" s="43"/>
      <c r="AJ1" s="43"/>
      <c r="AK1" s="43"/>
      <c r="AL1" s="70" t="s">
        <v>154</v>
      </c>
      <c r="AM1" s="70"/>
      <c r="AN1" s="70"/>
      <c r="AO1" s="70"/>
      <c r="AP1" s="70"/>
      <c r="AQ1" s="70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5"/>
      <c r="BI1" s="45"/>
      <c r="BJ1" s="45"/>
      <c r="BK1" s="45"/>
      <c r="BL1" s="45"/>
      <c r="BM1" s="71" t="s">
        <v>156</v>
      </c>
      <c r="BN1" s="71"/>
      <c r="BO1" s="71"/>
      <c r="BP1" s="71"/>
      <c r="BQ1" s="71"/>
      <c r="BR1" s="71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7"/>
      <c r="CJ1" s="47"/>
      <c r="CK1" s="47"/>
      <c r="CL1" s="47"/>
      <c r="CM1" s="47"/>
    </row>
    <row r="2" spans="1:91" ht="21">
      <c r="A2" s="60"/>
      <c r="B2" s="60"/>
      <c r="C2" s="60"/>
      <c r="D2" s="60"/>
      <c r="E2" s="60"/>
      <c r="F2" s="60"/>
      <c r="G2" s="60"/>
      <c r="H2" s="60"/>
      <c r="I2" s="60"/>
      <c r="J2" s="60"/>
      <c r="K2" s="62" t="s">
        <v>153</v>
      </c>
      <c r="L2" s="62"/>
      <c r="M2" s="62"/>
      <c r="N2" s="62"/>
      <c r="O2" s="62"/>
      <c r="P2" s="62"/>
      <c r="Q2" s="63" t="s">
        <v>104</v>
      </c>
      <c r="R2" s="63"/>
      <c r="S2" s="63"/>
      <c r="T2" s="63"/>
      <c r="U2" s="63"/>
      <c r="V2" s="63"/>
      <c r="W2" s="48"/>
      <c r="X2" s="64" t="s">
        <v>105</v>
      </c>
      <c r="Y2" s="64"/>
      <c r="Z2" s="64"/>
      <c r="AA2" s="64"/>
      <c r="AB2" s="64"/>
      <c r="AC2" s="64"/>
      <c r="AD2" s="64"/>
      <c r="AE2" s="65" t="s">
        <v>106</v>
      </c>
      <c r="AF2" s="65"/>
      <c r="AG2" s="65"/>
      <c r="AH2" s="65"/>
      <c r="AI2" s="65"/>
      <c r="AJ2" s="65"/>
      <c r="AK2" s="65"/>
      <c r="AL2" s="70"/>
      <c r="AM2" s="70"/>
      <c r="AN2" s="70"/>
      <c r="AO2" s="70"/>
      <c r="AP2" s="70"/>
      <c r="AQ2" s="70"/>
      <c r="AR2" s="66" t="s">
        <v>107</v>
      </c>
      <c r="AS2" s="66"/>
      <c r="AT2" s="66"/>
      <c r="AU2" s="66"/>
      <c r="AV2" s="66"/>
      <c r="AW2" s="66"/>
      <c r="AX2" s="66"/>
      <c r="AY2" s="49" t="s">
        <v>216</v>
      </c>
      <c r="AZ2" s="49"/>
      <c r="BA2" s="49"/>
      <c r="BB2" s="49"/>
      <c r="BC2" s="49"/>
      <c r="BD2" s="49"/>
      <c r="BE2" s="49"/>
      <c r="BF2" s="69" t="s">
        <v>155</v>
      </c>
      <c r="BG2" s="69"/>
      <c r="BH2" s="69"/>
      <c r="BI2" s="69"/>
      <c r="BJ2" s="69"/>
      <c r="BK2" s="69"/>
      <c r="BL2" s="69"/>
      <c r="BM2" s="71"/>
      <c r="BN2" s="71"/>
      <c r="BO2" s="71"/>
      <c r="BP2" s="71"/>
      <c r="BQ2" s="71"/>
      <c r="BR2" s="71"/>
      <c r="BS2" s="67" t="s">
        <v>109</v>
      </c>
      <c r="BT2" s="67"/>
      <c r="BU2" s="67"/>
      <c r="BV2" s="67"/>
      <c r="BW2" s="67"/>
      <c r="BX2" s="67"/>
      <c r="BY2" s="67"/>
      <c r="BZ2" s="68" t="s">
        <v>110</v>
      </c>
      <c r="CA2" s="68"/>
      <c r="CB2" s="68"/>
      <c r="CC2" s="68"/>
      <c r="CD2" s="68"/>
      <c r="CE2" s="68"/>
      <c r="CF2" s="68"/>
      <c r="CG2" s="69" t="s">
        <v>108</v>
      </c>
      <c r="CH2" s="69"/>
      <c r="CI2" s="69"/>
      <c r="CJ2" s="69"/>
      <c r="CK2" s="69"/>
      <c r="CL2" s="69"/>
      <c r="CM2" s="69"/>
    </row>
    <row r="3" spans="1:91" ht="93.5" thickBot="1">
      <c r="A3" s="50" t="s">
        <v>4</v>
      </c>
      <c r="B3" s="50" t="s">
        <v>217</v>
      </c>
      <c r="C3" s="50" t="s">
        <v>5</v>
      </c>
      <c r="D3" s="50" t="s">
        <v>6</v>
      </c>
      <c r="E3" s="50" t="s">
        <v>0</v>
      </c>
      <c r="F3" s="50" t="s">
        <v>111</v>
      </c>
      <c r="G3" s="50" t="s">
        <v>1</v>
      </c>
      <c r="H3" s="50" t="s">
        <v>150</v>
      </c>
      <c r="I3" s="50" t="s">
        <v>218</v>
      </c>
      <c r="J3" s="50" t="s">
        <v>214</v>
      </c>
      <c r="K3" s="50" t="s">
        <v>82</v>
      </c>
      <c r="L3" s="50" t="s">
        <v>215</v>
      </c>
      <c r="M3" s="50" t="s">
        <v>83</v>
      </c>
      <c r="N3" s="50" t="s">
        <v>211</v>
      </c>
      <c r="O3" s="50" t="s">
        <v>212</v>
      </c>
      <c r="P3" s="50" t="s">
        <v>213</v>
      </c>
      <c r="Q3" s="51" t="s">
        <v>8</v>
      </c>
      <c r="R3" s="51" t="s">
        <v>3</v>
      </c>
      <c r="S3" s="50" t="s">
        <v>84</v>
      </c>
      <c r="T3" s="50" t="s">
        <v>65</v>
      </c>
      <c r="U3" s="50" t="s">
        <v>85</v>
      </c>
      <c r="V3" s="50" t="s">
        <v>9</v>
      </c>
      <c r="W3" s="50" t="s">
        <v>219</v>
      </c>
      <c r="X3" s="51" t="s">
        <v>157</v>
      </c>
      <c r="Y3" s="51" t="s">
        <v>164</v>
      </c>
      <c r="Z3" s="50" t="s">
        <v>163</v>
      </c>
      <c r="AA3" s="50" t="s">
        <v>166</v>
      </c>
      <c r="AB3" s="50" t="s">
        <v>167</v>
      </c>
      <c r="AC3" s="50" t="s">
        <v>171</v>
      </c>
      <c r="AD3" s="50" t="s">
        <v>220</v>
      </c>
      <c r="AE3" s="51" t="s">
        <v>168</v>
      </c>
      <c r="AF3" s="51" t="s">
        <v>158</v>
      </c>
      <c r="AG3" s="50" t="s">
        <v>169</v>
      </c>
      <c r="AH3" s="50" t="s">
        <v>165</v>
      </c>
      <c r="AI3" s="50" t="s">
        <v>170</v>
      </c>
      <c r="AJ3" s="50" t="s">
        <v>172</v>
      </c>
      <c r="AK3" s="50" t="s">
        <v>221</v>
      </c>
      <c r="AL3" s="50" t="s">
        <v>173</v>
      </c>
      <c r="AM3" s="50" t="s">
        <v>222</v>
      </c>
      <c r="AN3" s="50" t="s">
        <v>174</v>
      </c>
      <c r="AO3" s="50" t="s">
        <v>175</v>
      </c>
      <c r="AP3" s="50" t="s">
        <v>223</v>
      </c>
      <c r="AQ3" s="50" t="s">
        <v>224</v>
      </c>
      <c r="AR3" s="51" t="s">
        <v>176</v>
      </c>
      <c r="AS3" s="51" t="s">
        <v>177</v>
      </c>
      <c r="AT3" s="50" t="s">
        <v>159</v>
      </c>
      <c r="AU3" s="50" t="s">
        <v>178</v>
      </c>
      <c r="AV3" s="50" t="s">
        <v>179</v>
      </c>
      <c r="AW3" s="50" t="s">
        <v>180</v>
      </c>
      <c r="AX3" s="50" t="s">
        <v>225</v>
      </c>
      <c r="AY3" s="51" t="s">
        <v>181</v>
      </c>
      <c r="AZ3" s="51" t="s">
        <v>182</v>
      </c>
      <c r="BA3" s="50" t="s">
        <v>183</v>
      </c>
      <c r="BB3" s="50" t="s">
        <v>160</v>
      </c>
      <c r="BC3" s="50" t="s">
        <v>184</v>
      </c>
      <c r="BD3" s="50" t="s">
        <v>185</v>
      </c>
      <c r="BE3" s="50" t="s">
        <v>226</v>
      </c>
      <c r="BF3" s="51" t="s">
        <v>186</v>
      </c>
      <c r="BG3" s="51" t="s">
        <v>187</v>
      </c>
      <c r="BH3" s="50" t="s">
        <v>188</v>
      </c>
      <c r="BI3" s="50" t="s">
        <v>189</v>
      </c>
      <c r="BJ3" s="50" t="s">
        <v>161</v>
      </c>
      <c r="BK3" s="50" t="s">
        <v>190</v>
      </c>
      <c r="BL3" s="50" t="s">
        <v>227</v>
      </c>
      <c r="BM3" s="50" t="s">
        <v>191</v>
      </c>
      <c r="BN3" s="50" t="s">
        <v>233</v>
      </c>
      <c r="BO3" s="50" t="s">
        <v>192</v>
      </c>
      <c r="BP3" s="50" t="s">
        <v>193</v>
      </c>
      <c r="BQ3" s="50" t="s">
        <v>228</v>
      </c>
      <c r="BR3" s="50" t="s">
        <v>229</v>
      </c>
      <c r="BS3" s="50" t="s">
        <v>194</v>
      </c>
      <c r="BT3" s="50" t="s">
        <v>195</v>
      </c>
      <c r="BU3" s="50" t="s">
        <v>196</v>
      </c>
      <c r="BV3" s="50" t="s">
        <v>197</v>
      </c>
      <c r="BW3" s="50" t="s">
        <v>198</v>
      </c>
      <c r="BX3" s="50" t="s">
        <v>162</v>
      </c>
      <c r="BY3" s="50" t="s">
        <v>230</v>
      </c>
      <c r="BZ3" s="50" t="s">
        <v>199</v>
      </c>
      <c r="CA3" s="50" t="s">
        <v>200</v>
      </c>
      <c r="CB3" s="50" t="s">
        <v>201</v>
      </c>
      <c r="CC3" s="50" t="s">
        <v>202</v>
      </c>
      <c r="CD3" s="50" t="s">
        <v>203</v>
      </c>
      <c r="CE3" s="50" t="s">
        <v>204</v>
      </c>
      <c r="CF3" s="50" t="s">
        <v>231</v>
      </c>
      <c r="CG3" s="50" t="s">
        <v>205</v>
      </c>
      <c r="CH3" s="50" t="s">
        <v>206</v>
      </c>
      <c r="CI3" s="50" t="s">
        <v>207</v>
      </c>
      <c r="CJ3" s="50" t="s">
        <v>208</v>
      </c>
      <c r="CK3" s="50" t="s">
        <v>209</v>
      </c>
      <c r="CL3" s="50" t="s">
        <v>210</v>
      </c>
      <c r="CM3" s="50" t="s">
        <v>232</v>
      </c>
    </row>
    <row r="4" spans="1:91">
      <c r="A4" s="52"/>
      <c r="B4" s="5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1"/>
      <c r="P4" s="31"/>
      <c r="Q4" s="54"/>
      <c r="R4" s="21" t="str">
        <f>IFERROR(VLOOKUP(November[[#This Row],[Drug Name]],'Data Options'!$R$1:$S$100,2,FALSE), " ")</f>
        <v xml:space="preserve"> </v>
      </c>
      <c r="S4" s="55"/>
      <c r="T4" s="32"/>
      <c r="U4" s="32"/>
      <c r="V4" s="55"/>
      <c r="W4" s="32"/>
      <c r="X4" s="54"/>
      <c r="Y4" s="21" t="str">
        <f>IFERROR(VLOOKUP(November[[#This Row],[Drug Name2]],'Data Options'!$R$1:$S$100,2,FALSE), " ")</f>
        <v xml:space="preserve"> </v>
      </c>
      <c r="Z4" s="55"/>
      <c r="AA4" s="32"/>
      <c r="AB4" s="32"/>
      <c r="AC4" s="55"/>
      <c r="AD4" s="32"/>
      <c r="AE4" s="54"/>
      <c r="AF4" s="21" t="str">
        <f>IFERROR(VLOOKUP(November[[#This Row],[Drug Name3]],'Data Options'!$R$1:$S$100,2,FALSE), " ")</f>
        <v xml:space="preserve"> </v>
      </c>
      <c r="AG4" s="55"/>
      <c r="AH4" s="32"/>
      <c r="AI4" s="32"/>
      <c r="AJ4" s="55"/>
      <c r="AK4" s="32"/>
      <c r="AL4" s="32"/>
      <c r="AM4" s="32"/>
      <c r="AN4" s="32"/>
      <c r="AO4" s="32"/>
      <c r="AP4" s="31"/>
      <c r="AQ4" s="31"/>
      <c r="AR4" s="54"/>
      <c r="AS4" s="21" t="str">
        <f>IFERROR(VLOOKUP(November[[#This Row],[Drug Name4]],'Data Options'!$R$1:$S$100,2,FALSE), " ")</f>
        <v xml:space="preserve"> </v>
      </c>
      <c r="AT4" s="55"/>
      <c r="AU4" s="32"/>
      <c r="AV4" s="32"/>
      <c r="AW4" s="55"/>
      <c r="AX4" s="32"/>
      <c r="AY4" s="54"/>
      <c r="AZ4" s="21" t="str">
        <f>IFERROR(VLOOKUP(November[[#This Row],[Drug Name5]],'Data Options'!$R$1:$S$100,2,FALSE), " ")</f>
        <v xml:space="preserve"> </v>
      </c>
      <c r="BA4" s="55"/>
      <c r="BB4" s="32"/>
      <c r="BC4" s="32"/>
      <c r="BD4" s="55"/>
      <c r="BE4" s="32"/>
      <c r="BF4" s="54"/>
      <c r="BG4" s="21" t="str">
        <f>IFERROR(VLOOKUP(November[[#This Row],[Drug Name6]],'Data Options'!$R$1:$S$100,2,FALSE), " ")</f>
        <v xml:space="preserve"> </v>
      </c>
      <c r="BH4" s="55"/>
      <c r="BI4" s="32"/>
      <c r="BJ4" s="32"/>
      <c r="BK4" s="55"/>
      <c r="BL4" s="32"/>
      <c r="BM4" s="32"/>
      <c r="BN4" s="32"/>
      <c r="BO4" s="32"/>
      <c r="BP4" s="32"/>
      <c r="BQ4" s="31"/>
      <c r="BR4" s="31"/>
      <c r="BS4" s="54"/>
      <c r="BT4" s="21" t="str">
        <f>IFERROR(VLOOKUP(November[[#This Row],[Drug Name7]],'Data Options'!$R$1:$S$100,2,FALSE), " ")</f>
        <v xml:space="preserve"> </v>
      </c>
      <c r="BU4" s="55"/>
      <c r="BV4" s="32"/>
      <c r="BW4" s="32"/>
      <c r="BX4" s="55"/>
      <c r="BY4" s="32"/>
      <c r="BZ4" s="54"/>
      <c r="CA4" s="21" t="str">
        <f>IFERROR(VLOOKUP(November[[#This Row],[Drug Name8]],'Data Options'!$R$1:$S$100,2,FALSE), " ")</f>
        <v xml:space="preserve"> </v>
      </c>
      <c r="CB4" s="55"/>
      <c r="CC4" s="32"/>
      <c r="CD4" s="32"/>
      <c r="CE4" s="55"/>
      <c r="CF4" s="32"/>
      <c r="CG4" s="54"/>
      <c r="CH4" s="21" t="str">
        <f>IFERROR(VLOOKUP(November[[#This Row],[Drug Name9]],'Data Options'!$R$1:$S$100,2,FALSE), " ")</f>
        <v xml:space="preserve"> </v>
      </c>
      <c r="CI4" s="55"/>
      <c r="CJ4" s="32"/>
      <c r="CK4" s="32"/>
      <c r="CL4" s="55"/>
      <c r="CM4" s="32"/>
    </row>
    <row r="5" spans="1:91">
      <c r="A5" s="5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1"/>
      <c r="P5" s="31"/>
      <c r="Q5" s="54"/>
      <c r="R5" s="21" t="str">
        <f>IFERROR(VLOOKUP(November[[#This Row],[Drug Name]],'Data Options'!$R$1:$S$100,2,FALSE), " ")</f>
        <v xml:space="preserve"> </v>
      </c>
      <c r="S5" s="55"/>
      <c r="T5" s="32"/>
      <c r="U5" s="32"/>
      <c r="V5" s="55"/>
      <c r="W5" s="32"/>
      <c r="X5" s="54"/>
      <c r="Y5" s="21" t="str">
        <f>IFERROR(VLOOKUP(November[[#This Row],[Drug Name2]],'Data Options'!$R$1:$S$100,2,FALSE), " ")</f>
        <v xml:space="preserve"> </v>
      </c>
      <c r="Z5" s="55"/>
      <c r="AA5" s="32"/>
      <c r="AB5" s="32"/>
      <c r="AC5" s="55"/>
      <c r="AD5" s="32"/>
      <c r="AE5" s="54"/>
      <c r="AF5" s="21" t="str">
        <f>IFERROR(VLOOKUP(November[[#This Row],[Drug Name3]],'Data Options'!$R$1:$S$100,2,FALSE), " ")</f>
        <v xml:space="preserve"> </v>
      </c>
      <c r="AG5" s="55"/>
      <c r="AH5" s="32"/>
      <c r="AI5" s="32"/>
      <c r="AJ5" s="55"/>
      <c r="AK5" s="32"/>
      <c r="AL5" s="32"/>
      <c r="AM5" s="32"/>
      <c r="AN5" s="32"/>
      <c r="AO5" s="32"/>
      <c r="AP5" s="31"/>
      <c r="AQ5" s="31"/>
      <c r="AR5" s="54"/>
      <c r="AS5" s="21" t="str">
        <f>IFERROR(VLOOKUP(November[[#This Row],[Drug Name4]],'Data Options'!$R$1:$S$100,2,FALSE), " ")</f>
        <v xml:space="preserve"> </v>
      </c>
      <c r="AT5" s="55"/>
      <c r="AU5" s="32"/>
      <c r="AV5" s="32"/>
      <c r="AW5" s="55"/>
      <c r="AX5" s="32"/>
      <c r="AY5" s="54"/>
      <c r="AZ5" s="21" t="str">
        <f>IFERROR(VLOOKUP(November[[#This Row],[Drug Name5]],'Data Options'!$R$1:$S$100,2,FALSE), " ")</f>
        <v xml:space="preserve"> </v>
      </c>
      <c r="BA5" s="55"/>
      <c r="BB5" s="32"/>
      <c r="BC5" s="32"/>
      <c r="BD5" s="55"/>
      <c r="BE5" s="32"/>
      <c r="BF5" s="54"/>
      <c r="BG5" s="21" t="str">
        <f>IFERROR(VLOOKUP(November[[#This Row],[Drug Name6]],'Data Options'!$R$1:$S$100,2,FALSE), " ")</f>
        <v xml:space="preserve"> </v>
      </c>
      <c r="BH5" s="55"/>
      <c r="BI5" s="32"/>
      <c r="BJ5" s="32"/>
      <c r="BK5" s="55"/>
      <c r="BL5" s="32"/>
      <c r="BM5" s="32"/>
      <c r="BN5" s="32"/>
      <c r="BO5" s="32"/>
      <c r="BP5" s="32"/>
      <c r="BQ5" s="31"/>
      <c r="BR5" s="31"/>
      <c r="BS5" s="54"/>
      <c r="BT5" s="21" t="str">
        <f>IFERROR(VLOOKUP(November[[#This Row],[Drug Name7]],'Data Options'!$R$1:$S$100,2,FALSE), " ")</f>
        <v xml:space="preserve"> </v>
      </c>
      <c r="BU5" s="55"/>
      <c r="BV5" s="32"/>
      <c r="BW5" s="32"/>
      <c r="BX5" s="55"/>
      <c r="BY5" s="32"/>
      <c r="BZ5" s="54"/>
      <c r="CA5" s="21" t="str">
        <f>IFERROR(VLOOKUP(November[[#This Row],[Drug Name8]],'Data Options'!$R$1:$S$100,2,FALSE), " ")</f>
        <v xml:space="preserve"> </v>
      </c>
      <c r="CB5" s="55"/>
      <c r="CC5" s="32"/>
      <c r="CD5" s="32"/>
      <c r="CE5" s="55"/>
      <c r="CF5" s="32"/>
      <c r="CG5" s="54"/>
      <c r="CH5" s="21" t="str">
        <f>IFERROR(VLOOKUP(November[[#This Row],[Drug Name9]],'Data Options'!$R$1:$S$100,2,FALSE), " ")</f>
        <v xml:space="preserve"> </v>
      </c>
      <c r="CI5" s="55"/>
      <c r="CJ5" s="32"/>
      <c r="CK5" s="32"/>
      <c r="CL5" s="55"/>
      <c r="CM5" s="32"/>
    </row>
    <row r="6" spans="1:91">
      <c r="A6" s="5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1"/>
      <c r="P6" s="31"/>
      <c r="Q6" s="54"/>
      <c r="R6" s="21" t="str">
        <f>IFERROR(VLOOKUP(November[[#This Row],[Drug Name]],'Data Options'!$R$1:$S$100,2,FALSE), " ")</f>
        <v xml:space="preserve"> </v>
      </c>
      <c r="S6" s="55"/>
      <c r="T6" s="32"/>
      <c r="U6" s="32"/>
      <c r="V6" s="55"/>
      <c r="W6" s="32"/>
      <c r="X6" s="54"/>
      <c r="Y6" s="21" t="str">
        <f>IFERROR(VLOOKUP(November[[#This Row],[Drug Name2]],'Data Options'!$R$1:$S$100,2,FALSE), " ")</f>
        <v xml:space="preserve"> </v>
      </c>
      <c r="Z6" s="55"/>
      <c r="AA6" s="32"/>
      <c r="AB6" s="32"/>
      <c r="AC6" s="55"/>
      <c r="AD6" s="32"/>
      <c r="AE6" s="54"/>
      <c r="AF6" s="21" t="str">
        <f>IFERROR(VLOOKUP(November[[#This Row],[Drug Name3]],'Data Options'!$R$1:$S$100,2,FALSE), " ")</f>
        <v xml:space="preserve"> </v>
      </c>
      <c r="AG6" s="55"/>
      <c r="AH6" s="32"/>
      <c r="AI6" s="32"/>
      <c r="AJ6" s="55"/>
      <c r="AK6" s="32"/>
      <c r="AL6" s="32"/>
      <c r="AM6" s="32"/>
      <c r="AN6" s="32"/>
      <c r="AO6" s="32"/>
      <c r="AP6" s="31"/>
      <c r="AQ6" s="31"/>
      <c r="AR6" s="54"/>
      <c r="AS6" s="21" t="str">
        <f>IFERROR(VLOOKUP(November[[#This Row],[Drug Name4]],'Data Options'!$R$1:$S$100,2,FALSE), " ")</f>
        <v xml:space="preserve"> </v>
      </c>
      <c r="AT6" s="55"/>
      <c r="AU6" s="32"/>
      <c r="AV6" s="32"/>
      <c r="AW6" s="55"/>
      <c r="AX6" s="32"/>
      <c r="AY6" s="54"/>
      <c r="AZ6" s="21" t="str">
        <f>IFERROR(VLOOKUP(November[[#This Row],[Drug Name5]],'Data Options'!$R$1:$S$100,2,FALSE), " ")</f>
        <v xml:space="preserve"> </v>
      </c>
      <c r="BA6" s="55"/>
      <c r="BB6" s="32"/>
      <c r="BC6" s="32"/>
      <c r="BD6" s="55"/>
      <c r="BE6" s="32"/>
      <c r="BF6" s="54"/>
      <c r="BG6" s="21" t="str">
        <f>IFERROR(VLOOKUP(November[[#This Row],[Drug Name6]],'Data Options'!$R$1:$S$100,2,FALSE), " ")</f>
        <v xml:space="preserve"> </v>
      </c>
      <c r="BH6" s="55"/>
      <c r="BI6" s="32"/>
      <c r="BJ6" s="32"/>
      <c r="BK6" s="55"/>
      <c r="BL6" s="32"/>
      <c r="BM6" s="32"/>
      <c r="BN6" s="32"/>
      <c r="BO6" s="32"/>
      <c r="BP6" s="32"/>
      <c r="BQ6" s="31"/>
      <c r="BR6" s="31"/>
      <c r="BS6" s="54"/>
      <c r="BT6" s="21" t="str">
        <f>IFERROR(VLOOKUP(November[[#This Row],[Drug Name7]],'Data Options'!$R$1:$S$100,2,FALSE), " ")</f>
        <v xml:space="preserve"> </v>
      </c>
      <c r="BU6" s="55"/>
      <c r="BV6" s="32"/>
      <c r="BW6" s="32"/>
      <c r="BX6" s="55"/>
      <c r="BY6" s="32"/>
      <c r="BZ6" s="54"/>
      <c r="CA6" s="21" t="str">
        <f>IFERROR(VLOOKUP(November[[#This Row],[Drug Name8]],'Data Options'!$R$1:$S$100,2,FALSE), " ")</f>
        <v xml:space="preserve"> </v>
      </c>
      <c r="CB6" s="55"/>
      <c r="CC6" s="32"/>
      <c r="CD6" s="32"/>
      <c r="CE6" s="55"/>
      <c r="CF6" s="32"/>
      <c r="CG6" s="54"/>
      <c r="CH6" s="21" t="str">
        <f>IFERROR(VLOOKUP(November[[#This Row],[Drug Name9]],'Data Options'!$R$1:$S$100,2,FALSE), " ")</f>
        <v xml:space="preserve"> </v>
      </c>
      <c r="CI6" s="55"/>
      <c r="CJ6" s="32"/>
      <c r="CK6" s="32"/>
      <c r="CL6" s="55"/>
      <c r="CM6" s="32"/>
    </row>
    <row r="7" spans="1:91">
      <c r="A7" s="5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1"/>
      <c r="P7" s="31"/>
      <c r="Q7" s="54"/>
      <c r="R7" s="21" t="str">
        <f>IFERROR(VLOOKUP(November[[#This Row],[Drug Name]],'Data Options'!$R$1:$S$100,2,FALSE), " ")</f>
        <v xml:space="preserve"> </v>
      </c>
      <c r="S7" s="55"/>
      <c r="T7" s="32"/>
      <c r="U7" s="32"/>
      <c r="V7" s="55"/>
      <c r="W7" s="32"/>
      <c r="X7" s="54"/>
      <c r="Y7" s="21" t="str">
        <f>IFERROR(VLOOKUP(November[[#This Row],[Drug Name2]],'Data Options'!$R$1:$S$100,2,FALSE), " ")</f>
        <v xml:space="preserve"> </v>
      </c>
      <c r="Z7" s="55"/>
      <c r="AA7" s="32"/>
      <c r="AB7" s="32"/>
      <c r="AC7" s="55"/>
      <c r="AD7" s="32"/>
      <c r="AE7" s="54"/>
      <c r="AF7" s="21" t="str">
        <f>IFERROR(VLOOKUP(November[[#This Row],[Drug Name3]],'Data Options'!$R$1:$S$100,2,FALSE), " ")</f>
        <v xml:space="preserve"> </v>
      </c>
      <c r="AG7" s="55"/>
      <c r="AH7" s="32"/>
      <c r="AI7" s="32"/>
      <c r="AJ7" s="55"/>
      <c r="AK7" s="32"/>
      <c r="AL7" s="32"/>
      <c r="AM7" s="32"/>
      <c r="AN7" s="32"/>
      <c r="AO7" s="32"/>
      <c r="AP7" s="31"/>
      <c r="AQ7" s="31"/>
      <c r="AR7" s="54"/>
      <c r="AS7" s="21" t="str">
        <f>IFERROR(VLOOKUP(November[[#This Row],[Drug Name4]],'Data Options'!$R$1:$S$100,2,FALSE), " ")</f>
        <v xml:space="preserve"> </v>
      </c>
      <c r="AT7" s="55"/>
      <c r="AU7" s="32"/>
      <c r="AV7" s="32"/>
      <c r="AW7" s="55"/>
      <c r="AX7" s="32"/>
      <c r="AY7" s="54"/>
      <c r="AZ7" s="21" t="str">
        <f>IFERROR(VLOOKUP(November[[#This Row],[Drug Name5]],'Data Options'!$R$1:$S$100,2,FALSE), " ")</f>
        <v xml:space="preserve"> </v>
      </c>
      <c r="BA7" s="55"/>
      <c r="BB7" s="32"/>
      <c r="BC7" s="32"/>
      <c r="BD7" s="55"/>
      <c r="BE7" s="32"/>
      <c r="BF7" s="54"/>
      <c r="BG7" s="21" t="str">
        <f>IFERROR(VLOOKUP(November[[#This Row],[Drug Name6]],'Data Options'!$R$1:$S$100,2,FALSE), " ")</f>
        <v xml:space="preserve"> </v>
      </c>
      <c r="BH7" s="55"/>
      <c r="BI7" s="32"/>
      <c r="BJ7" s="32"/>
      <c r="BK7" s="55"/>
      <c r="BL7" s="32"/>
      <c r="BM7" s="32"/>
      <c r="BN7" s="32"/>
      <c r="BO7" s="32"/>
      <c r="BP7" s="32"/>
      <c r="BQ7" s="31"/>
      <c r="BR7" s="31"/>
      <c r="BS7" s="54"/>
      <c r="BT7" s="21" t="str">
        <f>IFERROR(VLOOKUP(November[[#This Row],[Drug Name7]],'Data Options'!$R$1:$S$100,2,FALSE), " ")</f>
        <v xml:space="preserve"> </v>
      </c>
      <c r="BU7" s="55"/>
      <c r="BV7" s="32"/>
      <c r="BW7" s="32"/>
      <c r="BX7" s="55"/>
      <c r="BY7" s="32"/>
      <c r="BZ7" s="54"/>
      <c r="CA7" s="21" t="str">
        <f>IFERROR(VLOOKUP(November[[#This Row],[Drug Name8]],'Data Options'!$R$1:$S$100,2,FALSE), " ")</f>
        <v xml:space="preserve"> </v>
      </c>
      <c r="CB7" s="55"/>
      <c r="CC7" s="32"/>
      <c r="CD7" s="32"/>
      <c r="CE7" s="55"/>
      <c r="CF7" s="32"/>
      <c r="CG7" s="54"/>
      <c r="CH7" s="21" t="str">
        <f>IFERROR(VLOOKUP(November[[#This Row],[Drug Name9]],'Data Options'!$R$1:$S$100,2,FALSE), " ")</f>
        <v xml:space="preserve"> </v>
      </c>
      <c r="CI7" s="55"/>
      <c r="CJ7" s="32"/>
      <c r="CK7" s="32"/>
      <c r="CL7" s="55"/>
      <c r="CM7" s="32"/>
    </row>
    <row r="8" spans="1:91">
      <c r="A8" s="5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1"/>
      <c r="P8" s="31"/>
      <c r="Q8" s="54"/>
      <c r="R8" s="21" t="str">
        <f>IFERROR(VLOOKUP(November[[#This Row],[Drug Name]],'Data Options'!$R$1:$S$100,2,FALSE), " ")</f>
        <v xml:space="preserve"> </v>
      </c>
      <c r="S8" s="55"/>
      <c r="T8" s="32"/>
      <c r="U8" s="32"/>
      <c r="V8" s="55"/>
      <c r="W8" s="32"/>
      <c r="X8" s="54"/>
      <c r="Y8" s="21" t="str">
        <f>IFERROR(VLOOKUP(November[[#This Row],[Drug Name2]],'Data Options'!$R$1:$S$100,2,FALSE), " ")</f>
        <v xml:space="preserve"> </v>
      </c>
      <c r="Z8" s="55"/>
      <c r="AA8" s="32"/>
      <c r="AB8" s="32"/>
      <c r="AC8" s="55"/>
      <c r="AD8" s="32"/>
      <c r="AE8" s="54"/>
      <c r="AF8" s="21" t="str">
        <f>IFERROR(VLOOKUP(November[[#This Row],[Drug Name3]],'Data Options'!$R$1:$S$100,2,FALSE), " ")</f>
        <v xml:space="preserve"> </v>
      </c>
      <c r="AG8" s="55"/>
      <c r="AH8" s="32"/>
      <c r="AI8" s="32"/>
      <c r="AJ8" s="55"/>
      <c r="AK8" s="32"/>
      <c r="AL8" s="32"/>
      <c r="AM8" s="32"/>
      <c r="AN8" s="32"/>
      <c r="AO8" s="32"/>
      <c r="AP8" s="31"/>
      <c r="AQ8" s="31"/>
      <c r="AR8" s="54"/>
      <c r="AS8" s="21" t="str">
        <f>IFERROR(VLOOKUP(November[[#This Row],[Drug Name4]],'Data Options'!$R$1:$S$100,2,FALSE), " ")</f>
        <v xml:space="preserve"> </v>
      </c>
      <c r="AT8" s="55"/>
      <c r="AU8" s="32"/>
      <c r="AV8" s="32"/>
      <c r="AW8" s="55"/>
      <c r="AX8" s="32"/>
      <c r="AY8" s="54"/>
      <c r="AZ8" s="21" t="str">
        <f>IFERROR(VLOOKUP(November[[#This Row],[Drug Name5]],'Data Options'!$R$1:$S$100,2,FALSE), " ")</f>
        <v xml:space="preserve"> </v>
      </c>
      <c r="BA8" s="55"/>
      <c r="BB8" s="32"/>
      <c r="BC8" s="32"/>
      <c r="BD8" s="55"/>
      <c r="BE8" s="32"/>
      <c r="BF8" s="54"/>
      <c r="BG8" s="21" t="str">
        <f>IFERROR(VLOOKUP(November[[#This Row],[Drug Name6]],'Data Options'!$R$1:$S$100,2,FALSE), " ")</f>
        <v xml:space="preserve"> </v>
      </c>
      <c r="BH8" s="55"/>
      <c r="BI8" s="32"/>
      <c r="BJ8" s="32"/>
      <c r="BK8" s="55"/>
      <c r="BL8" s="32"/>
      <c r="BM8" s="32"/>
      <c r="BN8" s="32"/>
      <c r="BO8" s="32"/>
      <c r="BP8" s="32"/>
      <c r="BQ8" s="31"/>
      <c r="BR8" s="31"/>
      <c r="BS8" s="54"/>
      <c r="BT8" s="21" t="str">
        <f>IFERROR(VLOOKUP(November[[#This Row],[Drug Name7]],'Data Options'!$R$1:$S$100,2,FALSE), " ")</f>
        <v xml:space="preserve"> </v>
      </c>
      <c r="BU8" s="55"/>
      <c r="BV8" s="32"/>
      <c r="BW8" s="32"/>
      <c r="BX8" s="55"/>
      <c r="BY8" s="32"/>
      <c r="BZ8" s="54"/>
      <c r="CA8" s="21" t="str">
        <f>IFERROR(VLOOKUP(November[[#This Row],[Drug Name8]],'Data Options'!$R$1:$S$100,2,FALSE), " ")</f>
        <v xml:space="preserve"> </v>
      </c>
      <c r="CB8" s="55"/>
      <c r="CC8" s="32"/>
      <c r="CD8" s="32"/>
      <c r="CE8" s="55"/>
      <c r="CF8" s="32"/>
      <c r="CG8" s="54"/>
      <c r="CH8" s="21" t="str">
        <f>IFERROR(VLOOKUP(November[[#This Row],[Drug Name9]],'Data Options'!$R$1:$S$100,2,FALSE), " ")</f>
        <v xml:space="preserve"> </v>
      </c>
      <c r="CI8" s="55"/>
      <c r="CJ8" s="32"/>
      <c r="CK8" s="32"/>
      <c r="CL8" s="55"/>
      <c r="CM8" s="32"/>
    </row>
    <row r="9" spans="1:91">
      <c r="A9" s="5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1"/>
      <c r="P9" s="31"/>
      <c r="Q9" s="54"/>
      <c r="R9" s="21" t="str">
        <f>IFERROR(VLOOKUP(November[[#This Row],[Drug Name]],'Data Options'!$R$1:$S$100,2,FALSE), " ")</f>
        <v xml:space="preserve"> </v>
      </c>
      <c r="S9" s="55"/>
      <c r="T9" s="32"/>
      <c r="U9" s="32"/>
      <c r="V9" s="55"/>
      <c r="W9" s="32"/>
      <c r="X9" s="54"/>
      <c r="Y9" s="21" t="str">
        <f>IFERROR(VLOOKUP(November[[#This Row],[Drug Name2]],'Data Options'!$R$1:$S$100,2,FALSE), " ")</f>
        <v xml:space="preserve"> </v>
      </c>
      <c r="Z9" s="55"/>
      <c r="AA9" s="32"/>
      <c r="AB9" s="32"/>
      <c r="AC9" s="55"/>
      <c r="AD9" s="32"/>
      <c r="AE9" s="54"/>
      <c r="AF9" s="21" t="str">
        <f>IFERROR(VLOOKUP(November[[#This Row],[Drug Name3]],'Data Options'!$R$1:$S$100,2,FALSE), " ")</f>
        <v xml:space="preserve"> </v>
      </c>
      <c r="AG9" s="55"/>
      <c r="AH9" s="32"/>
      <c r="AI9" s="32"/>
      <c r="AJ9" s="55"/>
      <c r="AK9" s="32"/>
      <c r="AL9" s="32"/>
      <c r="AM9" s="32"/>
      <c r="AN9" s="32"/>
      <c r="AO9" s="32"/>
      <c r="AP9" s="31"/>
      <c r="AQ9" s="31"/>
      <c r="AR9" s="54"/>
      <c r="AS9" s="21" t="str">
        <f>IFERROR(VLOOKUP(November[[#This Row],[Drug Name4]],'Data Options'!$R$1:$S$100,2,FALSE), " ")</f>
        <v xml:space="preserve"> </v>
      </c>
      <c r="AT9" s="55"/>
      <c r="AU9" s="32"/>
      <c r="AV9" s="32"/>
      <c r="AW9" s="55"/>
      <c r="AX9" s="32"/>
      <c r="AY9" s="54"/>
      <c r="AZ9" s="21" t="str">
        <f>IFERROR(VLOOKUP(November[[#This Row],[Drug Name5]],'Data Options'!$R$1:$S$100,2,FALSE), " ")</f>
        <v xml:space="preserve"> </v>
      </c>
      <c r="BA9" s="55"/>
      <c r="BB9" s="32"/>
      <c r="BC9" s="32"/>
      <c r="BD9" s="55"/>
      <c r="BE9" s="32"/>
      <c r="BF9" s="54"/>
      <c r="BG9" s="21" t="str">
        <f>IFERROR(VLOOKUP(November[[#This Row],[Drug Name6]],'Data Options'!$R$1:$S$100,2,FALSE), " ")</f>
        <v xml:space="preserve"> </v>
      </c>
      <c r="BH9" s="55"/>
      <c r="BI9" s="32"/>
      <c r="BJ9" s="32"/>
      <c r="BK9" s="55"/>
      <c r="BL9" s="32"/>
      <c r="BM9" s="32"/>
      <c r="BN9" s="32"/>
      <c r="BO9" s="32"/>
      <c r="BP9" s="32"/>
      <c r="BQ9" s="31"/>
      <c r="BR9" s="31"/>
      <c r="BS9" s="54"/>
      <c r="BT9" s="21" t="str">
        <f>IFERROR(VLOOKUP(November[[#This Row],[Drug Name7]],'Data Options'!$R$1:$S$100,2,FALSE), " ")</f>
        <v xml:space="preserve"> </v>
      </c>
      <c r="BU9" s="55"/>
      <c r="BV9" s="32"/>
      <c r="BW9" s="32"/>
      <c r="BX9" s="55"/>
      <c r="BY9" s="32"/>
      <c r="BZ9" s="54"/>
      <c r="CA9" s="21" t="str">
        <f>IFERROR(VLOOKUP(November[[#This Row],[Drug Name8]],'Data Options'!$R$1:$S$100,2,FALSE), " ")</f>
        <v xml:space="preserve"> </v>
      </c>
      <c r="CB9" s="55"/>
      <c r="CC9" s="32"/>
      <c r="CD9" s="32"/>
      <c r="CE9" s="55"/>
      <c r="CF9" s="32"/>
      <c r="CG9" s="54"/>
      <c r="CH9" s="21" t="str">
        <f>IFERROR(VLOOKUP(November[[#This Row],[Drug Name9]],'Data Options'!$R$1:$S$100,2,FALSE), " ")</f>
        <v xml:space="preserve"> </v>
      </c>
      <c r="CI9" s="55"/>
      <c r="CJ9" s="32"/>
      <c r="CK9" s="32"/>
      <c r="CL9" s="55"/>
      <c r="CM9" s="32"/>
    </row>
    <row r="10" spans="1:91">
      <c r="A10" s="5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1"/>
      <c r="P10" s="31"/>
      <c r="Q10" s="54"/>
      <c r="R10" s="21" t="str">
        <f>IFERROR(VLOOKUP(November[[#This Row],[Drug Name]],'Data Options'!$R$1:$S$100,2,FALSE), " ")</f>
        <v xml:space="preserve"> </v>
      </c>
      <c r="S10" s="55"/>
      <c r="T10" s="32"/>
      <c r="U10" s="32"/>
      <c r="V10" s="55"/>
      <c r="W10" s="32"/>
      <c r="X10" s="54"/>
      <c r="Y10" s="21" t="str">
        <f>IFERROR(VLOOKUP(November[[#This Row],[Drug Name2]],'Data Options'!$R$1:$S$100,2,FALSE), " ")</f>
        <v xml:space="preserve"> </v>
      </c>
      <c r="Z10" s="55"/>
      <c r="AA10" s="32"/>
      <c r="AB10" s="32"/>
      <c r="AC10" s="55"/>
      <c r="AD10" s="32"/>
      <c r="AE10" s="54"/>
      <c r="AF10" s="21" t="str">
        <f>IFERROR(VLOOKUP(November[[#This Row],[Drug Name3]],'Data Options'!$R$1:$S$100,2,FALSE), " ")</f>
        <v xml:space="preserve"> </v>
      </c>
      <c r="AG10" s="55"/>
      <c r="AH10" s="32"/>
      <c r="AI10" s="32"/>
      <c r="AJ10" s="55"/>
      <c r="AK10" s="32"/>
      <c r="AL10" s="32"/>
      <c r="AM10" s="32"/>
      <c r="AN10" s="32"/>
      <c r="AO10" s="32"/>
      <c r="AP10" s="31"/>
      <c r="AQ10" s="31"/>
      <c r="AR10" s="54"/>
      <c r="AS10" s="21" t="str">
        <f>IFERROR(VLOOKUP(November[[#This Row],[Drug Name4]],'Data Options'!$R$1:$S$100,2,FALSE), " ")</f>
        <v xml:space="preserve"> </v>
      </c>
      <c r="AT10" s="55"/>
      <c r="AU10" s="32"/>
      <c r="AV10" s="32"/>
      <c r="AW10" s="55"/>
      <c r="AX10" s="32"/>
      <c r="AY10" s="54"/>
      <c r="AZ10" s="21" t="str">
        <f>IFERROR(VLOOKUP(November[[#This Row],[Drug Name5]],'Data Options'!$R$1:$S$100,2,FALSE), " ")</f>
        <v xml:space="preserve"> </v>
      </c>
      <c r="BA10" s="55"/>
      <c r="BB10" s="32"/>
      <c r="BC10" s="32"/>
      <c r="BD10" s="55"/>
      <c r="BE10" s="32"/>
      <c r="BF10" s="54"/>
      <c r="BG10" s="21" t="str">
        <f>IFERROR(VLOOKUP(November[[#This Row],[Drug Name6]],'Data Options'!$R$1:$S$100,2,FALSE), " ")</f>
        <v xml:space="preserve"> </v>
      </c>
      <c r="BH10" s="55"/>
      <c r="BI10" s="32"/>
      <c r="BJ10" s="32"/>
      <c r="BK10" s="55"/>
      <c r="BL10" s="32"/>
      <c r="BM10" s="32"/>
      <c r="BN10" s="32"/>
      <c r="BO10" s="32"/>
      <c r="BP10" s="32"/>
      <c r="BQ10" s="31"/>
      <c r="BR10" s="31"/>
      <c r="BS10" s="54"/>
      <c r="BT10" s="21" t="str">
        <f>IFERROR(VLOOKUP(November[[#This Row],[Drug Name7]],'Data Options'!$R$1:$S$100,2,FALSE), " ")</f>
        <v xml:space="preserve"> </v>
      </c>
      <c r="BU10" s="55"/>
      <c r="BV10" s="32"/>
      <c r="BW10" s="32"/>
      <c r="BX10" s="55"/>
      <c r="BY10" s="32"/>
      <c r="BZ10" s="54"/>
      <c r="CA10" s="21" t="str">
        <f>IFERROR(VLOOKUP(November[[#This Row],[Drug Name8]],'Data Options'!$R$1:$S$100,2,FALSE), " ")</f>
        <v xml:space="preserve"> </v>
      </c>
      <c r="CB10" s="55"/>
      <c r="CC10" s="32"/>
      <c r="CD10" s="32"/>
      <c r="CE10" s="55"/>
      <c r="CF10" s="32"/>
      <c r="CG10" s="54"/>
      <c r="CH10" s="21" t="str">
        <f>IFERROR(VLOOKUP(November[[#This Row],[Drug Name9]],'Data Options'!$R$1:$S$100,2,FALSE), " ")</f>
        <v xml:space="preserve"> </v>
      </c>
      <c r="CI10" s="55"/>
      <c r="CJ10" s="32"/>
      <c r="CK10" s="32"/>
      <c r="CL10" s="55"/>
      <c r="CM10" s="32"/>
    </row>
    <row r="11" spans="1:91">
      <c r="A11" s="5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1"/>
      <c r="P11" s="31"/>
      <c r="Q11" s="54"/>
      <c r="R11" s="21" t="str">
        <f>IFERROR(VLOOKUP(November[[#This Row],[Drug Name]],'Data Options'!$R$1:$S$100,2,FALSE), " ")</f>
        <v xml:space="preserve"> </v>
      </c>
      <c r="S11" s="55"/>
      <c r="T11" s="32"/>
      <c r="U11" s="32"/>
      <c r="V11" s="55"/>
      <c r="W11" s="32"/>
      <c r="X11" s="54"/>
      <c r="Y11" s="21" t="str">
        <f>IFERROR(VLOOKUP(November[[#This Row],[Drug Name2]],'Data Options'!$R$1:$S$100,2,FALSE), " ")</f>
        <v xml:space="preserve"> </v>
      </c>
      <c r="Z11" s="55"/>
      <c r="AA11" s="32"/>
      <c r="AB11" s="32"/>
      <c r="AC11" s="55"/>
      <c r="AD11" s="32"/>
      <c r="AE11" s="54"/>
      <c r="AF11" s="21" t="str">
        <f>IFERROR(VLOOKUP(November[[#This Row],[Drug Name3]],'Data Options'!$R$1:$S$100,2,FALSE), " ")</f>
        <v xml:space="preserve"> </v>
      </c>
      <c r="AG11" s="55"/>
      <c r="AH11" s="32"/>
      <c r="AI11" s="32"/>
      <c r="AJ11" s="55"/>
      <c r="AK11" s="32"/>
      <c r="AL11" s="32"/>
      <c r="AM11" s="32"/>
      <c r="AN11" s="32"/>
      <c r="AO11" s="32"/>
      <c r="AP11" s="31"/>
      <c r="AQ11" s="31"/>
      <c r="AR11" s="54"/>
      <c r="AS11" s="21" t="str">
        <f>IFERROR(VLOOKUP(November[[#This Row],[Drug Name4]],'Data Options'!$R$1:$S$100,2,FALSE), " ")</f>
        <v xml:space="preserve"> </v>
      </c>
      <c r="AT11" s="55"/>
      <c r="AU11" s="32"/>
      <c r="AV11" s="32"/>
      <c r="AW11" s="55"/>
      <c r="AX11" s="32"/>
      <c r="AY11" s="54"/>
      <c r="AZ11" s="21" t="str">
        <f>IFERROR(VLOOKUP(November[[#This Row],[Drug Name5]],'Data Options'!$R$1:$S$100,2,FALSE), " ")</f>
        <v xml:space="preserve"> </v>
      </c>
      <c r="BA11" s="55"/>
      <c r="BB11" s="32"/>
      <c r="BC11" s="32"/>
      <c r="BD11" s="55"/>
      <c r="BE11" s="32"/>
      <c r="BF11" s="54"/>
      <c r="BG11" s="21" t="str">
        <f>IFERROR(VLOOKUP(November[[#This Row],[Drug Name6]],'Data Options'!$R$1:$S$100,2,FALSE), " ")</f>
        <v xml:space="preserve"> </v>
      </c>
      <c r="BH11" s="55"/>
      <c r="BI11" s="32"/>
      <c r="BJ11" s="32"/>
      <c r="BK11" s="55"/>
      <c r="BL11" s="32"/>
      <c r="BM11" s="32"/>
      <c r="BN11" s="32"/>
      <c r="BO11" s="32"/>
      <c r="BP11" s="32"/>
      <c r="BQ11" s="31"/>
      <c r="BR11" s="31"/>
      <c r="BS11" s="54"/>
      <c r="BT11" s="21" t="str">
        <f>IFERROR(VLOOKUP(November[[#This Row],[Drug Name7]],'Data Options'!$R$1:$S$100,2,FALSE), " ")</f>
        <v xml:space="preserve"> </v>
      </c>
      <c r="BU11" s="55"/>
      <c r="BV11" s="32"/>
      <c r="BW11" s="32"/>
      <c r="BX11" s="55"/>
      <c r="BY11" s="32"/>
      <c r="BZ11" s="54"/>
      <c r="CA11" s="21" t="str">
        <f>IFERROR(VLOOKUP(November[[#This Row],[Drug Name8]],'Data Options'!$R$1:$S$100,2,FALSE), " ")</f>
        <v xml:space="preserve"> </v>
      </c>
      <c r="CB11" s="55"/>
      <c r="CC11" s="32"/>
      <c r="CD11" s="32"/>
      <c r="CE11" s="55"/>
      <c r="CF11" s="32"/>
      <c r="CG11" s="54"/>
      <c r="CH11" s="21" t="str">
        <f>IFERROR(VLOOKUP(November[[#This Row],[Drug Name9]],'Data Options'!$R$1:$S$100,2,FALSE), " ")</f>
        <v xml:space="preserve"> </v>
      </c>
      <c r="CI11" s="55"/>
      <c r="CJ11" s="32"/>
      <c r="CK11" s="32"/>
      <c r="CL11" s="55"/>
      <c r="CM11" s="32"/>
    </row>
    <row r="12" spans="1:91">
      <c r="A12" s="5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1"/>
      <c r="P12" s="31"/>
      <c r="Q12" s="54"/>
      <c r="R12" s="21" t="str">
        <f>IFERROR(VLOOKUP(November[[#This Row],[Drug Name]],'Data Options'!$R$1:$S$100,2,FALSE), " ")</f>
        <v xml:space="preserve"> </v>
      </c>
      <c r="S12" s="55"/>
      <c r="T12" s="32"/>
      <c r="U12" s="32"/>
      <c r="V12" s="55"/>
      <c r="W12" s="32"/>
      <c r="X12" s="54"/>
      <c r="Y12" s="21" t="str">
        <f>IFERROR(VLOOKUP(November[[#This Row],[Drug Name2]],'Data Options'!$R$1:$S$100,2,FALSE), " ")</f>
        <v xml:space="preserve"> </v>
      </c>
      <c r="Z12" s="55"/>
      <c r="AA12" s="32"/>
      <c r="AB12" s="32"/>
      <c r="AC12" s="55"/>
      <c r="AD12" s="32"/>
      <c r="AE12" s="54"/>
      <c r="AF12" s="21" t="str">
        <f>IFERROR(VLOOKUP(November[[#This Row],[Drug Name3]],'Data Options'!$R$1:$S$100,2,FALSE), " ")</f>
        <v xml:space="preserve"> </v>
      </c>
      <c r="AG12" s="55"/>
      <c r="AH12" s="32"/>
      <c r="AI12" s="32"/>
      <c r="AJ12" s="55"/>
      <c r="AK12" s="32"/>
      <c r="AL12" s="32"/>
      <c r="AM12" s="32"/>
      <c r="AN12" s="32"/>
      <c r="AO12" s="32"/>
      <c r="AP12" s="31"/>
      <c r="AQ12" s="31"/>
      <c r="AR12" s="54"/>
      <c r="AS12" s="21" t="str">
        <f>IFERROR(VLOOKUP(November[[#This Row],[Drug Name4]],'Data Options'!$R$1:$S$100,2,FALSE), " ")</f>
        <v xml:space="preserve"> </v>
      </c>
      <c r="AT12" s="55"/>
      <c r="AU12" s="32"/>
      <c r="AV12" s="32"/>
      <c r="AW12" s="55"/>
      <c r="AX12" s="32"/>
      <c r="AY12" s="54"/>
      <c r="AZ12" s="21" t="str">
        <f>IFERROR(VLOOKUP(November[[#This Row],[Drug Name5]],'Data Options'!$R$1:$S$100,2,FALSE), " ")</f>
        <v xml:space="preserve"> </v>
      </c>
      <c r="BA12" s="55"/>
      <c r="BB12" s="32"/>
      <c r="BC12" s="32"/>
      <c r="BD12" s="55"/>
      <c r="BE12" s="32"/>
      <c r="BF12" s="54"/>
      <c r="BG12" s="21" t="str">
        <f>IFERROR(VLOOKUP(November[[#This Row],[Drug Name6]],'Data Options'!$R$1:$S$100,2,FALSE), " ")</f>
        <v xml:space="preserve"> </v>
      </c>
      <c r="BH12" s="55"/>
      <c r="BI12" s="32"/>
      <c r="BJ12" s="32"/>
      <c r="BK12" s="55"/>
      <c r="BL12" s="32"/>
      <c r="BM12" s="32"/>
      <c r="BN12" s="32"/>
      <c r="BO12" s="32"/>
      <c r="BP12" s="32"/>
      <c r="BQ12" s="31"/>
      <c r="BR12" s="31"/>
      <c r="BS12" s="54"/>
      <c r="BT12" s="21" t="str">
        <f>IFERROR(VLOOKUP(November[[#This Row],[Drug Name7]],'Data Options'!$R$1:$S$100,2,FALSE), " ")</f>
        <v xml:space="preserve"> </v>
      </c>
      <c r="BU12" s="55"/>
      <c r="BV12" s="32"/>
      <c r="BW12" s="32"/>
      <c r="BX12" s="55"/>
      <c r="BY12" s="32"/>
      <c r="BZ12" s="54"/>
      <c r="CA12" s="21" t="str">
        <f>IFERROR(VLOOKUP(November[[#This Row],[Drug Name8]],'Data Options'!$R$1:$S$100,2,FALSE), " ")</f>
        <v xml:space="preserve"> </v>
      </c>
      <c r="CB12" s="55"/>
      <c r="CC12" s="32"/>
      <c r="CD12" s="32"/>
      <c r="CE12" s="55"/>
      <c r="CF12" s="32"/>
      <c r="CG12" s="54"/>
      <c r="CH12" s="21" t="str">
        <f>IFERROR(VLOOKUP(November[[#This Row],[Drug Name9]],'Data Options'!$R$1:$S$100,2,FALSE), " ")</f>
        <v xml:space="preserve"> </v>
      </c>
      <c r="CI12" s="55"/>
      <c r="CJ12" s="32"/>
      <c r="CK12" s="32"/>
      <c r="CL12" s="55"/>
      <c r="CM12" s="32"/>
    </row>
    <row r="13" spans="1:91">
      <c r="A13" s="5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1"/>
      <c r="P13" s="31"/>
      <c r="Q13" s="54"/>
      <c r="R13" s="21" t="str">
        <f>IFERROR(VLOOKUP(November[[#This Row],[Drug Name]],'Data Options'!$R$1:$S$100,2,FALSE), " ")</f>
        <v xml:space="preserve"> </v>
      </c>
      <c r="S13" s="55"/>
      <c r="T13" s="32"/>
      <c r="U13" s="32"/>
      <c r="V13" s="55"/>
      <c r="W13" s="32"/>
      <c r="X13" s="54"/>
      <c r="Y13" s="21" t="str">
        <f>IFERROR(VLOOKUP(November[[#This Row],[Drug Name2]],'Data Options'!$R$1:$S$100,2,FALSE), " ")</f>
        <v xml:space="preserve"> </v>
      </c>
      <c r="Z13" s="55"/>
      <c r="AA13" s="32"/>
      <c r="AB13" s="32"/>
      <c r="AC13" s="55"/>
      <c r="AD13" s="32"/>
      <c r="AE13" s="54"/>
      <c r="AF13" s="21" t="str">
        <f>IFERROR(VLOOKUP(November[[#This Row],[Drug Name3]],'Data Options'!$R$1:$S$100,2,FALSE), " ")</f>
        <v xml:space="preserve"> </v>
      </c>
      <c r="AG13" s="55"/>
      <c r="AH13" s="32"/>
      <c r="AI13" s="32"/>
      <c r="AJ13" s="55"/>
      <c r="AK13" s="32"/>
      <c r="AL13" s="32"/>
      <c r="AM13" s="32"/>
      <c r="AN13" s="32"/>
      <c r="AO13" s="32"/>
      <c r="AP13" s="31"/>
      <c r="AQ13" s="31"/>
      <c r="AR13" s="54"/>
      <c r="AS13" s="21" t="str">
        <f>IFERROR(VLOOKUP(November[[#This Row],[Drug Name4]],'Data Options'!$R$1:$S$100,2,FALSE), " ")</f>
        <v xml:space="preserve"> </v>
      </c>
      <c r="AT13" s="55"/>
      <c r="AU13" s="32"/>
      <c r="AV13" s="32"/>
      <c r="AW13" s="55"/>
      <c r="AX13" s="32"/>
      <c r="AY13" s="54"/>
      <c r="AZ13" s="21" t="str">
        <f>IFERROR(VLOOKUP(November[[#This Row],[Drug Name5]],'Data Options'!$R$1:$S$100,2,FALSE), " ")</f>
        <v xml:space="preserve"> </v>
      </c>
      <c r="BA13" s="55"/>
      <c r="BB13" s="32"/>
      <c r="BC13" s="32"/>
      <c r="BD13" s="55"/>
      <c r="BE13" s="32"/>
      <c r="BF13" s="54"/>
      <c r="BG13" s="21" t="str">
        <f>IFERROR(VLOOKUP(November[[#This Row],[Drug Name6]],'Data Options'!$R$1:$S$100,2,FALSE), " ")</f>
        <v xml:space="preserve"> </v>
      </c>
      <c r="BH13" s="55"/>
      <c r="BI13" s="32"/>
      <c r="BJ13" s="32"/>
      <c r="BK13" s="55"/>
      <c r="BL13" s="32"/>
      <c r="BM13" s="32"/>
      <c r="BN13" s="32"/>
      <c r="BO13" s="32"/>
      <c r="BP13" s="32"/>
      <c r="BQ13" s="31"/>
      <c r="BR13" s="31"/>
      <c r="BS13" s="54"/>
      <c r="BT13" s="21" t="str">
        <f>IFERROR(VLOOKUP(November[[#This Row],[Drug Name7]],'Data Options'!$R$1:$S$100,2,FALSE), " ")</f>
        <v xml:space="preserve"> </v>
      </c>
      <c r="BU13" s="55"/>
      <c r="BV13" s="32"/>
      <c r="BW13" s="32"/>
      <c r="BX13" s="55"/>
      <c r="BY13" s="32"/>
      <c r="BZ13" s="54"/>
      <c r="CA13" s="21" t="str">
        <f>IFERROR(VLOOKUP(November[[#This Row],[Drug Name8]],'Data Options'!$R$1:$S$100,2,FALSE), " ")</f>
        <v xml:space="preserve"> </v>
      </c>
      <c r="CB13" s="55"/>
      <c r="CC13" s="32"/>
      <c r="CD13" s="32"/>
      <c r="CE13" s="55"/>
      <c r="CF13" s="32"/>
      <c r="CG13" s="54"/>
      <c r="CH13" s="21" t="str">
        <f>IFERROR(VLOOKUP(November[[#This Row],[Drug Name9]],'Data Options'!$R$1:$S$100,2,FALSE), " ")</f>
        <v xml:space="preserve"> </v>
      </c>
      <c r="CI13" s="55"/>
      <c r="CJ13" s="32"/>
      <c r="CK13" s="32"/>
      <c r="CL13" s="55"/>
      <c r="CM13" s="32"/>
    </row>
    <row r="14" spans="1:91">
      <c r="A14" s="5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54"/>
      <c r="R14" s="21" t="str">
        <f>IFERROR(VLOOKUP(November[[#This Row],[Drug Name]],'Data Options'!$R$1:$S$100,2,FALSE), " ")</f>
        <v xml:space="preserve"> </v>
      </c>
      <c r="S14" s="55"/>
      <c r="T14" s="32"/>
      <c r="U14" s="32"/>
      <c r="V14" s="55"/>
      <c r="W14" s="32"/>
      <c r="X14" s="54"/>
      <c r="Y14" s="21" t="str">
        <f>IFERROR(VLOOKUP(November[[#This Row],[Drug Name2]],'Data Options'!$R$1:$S$100,2,FALSE), " ")</f>
        <v xml:space="preserve"> </v>
      </c>
      <c r="Z14" s="55"/>
      <c r="AA14" s="32"/>
      <c r="AB14" s="32"/>
      <c r="AC14" s="55"/>
      <c r="AD14" s="32"/>
      <c r="AE14" s="54"/>
      <c r="AF14" s="21" t="str">
        <f>IFERROR(VLOOKUP(November[[#This Row],[Drug Name3]],'Data Options'!$R$1:$S$100,2,FALSE), " ")</f>
        <v xml:space="preserve"> </v>
      </c>
      <c r="AG14" s="55"/>
      <c r="AH14" s="32"/>
      <c r="AI14" s="32"/>
      <c r="AJ14" s="55"/>
      <c r="AK14" s="32"/>
      <c r="AL14" s="32"/>
      <c r="AM14" s="32"/>
      <c r="AN14" s="32"/>
      <c r="AO14" s="32"/>
      <c r="AP14" s="31"/>
      <c r="AQ14" s="31"/>
      <c r="AR14" s="54"/>
      <c r="AS14" s="21" t="str">
        <f>IFERROR(VLOOKUP(November[[#This Row],[Drug Name4]],'Data Options'!$R$1:$S$100,2,FALSE), " ")</f>
        <v xml:space="preserve"> </v>
      </c>
      <c r="AT14" s="55"/>
      <c r="AU14" s="32"/>
      <c r="AV14" s="32"/>
      <c r="AW14" s="55"/>
      <c r="AX14" s="32"/>
      <c r="AY14" s="54"/>
      <c r="AZ14" s="21" t="str">
        <f>IFERROR(VLOOKUP(November[[#This Row],[Drug Name5]],'Data Options'!$R$1:$S$100,2,FALSE), " ")</f>
        <v xml:space="preserve"> </v>
      </c>
      <c r="BA14" s="55"/>
      <c r="BB14" s="32"/>
      <c r="BC14" s="32"/>
      <c r="BD14" s="55"/>
      <c r="BE14" s="32"/>
      <c r="BF14" s="54"/>
      <c r="BG14" s="21" t="str">
        <f>IFERROR(VLOOKUP(November[[#This Row],[Drug Name6]],'Data Options'!$R$1:$S$100,2,FALSE), " ")</f>
        <v xml:space="preserve"> </v>
      </c>
      <c r="BH14" s="55"/>
      <c r="BI14" s="32"/>
      <c r="BJ14" s="32"/>
      <c r="BK14" s="55"/>
      <c r="BL14" s="32"/>
      <c r="BM14" s="32"/>
      <c r="BN14" s="32"/>
      <c r="BO14" s="32"/>
      <c r="BP14" s="32"/>
      <c r="BQ14" s="31"/>
      <c r="BR14" s="31"/>
      <c r="BS14" s="54"/>
      <c r="BT14" s="21" t="str">
        <f>IFERROR(VLOOKUP(November[[#This Row],[Drug Name7]],'Data Options'!$R$1:$S$100,2,FALSE), " ")</f>
        <v xml:space="preserve"> </v>
      </c>
      <c r="BU14" s="55"/>
      <c r="BV14" s="32"/>
      <c r="BW14" s="32"/>
      <c r="BX14" s="55"/>
      <c r="BY14" s="32"/>
      <c r="BZ14" s="54"/>
      <c r="CA14" s="21" t="str">
        <f>IFERROR(VLOOKUP(November[[#This Row],[Drug Name8]],'Data Options'!$R$1:$S$100,2,FALSE), " ")</f>
        <v xml:space="preserve"> </v>
      </c>
      <c r="CB14" s="55"/>
      <c r="CC14" s="32"/>
      <c r="CD14" s="32"/>
      <c r="CE14" s="55"/>
      <c r="CF14" s="32"/>
      <c r="CG14" s="54"/>
      <c r="CH14" s="21" t="str">
        <f>IFERROR(VLOOKUP(November[[#This Row],[Drug Name9]],'Data Options'!$R$1:$S$100,2,FALSE), " ")</f>
        <v xml:space="preserve"> </v>
      </c>
      <c r="CI14" s="55"/>
      <c r="CJ14" s="32"/>
      <c r="CK14" s="32"/>
      <c r="CL14" s="55"/>
      <c r="CM14" s="32"/>
    </row>
    <row r="15" spans="1:91">
      <c r="A15" s="5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54"/>
      <c r="R15" s="21" t="str">
        <f>IFERROR(VLOOKUP(November[[#This Row],[Drug Name]],'Data Options'!$R$1:$S$100,2,FALSE), " ")</f>
        <v xml:space="preserve"> </v>
      </c>
      <c r="S15" s="55"/>
      <c r="T15" s="32"/>
      <c r="U15" s="32"/>
      <c r="V15" s="55"/>
      <c r="W15" s="32"/>
      <c r="X15" s="54"/>
      <c r="Y15" s="21" t="str">
        <f>IFERROR(VLOOKUP(November[[#This Row],[Drug Name2]],'Data Options'!$R$1:$S$100,2,FALSE), " ")</f>
        <v xml:space="preserve"> </v>
      </c>
      <c r="Z15" s="55"/>
      <c r="AA15" s="32"/>
      <c r="AB15" s="32"/>
      <c r="AC15" s="55"/>
      <c r="AD15" s="32"/>
      <c r="AE15" s="54"/>
      <c r="AF15" s="21" t="str">
        <f>IFERROR(VLOOKUP(November[[#This Row],[Drug Name3]],'Data Options'!$R$1:$S$100,2,FALSE), " ")</f>
        <v xml:space="preserve"> </v>
      </c>
      <c r="AG15" s="55"/>
      <c r="AH15" s="32"/>
      <c r="AI15" s="32"/>
      <c r="AJ15" s="55"/>
      <c r="AK15" s="32"/>
      <c r="AL15" s="32"/>
      <c r="AM15" s="32"/>
      <c r="AN15" s="32"/>
      <c r="AO15" s="32"/>
      <c r="AP15" s="31"/>
      <c r="AQ15" s="31"/>
      <c r="AR15" s="54"/>
      <c r="AS15" s="21" t="str">
        <f>IFERROR(VLOOKUP(November[[#This Row],[Drug Name4]],'Data Options'!$R$1:$S$100,2,FALSE), " ")</f>
        <v xml:space="preserve"> </v>
      </c>
      <c r="AT15" s="55"/>
      <c r="AU15" s="32"/>
      <c r="AV15" s="32"/>
      <c r="AW15" s="55"/>
      <c r="AX15" s="32"/>
      <c r="AY15" s="54"/>
      <c r="AZ15" s="21" t="str">
        <f>IFERROR(VLOOKUP(November[[#This Row],[Drug Name5]],'Data Options'!$R$1:$S$100,2,FALSE), " ")</f>
        <v xml:space="preserve"> </v>
      </c>
      <c r="BA15" s="55"/>
      <c r="BB15" s="32"/>
      <c r="BC15" s="32"/>
      <c r="BD15" s="55"/>
      <c r="BE15" s="32"/>
      <c r="BF15" s="54"/>
      <c r="BG15" s="21" t="str">
        <f>IFERROR(VLOOKUP(November[[#This Row],[Drug Name6]],'Data Options'!$R$1:$S$100,2,FALSE), " ")</f>
        <v xml:space="preserve"> </v>
      </c>
      <c r="BH15" s="55"/>
      <c r="BI15" s="32"/>
      <c r="BJ15" s="32"/>
      <c r="BK15" s="55"/>
      <c r="BL15" s="32"/>
      <c r="BM15" s="32"/>
      <c r="BN15" s="32"/>
      <c r="BO15" s="32"/>
      <c r="BP15" s="32"/>
      <c r="BQ15" s="31"/>
      <c r="BR15" s="31"/>
      <c r="BS15" s="54"/>
      <c r="BT15" s="21" t="str">
        <f>IFERROR(VLOOKUP(November[[#This Row],[Drug Name7]],'Data Options'!$R$1:$S$100,2,FALSE), " ")</f>
        <v xml:space="preserve"> </v>
      </c>
      <c r="BU15" s="55"/>
      <c r="BV15" s="32"/>
      <c r="BW15" s="32"/>
      <c r="BX15" s="55"/>
      <c r="BY15" s="32"/>
      <c r="BZ15" s="54"/>
      <c r="CA15" s="21" t="str">
        <f>IFERROR(VLOOKUP(November[[#This Row],[Drug Name8]],'Data Options'!$R$1:$S$100,2,FALSE), " ")</f>
        <v xml:space="preserve"> </v>
      </c>
      <c r="CB15" s="55"/>
      <c r="CC15" s="32"/>
      <c r="CD15" s="32"/>
      <c r="CE15" s="55"/>
      <c r="CF15" s="32"/>
      <c r="CG15" s="54"/>
      <c r="CH15" s="21" t="str">
        <f>IFERROR(VLOOKUP(November[[#This Row],[Drug Name9]],'Data Options'!$R$1:$S$100,2,FALSE), " ")</f>
        <v xml:space="preserve"> </v>
      </c>
      <c r="CI15" s="55"/>
      <c r="CJ15" s="32"/>
      <c r="CK15" s="32"/>
      <c r="CL15" s="55"/>
      <c r="CM15" s="32"/>
    </row>
    <row r="16" spans="1:91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1"/>
      <c r="Q16" s="54"/>
      <c r="R16" s="21" t="str">
        <f>IFERROR(VLOOKUP(November[[#This Row],[Drug Name]],'Data Options'!$R$1:$S$100,2,FALSE), " ")</f>
        <v xml:space="preserve"> </v>
      </c>
      <c r="S16" s="55"/>
      <c r="T16" s="32"/>
      <c r="U16" s="32"/>
      <c r="V16" s="55"/>
      <c r="W16" s="32"/>
      <c r="X16" s="54"/>
      <c r="Y16" s="21" t="str">
        <f>IFERROR(VLOOKUP(November[[#This Row],[Drug Name2]],'Data Options'!$R$1:$S$100,2,FALSE), " ")</f>
        <v xml:space="preserve"> </v>
      </c>
      <c r="Z16" s="55"/>
      <c r="AA16" s="32"/>
      <c r="AB16" s="32"/>
      <c r="AC16" s="55"/>
      <c r="AD16" s="32"/>
      <c r="AE16" s="54"/>
      <c r="AF16" s="21" t="str">
        <f>IFERROR(VLOOKUP(November[[#This Row],[Drug Name3]],'Data Options'!$R$1:$S$100,2,FALSE), " ")</f>
        <v xml:space="preserve"> </v>
      </c>
      <c r="AG16" s="55"/>
      <c r="AH16" s="32"/>
      <c r="AI16" s="32"/>
      <c r="AJ16" s="55"/>
      <c r="AK16" s="32"/>
      <c r="AL16" s="32"/>
      <c r="AM16" s="32"/>
      <c r="AN16" s="32"/>
      <c r="AO16" s="32"/>
      <c r="AP16" s="31"/>
      <c r="AQ16" s="31"/>
      <c r="AR16" s="54"/>
      <c r="AS16" s="21" t="str">
        <f>IFERROR(VLOOKUP(November[[#This Row],[Drug Name4]],'Data Options'!$R$1:$S$100,2,FALSE), " ")</f>
        <v xml:space="preserve"> </v>
      </c>
      <c r="AT16" s="55"/>
      <c r="AU16" s="32"/>
      <c r="AV16" s="32"/>
      <c r="AW16" s="55"/>
      <c r="AX16" s="32"/>
      <c r="AY16" s="54"/>
      <c r="AZ16" s="21" t="str">
        <f>IFERROR(VLOOKUP(November[[#This Row],[Drug Name5]],'Data Options'!$R$1:$S$100,2,FALSE), " ")</f>
        <v xml:space="preserve"> </v>
      </c>
      <c r="BA16" s="55"/>
      <c r="BB16" s="32"/>
      <c r="BC16" s="32"/>
      <c r="BD16" s="55"/>
      <c r="BE16" s="32"/>
      <c r="BF16" s="54"/>
      <c r="BG16" s="21" t="str">
        <f>IFERROR(VLOOKUP(November[[#This Row],[Drug Name6]],'Data Options'!$R$1:$S$100,2,FALSE), " ")</f>
        <v xml:space="preserve"> </v>
      </c>
      <c r="BH16" s="55"/>
      <c r="BI16" s="32"/>
      <c r="BJ16" s="32"/>
      <c r="BK16" s="55"/>
      <c r="BL16" s="32"/>
      <c r="BM16" s="32"/>
      <c r="BN16" s="32"/>
      <c r="BO16" s="32"/>
      <c r="BP16" s="32"/>
      <c r="BQ16" s="31"/>
      <c r="BR16" s="31"/>
      <c r="BS16" s="54"/>
      <c r="BT16" s="21" t="str">
        <f>IFERROR(VLOOKUP(November[[#This Row],[Drug Name7]],'Data Options'!$R$1:$S$100,2,FALSE), " ")</f>
        <v xml:space="preserve"> </v>
      </c>
      <c r="BU16" s="55"/>
      <c r="BV16" s="32"/>
      <c r="BW16" s="32"/>
      <c r="BX16" s="55"/>
      <c r="BY16" s="32"/>
      <c r="BZ16" s="54"/>
      <c r="CA16" s="21" t="str">
        <f>IFERROR(VLOOKUP(November[[#This Row],[Drug Name8]],'Data Options'!$R$1:$S$100,2,FALSE), " ")</f>
        <v xml:space="preserve"> </v>
      </c>
      <c r="CB16" s="55"/>
      <c r="CC16" s="32"/>
      <c r="CD16" s="32"/>
      <c r="CE16" s="55"/>
      <c r="CF16" s="32"/>
      <c r="CG16" s="54"/>
      <c r="CH16" s="21" t="str">
        <f>IFERROR(VLOOKUP(November[[#This Row],[Drug Name9]],'Data Options'!$R$1:$S$100,2,FALSE), " ")</f>
        <v xml:space="preserve"> </v>
      </c>
      <c r="CI16" s="55"/>
      <c r="CJ16" s="32"/>
      <c r="CK16" s="32"/>
      <c r="CL16" s="55"/>
      <c r="CM16" s="32"/>
    </row>
    <row r="17" spans="1:91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1"/>
      <c r="Q17" s="54"/>
      <c r="R17" s="21" t="str">
        <f>IFERROR(VLOOKUP(November[[#This Row],[Drug Name]],'Data Options'!$R$1:$S$100,2,FALSE), " ")</f>
        <v xml:space="preserve"> </v>
      </c>
      <c r="S17" s="55"/>
      <c r="T17" s="32"/>
      <c r="U17" s="32"/>
      <c r="V17" s="55"/>
      <c r="W17" s="32"/>
      <c r="X17" s="54"/>
      <c r="Y17" s="21" t="str">
        <f>IFERROR(VLOOKUP(November[[#This Row],[Drug Name2]],'Data Options'!$R$1:$S$100,2,FALSE), " ")</f>
        <v xml:space="preserve"> </v>
      </c>
      <c r="Z17" s="55"/>
      <c r="AA17" s="32"/>
      <c r="AB17" s="32"/>
      <c r="AC17" s="55"/>
      <c r="AD17" s="32"/>
      <c r="AE17" s="54"/>
      <c r="AF17" s="21" t="str">
        <f>IFERROR(VLOOKUP(November[[#This Row],[Drug Name3]],'Data Options'!$R$1:$S$100,2,FALSE), " ")</f>
        <v xml:space="preserve"> </v>
      </c>
      <c r="AG17" s="55"/>
      <c r="AH17" s="32"/>
      <c r="AI17" s="32"/>
      <c r="AJ17" s="55"/>
      <c r="AK17" s="32"/>
      <c r="AL17" s="32"/>
      <c r="AM17" s="32"/>
      <c r="AN17" s="32"/>
      <c r="AO17" s="32"/>
      <c r="AP17" s="31"/>
      <c r="AQ17" s="31"/>
      <c r="AR17" s="54"/>
      <c r="AS17" s="21" t="str">
        <f>IFERROR(VLOOKUP(November[[#This Row],[Drug Name4]],'Data Options'!$R$1:$S$100,2,FALSE), " ")</f>
        <v xml:space="preserve"> </v>
      </c>
      <c r="AT17" s="55"/>
      <c r="AU17" s="32"/>
      <c r="AV17" s="32"/>
      <c r="AW17" s="55"/>
      <c r="AX17" s="32"/>
      <c r="AY17" s="54"/>
      <c r="AZ17" s="21" t="str">
        <f>IFERROR(VLOOKUP(November[[#This Row],[Drug Name5]],'Data Options'!$R$1:$S$100,2,FALSE), " ")</f>
        <v xml:space="preserve"> </v>
      </c>
      <c r="BA17" s="55"/>
      <c r="BB17" s="32"/>
      <c r="BC17" s="32"/>
      <c r="BD17" s="55"/>
      <c r="BE17" s="32"/>
      <c r="BF17" s="54"/>
      <c r="BG17" s="21" t="str">
        <f>IFERROR(VLOOKUP(November[[#This Row],[Drug Name6]],'Data Options'!$R$1:$S$100,2,FALSE), " ")</f>
        <v xml:space="preserve"> </v>
      </c>
      <c r="BH17" s="55"/>
      <c r="BI17" s="32"/>
      <c r="BJ17" s="32"/>
      <c r="BK17" s="55"/>
      <c r="BL17" s="32"/>
      <c r="BM17" s="32"/>
      <c r="BN17" s="32"/>
      <c r="BO17" s="32"/>
      <c r="BP17" s="32"/>
      <c r="BQ17" s="31"/>
      <c r="BR17" s="31"/>
      <c r="BS17" s="54"/>
      <c r="BT17" s="21" t="str">
        <f>IFERROR(VLOOKUP(November[[#This Row],[Drug Name7]],'Data Options'!$R$1:$S$100,2,FALSE), " ")</f>
        <v xml:space="preserve"> </v>
      </c>
      <c r="BU17" s="55"/>
      <c r="BV17" s="32"/>
      <c r="BW17" s="32"/>
      <c r="BX17" s="55"/>
      <c r="BY17" s="32"/>
      <c r="BZ17" s="54"/>
      <c r="CA17" s="21" t="str">
        <f>IFERROR(VLOOKUP(November[[#This Row],[Drug Name8]],'Data Options'!$R$1:$S$100,2,FALSE), " ")</f>
        <v xml:space="preserve"> </v>
      </c>
      <c r="CB17" s="55"/>
      <c r="CC17" s="32"/>
      <c r="CD17" s="32"/>
      <c r="CE17" s="55"/>
      <c r="CF17" s="32"/>
      <c r="CG17" s="54"/>
      <c r="CH17" s="21" t="str">
        <f>IFERROR(VLOOKUP(November[[#This Row],[Drug Name9]],'Data Options'!$R$1:$S$100,2,FALSE), " ")</f>
        <v xml:space="preserve"> </v>
      </c>
      <c r="CI17" s="55"/>
      <c r="CJ17" s="32"/>
      <c r="CK17" s="32"/>
      <c r="CL17" s="55"/>
      <c r="CM17" s="32"/>
    </row>
    <row r="18" spans="1:9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1"/>
      <c r="Q18" s="54"/>
      <c r="R18" s="21" t="str">
        <f>IFERROR(VLOOKUP(November[[#This Row],[Drug Name]],'Data Options'!$R$1:$S$100,2,FALSE), " ")</f>
        <v xml:space="preserve"> </v>
      </c>
      <c r="S18" s="55"/>
      <c r="T18" s="32"/>
      <c r="U18" s="32"/>
      <c r="V18" s="55"/>
      <c r="W18" s="32"/>
      <c r="X18" s="54"/>
      <c r="Y18" s="21" t="str">
        <f>IFERROR(VLOOKUP(November[[#This Row],[Drug Name2]],'Data Options'!$R$1:$S$100,2,FALSE), " ")</f>
        <v xml:space="preserve"> </v>
      </c>
      <c r="Z18" s="55"/>
      <c r="AA18" s="32"/>
      <c r="AB18" s="32"/>
      <c r="AC18" s="55"/>
      <c r="AD18" s="32"/>
      <c r="AE18" s="54"/>
      <c r="AF18" s="21" t="str">
        <f>IFERROR(VLOOKUP(November[[#This Row],[Drug Name3]],'Data Options'!$R$1:$S$100,2,FALSE), " ")</f>
        <v xml:space="preserve"> </v>
      </c>
      <c r="AG18" s="55"/>
      <c r="AH18" s="32"/>
      <c r="AI18" s="32"/>
      <c r="AJ18" s="55"/>
      <c r="AK18" s="32"/>
      <c r="AL18" s="32"/>
      <c r="AM18" s="32"/>
      <c r="AN18" s="32"/>
      <c r="AO18" s="32"/>
      <c r="AP18" s="31"/>
      <c r="AQ18" s="31"/>
      <c r="AR18" s="54"/>
      <c r="AS18" s="21" t="str">
        <f>IFERROR(VLOOKUP(November[[#This Row],[Drug Name4]],'Data Options'!$R$1:$S$100,2,FALSE), " ")</f>
        <v xml:space="preserve"> </v>
      </c>
      <c r="AT18" s="55"/>
      <c r="AU18" s="32"/>
      <c r="AV18" s="32"/>
      <c r="AW18" s="55"/>
      <c r="AX18" s="32"/>
      <c r="AY18" s="54"/>
      <c r="AZ18" s="21" t="str">
        <f>IFERROR(VLOOKUP(November[[#This Row],[Drug Name5]],'Data Options'!$R$1:$S$100,2,FALSE), " ")</f>
        <v xml:space="preserve"> </v>
      </c>
      <c r="BA18" s="55"/>
      <c r="BB18" s="32"/>
      <c r="BC18" s="32"/>
      <c r="BD18" s="55"/>
      <c r="BE18" s="32"/>
      <c r="BF18" s="54"/>
      <c r="BG18" s="21" t="str">
        <f>IFERROR(VLOOKUP(November[[#This Row],[Drug Name6]],'Data Options'!$R$1:$S$100,2,FALSE), " ")</f>
        <v xml:space="preserve"> </v>
      </c>
      <c r="BH18" s="55"/>
      <c r="BI18" s="32"/>
      <c r="BJ18" s="32"/>
      <c r="BK18" s="55"/>
      <c r="BL18" s="32"/>
      <c r="BM18" s="32"/>
      <c r="BN18" s="32"/>
      <c r="BO18" s="32"/>
      <c r="BP18" s="32"/>
      <c r="BQ18" s="31"/>
      <c r="BR18" s="31"/>
      <c r="BS18" s="54"/>
      <c r="BT18" s="21" t="str">
        <f>IFERROR(VLOOKUP(November[[#This Row],[Drug Name7]],'Data Options'!$R$1:$S$100,2,FALSE), " ")</f>
        <v xml:space="preserve"> </v>
      </c>
      <c r="BU18" s="55"/>
      <c r="BV18" s="32"/>
      <c r="BW18" s="32"/>
      <c r="BX18" s="55"/>
      <c r="BY18" s="32"/>
      <c r="BZ18" s="54"/>
      <c r="CA18" s="21" t="str">
        <f>IFERROR(VLOOKUP(November[[#This Row],[Drug Name8]],'Data Options'!$R$1:$S$100,2,FALSE), " ")</f>
        <v xml:space="preserve"> </v>
      </c>
      <c r="CB18" s="55"/>
      <c r="CC18" s="32"/>
      <c r="CD18" s="32"/>
      <c r="CE18" s="55"/>
      <c r="CF18" s="32"/>
      <c r="CG18" s="54"/>
      <c r="CH18" s="21" t="str">
        <f>IFERROR(VLOOKUP(November[[#This Row],[Drug Name9]],'Data Options'!$R$1:$S$100,2,FALSE), " ")</f>
        <v xml:space="preserve"> </v>
      </c>
      <c r="CI18" s="55"/>
      <c r="CJ18" s="32"/>
      <c r="CK18" s="32"/>
      <c r="CL18" s="55"/>
      <c r="CM18" s="32"/>
    </row>
    <row r="19" spans="1:9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54"/>
      <c r="R19" s="21" t="str">
        <f>IFERROR(VLOOKUP(November[[#This Row],[Drug Name]],'Data Options'!$R$1:$S$100,2,FALSE), " ")</f>
        <v xml:space="preserve"> </v>
      </c>
      <c r="S19" s="55"/>
      <c r="T19" s="32"/>
      <c r="U19" s="32"/>
      <c r="V19" s="55"/>
      <c r="W19" s="32"/>
      <c r="X19" s="54"/>
      <c r="Y19" s="21" t="str">
        <f>IFERROR(VLOOKUP(November[[#This Row],[Drug Name2]],'Data Options'!$R$1:$S$100,2,FALSE), " ")</f>
        <v xml:space="preserve"> </v>
      </c>
      <c r="Z19" s="55"/>
      <c r="AA19" s="32"/>
      <c r="AB19" s="32"/>
      <c r="AC19" s="55"/>
      <c r="AD19" s="32"/>
      <c r="AE19" s="54"/>
      <c r="AF19" s="21" t="str">
        <f>IFERROR(VLOOKUP(November[[#This Row],[Drug Name3]],'Data Options'!$R$1:$S$100,2,FALSE), " ")</f>
        <v xml:space="preserve"> </v>
      </c>
      <c r="AG19" s="55"/>
      <c r="AH19" s="32"/>
      <c r="AI19" s="32"/>
      <c r="AJ19" s="55"/>
      <c r="AK19" s="32"/>
      <c r="AL19" s="32"/>
      <c r="AM19" s="32"/>
      <c r="AN19" s="32"/>
      <c r="AO19" s="32"/>
      <c r="AP19" s="31"/>
      <c r="AQ19" s="31"/>
      <c r="AR19" s="54"/>
      <c r="AS19" s="21" t="str">
        <f>IFERROR(VLOOKUP(November[[#This Row],[Drug Name4]],'Data Options'!$R$1:$S$100,2,FALSE), " ")</f>
        <v xml:space="preserve"> </v>
      </c>
      <c r="AT19" s="55"/>
      <c r="AU19" s="32"/>
      <c r="AV19" s="32"/>
      <c r="AW19" s="55"/>
      <c r="AX19" s="32"/>
      <c r="AY19" s="54"/>
      <c r="AZ19" s="21" t="str">
        <f>IFERROR(VLOOKUP(November[[#This Row],[Drug Name5]],'Data Options'!$R$1:$S$100,2,FALSE), " ")</f>
        <v xml:space="preserve"> </v>
      </c>
      <c r="BA19" s="55"/>
      <c r="BB19" s="32"/>
      <c r="BC19" s="32"/>
      <c r="BD19" s="55"/>
      <c r="BE19" s="32"/>
      <c r="BF19" s="54"/>
      <c r="BG19" s="21" t="str">
        <f>IFERROR(VLOOKUP(November[[#This Row],[Drug Name6]],'Data Options'!$R$1:$S$100,2,FALSE), " ")</f>
        <v xml:space="preserve"> </v>
      </c>
      <c r="BH19" s="55"/>
      <c r="BI19" s="32"/>
      <c r="BJ19" s="32"/>
      <c r="BK19" s="55"/>
      <c r="BL19" s="32"/>
      <c r="BM19" s="32"/>
      <c r="BN19" s="32"/>
      <c r="BO19" s="32"/>
      <c r="BP19" s="32"/>
      <c r="BQ19" s="31"/>
      <c r="BR19" s="31"/>
      <c r="BS19" s="54"/>
      <c r="BT19" s="21" t="str">
        <f>IFERROR(VLOOKUP(November[[#This Row],[Drug Name7]],'Data Options'!$R$1:$S$100,2,FALSE), " ")</f>
        <v xml:space="preserve"> </v>
      </c>
      <c r="BU19" s="55"/>
      <c r="BV19" s="32"/>
      <c r="BW19" s="32"/>
      <c r="BX19" s="55"/>
      <c r="BY19" s="32"/>
      <c r="BZ19" s="54"/>
      <c r="CA19" s="21" t="str">
        <f>IFERROR(VLOOKUP(November[[#This Row],[Drug Name8]],'Data Options'!$R$1:$S$100,2,FALSE), " ")</f>
        <v xml:space="preserve"> </v>
      </c>
      <c r="CB19" s="55"/>
      <c r="CC19" s="32"/>
      <c r="CD19" s="32"/>
      <c r="CE19" s="55"/>
      <c r="CF19" s="32"/>
      <c r="CG19" s="54"/>
      <c r="CH19" s="21" t="str">
        <f>IFERROR(VLOOKUP(November[[#This Row],[Drug Name9]],'Data Options'!$R$1:$S$100,2,FALSE), " ")</f>
        <v xml:space="preserve"> </v>
      </c>
      <c r="CI19" s="55"/>
      <c r="CJ19" s="32"/>
      <c r="CK19" s="32"/>
      <c r="CL19" s="55"/>
      <c r="CM19" s="32"/>
    </row>
    <row r="20" spans="1:9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1"/>
      <c r="Q20" s="54"/>
      <c r="R20" s="21" t="str">
        <f>IFERROR(VLOOKUP(November[[#This Row],[Drug Name]],'Data Options'!$R$1:$S$100,2,FALSE), " ")</f>
        <v xml:space="preserve"> </v>
      </c>
      <c r="S20" s="55"/>
      <c r="T20" s="32"/>
      <c r="U20" s="32"/>
      <c r="V20" s="55"/>
      <c r="W20" s="32"/>
      <c r="X20" s="54"/>
      <c r="Y20" s="21" t="str">
        <f>IFERROR(VLOOKUP(November[[#This Row],[Drug Name2]],'Data Options'!$R$1:$S$100,2,FALSE), " ")</f>
        <v xml:space="preserve"> </v>
      </c>
      <c r="Z20" s="55"/>
      <c r="AA20" s="32"/>
      <c r="AB20" s="32"/>
      <c r="AC20" s="55"/>
      <c r="AD20" s="32"/>
      <c r="AE20" s="54"/>
      <c r="AF20" s="21" t="str">
        <f>IFERROR(VLOOKUP(November[[#This Row],[Drug Name3]],'Data Options'!$R$1:$S$100,2,FALSE), " ")</f>
        <v xml:space="preserve"> </v>
      </c>
      <c r="AG20" s="55"/>
      <c r="AH20" s="32"/>
      <c r="AI20" s="32"/>
      <c r="AJ20" s="55"/>
      <c r="AK20" s="32"/>
      <c r="AL20" s="32"/>
      <c r="AM20" s="32"/>
      <c r="AN20" s="32"/>
      <c r="AO20" s="32"/>
      <c r="AP20" s="31"/>
      <c r="AQ20" s="31"/>
      <c r="AR20" s="54"/>
      <c r="AS20" s="21" t="str">
        <f>IFERROR(VLOOKUP(November[[#This Row],[Drug Name4]],'Data Options'!$R$1:$S$100,2,FALSE), " ")</f>
        <v xml:space="preserve"> </v>
      </c>
      <c r="AT20" s="55"/>
      <c r="AU20" s="32"/>
      <c r="AV20" s="32"/>
      <c r="AW20" s="55"/>
      <c r="AX20" s="32"/>
      <c r="AY20" s="54"/>
      <c r="AZ20" s="21" t="str">
        <f>IFERROR(VLOOKUP(November[[#This Row],[Drug Name5]],'Data Options'!$R$1:$S$100,2,FALSE), " ")</f>
        <v xml:space="preserve"> </v>
      </c>
      <c r="BA20" s="55"/>
      <c r="BB20" s="32"/>
      <c r="BC20" s="32"/>
      <c r="BD20" s="55"/>
      <c r="BE20" s="32"/>
      <c r="BF20" s="54"/>
      <c r="BG20" s="21" t="str">
        <f>IFERROR(VLOOKUP(November[[#This Row],[Drug Name6]],'Data Options'!$R$1:$S$100,2,FALSE), " ")</f>
        <v xml:space="preserve"> </v>
      </c>
      <c r="BH20" s="55"/>
      <c r="BI20" s="32"/>
      <c r="BJ20" s="32"/>
      <c r="BK20" s="55"/>
      <c r="BL20" s="32"/>
      <c r="BM20" s="32"/>
      <c r="BN20" s="32"/>
      <c r="BO20" s="32"/>
      <c r="BP20" s="32"/>
      <c r="BQ20" s="31"/>
      <c r="BR20" s="31"/>
      <c r="BS20" s="54"/>
      <c r="BT20" s="21" t="str">
        <f>IFERROR(VLOOKUP(November[[#This Row],[Drug Name7]],'Data Options'!$R$1:$S$100,2,FALSE), " ")</f>
        <v xml:space="preserve"> </v>
      </c>
      <c r="BU20" s="55"/>
      <c r="BV20" s="32"/>
      <c r="BW20" s="32"/>
      <c r="BX20" s="55"/>
      <c r="BY20" s="32"/>
      <c r="BZ20" s="54"/>
      <c r="CA20" s="21" t="str">
        <f>IFERROR(VLOOKUP(November[[#This Row],[Drug Name8]],'Data Options'!$R$1:$S$100,2,FALSE), " ")</f>
        <v xml:space="preserve"> </v>
      </c>
      <c r="CB20" s="55"/>
      <c r="CC20" s="32"/>
      <c r="CD20" s="32"/>
      <c r="CE20" s="55"/>
      <c r="CF20" s="32"/>
      <c r="CG20" s="54"/>
      <c r="CH20" s="21" t="str">
        <f>IFERROR(VLOOKUP(November[[#This Row],[Drug Name9]],'Data Options'!$R$1:$S$100,2,FALSE), " ")</f>
        <v xml:space="preserve"> </v>
      </c>
      <c r="CI20" s="55"/>
      <c r="CJ20" s="32"/>
      <c r="CK20" s="32"/>
      <c r="CL20" s="55"/>
      <c r="CM20" s="32"/>
    </row>
    <row r="21" spans="1:91">
      <c r="A21" s="5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1"/>
      <c r="Q21" s="54"/>
      <c r="R21" s="21" t="str">
        <f>IFERROR(VLOOKUP(November[[#This Row],[Drug Name]],'Data Options'!$R$1:$S$100,2,FALSE), " ")</f>
        <v xml:space="preserve"> </v>
      </c>
      <c r="S21" s="55"/>
      <c r="T21" s="32"/>
      <c r="U21" s="32"/>
      <c r="V21" s="55"/>
      <c r="W21" s="32"/>
      <c r="X21" s="54"/>
      <c r="Y21" s="21" t="str">
        <f>IFERROR(VLOOKUP(November[[#This Row],[Drug Name2]],'Data Options'!$R$1:$S$100,2,FALSE), " ")</f>
        <v xml:space="preserve"> </v>
      </c>
      <c r="Z21" s="55"/>
      <c r="AA21" s="32"/>
      <c r="AB21" s="32"/>
      <c r="AC21" s="55"/>
      <c r="AD21" s="32"/>
      <c r="AE21" s="54"/>
      <c r="AF21" s="21" t="str">
        <f>IFERROR(VLOOKUP(November[[#This Row],[Drug Name3]],'Data Options'!$R$1:$S$100,2,FALSE), " ")</f>
        <v xml:space="preserve"> </v>
      </c>
      <c r="AG21" s="55"/>
      <c r="AH21" s="32"/>
      <c r="AI21" s="32"/>
      <c r="AJ21" s="55"/>
      <c r="AK21" s="32"/>
      <c r="AL21" s="32"/>
      <c r="AM21" s="32"/>
      <c r="AN21" s="32"/>
      <c r="AO21" s="32"/>
      <c r="AP21" s="31"/>
      <c r="AQ21" s="31"/>
      <c r="AR21" s="54"/>
      <c r="AS21" s="21" t="str">
        <f>IFERROR(VLOOKUP(November[[#This Row],[Drug Name4]],'Data Options'!$R$1:$S$100,2,FALSE), " ")</f>
        <v xml:space="preserve"> </v>
      </c>
      <c r="AT21" s="55"/>
      <c r="AU21" s="32"/>
      <c r="AV21" s="32"/>
      <c r="AW21" s="55"/>
      <c r="AX21" s="32"/>
      <c r="AY21" s="54"/>
      <c r="AZ21" s="21" t="str">
        <f>IFERROR(VLOOKUP(November[[#This Row],[Drug Name5]],'Data Options'!$R$1:$S$100,2,FALSE), " ")</f>
        <v xml:space="preserve"> </v>
      </c>
      <c r="BA21" s="55"/>
      <c r="BB21" s="32"/>
      <c r="BC21" s="32"/>
      <c r="BD21" s="55"/>
      <c r="BE21" s="32"/>
      <c r="BF21" s="54"/>
      <c r="BG21" s="21" t="str">
        <f>IFERROR(VLOOKUP(November[[#This Row],[Drug Name6]],'Data Options'!$R$1:$S$100,2,FALSE), " ")</f>
        <v xml:space="preserve"> </v>
      </c>
      <c r="BH21" s="55"/>
      <c r="BI21" s="32"/>
      <c r="BJ21" s="32"/>
      <c r="BK21" s="55"/>
      <c r="BL21" s="32"/>
      <c r="BM21" s="32"/>
      <c r="BN21" s="32"/>
      <c r="BO21" s="32"/>
      <c r="BP21" s="32"/>
      <c r="BQ21" s="31"/>
      <c r="BR21" s="31"/>
      <c r="BS21" s="54"/>
      <c r="BT21" s="21" t="str">
        <f>IFERROR(VLOOKUP(November[[#This Row],[Drug Name7]],'Data Options'!$R$1:$S$100,2,FALSE), " ")</f>
        <v xml:space="preserve"> </v>
      </c>
      <c r="BU21" s="55"/>
      <c r="BV21" s="32"/>
      <c r="BW21" s="32"/>
      <c r="BX21" s="55"/>
      <c r="BY21" s="32"/>
      <c r="BZ21" s="54"/>
      <c r="CA21" s="21" t="str">
        <f>IFERROR(VLOOKUP(November[[#This Row],[Drug Name8]],'Data Options'!$R$1:$S$100,2,FALSE), " ")</f>
        <v xml:space="preserve"> </v>
      </c>
      <c r="CB21" s="55"/>
      <c r="CC21" s="32"/>
      <c r="CD21" s="32"/>
      <c r="CE21" s="55"/>
      <c r="CF21" s="32"/>
      <c r="CG21" s="54"/>
      <c r="CH21" s="21" t="str">
        <f>IFERROR(VLOOKUP(November[[#This Row],[Drug Name9]],'Data Options'!$R$1:$S$100,2,FALSE), " ")</f>
        <v xml:space="preserve"> </v>
      </c>
      <c r="CI21" s="55"/>
      <c r="CJ21" s="32"/>
      <c r="CK21" s="32"/>
      <c r="CL21" s="55"/>
      <c r="CM21" s="32"/>
    </row>
    <row r="22" spans="1:91">
      <c r="A22" s="5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1"/>
      <c r="Q22" s="54"/>
      <c r="R22" s="21" t="str">
        <f>IFERROR(VLOOKUP(November[[#This Row],[Drug Name]],'Data Options'!$R$1:$S$100,2,FALSE), " ")</f>
        <v xml:space="preserve"> </v>
      </c>
      <c r="S22" s="55"/>
      <c r="T22" s="32"/>
      <c r="U22" s="32"/>
      <c r="V22" s="55"/>
      <c r="W22" s="32"/>
      <c r="X22" s="54"/>
      <c r="Y22" s="21" t="str">
        <f>IFERROR(VLOOKUP(November[[#This Row],[Drug Name2]],'Data Options'!$R$1:$S$100,2,FALSE), " ")</f>
        <v xml:space="preserve"> </v>
      </c>
      <c r="Z22" s="55"/>
      <c r="AA22" s="32"/>
      <c r="AB22" s="32"/>
      <c r="AC22" s="55"/>
      <c r="AD22" s="32"/>
      <c r="AE22" s="54"/>
      <c r="AF22" s="21" t="str">
        <f>IFERROR(VLOOKUP(November[[#This Row],[Drug Name3]],'Data Options'!$R$1:$S$100,2,FALSE), " ")</f>
        <v xml:space="preserve"> </v>
      </c>
      <c r="AG22" s="55"/>
      <c r="AH22" s="32"/>
      <c r="AI22" s="32"/>
      <c r="AJ22" s="55"/>
      <c r="AK22" s="32"/>
      <c r="AL22" s="32"/>
      <c r="AM22" s="32"/>
      <c r="AN22" s="32"/>
      <c r="AO22" s="32"/>
      <c r="AP22" s="31"/>
      <c r="AQ22" s="31"/>
      <c r="AR22" s="54"/>
      <c r="AS22" s="21" t="str">
        <f>IFERROR(VLOOKUP(November[[#This Row],[Drug Name4]],'Data Options'!$R$1:$S$100,2,FALSE), " ")</f>
        <v xml:space="preserve"> </v>
      </c>
      <c r="AT22" s="55"/>
      <c r="AU22" s="32"/>
      <c r="AV22" s="32"/>
      <c r="AW22" s="55"/>
      <c r="AX22" s="32"/>
      <c r="AY22" s="54"/>
      <c r="AZ22" s="21" t="str">
        <f>IFERROR(VLOOKUP(November[[#This Row],[Drug Name5]],'Data Options'!$R$1:$S$100,2,FALSE), " ")</f>
        <v xml:space="preserve"> </v>
      </c>
      <c r="BA22" s="55"/>
      <c r="BB22" s="32"/>
      <c r="BC22" s="32"/>
      <c r="BD22" s="55"/>
      <c r="BE22" s="32"/>
      <c r="BF22" s="54"/>
      <c r="BG22" s="21" t="str">
        <f>IFERROR(VLOOKUP(November[[#This Row],[Drug Name6]],'Data Options'!$R$1:$S$100,2,FALSE), " ")</f>
        <v xml:space="preserve"> </v>
      </c>
      <c r="BH22" s="55"/>
      <c r="BI22" s="32"/>
      <c r="BJ22" s="32"/>
      <c r="BK22" s="55"/>
      <c r="BL22" s="32"/>
      <c r="BM22" s="32"/>
      <c r="BN22" s="32"/>
      <c r="BO22" s="32"/>
      <c r="BP22" s="32"/>
      <c r="BQ22" s="31"/>
      <c r="BR22" s="31"/>
      <c r="BS22" s="54"/>
      <c r="BT22" s="21" t="str">
        <f>IFERROR(VLOOKUP(November[[#This Row],[Drug Name7]],'Data Options'!$R$1:$S$100,2,FALSE), " ")</f>
        <v xml:space="preserve"> </v>
      </c>
      <c r="BU22" s="55"/>
      <c r="BV22" s="32"/>
      <c r="BW22" s="32"/>
      <c r="BX22" s="55"/>
      <c r="BY22" s="32"/>
      <c r="BZ22" s="54"/>
      <c r="CA22" s="21" t="str">
        <f>IFERROR(VLOOKUP(November[[#This Row],[Drug Name8]],'Data Options'!$R$1:$S$100,2,FALSE), " ")</f>
        <v xml:space="preserve"> </v>
      </c>
      <c r="CB22" s="55"/>
      <c r="CC22" s="32"/>
      <c r="CD22" s="32"/>
      <c r="CE22" s="55"/>
      <c r="CF22" s="32"/>
      <c r="CG22" s="54"/>
      <c r="CH22" s="21" t="str">
        <f>IFERROR(VLOOKUP(November[[#This Row],[Drug Name9]],'Data Options'!$R$1:$S$100,2,FALSE), " ")</f>
        <v xml:space="preserve"> </v>
      </c>
      <c r="CI22" s="55"/>
      <c r="CJ22" s="32"/>
      <c r="CK22" s="32"/>
      <c r="CL22" s="55"/>
      <c r="CM22" s="32"/>
    </row>
    <row r="23" spans="1:9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54"/>
      <c r="R23" s="21" t="str">
        <f>IFERROR(VLOOKUP(November[[#This Row],[Drug Name]],'Data Options'!$R$1:$S$100,2,FALSE), " ")</f>
        <v xml:space="preserve"> </v>
      </c>
      <c r="S23" s="55"/>
      <c r="T23" s="32"/>
      <c r="U23" s="32"/>
      <c r="V23" s="55"/>
      <c r="W23" s="32"/>
      <c r="X23" s="54"/>
      <c r="Y23" s="21" t="str">
        <f>IFERROR(VLOOKUP(November[[#This Row],[Drug Name2]],'Data Options'!$R$1:$S$100,2,FALSE), " ")</f>
        <v xml:space="preserve"> </v>
      </c>
      <c r="Z23" s="55"/>
      <c r="AA23" s="32"/>
      <c r="AB23" s="32"/>
      <c r="AC23" s="55"/>
      <c r="AD23" s="32"/>
      <c r="AE23" s="54"/>
      <c r="AF23" s="21" t="str">
        <f>IFERROR(VLOOKUP(November[[#This Row],[Drug Name3]],'Data Options'!$R$1:$S$100,2,FALSE), " ")</f>
        <v xml:space="preserve"> </v>
      </c>
      <c r="AG23" s="55"/>
      <c r="AH23" s="32"/>
      <c r="AI23" s="32"/>
      <c r="AJ23" s="55"/>
      <c r="AK23" s="32"/>
      <c r="AL23" s="32"/>
      <c r="AM23" s="32"/>
      <c r="AN23" s="32"/>
      <c r="AO23" s="32"/>
      <c r="AP23" s="31"/>
      <c r="AQ23" s="31"/>
      <c r="AR23" s="54"/>
      <c r="AS23" s="21" t="str">
        <f>IFERROR(VLOOKUP(November[[#This Row],[Drug Name4]],'Data Options'!$R$1:$S$100,2,FALSE), " ")</f>
        <v xml:space="preserve"> </v>
      </c>
      <c r="AT23" s="55"/>
      <c r="AU23" s="32"/>
      <c r="AV23" s="32"/>
      <c r="AW23" s="55"/>
      <c r="AX23" s="32"/>
      <c r="AY23" s="54"/>
      <c r="AZ23" s="21" t="str">
        <f>IFERROR(VLOOKUP(November[[#This Row],[Drug Name5]],'Data Options'!$R$1:$S$100,2,FALSE), " ")</f>
        <v xml:space="preserve"> </v>
      </c>
      <c r="BA23" s="55"/>
      <c r="BB23" s="32"/>
      <c r="BC23" s="32"/>
      <c r="BD23" s="55"/>
      <c r="BE23" s="32"/>
      <c r="BF23" s="54"/>
      <c r="BG23" s="21" t="str">
        <f>IFERROR(VLOOKUP(November[[#This Row],[Drug Name6]],'Data Options'!$R$1:$S$100,2,FALSE), " ")</f>
        <v xml:space="preserve"> </v>
      </c>
      <c r="BH23" s="55"/>
      <c r="BI23" s="32"/>
      <c r="BJ23" s="32"/>
      <c r="BK23" s="55"/>
      <c r="BL23" s="32"/>
      <c r="BM23" s="32"/>
      <c r="BN23" s="32"/>
      <c r="BO23" s="32"/>
      <c r="BP23" s="32"/>
      <c r="BQ23" s="31"/>
      <c r="BR23" s="31"/>
      <c r="BS23" s="54"/>
      <c r="BT23" s="21" t="str">
        <f>IFERROR(VLOOKUP(November[[#This Row],[Drug Name7]],'Data Options'!$R$1:$S$100,2,FALSE), " ")</f>
        <v xml:space="preserve"> </v>
      </c>
      <c r="BU23" s="55"/>
      <c r="BV23" s="32"/>
      <c r="BW23" s="32"/>
      <c r="BX23" s="55"/>
      <c r="BY23" s="32"/>
      <c r="BZ23" s="54"/>
      <c r="CA23" s="21" t="str">
        <f>IFERROR(VLOOKUP(November[[#This Row],[Drug Name8]],'Data Options'!$R$1:$S$100,2,FALSE), " ")</f>
        <v xml:space="preserve"> </v>
      </c>
      <c r="CB23" s="55"/>
      <c r="CC23" s="32"/>
      <c r="CD23" s="32"/>
      <c r="CE23" s="55"/>
      <c r="CF23" s="32"/>
      <c r="CG23" s="54"/>
      <c r="CH23" s="21" t="str">
        <f>IFERROR(VLOOKUP(November[[#This Row],[Drug Name9]],'Data Options'!$R$1:$S$100,2,FALSE), " ")</f>
        <v xml:space="preserve"> </v>
      </c>
      <c r="CI23" s="55"/>
      <c r="CJ23" s="32"/>
      <c r="CK23" s="32"/>
      <c r="CL23" s="55"/>
      <c r="CM23" s="32"/>
    </row>
    <row r="24" spans="1:91">
      <c r="A24" s="5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54"/>
      <c r="R24" s="21" t="str">
        <f>IFERROR(VLOOKUP(November[[#This Row],[Drug Name]],'Data Options'!$R$1:$S$100,2,FALSE), " ")</f>
        <v xml:space="preserve"> </v>
      </c>
      <c r="S24" s="55"/>
      <c r="T24" s="32"/>
      <c r="U24" s="32"/>
      <c r="V24" s="55"/>
      <c r="W24" s="32"/>
      <c r="X24" s="54"/>
      <c r="Y24" s="21" t="str">
        <f>IFERROR(VLOOKUP(November[[#This Row],[Drug Name2]],'Data Options'!$R$1:$S$100,2,FALSE), " ")</f>
        <v xml:space="preserve"> </v>
      </c>
      <c r="Z24" s="55"/>
      <c r="AA24" s="32"/>
      <c r="AB24" s="32"/>
      <c r="AC24" s="55"/>
      <c r="AD24" s="32"/>
      <c r="AE24" s="54"/>
      <c r="AF24" s="21" t="str">
        <f>IFERROR(VLOOKUP(November[[#This Row],[Drug Name3]],'Data Options'!$R$1:$S$100,2,FALSE), " ")</f>
        <v xml:space="preserve"> </v>
      </c>
      <c r="AG24" s="55"/>
      <c r="AH24" s="32"/>
      <c r="AI24" s="32"/>
      <c r="AJ24" s="55"/>
      <c r="AK24" s="32"/>
      <c r="AL24" s="32"/>
      <c r="AM24" s="32"/>
      <c r="AN24" s="32"/>
      <c r="AO24" s="32"/>
      <c r="AP24" s="31"/>
      <c r="AQ24" s="31"/>
      <c r="AR24" s="54"/>
      <c r="AS24" s="21" t="str">
        <f>IFERROR(VLOOKUP(November[[#This Row],[Drug Name4]],'Data Options'!$R$1:$S$100,2,FALSE), " ")</f>
        <v xml:space="preserve"> </v>
      </c>
      <c r="AT24" s="55"/>
      <c r="AU24" s="32"/>
      <c r="AV24" s="32"/>
      <c r="AW24" s="55"/>
      <c r="AX24" s="32"/>
      <c r="AY24" s="54"/>
      <c r="AZ24" s="21" t="str">
        <f>IFERROR(VLOOKUP(November[[#This Row],[Drug Name5]],'Data Options'!$R$1:$S$100,2,FALSE), " ")</f>
        <v xml:space="preserve"> </v>
      </c>
      <c r="BA24" s="55"/>
      <c r="BB24" s="32"/>
      <c r="BC24" s="32"/>
      <c r="BD24" s="55"/>
      <c r="BE24" s="32"/>
      <c r="BF24" s="54"/>
      <c r="BG24" s="21" t="str">
        <f>IFERROR(VLOOKUP(November[[#This Row],[Drug Name6]],'Data Options'!$R$1:$S$100,2,FALSE), " ")</f>
        <v xml:space="preserve"> </v>
      </c>
      <c r="BH24" s="55"/>
      <c r="BI24" s="32"/>
      <c r="BJ24" s="32"/>
      <c r="BK24" s="55"/>
      <c r="BL24" s="32"/>
      <c r="BM24" s="32"/>
      <c r="BN24" s="32"/>
      <c r="BO24" s="32"/>
      <c r="BP24" s="32"/>
      <c r="BQ24" s="31"/>
      <c r="BR24" s="31"/>
      <c r="BS24" s="54"/>
      <c r="BT24" s="21" t="str">
        <f>IFERROR(VLOOKUP(November[[#This Row],[Drug Name7]],'Data Options'!$R$1:$S$100,2,FALSE), " ")</f>
        <v xml:space="preserve"> </v>
      </c>
      <c r="BU24" s="55"/>
      <c r="BV24" s="32"/>
      <c r="BW24" s="32"/>
      <c r="BX24" s="55"/>
      <c r="BY24" s="32"/>
      <c r="BZ24" s="54"/>
      <c r="CA24" s="21" t="str">
        <f>IFERROR(VLOOKUP(November[[#This Row],[Drug Name8]],'Data Options'!$R$1:$S$100,2,FALSE), " ")</f>
        <v xml:space="preserve"> </v>
      </c>
      <c r="CB24" s="55"/>
      <c r="CC24" s="32"/>
      <c r="CD24" s="32"/>
      <c r="CE24" s="55"/>
      <c r="CF24" s="32"/>
      <c r="CG24" s="54"/>
      <c r="CH24" s="21" t="str">
        <f>IFERROR(VLOOKUP(November[[#This Row],[Drug Name9]],'Data Options'!$R$1:$S$100,2,FALSE), " ")</f>
        <v xml:space="preserve"> </v>
      </c>
      <c r="CI24" s="55"/>
      <c r="CJ24" s="32"/>
      <c r="CK24" s="32"/>
      <c r="CL24" s="55"/>
      <c r="CM24" s="32"/>
    </row>
    <row r="25" spans="1:9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54"/>
      <c r="R25" s="21" t="str">
        <f>IFERROR(VLOOKUP(November[[#This Row],[Drug Name]],'Data Options'!$R$1:$S$100,2,FALSE), " ")</f>
        <v xml:space="preserve"> </v>
      </c>
      <c r="S25" s="55"/>
      <c r="T25" s="32"/>
      <c r="U25" s="32"/>
      <c r="V25" s="55"/>
      <c r="W25" s="32"/>
      <c r="X25" s="54"/>
      <c r="Y25" s="21" t="str">
        <f>IFERROR(VLOOKUP(November[[#This Row],[Drug Name2]],'Data Options'!$R$1:$S$100,2,FALSE), " ")</f>
        <v xml:space="preserve"> </v>
      </c>
      <c r="Z25" s="55"/>
      <c r="AA25" s="32"/>
      <c r="AB25" s="32"/>
      <c r="AC25" s="55"/>
      <c r="AD25" s="32"/>
      <c r="AE25" s="54"/>
      <c r="AF25" s="21" t="str">
        <f>IFERROR(VLOOKUP(November[[#This Row],[Drug Name3]],'Data Options'!$R$1:$S$100,2,FALSE), " ")</f>
        <v xml:space="preserve"> </v>
      </c>
      <c r="AG25" s="55"/>
      <c r="AH25" s="32"/>
      <c r="AI25" s="32"/>
      <c r="AJ25" s="55"/>
      <c r="AK25" s="32"/>
      <c r="AL25" s="32"/>
      <c r="AM25" s="32"/>
      <c r="AN25" s="32"/>
      <c r="AO25" s="32"/>
      <c r="AP25" s="31"/>
      <c r="AQ25" s="31"/>
      <c r="AR25" s="54"/>
      <c r="AS25" s="21" t="str">
        <f>IFERROR(VLOOKUP(November[[#This Row],[Drug Name4]],'Data Options'!$R$1:$S$100,2,FALSE), " ")</f>
        <v xml:space="preserve"> </v>
      </c>
      <c r="AT25" s="55"/>
      <c r="AU25" s="32"/>
      <c r="AV25" s="32"/>
      <c r="AW25" s="55"/>
      <c r="AX25" s="32"/>
      <c r="AY25" s="54"/>
      <c r="AZ25" s="21" t="str">
        <f>IFERROR(VLOOKUP(November[[#This Row],[Drug Name5]],'Data Options'!$R$1:$S$100,2,FALSE), " ")</f>
        <v xml:space="preserve"> </v>
      </c>
      <c r="BA25" s="55"/>
      <c r="BB25" s="32"/>
      <c r="BC25" s="32"/>
      <c r="BD25" s="55"/>
      <c r="BE25" s="32"/>
      <c r="BF25" s="54"/>
      <c r="BG25" s="21" t="str">
        <f>IFERROR(VLOOKUP(November[[#This Row],[Drug Name6]],'Data Options'!$R$1:$S$100,2,FALSE), " ")</f>
        <v xml:space="preserve"> </v>
      </c>
      <c r="BH25" s="55"/>
      <c r="BI25" s="32"/>
      <c r="BJ25" s="32"/>
      <c r="BK25" s="55"/>
      <c r="BL25" s="32"/>
      <c r="BM25" s="32"/>
      <c r="BN25" s="32"/>
      <c r="BO25" s="32"/>
      <c r="BP25" s="32"/>
      <c r="BQ25" s="31"/>
      <c r="BR25" s="31"/>
      <c r="BS25" s="54"/>
      <c r="BT25" s="21" t="str">
        <f>IFERROR(VLOOKUP(November[[#This Row],[Drug Name7]],'Data Options'!$R$1:$S$100,2,FALSE), " ")</f>
        <v xml:space="preserve"> </v>
      </c>
      <c r="BU25" s="55"/>
      <c r="BV25" s="32"/>
      <c r="BW25" s="32"/>
      <c r="BX25" s="55"/>
      <c r="BY25" s="32"/>
      <c r="BZ25" s="54"/>
      <c r="CA25" s="21" t="str">
        <f>IFERROR(VLOOKUP(November[[#This Row],[Drug Name8]],'Data Options'!$R$1:$S$100,2,FALSE), " ")</f>
        <v xml:space="preserve"> </v>
      </c>
      <c r="CB25" s="55"/>
      <c r="CC25" s="32"/>
      <c r="CD25" s="32"/>
      <c r="CE25" s="55"/>
      <c r="CF25" s="32"/>
      <c r="CG25" s="54"/>
      <c r="CH25" s="21" t="str">
        <f>IFERROR(VLOOKUP(November[[#This Row],[Drug Name9]],'Data Options'!$R$1:$S$100,2,FALSE), " ")</f>
        <v xml:space="preserve"> </v>
      </c>
      <c r="CI25" s="55"/>
      <c r="CJ25" s="32"/>
      <c r="CK25" s="32"/>
      <c r="CL25" s="55"/>
      <c r="CM25" s="32"/>
    </row>
    <row r="26" spans="1:91">
      <c r="A26" s="5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54"/>
      <c r="R26" s="21" t="str">
        <f>IFERROR(VLOOKUP(November[[#This Row],[Drug Name]],'Data Options'!$R$1:$S$100,2,FALSE), " ")</f>
        <v xml:space="preserve"> </v>
      </c>
      <c r="S26" s="55"/>
      <c r="T26" s="32"/>
      <c r="U26" s="32"/>
      <c r="V26" s="55"/>
      <c r="W26" s="32"/>
      <c r="X26" s="54"/>
      <c r="Y26" s="21" t="str">
        <f>IFERROR(VLOOKUP(November[[#This Row],[Drug Name2]],'Data Options'!$R$1:$S$100,2,FALSE), " ")</f>
        <v xml:space="preserve"> </v>
      </c>
      <c r="Z26" s="55"/>
      <c r="AA26" s="32"/>
      <c r="AB26" s="32"/>
      <c r="AC26" s="55"/>
      <c r="AD26" s="32"/>
      <c r="AE26" s="54"/>
      <c r="AF26" s="21" t="str">
        <f>IFERROR(VLOOKUP(November[[#This Row],[Drug Name3]],'Data Options'!$R$1:$S$100,2,FALSE), " ")</f>
        <v xml:space="preserve"> </v>
      </c>
      <c r="AG26" s="55"/>
      <c r="AH26" s="32"/>
      <c r="AI26" s="32"/>
      <c r="AJ26" s="55"/>
      <c r="AK26" s="32"/>
      <c r="AL26" s="32"/>
      <c r="AM26" s="32"/>
      <c r="AN26" s="32"/>
      <c r="AO26" s="32"/>
      <c r="AP26" s="31"/>
      <c r="AQ26" s="31"/>
      <c r="AR26" s="54"/>
      <c r="AS26" s="21" t="str">
        <f>IFERROR(VLOOKUP(November[[#This Row],[Drug Name4]],'Data Options'!$R$1:$S$100,2,FALSE), " ")</f>
        <v xml:space="preserve"> </v>
      </c>
      <c r="AT26" s="55"/>
      <c r="AU26" s="32"/>
      <c r="AV26" s="32"/>
      <c r="AW26" s="55"/>
      <c r="AX26" s="32"/>
      <c r="AY26" s="54"/>
      <c r="AZ26" s="21" t="str">
        <f>IFERROR(VLOOKUP(November[[#This Row],[Drug Name5]],'Data Options'!$R$1:$S$100,2,FALSE), " ")</f>
        <v xml:space="preserve"> </v>
      </c>
      <c r="BA26" s="55"/>
      <c r="BB26" s="32"/>
      <c r="BC26" s="32"/>
      <c r="BD26" s="55"/>
      <c r="BE26" s="32"/>
      <c r="BF26" s="54"/>
      <c r="BG26" s="21" t="str">
        <f>IFERROR(VLOOKUP(November[[#This Row],[Drug Name6]],'Data Options'!$R$1:$S$100,2,FALSE), " ")</f>
        <v xml:space="preserve"> </v>
      </c>
      <c r="BH26" s="55"/>
      <c r="BI26" s="32"/>
      <c r="BJ26" s="32"/>
      <c r="BK26" s="55"/>
      <c r="BL26" s="32"/>
      <c r="BM26" s="32"/>
      <c r="BN26" s="32"/>
      <c r="BO26" s="32"/>
      <c r="BP26" s="32"/>
      <c r="BQ26" s="31"/>
      <c r="BR26" s="31"/>
      <c r="BS26" s="54"/>
      <c r="BT26" s="21" t="str">
        <f>IFERROR(VLOOKUP(November[[#This Row],[Drug Name7]],'Data Options'!$R$1:$S$100,2,FALSE), " ")</f>
        <v xml:space="preserve"> </v>
      </c>
      <c r="BU26" s="55"/>
      <c r="BV26" s="32"/>
      <c r="BW26" s="32"/>
      <c r="BX26" s="55"/>
      <c r="BY26" s="32"/>
      <c r="BZ26" s="54"/>
      <c r="CA26" s="21" t="str">
        <f>IFERROR(VLOOKUP(November[[#This Row],[Drug Name8]],'Data Options'!$R$1:$S$100,2,FALSE), " ")</f>
        <v xml:space="preserve"> </v>
      </c>
      <c r="CB26" s="55"/>
      <c r="CC26" s="32"/>
      <c r="CD26" s="32"/>
      <c r="CE26" s="55"/>
      <c r="CF26" s="32"/>
      <c r="CG26" s="54"/>
      <c r="CH26" s="21" t="str">
        <f>IFERROR(VLOOKUP(November[[#This Row],[Drug Name9]],'Data Options'!$R$1:$S$100,2,FALSE), " ")</f>
        <v xml:space="preserve"> </v>
      </c>
      <c r="CI26" s="55"/>
      <c r="CJ26" s="32"/>
      <c r="CK26" s="32"/>
      <c r="CL26" s="55"/>
      <c r="CM26" s="32"/>
    </row>
    <row r="27" spans="1:91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54"/>
      <c r="R27" s="21" t="str">
        <f>IFERROR(VLOOKUP(November[[#This Row],[Drug Name]],'Data Options'!$R$1:$S$100,2,FALSE), " ")</f>
        <v xml:space="preserve"> </v>
      </c>
      <c r="S27" s="55"/>
      <c r="T27" s="32"/>
      <c r="U27" s="32"/>
      <c r="V27" s="55"/>
      <c r="W27" s="32"/>
      <c r="X27" s="54"/>
      <c r="Y27" s="21" t="str">
        <f>IFERROR(VLOOKUP(November[[#This Row],[Drug Name2]],'Data Options'!$R$1:$S$100,2,FALSE), " ")</f>
        <v xml:space="preserve"> </v>
      </c>
      <c r="Z27" s="55"/>
      <c r="AA27" s="32"/>
      <c r="AB27" s="32"/>
      <c r="AC27" s="55"/>
      <c r="AD27" s="32"/>
      <c r="AE27" s="54"/>
      <c r="AF27" s="21" t="str">
        <f>IFERROR(VLOOKUP(November[[#This Row],[Drug Name3]],'Data Options'!$R$1:$S$100,2,FALSE), " ")</f>
        <v xml:space="preserve"> </v>
      </c>
      <c r="AG27" s="55"/>
      <c r="AH27" s="32"/>
      <c r="AI27" s="32"/>
      <c r="AJ27" s="55"/>
      <c r="AK27" s="32"/>
      <c r="AL27" s="32"/>
      <c r="AM27" s="32"/>
      <c r="AN27" s="32"/>
      <c r="AO27" s="32"/>
      <c r="AP27" s="31"/>
      <c r="AQ27" s="31"/>
      <c r="AR27" s="54"/>
      <c r="AS27" s="21" t="str">
        <f>IFERROR(VLOOKUP(November[[#This Row],[Drug Name4]],'Data Options'!$R$1:$S$100,2,FALSE), " ")</f>
        <v xml:space="preserve"> </v>
      </c>
      <c r="AT27" s="55"/>
      <c r="AU27" s="32"/>
      <c r="AV27" s="32"/>
      <c r="AW27" s="55"/>
      <c r="AX27" s="32"/>
      <c r="AY27" s="54"/>
      <c r="AZ27" s="21" t="str">
        <f>IFERROR(VLOOKUP(November[[#This Row],[Drug Name5]],'Data Options'!$R$1:$S$100,2,FALSE), " ")</f>
        <v xml:space="preserve"> </v>
      </c>
      <c r="BA27" s="55"/>
      <c r="BB27" s="32"/>
      <c r="BC27" s="32"/>
      <c r="BD27" s="55"/>
      <c r="BE27" s="32"/>
      <c r="BF27" s="54"/>
      <c r="BG27" s="21" t="str">
        <f>IFERROR(VLOOKUP(November[[#This Row],[Drug Name6]],'Data Options'!$R$1:$S$100,2,FALSE), " ")</f>
        <v xml:space="preserve"> </v>
      </c>
      <c r="BH27" s="55"/>
      <c r="BI27" s="32"/>
      <c r="BJ27" s="32"/>
      <c r="BK27" s="55"/>
      <c r="BL27" s="32"/>
      <c r="BM27" s="32"/>
      <c r="BN27" s="32"/>
      <c r="BO27" s="32"/>
      <c r="BP27" s="32"/>
      <c r="BQ27" s="31"/>
      <c r="BR27" s="31"/>
      <c r="BS27" s="54"/>
      <c r="BT27" s="21" t="str">
        <f>IFERROR(VLOOKUP(November[[#This Row],[Drug Name7]],'Data Options'!$R$1:$S$100,2,FALSE), " ")</f>
        <v xml:space="preserve"> </v>
      </c>
      <c r="BU27" s="55"/>
      <c r="BV27" s="32"/>
      <c r="BW27" s="32"/>
      <c r="BX27" s="55"/>
      <c r="BY27" s="32"/>
      <c r="BZ27" s="54"/>
      <c r="CA27" s="21" t="str">
        <f>IFERROR(VLOOKUP(November[[#This Row],[Drug Name8]],'Data Options'!$R$1:$S$100,2,FALSE), " ")</f>
        <v xml:space="preserve"> </v>
      </c>
      <c r="CB27" s="55"/>
      <c r="CC27" s="32"/>
      <c r="CD27" s="32"/>
      <c r="CE27" s="55"/>
      <c r="CF27" s="32"/>
      <c r="CG27" s="54"/>
      <c r="CH27" s="21" t="str">
        <f>IFERROR(VLOOKUP(November[[#This Row],[Drug Name9]],'Data Options'!$R$1:$S$100,2,FALSE), " ")</f>
        <v xml:space="preserve"> </v>
      </c>
      <c r="CI27" s="55"/>
      <c r="CJ27" s="32"/>
      <c r="CK27" s="32"/>
      <c r="CL27" s="55"/>
      <c r="CM27" s="32"/>
    </row>
    <row r="28" spans="1:91">
      <c r="A28" s="5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54"/>
      <c r="R28" s="21" t="str">
        <f>IFERROR(VLOOKUP(November[[#This Row],[Drug Name]],'Data Options'!$R$1:$S$100,2,FALSE), " ")</f>
        <v xml:space="preserve"> </v>
      </c>
      <c r="S28" s="55"/>
      <c r="T28" s="32"/>
      <c r="U28" s="32"/>
      <c r="V28" s="55"/>
      <c r="W28" s="32"/>
      <c r="X28" s="54"/>
      <c r="Y28" s="21" t="str">
        <f>IFERROR(VLOOKUP(November[[#This Row],[Drug Name2]],'Data Options'!$R$1:$S$100,2,FALSE), " ")</f>
        <v xml:space="preserve"> </v>
      </c>
      <c r="Z28" s="55"/>
      <c r="AA28" s="32"/>
      <c r="AB28" s="32"/>
      <c r="AC28" s="55"/>
      <c r="AD28" s="32"/>
      <c r="AE28" s="54"/>
      <c r="AF28" s="21" t="str">
        <f>IFERROR(VLOOKUP(November[[#This Row],[Drug Name3]],'Data Options'!$R$1:$S$100,2,FALSE), " ")</f>
        <v xml:space="preserve"> </v>
      </c>
      <c r="AG28" s="55"/>
      <c r="AH28" s="32"/>
      <c r="AI28" s="32"/>
      <c r="AJ28" s="55"/>
      <c r="AK28" s="32"/>
      <c r="AL28" s="32"/>
      <c r="AM28" s="32"/>
      <c r="AN28" s="32"/>
      <c r="AO28" s="32"/>
      <c r="AP28" s="31"/>
      <c r="AQ28" s="31"/>
      <c r="AR28" s="54"/>
      <c r="AS28" s="21" t="str">
        <f>IFERROR(VLOOKUP(November[[#This Row],[Drug Name4]],'Data Options'!$R$1:$S$100,2,FALSE), " ")</f>
        <v xml:space="preserve"> </v>
      </c>
      <c r="AT28" s="55"/>
      <c r="AU28" s="32"/>
      <c r="AV28" s="32"/>
      <c r="AW28" s="55"/>
      <c r="AX28" s="32"/>
      <c r="AY28" s="54"/>
      <c r="AZ28" s="21" t="str">
        <f>IFERROR(VLOOKUP(November[[#This Row],[Drug Name5]],'Data Options'!$R$1:$S$100,2,FALSE), " ")</f>
        <v xml:space="preserve"> </v>
      </c>
      <c r="BA28" s="55"/>
      <c r="BB28" s="32"/>
      <c r="BC28" s="32"/>
      <c r="BD28" s="55"/>
      <c r="BE28" s="32"/>
      <c r="BF28" s="54"/>
      <c r="BG28" s="21" t="str">
        <f>IFERROR(VLOOKUP(November[[#This Row],[Drug Name6]],'Data Options'!$R$1:$S$100,2,FALSE), " ")</f>
        <v xml:space="preserve"> </v>
      </c>
      <c r="BH28" s="55"/>
      <c r="BI28" s="32"/>
      <c r="BJ28" s="32"/>
      <c r="BK28" s="55"/>
      <c r="BL28" s="32"/>
      <c r="BM28" s="32"/>
      <c r="BN28" s="32"/>
      <c r="BO28" s="32"/>
      <c r="BP28" s="32"/>
      <c r="BQ28" s="31"/>
      <c r="BR28" s="31"/>
      <c r="BS28" s="54"/>
      <c r="BT28" s="21" t="str">
        <f>IFERROR(VLOOKUP(November[[#This Row],[Drug Name7]],'Data Options'!$R$1:$S$100,2,FALSE), " ")</f>
        <v xml:space="preserve"> </v>
      </c>
      <c r="BU28" s="55"/>
      <c r="BV28" s="32"/>
      <c r="BW28" s="32"/>
      <c r="BX28" s="55"/>
      <c r="BY28" s="32"/>
      <c r="BZ28" s="54"/>
      <c r="CA28" s="21" t="str">
        <f>IFERROR(VLOOKUP(November[[#This Row],[Drug Name8]],'Data Options'!$R$1:$S$100,2,FALSE), " ")</f>
        <v xml:space="preserve"> </v>
      </c>
      <c r="CB28" s="55"/>
      <c r="CC28" s="32"/>
      <c r="CD28" s="32"/>
      <c r="CE28" s="55"/>
      <c r="CF28" s="32"/>
      <c r="CG28" s="54"/>
      <c r="CH28" s="21" t="str">
        <f>IFERROR(VLOOKUP(November[[#This Row],[Drug Name9]],'Data Options'!$R$1:$S$100,2,FALSE), " ")</f>
        <v xml:space="preserve"> </v>
      </c>
      <c r="CI28" s="55"/>
      <c r="CJ28" s="32"/>
      <c r="CK28" s="32"/>
      <c r="CL28" s="55"/>
      <c r="CM28" s="32"/>
    </row>
    <row r="29" spans="1:91">
      <c r="A29" s="5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54"/>
      <c r="R29" s="21" t="str">
        <f>IFERROR(VLOOKUP(November[[#This Row],[Drug Name]],'Data Options'!$R$1:$S$100,2,FALSE), " ")</f>
        <v xml:space="preserve"> </v>
      </c>
      <c r="S29" s="55"/>
      <c r="T29" s="32"/>
      <c r="U29" s="32"/>
      <c r="V29" s="55"/>
      <c r="W29" s="32"/>
      <c r="X29" s="54"/>
      <c r="Y29" s="21" t="str">
        <f>IFERROR(VLOOKUP(November[[#This Row],[Drug Name2]],'Data Options'!$R$1:$S$100,2,FALSE), " ")</f>
        <v xml:space="preserve"> </v>
      </c>
      <c r="Z29" s="55"/>
      <c r="AA29" s="32"/>
      <c r="AB29" s="32"/>
      <c r="AC29" s="55"/>
      <c r="AD29" s="32"/>
      <c r="AE29" s="54"/>
      <c r="AF29" s="21" t="str">
        <f>IFERROR(VLOOKUP(November[[#This Row],[Drug Name3]],'Data Options'!$R$1:$S$100,2,FALSE), " ")</f>
        <v xml:space="preserve"> </v>
      </c>
      <c r="AG29" s="55"/>
      <c r="AH29" s="32"/>
      <c r="AI29" s="32"/>
      <c r="AJ29" s="55"/>
      <c r="AK29" s="32"/>
      <c r="AL29" s="32"/>
      <c r="AM29" s="32"/>
      <c r="AN29" s="32"/>
      <c r="AO29" s="32"/>
      <c r="AP29" s="31"/>
      <c r="AQ29" s="31"/>
      <c r="AR29" s="54"/>
      <c r="AS29" s="21" t="str">
        <f>IFERROR(VLOOKUP(November[[#This Row],[Drug Name4]],'Data Options'!$R$1:$S$100,2,FALSE), " ")</f>
        <v xml:space="preserve"> </v>
      </c>
      <c r="AT29" s="55"/>
      <c r="AU29" s="32"/>
      <c r="AV29" s="32"/>
      <c r="AW29" s="55"/>
      <c r="AX29" s="32"/>
      <c r="AY29" s="54"/>
      <c r="AZ29" s="21" t="str">
        <f>IFERROR(VLOOKUP(November[[#This Row],[Drug Name5]],'Data Options'!$R$1:$S$100,2,FALSE), " ")</f>
        <v xml:space="preserve"> </v>
      </c>
      <c r="BA29" s="55"/>
      <c r="BB29" s="32"/>
      <c r="BC29" s="32"/>
      <c r="BD29" s="55"/>
      <c r="BE29" s="32"/>
      <c r="BF29" s="54"/>
      <c r="BG29" s="21" t="str">
        <f>IFERROR(VLOOKUP(November[[#This Row],[Drug Name6]],'Data Options'!$R$1:$S$100,2,FALSE), " ")</f>
        <v xml:space="preserve"> </v>
      </c>
      <c r="BH29" s="55"/>
      <c r="BI29" s="32"/>
      <c r="BJ29" s="32"/>
      <c r="BK29" s="55"/>
      <c r="BL29" s="32"/>
      <c r="BM29" s="32"/>
      <c r="BN29" s="32"/>
      <c r="BO29" s="32"/>
      <c r="BP29" s="32"/>
      <c r="BQ29" s="31"/>
      <c r="BR29" s="31"/>
      <c r="BS29" s="54"/>
      <c r="BT29" s="21" t="str">
        <f>IFERROR(VLOOKUP(November[[#This Row],[Drug Name7]],'Data Options'!$R$1:$S$100,2,FALSE), " ")</f>
        <v xml:space="preserve"> </v>
      </c>
      <c r="BU29" s="55"/>
      <c r="BV29" s="32"/>
      <c r="BW29" s="32"/>
      <c r="BX29" s="55"/>
      <c r="BY29" s="32"/>
      <c r="BZ29" s="54"/>
      <c r="CA29" s="21" t="str">
        <f>IFERROR(VLOOKUP(November[[#This Row],[Drug Name8]],'Data Options'!$R$1:$S$100,2,FALSE), " ")</f>
        <v xml:space="preserve"> </v>
      </c>
      <c r="CB29" s="55"/>
      <c r="CC29" s="32"/>
      <c r="CD29" s="32"/>
      <c r="CE29" s="55"/>
      <c r="CF29" s="32"/>
      <c r="CG29" s="54"/>
      <c r="CH29" s="21" t="str">
        <f>IFERROR(VLOOKUP(November[[#This Row],[Drug Name9]],'Data Options'!$R$1:$S$100,2,FALSE), " ")</f>
        <v xml:space="preserve"> </v>
      </c>
      <c r="CI29" s="55"/>
      <c r="CJ29" s="32"/>
      <c r="CK29" s="32"/>
      <c r="CL29" s="55"/>
      <c r="CM29" s="32"/>
    </row>
    <row r="30" spans="1:91">
      <c r="A30" s="5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54"/>
      <c r="R30" s="21" t="str">
        <f>IFERROR(VLOOKUP(November[[#This Row],[Drug Name]],'Data Options'!$R$1:$S$100,2,FALSE), " ")</f>
        <v xml:space="preserve"> </v>
      </c>
      <c r="S30" s="55"/>
      <c r="T30" s="32"/>
      <c r="U30" s="32"/>
      <c r="V30" s="55"/>
      <c r="W30" s="32"/>
      <c r="X30" s="54"/>
      <c r="Y30" s="21" t="str">
        <f>IFERROR(VLOOKUP(November[[#This Row],[Drug Name2]],'Data Options'!$R$1:$S$100,2,FALSE), " ")</f>
        <v xml:space="preserve"> </v>
      </c>
      <c r="Z30" s="55"/>
      <c r="AA30" s="32"/>
      <c r="AB30" s="32"/>
      <c r="AC30" s="55"/>
      <c r="AD30" s="32"/>
      <c r="AE30" s="54"/>
      <c r="AF30" s="21" t="str">
        <f>IFERROR(VLOOKUP(November[[#This Row],[Drug Name3]],'Data Options'!$R$1:$S$100,2,FALSE), " ")</f>
        <v xml:space="preserve"> </v>
      </c>
      <c r="AG30" s="55"/>
      <c r="AH30" s="32"/>
      <c r="AI30" s="32"/>
      <c r="AJ30" s="55"/>
      <c r="AK30" s="32"/>
      <c r="AL30" s="32"/>
      <c r="AM30" s="32"/>
      <c r="AN30" s="32"/>
      <c r="AO30" s="32"/>
      <c r="AP30" s="31"/>
      <c r="AQ30" s="31"/>
      <c r="AR30" s="54"/>
      <c r="AS30" s="21" t="str">
        <f>IFERROR(VLOOKUP(November[[#This Row],[Drug Name4]],'Data Options'!$R$1:$S$100,2,FALSE), " ")</f>
        <v xml:space="preserve"> </v>
      </c>
      <c r="AT30" s="55"/>
      <c r="AU30" s="32"/>
      <c r="AV30" s="32"/>
      <c r="AW30" s="55"/>
      <c r="AX30" s="32"/>
      <c r="AY30" s="54"/>
      <c r="AZ30" s="21" t="str">
        <f>IFERROR(VLOOKUP(November[[#This Row],[Drug Name5]],'Data Options'!$R$1:$S$100,2,FALSE), " ")</f>
        <v xml:space="preserve"> </v>
      </c>
      <c r="BA30" s="55"/>
      <c r="BB30" s="32"/>
      <c r="BC30" s="32"/>
      <c r="BD30" s="55"/>
      <c r="BE30" s="32"/>
      <c r="BF30" s="54"/>
      <c r="BG30" s="21" t="str">
        <f>IFERROR(VLOOKUP(November[[#This Row],[Drug Name6]],'Data Options'!$R$1:$S$100,2,FALSE), " ")</f>
        <v xml:space="preserve"> </v>
      </c>
      <c r="BH30" s="55"/>
      <c r="BI30" s="32"/>
      <c r="BJ30" s="32"/>
      <c r="BK30" s="55"/>
      <c r="BL30" s="32"/>
      <c r="BM30" s="32"/>
      <c r="BN30" s="32"/>
      <c r="BO30" s="32"/>
      <c r="BP30" s="32"/>
      <c r="BQ30" s="31"/>
      <c r="BR30" s="31"/>
      <c r="BS30" s="54"/>
      <c r="BT30" s="21" t="str">
        <f>IFERROR(VLOOKUP(November[[#This Row],[Drug Name7]],'Data Options'!$R$1:$S$100,2,FALSE), " ")</f>
        <v xml:space="preserve"> </v>
      </c>
      <c r="BU30" s="55"/>
      <c r="BV30" s="32"/>
      <c r="BW30" s="32"/>
      <c r="BX30" s="55"/>
      <c r="BY30" s="32"/>
      <c r="BZ30" s="54"/>
      <c r="CA30" s="21" t="str">
        <f>IFERROR(VLOOKUP(November[[#This Row],[Drug Name8]],'Data Options'!$R$1:$S$100,2,FALSE), " ")</f>
        <v xml:space="preserve"> </v>
      </c>
      <c r="CB30" s="55"/>
      <c r="CC30" s="32"/>
      <c r="CD30" s="32"/>
      <c r="CE30" s="55"/>
      <c r="CF30" s="32"/>
      <c r="CG30" s="54"/>
      <c r="CH30" s="21" t="str">
        <f>IFERROR(VLOOKUP(November[[#This Row],[Drug Name9]],'Data Options'!$R$1:$S$100,2,FALSE), " ")</f>
        <v xml:space="preserve"> </v>
      </c>
      <c r="CI30" s="55"/>
      <c r="CJ30" s="32"/>
      <c r="CK30" s="32"/>
      <c r="CL30" s="55"/>
      <c r="CM30" s="32"/>
    </row>
    <row r="31" spans="1:9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54"/>
      <c r="R31" s="21" t="str">
        <f>IFERROR(VLOOKUP(November[[#This Row],[Drug Name]],'Data Options'!$R$1:$S$100,2,FALSE), " ")</f>
        <v xml:space="preserve"> </v>
      </c>
      <c r="S31" s="55"/>
      <c r="T31" s="32"/>
      <c r="U31" s="32"/>
      <c r="V31" s="55"/>
      <c r="W31" s="32"/>
      <c r="X31" s="54"/>
      <c r="Y31" s="21" t="str">
        <f>IFERROR(VLOOKUP(November[[#This Row],[Drug Name2]],'Data Options'!$R$1:$S$100,2,FALSE), " ")</f>
        <v xml:space="preserve"> </v>
      </c>
      <c r="Z31" s="55"/>
      <c r="AA31" s="32"/>
      <c r="AB31" s="32"/>
      <c r="AC31" s="55"/>
      <c r="AD31" s="32"/>
      <c r="AE31" s="54"/>
      <c r="AF31" s="21" t="str">
        <f>IFERROR(VLOOKUP(November[[#This Row],[Drug Name3]],'Data Options'!$R$1:$S$100,2,FALSE), " ")</f>
        <v xml:space="preserve"> </v>
      </c>
      <c r="AG31" s="55"/>
      <c r="AH31" s="32"/>
      <c r="AI31" s="32"/>
      <c r="AJ31" s="55"/>
      <c r="AK31" s="32"/>
      <c r="AL31" s="32"/>
      <c r="AM31" s="32"/>
      <c r="AN31" s="32"/>
      <c r="AO31" s="32"/>
      <c r="AP31" s="31"/>
      <c r="AQ31" s="31"/>
      <c r="AR31" s="54"/>
      <c r="AS31" s="21" t="str">
        <f>IFERROR(VLOOKUP(November[[#This Row],[Drug Name4]],'Data Options'!$R$1:$S$100,2,FALSE), " ")</f>
        <v xml:space="preserve"> </v>
      </c>
      <c r="AT31" s="55"/>
      <c r="AU31" s="32"/>
      <c r="AV31" s="32"/>
      <c r="AW31" s="55"/>
      <c r="AX31" s="32"/>
      <c r="AY31" s="54"/>
      <c r="AZ31" s="21" t="str">
        <f>IFERROR(VLOOKUP(November[[#This Row],[Drug Name5]],'Data Options'!$R$1:$S$100,2,FALSE), " ")</f>
        <v xml:space="preserve"> </v>
      </c>
      <c r="BA31" s="55"/>
      <c r="BB31" s="32"/>
      <c r="BC31" s="32"/>
      <c r="BD31" s="55"/>
      <c r="BE31" s="32"/>
      <c r="BF31" s="54"/>
      <c r="BG31" s="21" t="str">
        <f>IFERROR(VLOOKUP(November[[#This Row],[Drug Name6]],'Data Options'!$R$1:$S$100,2,FALSE), " ")</f>
        <v xml:space="preserve"> </v>
      </c>
      <c r="BH31" s="55"/>
      <c r="BI31" s="32"/>
      <c r="BJ31" s="32"/>
      <c r="BK31" s="55"/>
      <c r="BL31" s="32"/>
      <c r="BM31" s="32"/>
      <c r="BN31" s="32"/>
      <c r="BO31" s="32"/>
      <c r="BP31" s="32"/>
      <c r="BQ31" s="31"/>
      <c r="BR31" s="31"/>
      <c r="BS31" s="54"/>
      <c r="BT31" s="21" t="str">
        <f>IFERROR(VLOOKUP(November[[#This Row],[Drug Name7]],'Data Options'!$R$1:$S$100,2,FALSE), " ")</f>
        <v xml:space="preserve"> </v>
      </c>
      <c r="BU31" s="55"/>
      <c r="BV31" s="32"/>
      <c r="BW31" s="32"/>
      <c r="BX31" s="55"/>
      <c r="BY31" s="32"/>
      <c r="BZ31" s="54"/>
      <c r="CA31" s="21" t="str">
        <f>IFERROR(VLOOKUP(November[[#This Row],[Drug Name8]],'Data Options'!$R$1:$S$100,2,FALSE), " ")</f>
        <v xml:space="preserve"> </v>
      </c>
      <c r="CB31" s="55"/>
      <c r="CC31" s="32"/>
      <c r="CD31" s="32"/>
      <c r="CE31" s="55"/>
      <c r="CF31" s="32"/>
      <c r="CG31" s="54"/>
      <c r="CH31" s="21" t="str">
        <f>IFERROR(VLOOKUP(November[[#This Row],[Drug Name9]],'Data Options'!$R$1:$S$100,2,FALSE), " ")</f>
        <v xml:space="preserve"> </v>
      </c>
      <c r="CI31" s="55"/>
      <c r="CJ31" s="32"/>
      <c r="CK31" s="32"/>
      <c r="CL31" s="55"/>
      <c r="CM31" s="32"/>
    </row>
    <row r="32" spans="1:91">
      <c r="A32" s="5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54"/>
      <c r="R32" s="21" t="str">
        <f>IFERROR(VLOOKUP(November[[#This Row],[Drug Name]],'Data Options'!$R$1:$S$100,2,FALSE), " ")</f>
        <v xml:space="preserve"> </v>
      </c>
      <c r="S32" s="55"/>
      <c r="T32" s="32"/>
      <c r="U32" s="32"/>
      <c r="V32" s="55"/>
      <c r="W32" s="32"/>
      <c r="X32" s="54"/>
      <c r="Y32" s="21" t="str">
        <f>IFERROR(VLOOKUP(November[[#This Row],[Drug Name2]],'Data Options'!$R$1:$S$100,2,FALSE), " ")</f>
        <v xml:space="preserve"> </v>
      </c>
      <c r="Z32" s="55"/>
      <c r="AA32" s="32"/>
      <c r="AB32" s="32"/>
      <c r="AC32" s="55"/>
      <c r="AD32" s="32"/>
      <c r="AE32" s="54"/>
      <c r="AF32" s="21" t="str">
        <f>IFERROR(VLOOKUP(November[[#This Row],[Drug Name3]],'Data Options'!$R$1:$S$100,2,FALSE), " ")</f>
        <v xml:space="preserve"> </v>
      </c>
      <c r="AG32" s="55"/>
      <c r="AH32" s="32"/>
      <c r="AI32" s="32"/>
      <c r="AJ32" s="55"/>
      <c r="AK32" s="32"/>
      <c r="AL32" s="32"/>
      <c r="AM32" s="32"/>
      <c r="AN32" s="32"/>
      <c r="AO32" s="32"/>
      <c r="AP32" s="31"/>
      <c r="AQ32" s="31"/>
      <c r="AR32" s="54"/>
      <c r="AS32" s="21" t="str">
        <f>IFERROR(VLOOKUP(November[[#This Row],[Drug Name4]],'Data Options'!$R$1:$S$100,2,FALSE), " ")</f>
        <v xml:space="preserve"> </v>
      </c>
      <c r="AT32" s="55"/>
      <c r="AU32" s="32"/>
      <c r="AV32" s="32"/>
      <c r="AW32" s="55"/>
      <c r="AX32" s="32"/>
      <c r="AY32" s="54"/>
      <c r="AZ32" s="21" t="str">
        <f>IFERROR(VLOOKUP(November[[#This Row],[Drug Name5]],'Data Options'!$R$1:$S$100,2,FALSE), " ")</f>
        <v xml:space="preserve"> </v>
      </c>
      <c r="BA32" s="55"/>
      <c r="BB32" s="32"/>
      <c r="BC32" s="32"/>
      <c r="BD32" s="55"/>
      <c r="BE32" s="32"/>
      <c r="BF32" s="54"/>
      <c r="BG32" s="21" t="str">
        <f>IFERROR(VLOOKUP(November[[#This Row],[Drug Name6]],'Data Options'!$R$1:$S$100,2,FALSE), " ")</f>
        <v xml:space="preserve"> </v>
      </c>
      <c r="BH32" s="55"/>
      <c r="BI32" s="32"/>
      <c r="BJ32" s="32"/>
      <c r="BK32" s="55"/>
      <c r="BL32" s="32"/>
      <c r="BM32" s="32"/>
      <c r="BN32" s="32"/>
      <c r="BO32" s="32"/>
      <c r="BP32" s="32"/>
      <c r="BQ32" s="31"/>
      <c r="BR32" s="31"/>
      <c r="BS32" s="54"/>
      <c r="BT32" s="21" t="str">
        <f>IFERROR(VLOOKUP(November[[#This Row],[Drug Name7]],'Data Options'!$R$1:$S$100,2,FALSE), " ")</f>
        <v xml:space="preserve"> </v>
      </c>
      <c r="BU32" s="55"/>
      <c r="BV32" s="32"/>
      <c r="BW32" s="32"/>
      <c r="BX32" s="55"/>
      <c r="BY32" s="32"/>
      <c r="BZ32" s="54"/>
      <c r="CA32" s="21" t="str">
        <f>IFERROR(VLOOKUP(November[[#This Row],[Drug Name8]],'Data Options'!$R$1:$S$100,2,FALSE), " ")</f>
        <v xml:space="preserve"> </v>
      </c>
      <c r="CB32" s="55"/>
      <c r="CC32" s="32"/>
      <c r="CD32" s="32"/>
      <c r="CE32" s="55"/>
      <c r="CF32" s="32"/>
      <c r="CG32" s="54"/>
      <c r="CH32" s="21" t="str">
        <f>IFERROR(VLOOKUP(November[[#This Row],[Drug Name9]],'Data Options'!$R$1:$S$100,2,FALSE), " ")</f>
        <v xml:space="preserve"> </v>
      </c>
      <c r="CI32" s="55"/>
      <c r="CJ32" s="32"/>
      <c r="CK32" s="32"/>
      <c r="CL32" s="55"/>
      <c r="CM32" s="32"/>
    </row>
    <row r="33" spans="1:9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54"/>
      <c r="R33" s="21" t="str">
        <f>IFERROR(VLOOKUP(November[[#This Row],[Drug Name]],'Data Options'!$R$1:$S$100,2,FALSE), " ")</f>
        <v xml:space="preserve"> </v>
      </c>
      <c r="S33" s="55"/>
      <c r="T33" s="32"/>
      <c r="U33" s="32"/>
      <c r="V33" s="55"/>
      <c r="W33" s="32"/>
      <c r="X33" s="54"/>
      <c r="Y33" s="21" t="str">
        <f>IFERROR(VLOOKUP(November[[#This Row],[Drug Name2]],'Data Options'!$R$1:$S$100,2,FALSE), " ")</f>
        <v xml:space="preserve"> </v>
      </c>
      <c r="Z33" s="55"/>
      <c r="AA33" s="32"/>
      <c r="AB33" s="32"/>
      <c r="AC33" s="55"/>
      <c r="AD33" s="32"/>
      <c r="AE33" s="54"/>
      <c r="AF33" s="21" t="str">
        <f>IFERROR(VLOOKUP(November[[#This Row],[Drug Name3]],'Data Options'!$R$1:$S$100,2,FALSE), " ")</f>
        <v xml:space="preserve"> </v>
      </c>
      <c r="AG33" s="55"/>
      <c r="AH33" s="32"/>
      <c r="AI33" s="32"/>
      <c r="AJ33" s="55"/>
      <c r="AK33" s="32"/>
      <c r="AL33" s="32"/>
      <c r="AM33" s="32"/>
      <c r="AN33" s="32"/>
      <c r="AO33" s="32"/>
      <c r="AP33" s="31"/>
      <c r="AQ33" s="31"/>
      <c r="AR33" s="54"/>
      <c r="AS33" s="21" t="str">
        <f>IFERROR(VLOOKUP(November[[#This Row],[Drug Name4]],'Data Options'!$R$1:$S$100,2,FALSE), " ")</f>
        <v xml:space="preserve"> </v>
      </c>
      <c r="AT33" s="55"/>
      <c r="AU33" s="32"/>
      <c r="AV33" s="32"/>
      <c r="AW33" s="55"/>
      <c r="AX33" s="32"/>
      <c r="AY33" s="54"/>
      <c r="AZ33" s="21" t="str">
        <f>IFERROR(VLOOKUP(November[[#This Row],[Drug Name5]],'Data Options'!$R$1:$S$100,2,FALSE), " ")</f>
        <v xml:space="preserve"> </v>
      </c>
      <c r="BA33" s="55"/>
      <c r="BB33" s="32"/>
      <c r="BC33" s="32"/>
      <c r="BD33" s="55"/>
      <c r="BE33" s="32"/>
      <c r="BF33" s="54"/>
      <c r="BG33" s="21" t="str">
        <f>IFERROR(VLOOKUP(November[[#This Row],[Drug Name6]],'Data Options'!$R$1:$S$100,2,FALSE), " ")</f>
        <v xml:space="preserve"> </v>
      </c>
      <c r="BH33" s="55"/>
      <c r="BI33" s="32"/>
      <c r="BJ33" s="32"/>
      <c r="BK33" s="55"/>
      <c r="BL33" s="32"/>
      <c r="BM33" s="32"/>
      <c r="BN33" s="32"/>
      <c r="BO33" s="32"/>
      <c r="BP33" s="32"/>
      <c r="BQ33" s="31"/>
      <c r="BR33" s="31"/>
      <c r="BS33" s="54"/>
      <c r="BT33" s="21" t="str">
        <f>IFERROR(VLOOKUP(November[[#This Row],[Drug Name7]],'Data Options'!$R$1:$S$100,2,FALSE), " ")</f>
        <v xml:space="preserve"> </v>
      </c>
      <c r="BU33" s="55"/>
      <c r="BV33" s="32"/>
      <c r="BW33" s="32"/>
      <c r="BX33" s="55"/>
      <c r="BY33" s="32"/>
      <c r="BZ33" s="54"/>
      <c r="CA33" s="21" t="str">
        <f>IFERROR(VLOOKUP(November[[#This Row],[Drug Name8]],'Data Options'!$R$1:$S$100,2,FALSE), " ")</f>
        <v xml:space="preserve"> </v>
      </c>
      <c r="CB33" s="55"/>
      <c r="CC33" s="32"/>
      <c r="CD33" s="32"/>
      <c r="CE33" s="55"/>
      <c r="CF33" s="32"/>
      <c r="CG33" s="54"/>
      <c r="CH33" s="21" t="str">
        <f>IFERROR(VLOOKUP(November[[#This Row],[Drug Name9]],'Data Options'!$R$1:$S$100,2,FALSE), " ")</f>
        <v xml:space="preserve"> </v>
      </c>
      <c r="CI33" s="55"/>
      <c r="CJ33" s="32"/>
      <c r="CK33" s="32"/>
      <c r="CL33" s="55"/>
      <c r="CM33" s="32"/>
    </row>
    <row r="34" spans="1:9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54"/>
      <c r="R34" s="21" t="str">
        <f>IFERROR(VLOOKUP(November[[#This Row],[Drug Name]],'Data Options'!$R$1:$S$100,2,FALSE), " ")</f>
        <v xml:space="preserve"> </v>
      </c>
      <c r="S34" s="55"/>
      <c r="T34" s="32"/>
      <c r="U34" s="32"/>
      <c r="V34" s="55"/>
      <c r="W34" s="32"/>
      <c r="X34" s="54"/>
      <c r="Y34" s="21" t="str">
        <f>IFERROR(VLOOKUP(November[[#This Row],[Drug Name2]],'Data Options'!$R$1:$S$100,2,FALSE), " ")</f>
        <v xml:space="preserve"> </v>
      </c>
      <c r="Z34" s="55"/>
      <c r="AA34" s="32"/>
      <c r="AB34" s="32"/>
      <c r="AC34" s="55"/>
      <c r="AD34" s="32"/>
      <c r="AE34" s="54"/>
      <c r="AF34" s="21" t="str">
        <f>IFERROR(VLOOKUP(November[[#This Row],[Drug Name3]],'Data Options'!$R$1:$S$100,2,FALSE), " ")</f>
        <v xml:space="preserve"> </v>
      </c>
      <c r="AG34" s="55"/>
      <c r="AH34" s="32"/>
      <c r="AI34" s="32"/>
      <c r="AJ34" s="55"/>
      <c r="AK34" s="32"/>
      <c r="AL34" s="32"/>
      <c r="AM34" s="32"/>
      <c r="AN34" s="32"/>
      <c r="AO34" s="32"/>
      <c r="AP34" s="31"/>
      <c r="AQ34" s="31"/>
      <c r="AR34" s="54"/>
      <c r="AS34" s="21" t="str">
        <f>IFERROR(VLOOKUP(November[[#This Row],[Drug Name4]],'Data Options'!$R$1:$S$100,2,FALSE), " ")</f>
        <v xml:space="preserve"> </v>
      </c>
      <c r="AT34" s="55"/>
      <c r="AU34" s="32"/>
      <c r="AV34" s="32"/>
      <c r="AW34" s="55"/>
      <c r="AX34" s="32"/>
      <c r="AY34" s="54"/>
      <c r="AZ34" s="21" t="str">
        <f>IFERROR(VLOOKUP(November[[#This Row],[Drug Name5]],'Data Options'!$R$1:$S$100,2,FALSE), " ")</f>
        <v xml:space="preserve"> </v>
      </c>
      <c r="BA34" s="55"/>
      <c r="BB34" s="32"/>
      <c r="BC34" s="32"/>
      <c r="BD34" s="55"/>
      <c r="BE34" s="32"/>
      <c r="BF34" s="54"/>
      <c r="BG34" s="21" t="str">
        <f>IFERROR(VLOOKUP(November[[#This Row],[Drug Name6]],'Data Options'!$R$1:$S$100,2,FALSE), " ")</f>
        <v xml:space="preserve"> </v>
      </c>
      <c r="BH34" s="55"/>
      <c r="BI34" s="32"/>
      <c r="BJ34" s="32"/>
      <c r="BK34" s="55"/>
      <c r="BL34" s="32"/>
      <c r="BM34" s="32"/>
      <c r="BN34" s="32"/>
      <c r="BO34" s="32"/>
      <c r="BP34" s="32"/>
      <c r="BQ34" s="31"/>
      <c r="BR34" s="31"/>
      <c r="BS34" s="54"/>
      <c r="BT34" s="21" t="str">
        <f>IFERROR(VLOOKUP(November[[#This Row],[Drug Name7]],'Data Options'!$R$1:$S$100,2,FALSE), " ")</f>
        <v xml:space="preserve"> </v>
      </c>
      <c r="BU34" s="55"/>
      <c r="BV34" s="32"/>
      <c r="BW34" s="32"/>
      <c r="BX34" s="55"/>
      <c r="BY34" s="32"/>
      <c r="BZ34" s="54"/>
      <c r="CA34" s="21" t="str">
        <f>IFERROR(VLOOKUP(November[[#This Row],[Drug Name8]],'Data Options'!$R$1:$S$100,2,FALSE), " ")</f>
        <v xml:space="preserve"> </v>
      </c>
      <c r="CB34" s="55"/>
      <c r="CC34" s="32"/>
      <c r="CD34" s="32"/>
      <c r="CE34" s="55"/>
      <c r="CF34" s="32"/>
      <c r="CG34" s="54"/>
      <c r="CH34" s="21" t="str">
        <f>IFERROR(VLOOKUP(November[[#This Row],[Drug Name9]],'Data Options'!$R$1:$S$100,2,FALSE), " ")</f>
        <v xml:space="preserve"> </v>
      </c>
      <c r="CI34" s="55"/>
      <c r="CJ34" s="32"/>
      <c r="CK34" s="32"/>
      <c r="CL34" s="55"/>
      <c r="CM34" s="32"/>
    </row>
    <row r="35" spans="1:9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54"/>
      <c r="R35" s="21" t="str">
        <f>IFERROR(VLOOKUP(November[[#This Row],[Drug Name]],'Data Options'!$R$1:$S$100,2,FALSE), " ")</f>
        <v xml:space="preserve"> </v>
      </c>
      <c r="S35" s="55"/>
      <c r="T35" s="32"/>
      <c r="U35" s="32"/>
      <c r="V35" s="55"/>
      <c r="W35" s="32"/>
      <c r="X35" s="54"/>
      <c r="Y35" s="21" t="str">
        <f>IFERROR(VLOOKUP(November[[#This Row],[Drug Name2]],'Data Options'!$R$1:$S$100,2,FALSE), " ")</f>
        <v xml:space="preserve"> </v>
      </c>
      <c r="Z35" s="55"/>
      <c r="AA35" s="32"/>
      <c r="AB35" s="32"/>
      <c r="AC35" s="55"/>
      <c r="AD35" s="32"/>
      <c r="AE35" s="54"/>
      <c r="AF35" s="21" t="str">
        <f>IFERROR(VLOOKUP(November[[#This Row],[Drug Name3]],'Data Options'!$R$1:$S$100,2,FALSE), " ")</f>
        <v xml:space="preserve"> </v>
      </c>
      <c r="AG35" s="55"/>
      <c r="AH35" s="32"/>
      <c r="AI35" s="32"/>
      <c r="AJ35" s="55"/>
      <c r="AK35" s="32"/>
      <c r="AL35" s="32"/>
      <c r="AM35" s="32"/>
      <c r="AN35" s="32"/>
      <c r="AO35" s="32"/>
      <c r="AP35" s="31"/>
      <c r="AQ35" s="31"/>
      <c r="AR35" s="54"/>
      <c r="AS35" s="21" t="str">
        <f>IFERROR(VLOOKUP(November[[#This Row],[Drug Name4]],'Data Options'!$R$1:$S$100,2,FALSE), " ")</f>
        <v xml:space="preserve"> </v>
      </c>
      <c r="AT35" s="55"/>
      <c r="AU35" s="32"/>
      <c r="AV35" s="32"/>
      <c r="AW35" s="55"/>
      <c r="AX35" s="32"/>
      <c r="AY35" s="54"/>
      <c r="AZ35" s="21" t="str">
        <f>IFERROR(VLOOKUP(November[[#This Row],[Drug Name5]],'Data Options'!$R$1:$S$100,2,FALSE), " ")</f>
        <v xml:space="preserve"> </v>
      </c>
      <c r="BA35" s="55"/>
      <c r="BB35" s="32"/>
      <c r="BC35" s="32"/>
      <c r="BD35" s="55"/>
      <c r="BE35" s="32"/>
      <c r="BF35" s="54"/>
      <c r="BG35" s="21" t="str">
        <f>IFERROR(VLOOKUP(November[[#This Row],[Drug Name6]],'Data Options'!$R$1:$S$100,2,FALSE), " ")</f>
        <v xml:space="preserve"> </v>
      </c>
      <c r="BH35" s="55"/>
      <c r="BI35" s="32"/>
      <c r="BJ35" s="32"/>
      <c r="BK35" s="55"/>
      <c r="BL35" s="32"/>
      <c r="BM35" s="32"/>
      <c r="BN35" s="32"/>
      <c r="BO35" s="32"/>
      <c r="BP35" s="32"/>
      <c r="BQ35" s="31"/>
      <c r="BR35" s="31"/>
      <c r="BS35" s="54"/>
      <c r="BT35" s="21" t="str">
        <f>IFERROR(VLOOKUP(November[[#This Row],[Drug Name7]],'Data Options'!$R$1:$S$100,2,FALSE), " ")</f>
        <v xml:space="preserve"> </v>
      </c>
      <c r="BU35" s="55"/>
      <c r="BV35" s="32"/>
      <c r="BW35" s="32"/>
      <c r="BX35" s="55"/>
      <c r="BY35" s="32"/>
      <c r="BZ35" s="54"/>
      <c r="CA35" s="21" t="str">
        <f>IFERROR(VLOOKUP(November[[#This Row],[Drug Name8]],'Data Options'!$R$1:$S$100,2,FALSE), " ")</f>
        <v xml:space="preserve"> </v>
      </c>
      <c r="CB35" s="55"/>
      <c r="CC35" s="32"/>
      <c r="CD35" s="32"/>
      <c r="CE35" s="55"/>
      <c r="CF35" s="32"/>
      <c r="CG35" s="54"/>
      <c r="CH35" s="21" t="str">
        <f>IFERROR(VLOOKUP(November[[#This Row],[Drug Name9]],'Data Options'!$R$1:$S$100,2,FALSE), " ")</f>
        <v xml:space="preserve"> </v>
      </c>
      <c r="CI35" s="55"/>
      <c r="CJ35" s="32"/>
      <c r="CK35" s="32"/>
      <c r="CL35" s="55"/>
      <c r="CM35" s="32"/>
    </row>
    <row r="36" spans="1:91">
      <c r="A36" s="5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54"/>
      <c r="R36" s="21" t="str">
        <f>IFERROR(VLOOKUP(November[[#This Row],[Drug Name]],'Data Options'!$R$1:$S$100,2,FALSE), " ")</f>
        <v xml:space="preserve"> </v>
      </c>
      <c r="S36" s="55"/>
      <c r="T36" s="32"/>
      <c r="U36" s="32"/>
      <c r="V36" s="55"/>
      <c r="W36" s="32"/>
      <c r="X36" s="54"/>
      <c r="Y36" s="21" t="str">
        <f>IFERROR(VLOOKUP(November[[#This Row],[Drug Name2]],'Data Options'!$R$1:$S$100,2,FALSE), " ")</f>
        <v xml:space="preserve"> </v>
      </c>
      <c r="Z36" s="55"/>
      <c r="AA36" s="32"/>
      <c r="AB36" s="32"/>
      <c r="AC36" s="55"/>
      <c r="AD36" s="32"/>
      <c r="AE36" s="54"/>
      <c r="AF36" s="21" t="str">
        <f>IFERROR(VLOOKUP(November[[#This Row],[Drug Name3]],'Data Options'!$R$1:$S$100,2,FALSE), " ")</f>
        <v xml:space="preserve"> </v>
      </c>
      <c r="AG36" s="55"/>
      <c r="AH36" s="32"/>
      <c r="AI36" s="32"/>
      <c r="AJ36" s="55"/>
      <c r="AK36" s="32"/>
      <c r="AL36" s="32"/>
      <c r="AM36" s="32"/>
      <c r="AN36" s="32"/>
      <c r="AO36" s="32"/>
      <c r="AP36" s="31"/>
      <c r="AQ36" s="31"/>
      <c r="AR36" s="54"/>
      <c r="AS36" s="21" t="str">
        <f>IFERROR(VLOOKUP(November[[#This Row],[Drug Name4]],'Data Options'!$R$1:$S$100,2,FALSE), " ")</f>
        <v xml:space="preserve"> </v>
      </c>
      <c r="AT36" s="55"/>
      <c r="AU36" s="32"/>
      <c r="AV36" s="32"/>
      <c r="AW36" s="55"/>
      <c r="AX36" s="32"/>
      <c r="AY36" s="54"/>
      <c r="AZ36" s="21" t="str">
        <f>IFERROR(VLOOKUP(November[[#This Row],[Drug Name5]],'Data Options'!$R$1:$S$100,2,FALSE), " ")</f>
        <v xml:space="preserve"> </v>
      </c>
      <c r="BA36" s="55"/>
      <c r="BB36" s="32"/>
      <c r="BC36" s="32"/>
      <c r="BD36" s="55"/>
      <c r="BE36" s="32"/>
      <c r="BF36" s="54"/>
      <c r="BG36" s="21" t="str">
        <f>IFERROR(VLOOKUP(November[[#This Row],[Drug Name6]],'Data Options'!$R$1:$S$100,2,FALSE), " ")</f>
        <v xml:space="preserve"> </v>
      </c>
      <c r="BH36" s="55"/>
      <c r="BI36" s="32"/>
      <c r="BJ36" s="32"/>
      <c r="BK36" s="55"/>
      <c r="BL36" s="32"/>
      <c r="BM36" s="32"/>
      <c r="BN36" s="32"/>
      <c r="BO36" s="32"/>
      <c r="BP36" s="32"/>
      <c r="BQ36" s="31"/>
      <c r="BR36" s="31"/>
      <c r="BS36" s="54"/>
      <c r="BT36" s="21" t="str">
        <f>IFERROR(VLOOKUP(November[[#This Row],[Drug Name7]],'Data Options'!$R$1:$S$100,2,FALSE), " ")</f>
        <v xml:space="preserve"> </v>
      </c>
      <c r="BU36" s="55"/>
      <c r="BV36" s="32"/>
      <c r="BW36" s="32"/>
      <c r="BX36" s="55"/>
      <c r="BY36" s="32"/>
      <c r="BZ36" s="54"/>
      <c r="CA36" s="21" t="str">
        <f>IFERROR(VLOOKUP(November[[#This Row],[Drug Name8]],'Data Options'!$R$1:$S$100,2,FALSE), " ")</f>
        <v xml:space="preserve"> </v>
      </c>
      <c r="CB36" s="55"/>
      <c r="CC36" s="32"/>
      <c r="CD36" s="32"/>
      <c r="CE36" s="55"/>
      <c r="CF36" s="32"/>
      <c r="CG36" s="54"/>
      <c r="CH36" s="21" t="str">
        <f>IFERROR(VLOOKUP(November[[#This Row],[Drug Name9]],'Data Options'!$R$1:$S$100,2,FALSE), " ")</f>
        <v xml:space="preserve"> </v>
      </c>
      <c r="CI36" s="55"/>
      <c r="CJ36" s="32"/>
      <c r="CK36" s="32"/>
      <c r="CL36" s="55"/>
      <c r="CM36" s="32"/>
    </row>
    <row r="37" spans="1:9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54"/>
      <c r="R37" s="21" t="str">
        <f>IFERROR(VLOOKUP(November[[#This Row],[Drug Name]],'Data Options'!$R$1:$S$100,2,FALSE), " ")</f>
        <v xml:space="preserve"> </v>
      </c>
      <c r="S37" s="55"/>
      <c r="T37" s="32"/>
      <c r="U37" s="32"/>
      <c r="V37" s="55"/>
      <c r="W37" s="32"/>
      <c r="X37" s="54"/>
      <c r="Y37" s="21" t="str">
        <f>IFERROR(VLOOKUP(November[[#This Row],[Drug Name2]],'Data Options'!$R$1:$S$100,2,FALSE), " ")</f>
        <v xml:space="preserve"> </v>
      </c>
      <c r="Z37" s="55"/>
      <c r="AA37" s="32"/>
      <c r="AB37" s="32"/>
      <c r="AC37" s="55"/>
      <c r="AD37" s="32"/>
      <c r="AE37" s="54"/>
      <c r="AF37" s="21" t="str">
        <f>IFERROR(VLOOKUP(November[[#This Row],[Drug Name3]],'Data Options'!$R$1:$S$100,2,FALSE), " ")</f>
        <v xml:space="preserve"> </v>
      </c>
      <c r="AG37" s="55"/>
      <c r="AH37" s="32"/>
      <c r="AI37" s="32"/>
      <c r="AJ37" s="55"/>
      <c r="AK37" s="32"/>
      <c r="AL37" s="32"/>
      <c r="AM37" s="32"/>
      <c r="AN37" s="32"/>
      <c r="AO37" s="32"/>
      <c r="AP37" s="31"/>
      <c r="AQ37" s="31"/>
      <c r="AR37" s="54"/>
      <c r="AS37" s="21" t="str">
        <f>IFERROR(VLOOKUP(November[[#This Row],[Drug Name4]],'Data Options'!$R$1:$S$100,2,FALSE), " ")</f>
        <v xml:space="preserve"> </v>
      </c>
      <c r="AT37" s="55"/>
      <c r="AU37" s="32"/>
      <c r="AV37" s="32"/>
      <c r="AW37" s="55"/>
      <c r="AX37" s="32"/>
      <c r="AY37" s="54"/>
      <c r="AZ37" s="21" t="str">
        <f>IFERROR(VLOOKUP(November[[#This Row],[Drug Name5]],'Data Options'!$R$1:$S$100,2,FALSE), " ")</f>
        <v xml:space="preserve"> </v>
      </c>
      <c r="BA37" s="55"/>
      <c r="BB37" s="32"/>
      <c r="BC37" s="32"/>
      <c r="BD37" s="55"/>
      <c r="BE37" s="32"/>
      <c r="BF37" s="54"/>
      <c r="BG37" s="21" t="str">
        <f>IFERROR(VLOOKUP(November[[#This Row],[Drug Name6]],'Data Options'!$R$1:$S$100,2,FALSE), " ")</f>
        <v xml:space="preserve"> </v>
      </c>
      <c r="BH37" s="55"/>
      <c r="BI37" s="32"/>
      <c r="BJ37" s="32"/>
      <c r="BK37" s="55"/>
      <c r="BL37" s="32"/>
      <c r="BM37" s="32"/>
      <c r="BN37" s="32"/>
      <c r="BO37" s="32"/>
      <c r="BP37" s="32"/>
      <c r="BQ37" s="31"/>
      <c r="BR37" s="31"/>
      <c r="BS37" s="54"/>
      <c r="BT37" s="21" t="str">
        <f>IFERROR(VLOOKUP(November[[#This Row],[Drug Name7]],'Data Options'!$R$1:$S$100,2,FALSE), " ")</f>
        <v xml:space="preserve"> </v>
      </c>
      <c r="BU37" s="55"/>
      <c r="BV37" s="32"/>
      <c r="BW37" s="32"/>
      <c r="BX37" s="55"/>
      <c r="BY37" s="32"/>
      <c r="BZ37" s="54"/>
      <c r="CA37" s="21" t="str">
        <f>IFERROR(VLOOKUP(November[[#This Row],[Drug Name8]],'Data Options'!$R$1:$S$100,2,FALSE), " ")</f>
        <v xml:space="preserve"> </v>
      </c>
      <c r="CB37" s="55"/>
      <c r="CC37" s="32"/>
      <c r="CD37" s="32"/>
      <c r="CE37" s="55"/>
      <c r="CF37" s="32"/>
      <c r="CG37" s="54"/>
      <c r="CH37" s="21" t="str">
        <f>IFERROR(VLOOKUP(November[[#This Row],[Drug Name9]],'Data Options'!$R$1:$S$100,2,FALSE), " ")</f>
        <v xml:space="preserve"> </v>
      </c>
      <c r="CI37" s="55"/>
      <c r="CJ37" s="32"/>
      <c r="CK37" s="32"/>
      <c r="CL37" s="55"/>
      <c r="CM37" s="32"/>
    </row>
    <row r="38" spans="1:9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54"/>
      <c r="R38" s="21" t="str">
        <f>IFERROR(VLOOKUP(November[[#This Row],[Drug Name]],'Data Options'!$R$1:$S$100,2,FALSE), " ")</f>
        <v xml:space="preserve"> </v>
      </c>
      <c r="S38" s="55"/>
      <c r="T38" s="32"/>
      <c r="U38" s="32"/>
      <c r="V38" s="55"/>
      <c r="W38" s="32"/>
      <c r="X38" s="54"/>
      <c r="Y38" s="21" t="str">
        <f>IFERROR(VLOOKUP(November[[#This Row],[Drug Name2]],'Data Options'!$R$1:$S$100,2,FALSE), " ")</f>
        <v xml:space="preserve"> </v>
      </c>
      <c r="Z38" s="55"/>
      <c r="AA38" s="32"/>
      <c r="AB38" s="32"/>
      <c r="AC38" s="55"/>
      <c r="AD38" s="32"/>
      <c r="AE38" s="54"/>
      <c r="AF38" s="21" t="str">
        <f>IFERROR(VLOOKUP(November[[#This Row],[Drug Name3]],'Data Options'!$R$1:$S$100,2,FALSE), " ")</f>
        <v xml:space="preserve"> </v>
      </c>
      <c r="AG38" s="55"/>
      <c r="AH38" s="32"/>
      <c r="AI38" s="32"/>
      <c r="AJ38" s="55"/>
      <c r="AK38" s="32"/>
      <c r="AL38" s="32"/>
      <c r="AM38" s="32"/>
      <c r="AN38" s="32"/>
      <c r="AO38" s="32"/>
      <c r="AP38" s="31"/>
      <c r="AQ38" s="31"/>
      <c r="AR38" s="54"/>
      <c r="AS38" s="21" t="str">
        <f>IFERROR(VLOOKUP(November[[#This Row],[Drug Name4]],'Data Options'!$R$1:$S$100,2,FALSE), " ")</f>
        <v xml:space="preserve"> </v>
      </c>
      <c r="AT38" s="55"/>
      <c r="AU38" s="32"/>
      <c r="AV38" s="32"/>
      <c r="AW38" s="55"/>
      <c r="AX38" s="32"/>
      <c r="AY38" s="54"/>
      <c r="AZ38" s="21" t="str">
        <f>IFERROR(VLOOKUP(November[[#This Row],[Drug Name5]],'Data Options'!$R$1:$S$100,2,FALSE), " ")</f>
        <v xml:space="preserve"> </v>
      </c>
      <c r="BA38" s="55"/>
      <c r="BB38" s="32"/>
      <c r="BC38" s="32"/>
      <c r="BD38" s="55"/>
      <c r="BE38" s="32"/>
      <c r="BF38" s="54"/>
      <c r="BG38" s="21" t="str">
        <f>IFERROR(VLOOKUP(November[[#This Row],[Drug Name6]],'Data Options'!$R$1:$S$100,2,FALSE), " ")</f>
        <v xml:space="preserve"> </v>
      </c>
      <c r="BH38" s="55"/>
      <c r="BI38" s="32"/>
      <c r="BJ38" s="32"/>
      <c r="BK38" s="55"/>
      <c r="BL38" s="32"/>
      <c r="BM38" s="32"/>
      <c r="BN38" s="32"/>
      <c r="BO38" s="32"/>
      <c r="BP38" s="32"/>
      <c r="BQ38" s="31"/>
      <c r="BR38" s="31"/>
      <c r="BS38" s="54"/>
      <c r="BT38" s="21" t="str">
        <f>IFERROR(VLOOKUP(November[[#This Row],[Drug Name7]],'Data Options'!$R$1:$S$100,2,FALSE), " ")</f>
        <v xml:space="preserve"> </v>
      </c>
      <c r="BU38" s="55"/>
      <c r="BV38" s="32"/>
      <c r="BW38" s="32"/>
      <c r="BX38" s="55"/>
      <c r="BY38" s="32"/>
      <c r="BZ38" s="54"/>
      <c r="CA38" s="21" t="str">
        <f>IFERROR(VLOOKUP(November[[#This Row],[Drug Name8]],'Data Options'!$R$1:$S$100,2,FALSE), " ")</f>
        <v xml:space="preserve"> </v>
      </c>
      <c r="CB38" s="55"/>
      <c r="CC38" s="32"/>
      <c r="CD38" s="32"/>
      <c r="CE38" s="55"/>
      <c r="CF38" s="32"/>
      <c r="CG38" s="54"/>
      <c r="CH38" s="21" t="str">
        <f>IFERROR(VLOOKUP(November[[#This Row],[Drug Name9]],'Data Options'!$R$1:$S$100,2,FALSE), " ")</f>
        <v xml:space="preserve"> </v>
      </c>
      <c r="CI38" s="55"/>
      <c r="CJ38" s="32"/>
      <c r="CK38" s="32"/>
      <c r="CL38" s="55"/>
      <c r="CM38" s="32"/>
    </row>
    <row r="39" spans="1:9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54"/>
      <c r="R39" s="21" t="str">
        <f>IFERROR(VLOOKUP(November[[#This Row],[Drug Name]],'Data Options'!$R$1:$S$100,2,FALSE), " ")</f>
        <v xml:space="preserve"> </v>
      </c>
      <c r="S39" s="55"/>
      <c r="T39" s="32"/>
      <c r="U39" s="32"/>
      <c r="V39" s="55"/>
      <c r="W39" s="32"/>
      <c r="X39" s="54"/>
      <c r="Y39" s="21" t="str">
        <f>IFERROR(VLOOKUP(November[[#This Row],[Drug Name2]],'Data Options'!$R$1:$S$100,2,FALSE), " ")</f>
        <v xml:space="preserve"> </v>
      </c>
      <c r="Z39" s="55"/>
      <c r="AA39" s="32"/>
      <c r="AB39" s="32"/>
      <c r="AC39" s="55"/>
      <c r="AD39" s="32"/>
      <c r="AE39" s="54"/>
      <c r="AF39" s="21" t="str">
        <f>IFERROR(VLOOKUP(November[[#This Row],[Drug Name3]],'Data Options'!$R$1:$S$100,2,FALSE), " ")</f>
        <v xml:space="preserve"> </v>
      </c>
      <c r="AG39" s="55"/>
      <c r="AH39" s="32"/>
      <c r="AI39" s="32"/>
      <c r="AJ39" s="55"/>
      <c r="AK39" s="32"/>
      <c r="AL39" s="32"/>
      <c r="AM39" s="32"/>
      <c r="AN39" s="32"/>
      <c r="AO39" s="32"/>
      <c r="AP39" s="31"/>
      <c r="AQ39" s="31"/>
      <c r="AR39" s="54"/>
      <c r="AS39" s="21" t="str">
        <f>IFERROR(VLOOKUP(November[[#This Row],[Drug Name4]],'Data Options'!$R$1:$S$100,2,FALSE), " ")</f>
        <v xml:space="preserve"> </v>
      </c>
      <c r="AT39" s="55"/>
      <c r="AU39" s="32"/>
      <c r="AV39" s="32"/>
      <c r="AW39" s="55"/>
      <c r="AX39" s="32"/>
      <c r="AY39" s="54"/>
      <c r="AZ39" s="21" t="str">
        <f>IFERROR(VLOOKUP(November[[#This Row],[Drug Name5]],'Data Options'!$R$1:$S$100,2,FALSE), " ")</f>
        <v xml:space="preserve"> </v>
      </c>
      <c r="BA39" s="55"/>
      <c r="BB39" s="32"/>
      <c r="BC39" s="32"/>
      <c r="BD39" s="55"/>
      <c r="BE39" s="32"/>
      <c r="BF39" s="54"/>
      <c r="BG39" s="21" t="str">
        <f>IFERROR(VLOOKUP(November[[#This Row],[Drug Name6]],'Data Options'!$R$1:$S$100,2,FALSE), " ")</f>
        <v xml:space="preserve"> </v>
      </c>
      <c r="BH39" s="55"/>
      <c r="BI39" s="32"/>
      <c r="BJ39" s="32"/>
      <c r="BK39" s="55"/>
      <c r="BL39" s="32"/>
      <c r="BM39" s="32"/>
      <c r="BN39" s="32"/>
      <c r="BO39" s="32"/>
      <c r="BP39" s="32"/>
      <c r="BQ39" s="31"/>
      <c r="BR39" s="31"/>
      <c r="BS39" s="54"/>
      <c r="BT39" s="21" t="str">
        <f>IFERROR(VLOOKUP(November[[#This Row],[Drug Name7]],'Data Options'!$R$1:$S$100,2,FALSE), " ")</f>
        <v xml:space="preserve"> </v>
      </c>
      <c r="BU39" s="55"/>
      <c r="BV39" s="32"/>
      <c r="BW39" s="32"/>
      <c r="BX39" s="55"/>
      <c r="BY39" s="32"/>
      <c r="BZ39" s="54"/>
      <c r="CA39" s="21" t="str">
        <f>IFERROR(VLOOKUP(November[[#This Row],[Drug Name8]],'Data Options'!$R$1:$S$100,2,FALSE), " ")</f>
        <v xml:space="preserve"> </v>
      </c>
      <c r="CB39" s="55"/>
      <c r="CC39" s="32"/>
      <c r="CD39" s="32"/>
      <c r="CE39" s="55"/>
      <c r="CF39" s="32"/>
      <c r="CG39" s="54"/>
      <c r="CH39" s="21" t="str">
        <f>IFERROR(VLOOKUP(November[[#This Row],[Drug Name9]],'Data Options'!$R$1:$S$100,2,FALSE), " ")</f>
        <v xml:space="preserve"> </v>
      </c>
      <c r="CI39" s="55"/>
      <c r="CJ39" s="32"/>
      <c r="CK39" s="32"/>
      <c r="CL39" s="55"/>
      <c r="CM39" s="32"/>
    </row>
    <row r="40" spans="1:91">
      <c r="A40" s="5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54"/>
      <c r="R40" s="21" t="str">
        <f>IFERROR(VLOOKUP(November[[#This Row],[Drug Name]],'Data Options'!$R$1:$S$100,2,FALSE), " ")</f>
        <v xml:space="preserve"> </v>
      </c>
      <c r="S40" s="55"/>
      <c r="T40" s="32"/>
      <c r="U40" s="32"/>
      <c r="V40" s="55"/>
      <c r="W40" s="32"/>
      <c r="X40" s="54"/>
      <c r="Y40" s="21" t="str">
        <f>IFERROR(VLOOKUP(November[[#This Row],[Drug Name2]],'Data Options'!$R$1:$S$100,2,FALSE), " ")</f>
        <v xml:space="preserve"> </v>
      </c>
      <c r="Z40" s="55"/>
      <c r="AA40" s="32"/>
      <c r="AB40" s="32"/>
      <c r="AC40" s="55"/>
      <c r="AD40" s="32"/>
      <c r="AE40" s="54"/>
      <c r="AF40" s="21" t="str">
        <f>IFERROR(VLOOKUP(November[[#This Row],[Drug Name3]],'Data Options'!$R$1:$S$100,2,FALSE), " ")</f>
        <v xml:space="preserve"> </v>
      </c>
      <c r="AG40" s="55"/>
      <c r="AH40" s="32"/>
      <c r="AI40" s="32"/>
      <c r="AJ40" s="55"/>
      <c r="AK40" s="32"/>
      <c r="AL40" s="32"/>
      <c r="AM40" s="32"/>
      <c r="AN40" s="32"/>
      <c r="AO40" s="32"/>
      <c r="AP40" s="31"/>
      <c r="AQ40" s="31"/>
      <c r="AR40" s="54"/>
      <c r="AS40" s="21" t="str">
        <f>IFERROR(VLOOKUP(November[[#This Row],[Drug Name4]],'Data Options'!$R$1:$S$100,2,FALSE), " ")</f>
        <v xml:space="preserve"> </v>
      </c>
      <c r="AT40" s="55"/>
      <c r="AU40" s="32"/>
      <c r="AV40" s="32"/>
      <c r="AW40" s="55"/>
      <c r="AX40" s="32"/>
      <c r="AY40" s="54"/>
      <c r="AZ40" s="21" t="str">
        <f>IFERROR(VLOOKUP(November[[#This Row],[Drug Name5]],'Data Options'!$R$1:$S$100,2,FALSE), " ")</f>
        <v xml:space="preserve"> </v>
      </c>
      <c r="BA40" s="55"/>
      <c r="BB40" s="32"/>
      <c r="BC40" s="32"/>
      <c r="BD40" s="55"/>
      <c r="BE40" s="32"/>
      <c r="BF40" s="54"/>
      <c r="BG40" s="21" t="str">
        <f>IFERROR(VLOOKUP(November[[#This Row],[Drug Name6]],'Data Options'!$R$1:$S$100,2,FALSE), " ")</f>
        <v xml:space="preserve"> </v>
      </c>
      <c r="BH40" s="55"/>
      <c r="BI40" s="32"/>
      <c r="BJ40" s="32"/>
      <c r="BK40" s="55"/>
      <c r="BL40" s="32"/>
      <c r="BM40" s="32"/>
      <c r="BN40" s="32"/>
      <c r="BO40" s="32"/>
      <c r="BP40" s="32"/>
      <c r="BQ40" s="31"/>
      <c r="BR40" s="31"/>
      <c r="BS40" s="54"/>
      <c r="BT40" s="21" t="str">
        <f>IFERROR(VLOOKUP(November[[#This Row],[Drug Name7]],'Data Options'!$R$1:$S$100,2,FALSE), " ")</f>
        <v xml:space="preserve"> </v>
      </c>
      <c r="BU40" s="55"/>
      <c r="BV40" s="32"/>
      <c r="BW40" s="32"/>
      <c r="BX40" s="55"/>
      <c r="BY40" s="32"/>
      <c r="BZ40" s="54"/>
      <c r="CA40" s="21" t="str">
        <f>IFERROR(VLOOKUP(November[[#This Row],[Drug Name8]],'Data Options'!$R$1:$S$100,2,FALSE), " ")</f>
        <v xml:space="preserve"> </v>
      </c>
      <c r="CB40" s="55"/>
      <c r="CC40" s="32"/>
      <c r="CD40" s="32"/>
      <c r="CE40" s="55"/>
      <c r="CF40" s="32"/>
      <c r="CG40" s="54"/>
      <c r="CH40" s="21" t="str">
        <f>IFERROR(VLOOKUP(November[[#This Row],[Drug Name9]],'Data Options'!$R$1:$S$100,2,FALSE), " ")</f>
        <v xml:space="preserve"> </v>
      </c>
      <c r="CI40" s="55"/>
      <c r="CJ40" s="32"/>
      <c r="CK40" s="32"/>
      <c r="CL40" s="55"/>
      <c r="CM40" s="32"/>
    </row>
    <row r="41" spans="1:91">
      <c r="A41" s="5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54"/>
      <c r="R41" s="21" t="str">
        <f>IFERROR(VLOOKUP(November[[#This Row],[Drug Name]],'Data Options'!$R$1:$S$100,2,FALSE), " ")</f>
        <v xml:space="preserve"> </v>
      </c>
      <c r="S41" s="55"/>
      <c r="T41" s="32"/>
      <c r="U41" s="32"/>
      <c r="V41" s="55"/>
      <c r="W41" s="32"/>
      <c r="X41" s="54"/>
      <c r="Y41" s="21" t="str">
        <f>IFERROR(VLOOKUP(November[[#This Row],[Drug Name2]],'Data Options'!$R$1:$S$100,2,FALSE), " ")</f>
        <v xml:space="preserve"> </v>
      </c>
      <c r="Z41" s="55"/>
      <c r="AA41" s="32"/>
      <c r="AB41" s="32"/>
      <c r="AC41" s="55"/>
      <c r="AD41" s="32"/>
      <c r="AE41" s="54"/>
      <c r="AF41" s="21" t="str">
        <f>IFERROR(VLOOKUP(November[[#This Row],[Drug Name3]],'Data Options'!$R$1:$S$100,2,FALSE), " ")</f>
        <v xml:space="preserve"> </v>
      </c>
      <c r="AG41" s="55"/>
      <c r="AH41" s="32"/>
      <c r="AI41" s="32"/>
      <c r="AJ41" s="55"/>
      <c r="AK41" s="32"/>
      <c r="AL41" s="32"/>
      <c r="AM41" s="32"/>
      <c r="AN41" s="32"/>
      <c r="AO41" s="32"/>
      <c r="AP41" s="31"/>
      <c r="AQ41" s="31"/>
      <c r="AR41" s="54"/>
      <c r="AS41" s="21" t="str">
        <f>IFERROR(VLOOKUP(November[[#This Row],[Drug Name4]],'Data Options'!$R$1:$S$100,2,FALSE), " ")</f>
        <v xml:space="preserve"> </v>
      </c>
      <c r="AT41" s="55"/>
      <c r="AU41" s="32"/>
      <c r="AV41" s="32"/>
      <c r="AW41" s="55"/>
      <c r="AX41" s="32"/>
      <c r="AY41" s="54"/>
      <c r="AZ41" s="21" t="str">
        <f>IFERROR(VLOOKUP(November[[#This Row],[Drug Name5]],'Data Options'!$R$1:$S$100,2,FALSE), " ")</f>
        <v xml:space="preserve"> </v>
      </c>
      <c r="BA41" s="55"/>
      <c r="BB41" s="32"/>
      <c r="BC41" s="32"/>
      <c r="BD41" s="55"/>
      <c r="BE41" s="32"/>
      <c r="BF41" s="54"/>
      <c r="BG41" s="21" t="str">
        <f>IFERROR(VLOOKUP(November[[#This Row],[Drug Name6]],'Data Options'!$R$1:$S$100,2,FALSE), " ")</f>
        <v xml:space="preserve"> </v>
      </c>
      <c r="BH41" s="55"/>
      <c r="BI41" s="32"/>
      <c r="BJ41" s="32"/>
      <c r="BK41" s="55"/>
      <c r="BL41" s="32"/>
      <c r="BM41" s="32"/>
      <c r="BN41" s="32"/>
      <c r="BO41" s="32"/>
      <c r="BP41" s="32"/>
      <c r="BQ41" s="31"/>
      <c r="BR41" s="31"/>
      <c r="BS41" s="54"/>
      <c r="BT41" s="21" t="str">
        <f>IFERROR(VLOOKUP(November[[#This Row],[Drug Name7]],'Data Options'!$R$1:$S$100,2,FALSE), " ")</f>
        <v xml:space="preserve"> </v>
      </c>
      <c r="BU41" s="55"/>
      <c r="BV41" s="32"/>
      <c r="BW41" s="32"/>
      <c r="BX41" s="55"/>
      <c r="BY41" s="32"/>
      <c r="BZ41" s="54"/>
      <c r="CA41" s="21" t="str">
        <f>IFERROR(VLOOKUP(November[[#This Row],[Drug Name8]],'Data Options'!$R$1:$S$100,2,FALSE), " ")</f>
        <v xml:space="preserve"> </v>
      </c>
      <c r="CB41" s="55"/>
      <c r="CC41" s="32"/>
      <c r="CD41" s="32"/>
      <c r="CE41" s="55"/>
      <c r="CF41" s="32"/>
      <c r="CG41" s="54"/>
      <c r="CH41" s="21" t="str">
        <f>IFERROR(VLOOKUP(November[[#This Row],[Drug Name9]],'Data Options'!$R$1:$S$100,2,FALSE), " ")</f>
        <v xml:space="preserve"> </v>
      </c>
      <c r="CI41" s="55"/>
      <c r="CJ41" s="32"/>
      <c r="CK41" s="32"/>
      <c r="CL41" s="55"/>
      <c r="CM41" s="32"/>
    </row>
    <row r="42" spans="1:91">
      <c r="A42" s="5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54"/>
      <c r="R42" s="21" t="str">
        <f>IFERROR(VLOOKUP(November[[#This Row],[Drug Name]],'Data Options'!$R$1:$S$100,2,FALSE), " ")</f>
        <v xml:space="preserve"> </v>
      </c>
      <c r="S42" s="55"/>
      <c r="T42" s="32"/>
      <c r="U42" s="32"/>
      <c r="V42" s="55"/>
      <c r="W42" s="32"/>
      <c r="X42" s="54"/>
      <c r="Y42" s="21" t="str">
        <f>IFERROR(VLOOKUP(November[[#This Row],[Drug Name2]],'Data Options'!$R$1:$S$100,2,FALSE), " ")</f>
        <v xml:space="preserve"> </v>
      </c>
      <c r="Z42" s="55"/>
      <c r="AA42" s="32"/>
      <c r="AB42" s="32"/>
      <c r="AC42" s="55"/>
      <c r="AD42" s="32"/>
      <c r="AE42" s="54"/>
      <c r="AF42" s="21" t="str">
        <f>IFERROR(VLOOKUP(November[[#This Row],[Drug Name3]],'Data Options'!$R$1:$S$100,2,FALSE), " ")</f>
        <v xml:space="preserve"> </v>
      </c>
      <c r="AG42" s="55"/>
      <c r="AH42" s="32"/>
      <c r="AI42" s="32"/>
      <c r="AJ42" s="55"/>
      <c r="AK42" s="32"/>
      <c r="AL42" s="32"/>
      <c r="AM42" s="32"/>
      <c r="AN42" s="32"/>
      <c r="AO42" s="32"/>
      <c r="AP42" s="31"/>
      <c r="AQ42" s="31"/>
      <c r="AR42" s="54"/>
      <c r="AS42" s="21" t="str">
        <f>IFERROR(VLOOKUP(November[[#This Row],[Drug Name4]],'Data Options'!$R$1:$S$100,2,FALSE), " ")</f>
        <v xml:space="preserve"> </v>
      </c>
      <c r="AT42" s="55"/>
      <c r="AU42" s="32"/>
      <c r="AV42" s="32"/>
      <c r="AW42" s="55"/>
      <c r="AX42" s="32"/>
      <c r="AY42" s="54"/>
      <c r="AZ42" s="21" t="str">
        <f>IFERROR(VLOOKUP(November[[#This Row],[Drug Name5]],'Data Options'!$R$1:$S$100,2,FALSE), " ")</f>
        <v xml:space="preserve"> </v>
      </c>
      <c r="BA42" s="55"/>
      <c r="BB42" s="32"/>
      <c r="BC42" s="32"/>
      <c r="BD42" s="55"/>
      <c r="BE42" s="32"/>
      <c r="BF42" s="54"/>
      <c r="BG42" s="21" t="str">
        <f>IFERROR(VLOOKUP(November[[#This Row],[Drug Name6]],'Data Options'!$R$1:$S$100,2,FALSE), " ")</f>
        <v xml:space="preserve"> </v>
      </c>
      <c r="BH42" s="55"/>
      <c r="BI42" s="32"/>
      <c r="BJ42" s="32"/>
      <c r="BK42" s="55"/>
      <c r="BL42" s="32"/>
      <c r="BM42" s="32"/>
      <c r="BN42" s="32"/>
      <c r="BO42" s="32"/>
      <c r="BP42" s="32"/>
      <c r="BQ42" s="31"/>
      <c r="BR42" s="31"/>
      <c r="BS42" s="54"/>
      <c r="BT42" s="21" t="str">
        <f>IFERROR(VLOOKUP(November[[#This Row],[Drug Name7]],'Data Options'!$R$1:$S$100,2,FALSE), " ")</f>
        <v xml:space="preserve"> </v>
      </c>
      <c r="BU42" s="55"/>
      <c r="BV42" s="32"/>
      <c r="BW42" s="32"/>
      <c r="BX42" s="55"/>
      <c r="BY42" s="32"/>
      <c r="BZ42" s="54"/>
      <c r="CA42" s="21" t="str">
        <f>IFERROR(VLOOKUP(November[[#This Row],[Drug Name8]],'Data Options'!$R$1:$S$100,2,FALSE), " ")</f>
        <v xml:space="preserve"> </v>
      </c>
      <c r="CB42" s="55"/>
      <c r="CC42" s="32"/>
      <c r="CD42" s="32"/>
      <c r="CE42" s="55"/>
      <c r="CF42" s="32"/>
      <c r="CG42" s="54"/>
      <c r="CH42" s="21" t="str">
        <f>IFERROR(VLOOKUP(November[[#This Row],[Drug Name9]],'Data Options'!$R$1:$S$100,2,FALSE), " ")</f>
        <v xml:space="preserve"> </v>
      </c>
      <c r="CI42" s="55"/>
      <c r="CJ42" s="32"/>
      <c r="CK42" s="32"/>
      <c r="CL42" s="55"/>
      <c r="CM42" s="32"/>
    </row>
    <row r="43" spans="1:91">
      <c r="A43" s="5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54"/>
      <c r="R43" s="21" t="str">
        <f>IFERROR(VLOOKUP(November[[#This Row],[Drug Name]],'Data Options'!$R$1:$S$100,2,FALSE), " ")</f>
        <v xml:space="preserve"> </v>
      </c>
      <c r="S43" s="55"/>
      <c r="T43" s="32"/>
      <c r="U43" s="32"/>
      <c r="V43" s="55"/>
      <c r="W43" s="32"/>
      <c r="X43" s="54"/>
      <c r="Y43" s="21" t="str">
        <f>IFERROR(VLOOKUP(November[[#This Row],[Drug Name2]],'Data Options'!$R$1:$S$100,2,FALSE), " ")</f>
        <v xml:space="preserve"> </v>
      </c>
      <c r="Z43" s="55"/>
      <c r="AA43" s="32"/>
      <c r="AB43" s="32"/>
      <c r="AC43" s="55"/>
      <c r="AD43" s="32"/>
      <c r="AE43" s="54"/>
      <c r="AF43" s="21" t="str">
        <f>IFERROR(VLOOKUP(November[[#This Row],[Drug Name3]],'Data Options'!$R$1:$S$100,2,FALSE), " ")</f>
        <v xml:space="preserve"> </v>
      </c>
      <c r="AG43" s="55"/>
      <c r="AH43" s="32"/>
      <c r="AI43" s="32"/>
      <c r="AJ43" s="55"/>
      <c r="AK43" s="32"/>
      <c r="AL43" s="32"/>
      <c r="AM43" s="32"/>
      <c r="AN43" s="32"/>
      <c r="AO43" s="32"/>
      <c r="AP43" s="31"/>
      <c r="AQ43" s="31"/>
      <c r="AR43" s="54"/>
      <c r="AS43" s="21" t="str">
        <f>IFERROR(VLOOKUP(November[[#This Row],[Drug Name4]],'Data Options'!$R$1:$S$100,2,FALSE), " ")</f>
        <v xml:space="preserve"> </v>
      </c>
      <c r="AT43" s="55"/>
      <c r="AU43" s="32"/>
      <c r="AV43" s="32"/>
      <c r="AW43" s="55"/>
      <c r="AX43" s="32"/>
      <c r="AY43" s="54"/>
      <c r="AZ43" s="21" t="str">
        <f>IFERROR(VLOOKUP(November[[#This Row],[Drug Name5]],'Data Options'!$R$1:$S$100,2,FALSE), " ")</f>
        <v xml:space="preserve"> </v>
      </c>
      <c r="BA43" s="55"/>
      <c r="BB43" s="32"/>
      <c r="BC43" s="32"/>
      <c r="BD43" s="55"/>
      <c r="BE43" s="32"/>
      <c r="BF43" s="54"/>
      <c r="BG43" s="21" t="str">
        <f>IFERROR(VLOOKUP(November[[#This Row],[Drug Name6]],'Data Options'!$R$1:$S$100,2,FALSE), " ")</f>
        <v xml:space="preserve"> </v>
      </c>
      <c r="BH43" s="55"/>
      <c r="BI43" s="32"/>
      <c r="BJ43" s="32"/>
      <c r="BK43" s="55"/>
      <c r="BL43" s="32"/>
      <c r="BM43" s="32"/>
      <c r="BN43" s="32"/>
      <c r="BO43" s="32"/>
      <c r="BP43" s="32"/>
      <c r="BQ43" s="31"/>
      <c r="BR43" s="31"/>
      <c r="BS43" s="54"/>
      <c r="BT43" s="21" t="str">
        <f>IFERROR(VLOOKUP(November[[#This Row],[Drug Name7]],'Data Options'!$R$1:$S$100,2,FALSE), " ")</f>
        <v xml:space="preserve"> </v>
      </c>
      <c r="BU43" s="55"/>
      <c r="BV43" s="32"/>
      <c r="BW43" s="32"/>
      <c r="BX43" s="55"/>
      <c r="BY43" s="32"/>
      <c r="BZ43" s="54"/>
      <c r="CA43" s="21" t="str">
        <f>IFERROR(VLOOKUP(November[[#This Row],[Drug Name8]],'Data Options'!$R$1:$S$100,2,FALSE), " ")</f>
        <v xml:space="preserve"> </v>
      </c>
      <c r="CB43" s="55"/>
      <c r="CC43" s="32"/>
      <c r="CD43" s="32"/>
      <c r="CE43" s="55"/>
      <c r="CF43" s="32"/>
      <c r="CG43" s="54"/>
      <c r="CH43" s="21" t="str">
        <f>IFERROR(VLOOKUP(November[[#This Row],[Drug Name9]],'Data Options'!$R$1:$S$100,2,FALSE), " ")</f>
        <v xml:space="preserve"> </v>
      </c>
      <c r="CI43" s="55"/>
      <c r="CJ43" s="32"/>
      <c r="CK43" s="32"/>
      <c r="CL43" s="55"/>
      <c r="CM43" s="32"/>
    </row>
    <row r="44" spans="1:9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54"/>
      <c r="R44" s="21" t="str">
        <f>IFERROR(VLOOKUP(November[[#This Row],[Drug Name]],'Data Options'!$R$1:$S$100,2,FALSE), " ")</f>
        <v xml:space="preserve"> </v>
      </c>
      <c r="S44" s="55"/>
      <c r="T44" s="32"/>
      <c r="U44" s="32"/>
      <c r="V44" s="55"/>
      <c r="W44" s="32"/>
      <c r="X44" s="54"/>
      <c r="Y44" s="21" t="str">
        <f>IFERROR(VLOOKUP(November[[#This Row],[Drug Name2]],'Data Options'!$R$1:$S$100,2,FALSE), " ")</f>
        <v xml:space="preserve"> </v>
      </c>
      <c r="Z44" s="55"/>
      <c r="AA44" s="32"/>
      <c r="AB44" s="32"/>
      <c r="AC44" s="55"/>
      <c r="AD44" s="32"/>
      <c r="AE44" s="54"/>
      <c r="AF44" s="21" t="str">
        <f>IFERROR(VLOOKUP(November[[#This Row],[Drug Name3]],'Data Options'!$R$1:$S$100,2,FALSE), " ")</f>
        <v xml:space="preserve"> </v>
      </c>
      <c r="AG44" s="55"/>
      <c r="AH44" s="32"/>
      <c r="AI44" s="32"/>
      <c r="AJ44" s="55"/>
      <c r="AK44" s="32"/>
      <c r="AL44" s="32"/>
      <c r="AM44" s="32"/>
      <c r="AN44" s="32"/>
      <c r="AO44" s="32"/>
      <c r="AP44" s="31"/>
      <c r="AQ44" s="31"/>
      <c r="AR44" s="54"/>
      <c r="AS44" s="21" t="str">
        <f>IFERROR(VLOOKUP(November[[#This Row],[Drug Name4]],'Data Options'!$R$1:$S$100,2,FALSE), " ")</f>
        <v xml:space="preserve"> </v>
      </c>
      <c r="AT44" s="55"/>
      <c r="AU44" s="32"/>
      <c r="AV44" s="32"/>
      <c r="AW44" s="55"/>
      <c r="AX44" s="32"/>
      <c r="AY44" s="54"/>
      <c r="AZ44" s="21" t="str">
        <f>IFERROR(VLOOKUP(November[[#This Row],[Drug Name5]],'Data Options'!$R$1:$S$100,2,FALSE), " ")</f>
        <v xml:space="preserve"> </v>
      </c>
      <c r="BA44" s="55"/>
      <c r="BB44" s="32"/>
      <c r="BC44" s="32"/>
      <c r="BD44" s="55"/>
      <c r="BE44" s="32"/>
      <c r="BF44" s="54"/>
      <c r="BG44" s="21" t="str">
        <f>IFERROR(VLOOKUP(November[[#This Row],[Drug Name6]],'Data Options'!$R$1:$S$100,2,FALSE), " ")</f>
        <v xml:space="preserve"> </v>
      </c>
      <c r="BH44" s="55"/>
      <c r="BI44" s="32"/>
      <c r="BJ44" s="32"/>
      <c r="BK44" s="55"/>
      <c r="BL44" s="32"/>
      <c r="BM44" s="32"/>
      <c r="BN44" s="32"/>
      <c r="BO44" s="32"/>
      <c r="BP44" s="32"/>
      <c r="BQ44" s="31"/>
      <c r="BR44" s="31"/>
      <c r="BS44" s="54"/>
      <c r="BT44" s="21" t="str">
        <f>IFERROR(VLOOKUP(November[[#This Row],[Drug Name7]],'Data Options'!$R$1:$S$100,2,FALSE), " ")</f>
        <v xml:space="preserve"> </v>
      </c>
      <c r="BU44" s="55"/>
      <c r="BV44" s="32"/>
      <c r="BW44" s="32"/>
      <c r="BX44" s="55"/>
      <c r="BY44" s="32"/>
      <c r="BZ44" s="54"/>
      <c r="CA44" s="21" t="str">
        <f>IFERROR(VLOOKUP(November[[#This Row],[Drug Name8]],'Data Options'!$R$1:$S$100,2,FALSE), " ")</f>
        <v xml:space="preserve"> </v>
      </c>
      <c r="CB44" s="55"/>
      <c r="CC44" s="32"/>
      <c r="CD44" s="32"/>
      <c r="CE44" s="55"/>
      <c r="CF44" s="32"/>
      <c r="CG44" s="54"/>
      <c r="CH44" s="21" t="str">
        <f>IFERROR(VLOOKUP(November[[#This Row],[Drug Name9]],'Data Options'!$R$1:$S$100,2,FALSE), " ")</f>
        <v xml:space="preserve"> </v>
      </c>
      <c r="CI44" s="55"/>
      <c r="CJ44" s="32"/>
      <c r="CK44" s="32"/>
      <c r="CL44" s="55"/>
      <c r="CM44" s="32"/>
    </row>
    <row r="45" spans="1:91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54"/>
      <c r="R45" s="21" t="str">
        <f>IFERROR(VLOOKUP(November[[#This Row],[Drug Name]],'Data Options'!$R$1:$S$100,2,FALSE), " ")</f>
        <v xml:space="preserve"> </v>
      </c>
      <c r="S45" s="55"/>
      <c r="T45" s="32"/>
      <c r="U45" s="32"/>
      <c r="V45" s="55"/>
      <c r="W45" s="32"/>
      <c r="X45" s="54"/>
      <c r="Y45" s="21" t="str">
        <f>IFERROR(VLOOKUP(November[[#This Row],[Drug Name2]],'Data Options'!$R$1:$S$100,2,FALSE), " ")</f>
        <v xml:space="preserve"> </v>
      </c>
      <c r="Z45" s="55"/>
      <c r="AA45" s="32"/>
      <c r="AB45" s="32"/>
      <c r="AC45" s="55"/>
      <c r="AD45" s="32"/>
      <c r="AE45" s="54"/>
      <c r="AF45" s="21" t="str">
        <f>IFERROR(VLOOKUP(November[[#This Row],[Drug Name3]],'Data Options'!$R$1:$S$100,2,FALSE), " ")</f>
        <v xml:space="preserve"> </v>
      </c>
      <c r="AG45" s="55"/>
      <c r="AH45" s="32"/>
      <c r="AI45" s="32"/>
      <c r="AJ45" s="55"/>
      <c r="AK45" s="32"/>
      <c r="AL45" s="32"/>
      <c r="AM45" s="32"/>
      <c r="AN45" s="32"/>
      <c r="AO45" s="32"/>
      <c r="AP45" s="31"/>
      <c r="AQ45" s="31"/>
      <c r="AR45" s="54"/>
      <c r="AS45" s="21" t="str">
        <f>IFERROR(VLOOKUP(November[[#This Row],[Drug Name4]],'Data Options'!$R$1:$S$100,2,FALSE), " ")</f>
        <v xml:space="preserve"> </v>
      </c>
      <c r="AT45" s="55"/>
      <c r="AU45" s="32"/>
      <c r="AV45" s="32"/>
      <c r="AW45" s="55"/>
      <c r="AX45" s="32"/>
      <c r="AY45" s="54"/>
      <c r="AZ45" s="21" t="str">
        <f>IFERROR(VLOOKUP(November[[#This Row],[Drug Name5]],'Data Options'!$R$1:$S$100,2,FALSE), " ")</f>
        <v xml:space="preserve"> </v>
      </c>
      <c r="BA45" s="55"/>
      <c r="BB45" s="32"/>
      <c r="BC45" s="32"/>
      <c r="BD45" s="55"/>
      <c r="BE45" s="32"/>
      <c r="BF45" s="54"/>
      <c r="BG45" s="21" t="str">
        <f>IFERROR(VLOOKUP(November[[#This Row],[Drug Name6]],'Data Options'!$R$1:$S$100,2,FALSE), " ")</f>
        <v xml:space="preserve"> </v>
      </c>
      <c r="BH45" s="55"/>
      <c r="BI45" s="32"/>
      <c r="BJ45" s="32"/>
      <c r="BK45" s="55"/>
      <c r="BL45" s="32"/>
      <c r="BM45" s="32"/>
      <c r="BN45" s="32"/>
      <c r="BO45" s="32"/>
      <c r="BP45" s="32"/>
      <c r="BQ45" s="31"/>
      <c r="BR45" s="31"/>
      <c r="BS45" s="54"/>
      <c r="BT45" s="21" t="str">
        <f>IFERROR(VLOOKUP(November[[#This Row],[Drug Name7]],'Data Options'!$R$1:$S$100,2,FALSE), " ")</f>
        <v xml:space="preserve"> </v>
      </c>
      <c r="BU45" s="55"/>
      <c r="BV45" s="32"/>
      <c r="BW45" s="32"/>
      <c r="BX45" s="55"/>
      <c r="BY45" s="32"/>
      <c r="BZ45" s="54"/>
      <c r="CA45" s="21" t="str">
        <f>IFERROR(VLOOKUP(November[[#This Row],[Drug Name8]],'Data Options'!$R$1:$S$100,2,FALSE), " ")</f>
        <v xml:space="preserve"> </v>
      </c>
      <c r="CB45" s="55"/>
      <c r="CC45" s="32"/>
      <c r="CD45" s="32"/>
      <c r="CE45" s="55"/>
      <c r="CF45" s="32"/>
      <c r="CG45" s="54"/>
      <c r="CH45" s="21" t="str">
        <f>IFERROR(VLOOKUP(November[[#This Row],[Drug Name9]],'Data Options'!$R$1:$S$100,2,FALSE), " ")</f>
        <v xml:space="preserve"> </v>
      </c>
      <c r="CI45" s="55"/>
      <c r="CJ45" s="32"/>
      <c r="CK45" s="32"/>
      <c r="CL45" s="55"/>
      <c r="CM45" s="32"/>
    </row>
    <row r="46" spans="1:91">
      <c r="A46" s="5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54"/>
      <c r="R46" s="21" t="str">
        <f>IFERROR(VLOOKUP(November[[#This Row],[Drug Name]],'Data Options'!$R$1:$S$100,2,FALSE), " ")</f>
        <v xml:space="preserve"> </v>
      </c>
      <c r="S46" s="55"/>
      <c r="T46" s="32"/>
      <c r="U46" s="32"/>
      <c r="V46" s="55"/>
      <c r="W46" s="32"/>
      <c r="X46" s="54"/>
      <c r="Y46" s="21" t="str">
        <f>IFERROR(VLOOKUP(November[[#This Row],[Drug Name2]],'Data Options'!$R$1:$S$100,2,FALSE), " ")</f>
        <v xml:space="preserve"> </v>
      </c>
      <c r="Z46" s="55"/>
      <c r="AA46" s="32"/>
      <c r="AB46" s="32"/>
      <c r="AC46" s="55"/>
      <c r="AD46" s="32"/>
      <c r="AE46" s="54"/>
      <c r="AF46" s="21" t="str">
        <f>IFERROR(VLOOKUP(November[[#This Row],[Drug Name3]],'Data Options'!$R$1:$S$100,2,FALSE), " ")</f>
        <v xml:space="preserve"> </v>
      </c>
      <c r="AG46" s="55"/>
      <c r="AH46" s="32"/>
      <c r="AI46" s="32"/>
      <c r="AJ46" s="55"/>
      <c r="AK46" s="32"/>
      <c r="AL46" s="32"/>
      <c r="AM46" s="32"/>
      <c r="AN46" s="32"/>
      <c r="AO46" s="32"/>
      <c r="AP46" s="31"/>
      <c r="AQ46" s="31"/>
      <c r="AR46" s="54"/>
      <c r="AS46" s="21" t="str">
        <f>IFERROR(VLOOKUP(November[[#This Row],[Drug Name4]],'Data Options'!$R$1:$S$100,2,FALSE), " ")</f>
        <v xml:space="preserve"> </v>
      </c>
      <c r="AT46" s="55"/>
      <c r="AU46" s="32"/>
      <c r="AV46" s="32"/>
      <c r="AW46" s="55"/>
      <c r="AX46" s="32"/>
      <c r="AY46" s="54"/>
      <c r="AZ46" s="21" t="str">
        <f>IFERROR(VLOOKUP(November[[#This Row],[Drug Name5]],'Data Options'!$R$1:$S$100,2,FALSE), " ")</f>
        <v xml:space="preserve"> </v>
      </c>
      <c r="BA46" s="55"/>
      <c r="BB46" s="32"/>
      <c r="BC46" s="32"/>
      <c r="BD46" s="55"/>
      <c r="BE46" s="32"/>
      <c r="BF46" s="54"/>
      <c r="BG46" s="21" t="str">
        <f>IFERROR(VLOOKUP(November[[#This Row],[Drug Name6]],'Data Options'!$R$1:$S$100,2,FALSE), " ")</f>
        <v xml:space="preserve"> </v>
      </c>
      <c r="BH46" s="55"/>
      <c r="BI46" s="32"/>
      <c r="BJ46" s="32"/>
      <c r="BK46" s="55"/>
      <c r="BL46" s="32"/>
      <c r="BM46" s="32"/>
      <c r="BN46" s="32"/>
      <c r="BO46" s="32"/>
      <c r="BP46" s="32"/>
      <c r="BQ46" s="31"/>
      <c r="BR46" s="31"/>
      <c r="BS46" s="54"/>
      <c r="BT46" s="21" t="str">
        <f>IFERROR(VLOOKUP(November[[#This Row],[Drug Name7]],'Data Options'!$R$1:$S$100,2,FALSE), " ")</f>
        <v xml:space="preserve"> </v>
      </c>
      <c r="BU46" s="55"/>
      <c r="BV46" s="32"/>
      <c r="BW46" s="32"/>
      <c r="BX46" s="55"/>
      <c r="BY46" s="32"/>
      <c r="BZ46" s="54"/>
      <c r="CA46" s="21" t="str">
        <f>IFERROR(VLOOKUP(November[[#This Row],[Drug Name8]],'Data Options'!$R$1:$S$100,2,FALSE), " ")</f>
        <v xml:space="preserve"> </v>
      </c>
      <c r="CB46" s="55"/>
      <c r="CC46" s="32"/>
      <c r="CD46" s="32"/>
      <c r="CE46" s="55"/>
      <c r="CF46" s="32"/>
      <c r="CG46" s="54"/>
      <c r="CH46" s="21" t="str">
        <f>IFERROR(VLOOKUP(November[[#This Row],[Drug Name9]],'Data Options'!$R$1:$S$100,2,FALSE), " ")</f>
        <v xml:space="preserve"> </v>
      </c>
      <c r="CI46" s="55"/>
      <c r="CJ46" s="32"/>
      <c r="CK46" s="32"/>
      <c r="CL46" s="55"/>
      <c r="CM46" s="32"/>
    </row>
    <row r="47" spans="1:9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54"/>
      <c r="R47" s="21" t="str">
        <f>IFERROR(VLOOKUP(November[[#This Row],[Drug Name]],'Data Options'!$R$1:$S$100,2,FALSE), " ")</f>
        <v xml:space="preserve"> </v>
      </c>
      <c r="S47" s="55"/>
      <c r="T47" s="32"/>
      <c r="U47" s="32"/>
      <c r="V47" s="55"/>
      <c r="W47" s="32"/>
      <c r="X47" s="54"/>
      <c r="Y47" s="21" t="str">
        <f>IFERROR(VLOOKUP(November[[#This Row],[Drug Name2]],'Data Options'!$R$1:$S$100,2,FALSE), " ")</f>
        <v xml:space="preserve"> </v>
      </c>
      <c r="Z47" s="55"/>
      <c r="AA47" s="32"/>
      <c r="AB47" s="32"/>
      <c r="AC47" s="55"/>
      <c r="AD47" s="32"/>
      <c r="AE47" s="54"/>
      <c r="AF47" s="21" t="str">
        <f>IFERROR(VLOOKUP(November[[#This Row],[Drug Name3]],'Data Options'!$R$1:$S$100,2,FALSE), " ")</f>
        <v xml:space="preserve"> </v>
      </c>
      <c r="AG47" s="55"/>
      <c r="AH47" s="32"/>
      <c r="AI47" s="32"/>
      <c r="AJ47" s="55"/>
      <c r="AK47" s="32"/>
      <c r="AL47" s="32"/>
      <c r="AM47" s="32"/>
      <c r="AN47" s="32"/>
      <c r="AO47" s="32"/>
      <c r="AP47" s="31"/>
      <c r="AQ47" s="31"/>
      <c r="AR47" s="54"/>
      <c r="AS47" s="21" t="str">
        <f>IFERROR(VLOOKUP(November[[#This Row],[Drug Name4]],'Data Options'!$R$1:$S$100,2,FALSE), " ")</f>
        <v xml:space="preserve"> </v>
      </c>
      <c r="AT47" s="55"/>
      <c r="AU47" s="32"/>
      <c r="AV47" s="32"/>
      <c r="AW47" s="55"/>
      <c r="AX47" s="32"/>
      <c r="AY47" s="54"/>
      <c r="AZ47" s="21" t="str">
        <f>IFERROR(VLOOKUP(November[[#This Row],[Drug Name5]],'Data Options'!$R$1:$S$100,2,FALSE), " ")</f>
        <v xml:space="preserve"> </v>
      </c>
      <c r="BA47" s="55"/>
      <c r="BB47" s="32"/>
      <c r="BC47" s="32"/>
      <c r="BD47" s="55"/>
      <c r="BE47" s="32"/>
      <c r="BF47" s="54"/>
      <c r="BG47" s="21" t="str">
        <f>IFERROR(VLOOKUP(November[[#This Row],[Drug Name6]],'Data Options'!$R$1:$S$100,2,FALSE), " ")</f>
        <v xml:space="preserve"> </v>
      </c>
      <c r="BH47" s="55"/>
      <c r="BI47" s="32"/>
      <c r="BJ47" s="32"/>
      <c r="BK47" s="55"/>
      <c r="BL47" s="32"/>
      <c r="BM47" s="32"/>
      <c r="BN47" s="32"/>
      <c r="BO47" s="32"/>
      <c r="BP47" s="32"/>
      <c r="BQ47" s="31"/>
      <c r="BR47" s="31"/>
      <c r="BS47" s="54"/>
      <c r="BT47" s="21" t="str">
        <f>IFERROR(VLOOKUP(November[[#This Row],[Drug Name7]],'Data Options'!$R$1:$S$100,2,FALSE), " ")</f>
        <v xml:space="preserve"> </v>
      </c>
      <c r="BU47" s="55"/>
      <c r="BV47" s="32"/>
      <c r="BW47" s="32"/>
      <c r="BX47" s="55"/>
      <c r="BY47" s="32"/>
      <c r="BZ47" s="54"/>
      <c r="CA47" s="21" t="str">
        <f>IFERROR(VLOOKUP(November[[#This Row],[Drug Name8]],'Data Options'!$R$1:$S$100,2,FALSE), " ")</f>
        <v xml:space="preserve"> </v>
      </c>
      <c r="CB47" s="55"/>
      <c r="CC47" s="32"/>
      <c r="CD47" s="32"/>
      <c r="CE47" s="55"/>
      <c r="CF47" s="32"/>
      <c r="CG47" s="54"/>
      <c r="CH47" s="21" t="str">
        <f>IFERROR(VLOOKUP(November[[#This Row],[Drug Name9]],'Data Options'!$R$1:$S$100,2,FALSE), " ")</f>
        <v xml:space="preserve"> </v>
      </c>
      <c r="CI47" s="55"/>
      <c r="CJ47" s="32"/>
      <c r="CK47" s="32"/>
      <c r="CL47" s="55"/>
      <c r="CM47" s="32"/>
    </row>
    <row r="48" spans="1:9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54"/>
      <c r="R48" s="21" t="str">
        <f>IFERROR(VLOOKUP(November[[#This Row],[Drug Name]],'Data Options'!$R$1:$S$100,2,FALSE), " ")</f>
        <v xml:space="preserve"> </v>
      </c>
      <c r="S48" s="55"/>
      <c r="T48" s="32"/>
      <c r="U48" s="32"/>
      <c r="V48" s="55"/>
      <c r="W48" s="32"/>
      <c r="X48" s="54"/>
      <c r="Y48" s="21" t="str">
        <f>IFERROR(VLOOKUP(November[[#This Row],[Drug Name2]],'Data Options'!$R$1:$S$100,2,FALSE), " ")</f>
        <v xml:space="preserve"> </v>
      </c>
      <c r="Z48" s="55"/>
      <c r="AA48" s="32"/>
      <c r="AB48" s="32"/>
      <c r="AC48" s="55"/>
      <c r="AD48" s="32"/>
      <c r="AE48" s="54"/>
      <c r="AF48" s="21" t="str">
        <f>IFERROR(VLOOKUP(November[[#This Row],[Drug Name3]],'Data Options'!$R$1:$S$100,2,FALSE), " ")</f>
        <v xml:space="preserve"> </v>
      </c>
      <c r="AG48" s="55"/>
      <c r="AH48" s="32"/>
      <c r="AI48" s="32"/>
      <c r="AJ48" s="55"/>
      <c r="AK48" s="32"/>
      <c r="AL48" s="32"/>
      <c r="AM48" s="32"/>
      <c r="AN48" s="32"/>
      <c r="AO48" s="32"/>
      <c r="AP48" s="31"/>
      <c r="AQ48" s="31"/>
      <c r="AR48" s="54"/>
      <c r="AS48" s="21" t="str">
        <f>IFERROR(VLOOKUP(November[[#This Row],[Drug Name4]],'Data Options'!$R$1:$S$100,2,FALSE), " ")</f>
        <v xml:space="preserve"> </v>
      </c>
      <c r="AT48" s="55"/>
      <c r="AU48" s="32"/>
      <c r="AV48" s="32"/>
      <c r="AW48" s="55"/>
      <c r="AX48" s="32"/>
      <c r="AY48" s="54"/>
      <c r="AZ48" s="21" t="str">
        <f>IFERROR(VLOOKUP(November[[#This Row],[Drug Name5]],'Data Options'!$R$1:$S$100,2,FALSE), " ")</f>
        <v xml:space="preserve"> </v>
      </c>
      <c r="BA48" s="55"/>
      <c r="BB48" s="32"/>
      <c r="BC48" s="32"/>
      <c r="BD48" s="55"/>
      <c r="BE48" s="32"/>
      <c r="BF48" s="54"/>
      <c r="BG48" s="21" t="str">
        <f>IFERROR(VLOOKUP(November[[#This Row],[Drug Name6]],'Data Options'!$R$1:$S$100,2,FALSE), " ")</f>
        <v xml:space="preserve"> </v>
      </c>
      <c r="BH48" s="55"/>
      <c r="BI48" s="32"/>
      <c r="BJ48" s="32"/>
      <c r="BK48" s="55"/>
      <c r="BL48" s="32"/>
      <c r="BM48" s="32"/>
      <c r="BN48" s="32"/>
      <c r="BO48" s="32"/>
      <c r="BP48" s="32"/>
      <c r="BQ48" s="31"/>
      <c r="BR48" s="31"/>
      <c r="BS48" s="54"/>
      <c r="BT48" s="21" t="str">
        <f>IFERROR(VLOOKUP(November[[#This Row],[Drug Name7]],'Data Options'!$R$1:$S$100,2,FALSE), " ")</f>
        <v xml:space="preserve"> </v>
      </c>
      <c r="BU48" s="55"/>
      <c r="BV48" s="32"/>
      <c r="BW48" s="32"/>
      <c r="BX48" s="55"/>
      <c r="BY48" s="32"/>
      <c r="BZ48" s="54"/>
      <c r="CA48" s="21" t="str">
        <f>IFERROR(VLOOKUP(November[[#This Row],[Drug Name8]],'Data Options'!$R$1:$S$100,2,FALSE), " ")</f>
        <v xml:space="preserve"> </v>
      </c>
      <c r="CB48" s="55"/>
      <c r="CC48" s="32"/>
      <c r="CD48" s="32"/>
      <c r="CE48" s="55"/>
      <c r="CF48" s="32"/>
      <c r="CG48" s="54"/>
      <c r="CH48" s="21" t="str">
        <f>IFERROR(VLOOKUP(November[[#This Row],[Drug Name9]],'Data Options'!$R$1:$S$100,2,FALSE), " ")</f>
        <v xml:space="preserve"> </v>
      </c>
      <c r="CI48" s="55"/>
      <c r="CJ48" s="32"/>
      <c r="CK48" s="32"/>
      <c r="CL48" s="55"/>
      <c r="CM48" s="32"/>
    </row>
    <row r="49" spans="1:9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54"/>
      <c r="R49" s="21" t="str">
        <f>IFERROR(VLOOKUP(November[[#This Row],[Drug Name]],'Data Options'!$R$1:$S$100,2,FALSE), " ")</f>
        <v xml:space="preserve"> </v>
      </c>
      <c r="S49" s="55"/>
      <c r="T49" s="32"/>
      <c r="U49" s="32"/>
      <c r="V49" s="55"/>
      <c r="W49" s="32"/>
      <c r="X49" s="54"/>
      <c r="Y49" s="21" t="str">
        <f>IFERROR(VLOOKUP(November[[#This Row],[Drug Name2]],'Data Options'!$R$1:$S$100,2,FALSE), " ")</f>
        <v xml:space="preserve"> </v>
      </c>
      <c r="Z49" s="55"/>
      <c r="AA49" s="32"/>
      <c r="AB49" s="32"/>
      <c r="AC49" s="55"/>
      <c r="AD49" s="32"/>
      <c r="AE49" s="54"/>
      <c r="AF49" s="21" t="str">
        <f>IFERROR(VLOOKUP(November[[#This Row],[Drug Name3]],'Data Options'!$R$1:$S$100,2,FALSE), " ")</f>
        <v xml:space="preserve"> </v>
      </c>
      <c r="AG49" s="55"/>
      <c r="AH49" s="32"/>
      <c r="AI49" s="32"/>
      <c r="AJ49" s="55"/>
      <c r="AK49" s="32"/>
      <c r="AL49" s="32"/>
      <c r="AM49" s="32"/>
      <c r="AN49" s="32"/>
      <c r="AO49" s="32"/>
      <c r="AP49" s="31"/>
      <c r="AQ49" s="31"/>
      <c r="AR49" s="54"/>
      <c r="AS49" s="21" t="str">
        <f>IFERROR(VLOOKUP(November[[#This Row],[Drug Name4]],'Data Options'!$R$1:$S$100,2,FALSE), " ")</f>
        <v xml:space="preserve"> </v>
      </c>
      <c r="AT49" s="55"/>
      <c r="AU49" s="32"/>
      <c r="AV49" s="32"/>
      <c r="AW49" s="55"/>
      <c r="AX49" s="32"/>
      <c r="AY49" s="54"/>
      <c r="AZ49" s="21" t="str">
        <f>IFERROR(VLOOKUP(November[[#This Row],[Drug Name5]],'Data Options'!$R$1:$S$100,2,FALSE), " ")</f>
        <v xml:space="preserve"> </v>
      </c>
      <c r="BA49" s="55"/>
      <c r="BB49" s="32"/>
      <c r="BC49" s="32"/>
      <c r="BD49" s="55"/>
      <c r="BE49" s="32"/>
      <c r="BF49" s="54"/>
      <c r="BG49" s="21" t="str">
        <f>IFERROR(VLOOKUP(November[[#This Row],[Drug Name6]],'Data Options'!$R$1:$S$100,2,FALSE), " ")</f>
        <v xml:space="preserve"> </v>
      </c>
      <c r="BH49" s="55"/>
      <c r="BI49" s="32"/>
      <c r="BJ49" s="32"/>
      <c r="BK49" s="55"/>
      <c r="BL49" s="32"/>
      <c r="BM49" s="32"/>
      <c r="BN49" s="32"/>
      <c r="BO49" s="32"/>
      <c r="BP49" s="32"/>
      <c r="BQ49" s="31"/>
      <c r="BR49" s="31"/>
      <c r="BS49" s="54"/>
      <c r="BT49" s="21" t="str">
        <f>IFERROR(VLOOKUP(November[[#This Row],[Drug Name7]],'Data Options'!$R$1:$S$100,2,FALSE), " ")</f>
        <v xml:space="preserve"> </v>
      </c>
      <c r="BU49" s="55"/>
      <c r="BV49" s="32"/>
      <c r="BW49" s="32"/>
      <c r="BX49" s="55"/>
      <c r="BY49" s="32"/>
      <c r="BZ49" s="54"/>
      <c r="CA49" s="21" t="str">
        <f>IFERROR(VLOOKUP(November[[#This Row],[Drug Name8]],'Data Options'!$R$1:$S$100,2,FALSE), " ")</f>
        <v xml:space="preserve"> </v>
      </c>
      <c r="CB49" s="55"/>
      <c r="CC49" s="32"/>
      <c r="CD49" s="32"/>
      <c r="CE49" s="55"/>
      <c r="CF49" s="32"/>
      <c r="CG49" s="54"/>
      <c r="CH49" s="21" t="str">
        <f>IFERROR(VLOOKUP(November[[#This Row],[Drug Name9]],'Data Options'!$R$1:$S$100,2,FALSE), " ")</f>
        <v xml:space="preserve"> </v>
      </c>
      <c r="CI49" s="55"/>
      <c r="CJ49" s="32"/>
      <c r="CK49" s="32"/>
      <c r="CL49" s="55"/>
      <c r="CM49" s="32"/>
    </row>
    <row r="50" spans="1:91">
      <c r="A50" s="5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54"/>
      <c r="R50" s="21" t="str">
        <f>IFERROR(VLOOKUP(November[[#This Row],[Drug Name]],'Data Options'!$R$1:$S$100,2,FALSE), " ")</f>
        <v xml:space="preserve"> </v>
      </c>
      <c r="S50" s="55"/>
      <c r="T50" s="32"/>
      <c r="U50" s="32"/>
      <c r="V50" s="55"/>
      <c r="W50" s="32"/>
      <c r="X50" s="54"/>
      <c r="Y50" s="21" t="str">
        <f>IFERROR(VLOOKUP(November[[#This Row],[Drug Name2]],'Data Options'!$R$1:$S$100,2,FALSE), " ")</f>
        <v xml:space="preserve"> </v>
      </c>
      <c r="Z50" s="55"/>
      <c r="AA50" s="32"/>
      <c r="AB50" s="32"/>
      <c r="AC50" s="55"/>
      <c r="AD50" s="32"/>
      <c r="AE50" s="54"/>
      <c r="AF50" s="21" t="str">
        <f>IFERROR(VLOOKUP(November[[#This Row],[Drug Name3]],'Data Options'!$R$1:$S$100,2,FALSE), " ")</f>
        <v xml:space="preserve"> </v>
      </c>
      <c r="AG50" s="55"/>
      <c r="AH50" s="32"/>
      <c r="AI50" s="32"/>
      <c r="AJ50" s="55"/>
      <c r="AK50" s="32"/>
      <c r="AL50" s="32"/>
      <c r="AM50" s="32"/>
      <c r="AN50" s="32"/>
      <c r="AO50" s="32"/>
      <c r="AP50" s="31"/>
      <c r="AQ50" s="31"/>
      <c r="AR50" s="54"/>
      <c r="AS50" s="21" t="str">
        <f>IFERROR(VLOOKUP(November[[#This Row],[Drug Name4]],'Data Options'!$R$1:$S$100,2,FALSE), " ")</f>
        <v xml:space="preserve"> </v>
      </c>
      <c r="AT50" s="55"/>
      <c r="AU50" s="32"/>
      <c r="AV50" s="32"/>
      <c r="AW50" s="55"/>
      <c r="AX50" s="32"/>
      <c r="AY50" s="54"/>
      <c r="AZ50" s="21" t="str">
        <f>IFERROR(VLOOKUP(November[[#This Row],[Drug Name5]],'Data Options'!$R$1:$S$100,2,FALSE), " ")</f>
        <v xml:space="preserve"> </v>
      </c>
      <c r="BA50" s="55"/>
      <c r="BB50" s="32"/>
      <c r="BC50" s="32"/>
      <c r="BD50" s="55"/>
      <c r="BE50" s="32"/>
      <c r="BF50" s="54"/>
      <c r="BG50" s="21" t="str">
        <f>IFERROR(VLOOKUP(November[[#This Row],[Drug Name6]],'Data Options'!$R$1:$S$100,2,FALSE), " ")</f>
        <v xml:space="preserve"> </v>
      </c>
      <c r="BH50" s="55"/>
      <c r="BI50" s="32"/>
      <c r="BJ50" s="32"/>
      <c r="BK50" s="55"/>
      <c r="BL50" s="32"/>
      <c r="BM50" s="32"/>
      <c r="BN50" s="32"/>
      <c r="BO50" s="32"/>
      <c r="BP50" s="32"/>
      <c r="BQ50" s="31"/>
      <c r="BR50" s="31"/>
      <c r="BS50" s="54"/>
      <c r="BT50" s="21" t="str">
        <f>IFERROR(VLOOKUP(November[[#This Row],[Drug Name7]],'Data Options'!$R$1:$S$100,2,FALSE), " ")</f>
        <v xml:space="preserve"> </v>
      </c>
      <c r="BU50" s="55"/>
      <c r="BV50" s="32"/>
      <c r="BW50" s="32"/>
      <c r="BX50" s="55"/>
      <c r="BY50" s="32"/>
      <c r="BZ50" s="54"/>
      <c r="CA50" s="21" t="str">
        <f>IFERROR(VLOOKUP(November[[#This Row],[Drug Name8]],'Data Options'!$R$1:$S$100,2,FALSE), " ")</f>
        <v xml:space="preserve"> </v>
      </c>
      <c r="CB50" s="55"/>
      <c r="CC50" s="32"/>
      <c r="CD50" s="32"/>
      <c r="CE50" s="55"/>
      <c r="CF50" s="32"/>
      <c r="CG50" s="54"/>
      <c r="CH50" s="21" t="str">
        <f>IFERROR(VLOOKUP(November[[#This Row],[Drug Name9]],'Data Options'!$R$1:$S$100,2,FALSE), " ")</f>
        <v xml:space="preserve"> </v>
      </c>
      <c r="CI50" s="55"/>
      <c r="CJ50" s="32"/>
      <c r="CK50" s="32"/>
      <c r="CL50" s="55"/>
      <c r="CM50" s="32"/>
    </row>
    <row r="51" spans="1:9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54"/>
      <c r="R51" s="21" t="str">
        <f>IFERROR(VLOOKUP(November[[#This Row],[Drug Name]],'Data Options'!$R$1:$S$100,2,FALSE), " ")</f>
        <v xml:space="preserve"> </v>
      </c>
      <c r="S51" s="55"/>
      <c r="T51" s="32"/>
      <c r="U51" s="32"/>
      <c r="V51" s="55"/>
      <c r="W51" s="32"/>
      <c r="X51" s="54"/>
      <c r="Y51" s="21" t="str">
        <f>IFERROR(VLOOKUP(November[[#This Row],[Drug Name2]],'Data Options'!$R$1:$S$100,2,FALSE), " ")</f>
        <v xml:space="preserve"> </v>
      </c>
      <c r="Z51" s="55"/>
      <c r="AA51" s="32"/>
      <c r="AB51" s="32"/>
      <c r="AC51" s="55"/>
      <c r="AD51" s="32"/>
      <c r="AE51" s="54"/>
      <c r="AF51" s="21" t="str">
        <f>IFERROR(VLOOKUP(November[[#This Row],[Drug Name3]],'Data Options'!$R$1:$S$100,2,FALSE), " ")</f>
        <v xml:space="preserve"> </v>
      </c>
      <c r="AG51" s="55"/>
      <c r="AH51" s="32"/>
      <c r="AI51" s="32"/>
      <c r="AJ51" s="55"/>
      <c r="AK51" s="32"/>
      <c r="AL51" s="32"/>
      <c r="AM51" s="32"/>
      <c r="AN51" s="32"/>
      <c r="AO51" s="32"/>
      <c r="AP51" s="31"/>
      <c r="AQ51" s="31"/>
      <c r="AR51" s="54"/>
      <c r="AS51" s="21" t="str">
        <f>IFERROR(VLOOKUP(November[[#This Row],[Drug Name4]],'Data Options'!$R$1:$S$100,2,FALSE), " ")</f>
        <v xml:space="preserve"> </v>
      </c>
      <c r="AT51" s="55"/>
      <c r="AU51" s="32"/>
      <c r="AV51" s="32"/>
      <c r="AW51" s="55"/>
      <c r="AX51" s="32"/>
      <c r="AY51" s="54"/>
      <c r="AZ51" s="21" t="str">
        <f>IFERROR(VLOOKUP(November[[#This Row],[Drug Name5]],'Data Options'!$R$1:$S$100,2,FALSE), " ")</f>
        <v xml:space="preserve"> </v>
      </c>
      <c r="BA51" s="55"/>
      <c r="BB51" s="32"/>
      <c r="BC51" s="32"/>
      <c r="BD51" s="55"/>
      <c r="BE51" s="32"/>
      <c r="BF51" s="54"/>
      <c r="BG51" s="21" t="str">
        <f>IFERROR(VLOOKUP(November[[#This Row],[Drug Name6]],'Data Options'!$R$1:$S$100,2,FALSE), " ")</f>
        <v xml:space="preserve"> </v>
      </c>
      <c r="BH51" s="55"/>
      <c r="BI51" s="32"/>
      <c r="BJ51" s="32"/>
      <c r="BK51" s="55"/>
      <c r="BL51" s="32"/>
      <c r="BM51" s="32"/>
      <c r="BN51" s="32"/>
      <c r="BO51" s="32"/>
      <c r="BP51" s="32"/>
      <c r="BQ51" s="31"/>
      <c r="BR51" s="31"/>
      <c r="BS51" s="54"/>
      <c r="BT51" s="21" t="str">
        <f>IFERROR(VLOOKUP(November[[#This Row],[Drug Name7]],'Data Options'!$R$1:$S$100,2,FALSE), " ")</f>
        <v xml:space="preserve"> </v>
      </c>
      <c r="BU51" s="55"/>
      <c r="BV51" s="32"/>
      <c r="BW51" s="32"/>
      <c r="BX51" s="55"/>
      <c r="BY51" s="32"/>
      <c r="BZ51" s="54"/>
      <c r="CA51" s="21" t="str">
        <f>IFERROR(VLOOKUP(November[[#This Row],[Drug Name8]],'Data Options'!$R$1:$S$100,2,FALSE), " ")</f>
        <v xml:space="preserve"> </v>
      </c>
      <c r="CB51" s="55"/>
      <c r="CC51" s="32"/>
      <c r="CD51" s="32"/>
      <c r="CE51" s="55"/>
      <c r="CF51" s="32"/>
      <c r="CG51" s="54"/>
      <c r="CH51" s="21" t="str">
        <f>IFERROR(VLOOKUP(November[[#This Row],[Drug Name9]],'Data Options'!$R$1:$S$100,2,FALSE), " ")</f>
        <v xml:space="preserve"> </v>
      </c>
      <c r="CI51" s="55"/>
      <c r="CJ51" s="32"/>
      <c r="CK51" s="32"/>
      <c r="CL51" s="55"/>
      <c r="CM51" s="32"/>
    </row>
    <row r="52" spans="1:9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54"/>
      <c r="R52" s="21" t="str">
        <f>IFERROR(VLOOKUP(November[[#This Row],[Drug Name]],'Data Options'!$R$1:$S$100,2,FALSE), " ")</f>
        <v xml:space="preserve"> </v>
      </c>
      <c r="S52" s="55"/>
      <c r="T52" s="32"/>
      <c r="U52" s="32"/>
      <c r="V52" s="55"/>
      <c r="W52" s="32"/>
      <c r="X52" s="54"/>
      <c r="Y52" s="21" t="str">
        <f>IFERROR(VLOOKUP(November[[#This Row],[Drug Name2]],'Data Options'!$R$1:$S$100,2,FALSE), " ")</f>
        <v xml:space="preserve"> </v>
      </c>
      <c r="Z52" s="55"/>
      <c r="AA52" s="32"/>
      <c r="AB52" s="32"/>
      <c r="AC52" s="55"/>
      <c r="AD52" s="32"/>
      <c r="AE52" s="54"/>
      <c r="AF52" s="21" t="str">
        <f>IFERROR(VLOOKUP(November[[#This Row],[Drug Name3]],'Data Options'!$R$1:$S$100,2,FALSE), " ")</f>
        <v xml:space="preserve"> </v>
      </c>
      <c r="AG52" s="55"/>
      <c r="AH52" s="32"/>
      <c r="AI52" s="32"/>
      <c r="AJ52" s="55"/>
      <c r="AK52" s="32"/>
      <c r="AL52" s="32"/>
      <c r="AM52" s="32"/>
      <c r="AN52" s="32"/>
      <c r="AO52" s="32"/>
      <c r="AP52" s="31"/>
      <c r="AQ52" s="31"/>
      <c r="AR52" s="54"/>
      <c r="AS52" s="21" t="str">
        <f>IFERROR(VLOOKUP(November[[#This Row],[Drug Name4]],'Data Options'!$R$1:$S$100,2,FALSE), " ")</f>
        <v xml:space="preserve"> </v>
      </c>
      <c r="AT52" s="55"/>
      <c r="AU52" s="32"/>
      <c r="AV52" s="32"/>
      <c r="AW52" s="55"/>
      <c r="AX52" s="32"/>
      <c r="AY52" s="54"/>
      <c r="AZ52" s="21" t="str">
        <f>IFERROR(VLOOKUP(November[[#This Row],[Drug Name5]],'Data Options'!$R$1:$S$100,2,FALSE), " ")</f>
        <v xml:space="preserve"> </v>
      </c>
      <c r="BA52" s="55"/>
      <c r="BB52" s="32"/>
      <c r="BC52" s="32"/>
      <c r="BD52" s="55"/>
      <c r="BE52" s="32"/>
      <c r="BF52" s="54"/>
      <c r="BG52" s="21" t="str">
        <f>IFERROR(VLOOKUP(November[[#This Row],[Drug Name6]],'Data Options'!$R$1:$S$100,2,FALSE), " ")</f>
        <v xml:space="preserve"> </v>
      </c>
      <c r="BH52" s="55"/>
      <c r="BI52" s="32"/>
      <c r="BJ52" s="32"/>
      <c r="BK52" s="55"/>
      <c r="BL52" s="32"/>
      <c r="BM52" s="32"/>
      <c r="BN52" s="32"/>
      <c r="BO52" s="32"/>
      <c r="BP52" s="32"/>
      <c r="BQ52" s="31"/>
      <c r="BR52" s="31"/>
      <c r="BS52" s="54"/>
      <c r="BT52" s="21" t="str">
        <f>IFERROR(VLOOKUP(November[[#This Row],[Drug Name7]],'Data Options'!$R$1:$S$100,2,FALSE), " ")</f>
        <v xml:space="preserve"> </v>
      </c>
      <c r="BU52" s="55"/>
      <c r="BV52" s="32"/>
      <c r="BW52" s="32"/>
      <c r="BX52" s="55"/>
      <c r="BY52" s="32"/>
      <c r="BZ52" s="54"/>
      <c r="CA52" s="21" t="str">
        <f>IFERROR(VLOOKUP(November[[#This Row],[Drug Name8]],'Data Options'!$R$1:$S$100,2,FALSE), " ")</f>
        <v xml:space="preserve"> </v>
      </c>
      <c r="CB52" s="55"/>
      <c r="CC52" s="32"/>
      <c r="CD52" s="32"/>
      <c r="CE52" s="55"/>
      <c r="CF52" s="32"/>
      <c r="CG52" s="54"/>
      <c r="CH52" s="21" t="str">
        <f>IFERROR(VLOOKUP(November[[#This Row],[Drug Name9]],'Data Options'!$R$1:$S$100,2,FALSE), " ")</f>
        <v xml:space="preserve"> </v>
      </c>
      <c r="CI52" s="55"/>
      <c r="CJ52" s="32"/>
      <c r="CK52" s="32"/>
      <c r="CL52" s="55"/>
      <c r="CM52" s="32"/>
    </row>
    <row r="53" spans="1:91">
      <c r="A53" s="5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54"/>
      <c r="R53" s="21" t="str">
        <f>IFERROR(VLOOKUP(November[[#This Row],[Drug Name]],'Data Options'!$R$1:$S$100,2,FALSE), " ")</f>
        <v xml:space="preserve"> </v>
      </c>
      <c r="S53" s="55"/>
      <c r="T53" s="32"/>
      <c r="U53" s="32"/>
      <c r="V53" s="55"/>
      <c r="W53" s="32"/>
      <c r="X53" s="54"/>
      <c r="Y53" s="21" t="str">
        <f>IFERROR(VLOOKUP(November[[#This Row],[Drug Name2]],'Data Options'!$R$1:$S$100,2,FALSE), " ")</f>
        <v xml:space="preserve"> </v>
      </c>
      <c r="Z53" s="55"/>
      <c r="AA53" s="32"/>
      <c r="AB53" s="32"/>
      <c r="AC53" s="55"/>
      <c r="AD53" s="32"/>
      <c r="AE53" s="54"/>
      <c r="AF53" s="21" t="str">
        <f>IFERROR(VLOOKUP(November[[#This Row],[Drug Name3]],'Data Options'!$R$1:$S$100,2,FALSE), " ")</f>
        <v xml:space="preserve"> </v>
      </c>
      <c r="AG53" s="55"/>
      <c r="AH53" s="32"/>
      <c r="AI53" s="32"/>
      <c r="AJ53" s="55"/>
      <c r="AK53" s="32"/>
      <c r="AL53" s="32"/>
      <c r="AM53" s="32"/>
      <c r="AN53" s="32"/>
      <c r="AO53" s="32"/>
      <c r="AP53" s="31"/>
      <c r="AQ53" s="31"/>
      <c r="AR53" s="54"/>
      <c r="AS53" s="21" t="str">
        <f>IFERROR(VLOOKUP(November[[#This Row],[Drug Name4]],'Data Options'!$R$1:$S$100,2,FALSE), " ")</f>
        <v xml:space="preserve"> </v>
      </c>
      <c r="AT53" s="55"/>
      <c r="AU53" s="32"/>
      <c r="AV53" s="32"/>
      <c r="AW53" s="55"/>
      <c r="AX53" s="32"/>
      <c r="AY53" s="54"/>
      <c r="AZ53" s="21" t="str">
        <f>IFERROR(VLOOKUP(November[[#This Row],[Drug Name5]],'Data Options'!$R$1:$S$100,2,FALSE), " ")</f>
        <v xml:space="preserve"> </v>
      </c>
      <c r="BA53" s="55"/>
      <c r="BB53" s="32"/>
      <c r="BC53" s="32"/>
      <c r="BD53" s="55"/>
      <c r="BE53" s="32"/>
      <c r="BF53" s="54"/>
      <c r="BG53" s="21" t="str">
        <f>IFERROR(VLOOKUP(November[[#This Row],[Drug Name6]],'Data Options'!$R$1:$S$100,2,FALSE), " ")</f>
        <v xml:space="preserve"> </v>
      </c>
      <c r="BH53" s="55"/>
      <c r="BI53" s="32"/>
      <c r="BJ53" s="32"/>
      <c r="BK53" s="55"/>
      <c r="BL53" s="32"/>
      <c r="BM53" s="32"/>
      <c r="BN53" s="32"/>
      <c r="BO53" s="32"/>
      <c r="BP53" s="32"/>
      <c r="BQ53" s="31"/>
      <c r="BR53" s="31"/>
      <c r="BS53" s="54"/>
      <c r="BT53" s="21" t="str">
        <f>IFERROR(VLOOKUP(November[[#This Row],[Drug Name7]],'Data Options'!$R$1:$S$100,2,FALSE), " ")</f>
        <v xml:space="preserve"> </v>
      </c>
      <c r="BU53" s="55"/>
      <c r="BV53" s="32"/>
      <c r="BW53" s="32"/>
      <c r="BX53" s="55"/>
      <c r="BY53" s="32"/>
      <c r="BZ53" s="54"/>
      <c r="CA53" s="21" t="str">
        <f>IFERROR(VLOOKUP(November[[#This Row],[Drug Name8]],'Data Options'!$R$1:$S$100,2,FALSE), " ")</f>
        <v xml:space="preserve"> </v>
      </c>
      <c r="CB53" s="55"/>
      <c r="CC53" s="32"/>
      <c r="CD53" s="32"/>
      <c r="CE53" s="55"/>
      <c r="CF53" s="32"/>
      <c r="CG53" s="54"/>
      <c r="CH53" s="21" t="str">
        <f>IFERROR(VLOOKUP(November[[#This Row],[Drug Name9]],'Data Options'!$R$1:$S$100,2,FALSE), " ")</f>
        <v xml:space="preserve"> </v>
      </c>
      <c r="CI53" s="55"/>
      <c r="CJ53" s="32"/>
      <c r="CK53" s="32"/>
      <c r="CL53" s="55"/>
      <c r="CM53" s="32"/>
    </row>
    <row r="54" spans="1:91">
      <c r="A54" s="5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54"/>
      <c r="R54" s="21" t="str">
        <f>IFERROR(VLOOKUP(November[[#This Row],[Drug Name]],'Data Options'!$R$1:$S$100,2,FALSE), " ")</f>
        <v xml:space="preserve"> </v>
      </c>
      <c r="S54" s="55"/>
      <c r="T54" s="32"/>
      <c r="U54" s="32"/>
      <c r="V54" s="55"/>
      <c r="W54" s="32"/>
      <c r="X54" s="54"/>
      <c r="Y54" s="21" t="str">
        <f>IFERROR(VLOOKUP(November[[#This Row],[Drug Name2]],'Data Options'!$R$1:$S$100,2,FALSE), " ")</f>
        <v xml:space="preserve"> </v>
      </c>
      <c r="Z54" s="55"/>
      <c r="AA54" s="32"/>
      <c r="AB54" s="32"/>
      <c r="AC54" s="55"/>
      <c r="AD54" s="32"/>
      <c r="AE54" s="54"/>
      <c r="AF54" s="21" t="str">
        <f>IFERROR(VLOOKUP(November[[#This Row],[Drug Name3]],'Data Options'!$R$1:$S$100,2,FALSE), " ")</f>
        <v xml:space="preserve"> </v>
      </c>
      <c r="AG54" s="55"/>
      <c r="AH54" s="32"/>
      <c r="AI54" s="32"/>
      <c r="AJ54" s="55"/>
      <c r="AK54" s="32"/>
      <c r="AL54" s="32"/>
      <c r="AM54" s="32"/>
      <c r="AN54" s="32"/>
      <c r="AO54" s="32"/>
      <c r="AP54" s="31"/>
      <c r="AQ54" s="31"/>
      <c r="AR54" s="54"/>
      <c r="AS54" s="21" t="str">
        <f>IFERROR(VLOOKUP(November[[#This Row],[Drug Name4]],'Data Options'!$R$1:$S$100,2,FALSE), " ")</f>
        <v xml:space="preserve"> </v>
      </c>
      <c r="AT54" s="55"/>
      <c r="AU54" s="32"/>
      <c r="AV54" s="32"/>
      <c r="AW54" s="55"/>
      <c r="AX54" s="32"/>
      <c r="AY54" s="54"/>
      <c r="AZ54" s="21" t="str">
        <f>IFERROR(VLOOKUP(November[[#This Row],[Drug Name5]],'Data Options'!$R$1:$S$100,2,FALSE), " ")</f>
        <v xml:space="preserve"> </v>
      </c>
      <c r="BA54" s="55"/>
      <c r="BB54" s="32"/>
      <c r="BC54" s="32"/>
      <c r="BD54" s="55"/>
      <c r="BE54" s="32"/>
      <c r="BF54" s="54"/>
      <c r="BG54" s="21" t="str">
        <f>IFERROR(VLOOKUP(November[[#This Row],[Drug Name6]],'Data Options'!$R$1:$S$100,2,FALSE), " ")</f>
        <v xml:space="preserve"> </v>
      </c>
      <c r="BH54" s="55"/>
      <c r="BI54" s="32"/>
      <c r="BJ54" s="32"/>
      <c r="BK54" s="55"/>
      <c r="BL54" s="32"/>
      <c r="BM54" s="32"/>
      <c r="BN54" s="32"/>
      <c r="BO54" s="32"/>
      <c r="BP54" s="32"/>
      <c r="BQ54" s="31"/>
      <c r="BR54" s="31"/>
      <c r="BS54" s="54"/>
      <c r="BT54" s="21" t="str">
        <f>IFERROR(VLOOKUP(November[[#This Row],[Drug Name7]],'Data Options'!$R$1:$S$100,2,FALSE), " ")</f>
        <v xml:space="preserve"> </v>
      </c>
      <c r="BU54" s="55"/>
      <c r="BV54" s="32"/>
      <c r="BW54" s="32"/>
      <c r="BX54" s="55"/>
      <c r="BY54" s="32"/>
      <c r="BZ54" s="54"/>
      <c r="CA54" s="21" t="str">
        <f>IFERROR(VLOOKUP(November[[#This Row],[Drug Name8]],'Data Options'!$R$1:$S$100,2,FALSE), " ")</f>
        <v xml:space="preserve"> </v>
      </c>
      <c r="CB54" s="55"/>
      <c r="CC54" s="32"/>
      <c r="CD54" s="32"/>
      <c r="CE54" s="55"/>
      <c r="CF54" s="32"/>
      <c r="CG54" s="54"/>
      <c r="CH54" s="21" t="str">
        <f>IFERROR(VLOOKUP(November[[#This Row],[Drug Name9]],'Data Options'!$R$1:$S$100,2,FALSE), " ")</f>
        <v xml:space="preserve"> </v>
      </c>
      <c r="CI54" s="55"/>
      <c r="CJ54" s="32"/>
      <c r="CK54" s="32"/>
      <c r="CL54" s="55"/>
      <c r="CM54" s="32"/>
    </row>
    <row r="55" spans="1:91">
      <c r="A55" s="5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54"/>
      <c r="R55" s="21" t="str">
        <f>IFERROR(VLOOKUP(November[[#This Row],[Drug Name]],'Data Options'!$R$1:$S$100,2,FALSE), " ")</f>
        <v xml:space="preserve"> </v>
      </c>
      <c r="S55" s="55"/>
      <c r="T55" s="32"/>
      <c r="U55" s="32"/>
      <c r="V55" s="55"/>
      <c r="W55" s="32"/>
      <c r="X55" s="54"/>
      <c r="Y55" s="21" t="str">
        <f>IFERROR(VLOOKUP(November[[#This Row],[Drug Name2]],'Data Options'!$R$1:$S$100,2,FALSE), " ")</f>
        <v xml:space="preserve"> </v>
      </c>
      <c r="Z55" s="55"/>
      <c r="AA55" s="32"/>
      <c r="AB55" s="32"/>
      <c r="AC55" s="55"/>
      <c r="AD55" s="32"/>
      <c r="AE55" s="54"/>
      <c r="AF55" s="21" t="str">
        <f>IFERROR(VLOOKUP(November[[#This Row],[Drug Name3]],'Data Options'!$R$1:$S$100,2,FALSE), " ")</f>
        <v xml:space="preserve"> </v>
      </c>
      <c r="AG55" s="55"/>
      <c r="AH55" s="32"/>
      <c r="AI55" s="32"/>
      <c r="AJ55" s="55"/>
      <c r="AK55" s="32"/>
      <c r="AL55" s="32"/>
      <c r="AM55" s="32"/>
      <c r="AN55" s="32"/>
      <c r="AO55" s="32"/>
      <c r="AP55" s="31"/>
      <c r="AQ55" s="31"/>
      <c r="AR55" s="54"/>
      <c r="AS55" s="21" t="str">
        <f>IFERROR(VLOOKUP(November[[#This Row],[Drug Name4]],'Data Options'!$R$1:$S$100,2,FALSE), " ")</f>
        <v xml:space="preserve"> </v>
      </c>
      <c r="AT55" s="55"/>
      <c r="AU55" s="32"/>
      <c r="AV55" s="32"/>
      <c r="AW55" s="55"/>
      <c r="AX55" s="32"/>
      <c r="AY55" s="54"/>
      <c r="AZ55" s="21" t="str">
        <f>IFERROR(VLOOKUP(November[[#This Row],[Drug Name5]],'Data Options'!$R$1:$S$100,2,FALSE), " ")</f>
        <v xml:space="preserve"> </v>
      </c>
      <c r="BA55" s="55"/>
      <c r="BB55" s="32"/>
      <c r="BC55" s="32"/>
      <c r="BD55" s="55"/>
      <c r="BE55" s="32"/>
      <c r="BF55" s="54"/>
      <c r="BG55" s="21" t="str">
        <f>IFERROR(VLOOKUP(November[[#This Row],[Drug Name6]],'Data Options'!$R$1:$S$100,2,FALSE), " ")</f>
        <v xml:space="preserve"> </v>
      </c>
      <c r="BH55" s="55"/>
      <c r="BI55" s="32"/>
      <c r="BJ55" s="32"/>
      <c r="BK55" s="55"/>
      <c r="BL55" s="32"/>
      <c r="BM55" s="32"/>
      <c r="BN55" s="32"/>
      <c r="BO55" s="32"/>
      <c r="BP55" s="32"/>
      <c r="BQ55" s="31"/>
      <c r="BR55" s="31"/>
      <c r="BS55" s="54"/>
      <c r="BT55" s="21" t="str">
        <f>IFERROR(VLOOKUP(November[[#This Row],[Drug Name7]],'Data Options'!$R$1:$S$100,2,FALSE), " ")</f>
        <v xml:space="preserve"> </v>
      </c>
      <c r="BU55" s="55"/>
      <c r="BV55" s="32"/>
      <c r="BW55" s="32"/>
      <c r="BX55" s="55"/>
      <c r="BY55" s="32"/>
      <c r="BZ55" s="54"/>
      <c r="CA55" s="21" t="str">
        <f>IFERROR(VLOOKUP(November[[#This Row],[Drug Name8]],'Data Options'!$R$1:$S$100,2,FALSE), " ")</f>
        <v xml:space="preserve"> </v>
      </c>
      <c r="CB55" s="55"/>
      <c r="CC55" s="32"/>
      <c r="CD55" s="32"/>
      <c r="CE55" s="55"/>
      <c r="CF55" s="32"/>
      <c r="CG55" s="54"/>
      <c r="CH55" s="21" t="str">
        <f>IFERROR(VLOOKUP(November[[#This Row],[Drug Name9]],'Data Options'!$R$1:$S$100,2,FALSE), " ")</f>
        <v xml:space="preserve"> </v>
      </c>
      <c r="CI55" s="55"/>
      <c r="CJ55" s="32"/>
      <c r="CK55" s="32"/>
      <c r="CL55" s="55"/>
      <c r="CM55" s="32"/>
    </row>
    <row r="56" spans="1:91">
      <c r="A56" s="5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54"/>
      <c r="R56" s="21" t="str">
        <f>IFERROR(VLOOKUP(November[[#This Row],[Drug Name]],'Data Options'!$R$1:$S$100,2,FALSE), " ")</f>
        <v xml:space="preserve"> </v>
      </c>
      <c r="S56" s="55"/>
      <c r="T56" s="32"/>
      <c r="U56" s="32"/>
      <c r="V56" s="55"/>
      <c r="W56" s="32"/>
      <c r="X56" s="54"/>
      <c r="Y56" s="21" t="str">
        <f>IFERROR(VLOOKUP(November[[#This Row],[Drug Name2]],'Data Options'!$R$1:$S$100,2,FALSE), " ")</f>
        <v xml:space="preserve"> </v>
      </c>
      <c r="Z56" s="55"/>
      <c r="AA56" s="32"/>
      <c r="AB56" s="32"/>
      <c r="AC56" s="55"/>
      <c r="AD56" s="32"/>
      <c r="AE56" s="54"/>
      <c r="AF56" s="21" t="str">
        <f>IFERROR(VLOOKUP(November[[#This Row],[Drug Name3]],'Data Options'!$R$1:$S$100,2,FALSE), " ")</f>
        <v xml:space="preserve"> </v>
      </c>
      <c r="AG56" s="55"/>
      <c r="AH56" s="32"/>
      <c r="AI56" s="32"/>
      <c r="AJ56" s="55"/>
      <c r="AK56" s="32"/>
      <c r="AL56" s="32"/>
      <c r="AM56" s="32"/>
      <c r="AN56" s="32"/>
      <c r="AO56" s="32"/>
      <c r="AP56" s="31"/>
      <c r="AQ56" s="31"/>
      <c r="AR56" s="54"/>
      <c r="AS56" s="21" t="str">
        <f>IFERROR(VLOOKUP(November[[#This Row],[Drug Name4]],'Data Options'!$R$1:$S$100,2,FALSE), " ")</f>
        <v xml:space="preserve"> </v>
      </c>
      <c r="AT56" s="55"/>
      <c r="AU56" s="32"/>
      <c r="AV56" s="32"/>
      <c r="AW56" s="55"/>
      <c r="AX56" s="32"/>
      <c r="AY56" s="54"/>
      <c r="AZ56" s="21" t="str">
        <f>IFERROR(VLOOKUP(November[[#This Row],[Drug Name5]],'Data Options'!$R$1:$S$100,2,FALSE), " ")</f>
        <v xml:space="preserve"> </v>
      </c>
      <c r="BA56" s="55"/>
      <c r="BB56" s="32"/>
      <c r="BC56" s="32"/>
      <c r="BD56" s="55"/>
      <c r="BE56" s="32"/>
      <c r="BF56" s="54"/>
      <c r="BG56" s="21" t="str">
        <f>IFERROR(VLOOKUP(November[[#This Row],[Drug Name6]],'Data Options'!$R$1:$S$100,2,FALSE), " ")</f>
        <v xml:space="preserve"> </v>
      </c>
      <c r="BH56" s="55"/>
      <c r="BI56" s="32"/>
      <c r="BJ56" s="32"/>
      <c r="BK56" s="55"/>
      <c r="BL56" s="32"/>
      <c r="BM56" s="32"/>
      <c r="BN56" s="32"/>
      <c r="BO56" s="32"/>
      <c r="BP56" s="32"/>
      <c r="BQ56" s="31"/>
      <c r="BR56" s="31"/>
      <c r="BS56" s="54"/>
      <c r="BT56" s="21" t="str">
        <f>IFERROR(VLOOKUP(November[[#This Row],[Drug Name7]],'Data Options'!$R$1:$S$100,2,FALSE), " ")</f>
        <v xml:space="preserve"> </v>
      </c>
      <c r="BU56" s="55"/>
      <c r="BV56" s="32"/>
      <c r="BW56" s="32"/>
      <c r="BX56" s="55"/>
      <c r="BY56" s="32"/>
      <c r="BZ56" s="54"/>
      <c r="CA56" s="21" t="str">
        <f>IFERROR(VLOOKUP(November[[#This Row],[Drug Name8]],'Data Options'!$R$1:$S$100,2,FALSE), " ")</f>
        <v xml:space="preserve"> </v>
      </c>
      <c r="CB56" s="55"/>
      <c r="CC56" s="32"/>
      <c r="CD56" s="32"/>
      <c r="CE56" s="55"/>
      <c r="CF56" s="32"/>
      <c r="CG56" s="54"/>
      <c r="CH56" s="21" t="str">
        <f>IFERROR(VLOOKUP(November[[#This Row],[Drug Name9]],'Data Options'!$R$1:$S$100,2,FALSE), " ")</f>
        <v xml:space="preserve"> </v>
      </c>
      <c r="CI56" s="55"/>
      <c r="CJ56" s="32"/>
      <c r="CK56" s="32"/>
      <c r="CL56" s="55"/>
      <c r="CM56" s="32"/>
    </row>
    <row r="57" spans="1:91">
      <c r="A57" s="5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31"/>
      <c r="Q57" s="54"/>
      <c r="R57" s="21" t="str">
        <f>IFERROR(VLOOKUP(November[[#This Row],[Drug Name]],'Data Options'!$R$1:$S$100,2,FALSE), " ")</f>
        <v xml:space="preserve"> </v>
      </c>
      <c r="S57" s="55"/>
      <c r="T57" s="32"/>
      <c r="U57" s="32"/>
      <c r="V57" s="55"/>
      <c r="W57" s="32"/>
      <c r="X57" s="54"/>
      <c r="Y57" s="21" t="str">
        <f>IFERROR(VLOOKUP(November[[#This Row],[Drug Name2]],'Data Options'!$R$1:$S$100,2,FALSE), " ")</f>
        <v xml:space="preserve"> </v>
      </c>
      <c r="Z57" s="55"/>
      <c r="AA57" s="32"/>
      <c r="AB57" s="32"/>
      <c r="AC57" s="55"/>
      <c r="AD57" s="32"/>
      <c r="AE57" s="54"/>
      <c r="AF57" s="21" t="str">
        <f>IFERROR(VLOOKUP(November[[#This Row],[Drug Name3]],'Data Options'!$R$1:$S$100,2,FALSE), " ")</f>
        <v xml:space="preserve"> </v>
      </c>
      <c r="AG57" s="55"/>
      <c r="AH57" s="32"/>
      <c r="AI57" s="32"/>
      <c r="AJ57" s="55"/>
      <c r="AK57" s="32"/>
      <c r="AL57" s="32"/>
      <c r="AM57" s="32"/>
      <c r="AN57" s="32"/>
      <c r="AO57" s="32"/>
      <c r="AP57" s="31"/>
      <c r="AQ57" s="31"/>
      <c r="AR57" s="54"/>
      <c r="AS57" s="21" t="str">
        <f>IFERROR(VLOOKUP(November[[#This Row],[Drug Name4]],'Data Options'!$R$1:$S$100,2,FALSE), " ")</f>
        <v xml:space="preserve"> </v>
      </c>
      <c r="AT57" s="55"/>
      <c r="AU57" s="32"/>
      <c r="AV57" s="32"/>
      <c r="AW57" s="55"/>
      <c r="AX57" s="32"/>
      <c r="AY57" s="54"/>
      <c r="AZ57" s="21" t="str">
        <f>IFERROR(VLOOKUP(November[[#This Row],[Drug Name5]],'Data Options'!$R$1:$S$100,2,FALSE), " ")</f>
        <v xml:space="preserve"> </v>
      </c>
      <c r="BA57" s="55"/>
      <c r="BB57" s="32"/>
      <c r="BC57" s="32"/>
      <c r="BD57" s="55"/>
      <c r="BE57" s="32"/>
      <c r="BF57" s="54"/>
      <c r="BG57" s="21" t="str">
        <f>IFERROR(VLOOKUP(November[[#This Row],[Drug Name6]],'Data Options'!$R$1:$S$100,2,FALSE), " ")</f>
        <v xml:space="preserve"> </v>
      </c>
      <c r="BH57" s="55"/>
      <c r="BI57" s="32"/>
      <c r="BJ57" s="32"/>
      <c r="BK57" s="55"/>
      <c r="BL57" s="32"/>
      <c r="BM57" s="32"/>
      <c r="BN57" s="32"/>
      <c r="BO57" s="32"/>
      <c r="BP57" s="32"/>
      <c r="BQ57" s="31"/>
      <c r="BR57" s="31"/>
      <c r="BS57" s="54"/>
      <c r="BT57" s="21" t="str">
        <f>IFERROR(VLOOKUP(November[[#This Row],[Drug Name7]],'Data Options'!$R$1:$S$100,2,FALSE), " ")</f>
        <v xml:space="preserve"> </v>
      </c>
      <c r="BU57" s="55"/>
      <c r="BV57" s="32"/>
      <c r="BW57" s="32"/>
      <c r="BX57" s="55"/>
      <c r="BY57" s="32"/>
      <c r="BZ57" s="54"/>
      <c r="CA57" s="21" t="str">
        <f>IFERROR(VLOOKUP(November[[#This Row],[Drug Name8]],'Data Options'!$R$1:$S$100,2,FALSE), " ")</f>
        <v xml:space="preserve"> </v>
      </c>
      <c r="CB57" s="55"/>
      <c r="CC57" s="32"/>
      <c r="CD57" s="32"/>
      <c r="CE57" s="55"/>
      <c r="CF57" s="32"/>
      <c r="CG57" s="54"/>
      <c r="CH57" s="21" t="str">
        <f>IFERROR(VLOOKUP(November[[#This Row],[Drug Name9]],'Data Options'!$R$1:$S$100,2,FALSE), " ")</f>
        <v xml:space="preserve"> </v>
      </c>
      <c r="CI57" s="55"/>
      <c r="CJ57" s="32"/>
      <c r="CK57" s="32"/>
      <c r="CL57" s="55"/>
      <c r="CM57" s="32"/>
    </row>
    <row r="58" spans="1:9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54"/>
      <c r="R58" s="21" t="str">
        <f>IFERROR(VLOOKUP(November[[#This Row],[Drug Name]],'Data Options'!$R$1:$S$100,2,FALSE), " ")</f>
        <v xml:space="preserve"> </v>
      </c>
      <c r="S58" s="55"/>
      <c r="T58" s="32"/>
      <c r="U58" s="32"/>
      <c r="V58" s="55"/>
      <c r="W58" s="32"/>
      <c r="X58" s="54"/>
      <c r="Y58" s="21" t="str">
        <f>IFERROR(VLOOKUP(November[[#This Row],[Drug Name2]],'Data Options'!$R$1:$S$100,2,FALSE), " ")</f>
        <v xml:space="preserve"> </v>
      </c>
      <c r="Z58" s="55"/>
      <c r="AA58" s="32"/>
      <c r="AB58" s="32"/>
      <c r="AC58" s="55"/>
      <c r="AD58" s="32"/>
      <c r="AE58" s="54"/>
      <c r="AF58" s="21" t="str">
        <f>IFERROR(VLOOKUP(November[[#This Row],[Drug Name3]],'Data Options'!$R$1:$S$100,2,FALSE), " ")</f>
        <v xml:space="preserve"> </v>
      </c>
      <c r="AG58" s="55"/>
      <c r="AH58" s="32"/>
      <c r="AI58" s="32"/>
      <c r="AJ58" s="55"/>
      <c r="AK58" s="32"/>
      <c r="AL58" s="32"/>
      <c r="AM58" s="32"/>
      <c r="AN58" s="32"/>
      <c r="AO58" s="32"/>
      <c r="AP58" s="31"/>
      <c r="AQ58" s="31"/>
      <c r="AR58" s="54"/>
      <c r="AS58" s="21" t="str">
        <f>IFERROR(VLOOKUP(November[[#This Row],[Drug Name4]],'Data Options'!$R$1:$S$100,2,FALSE), " ")</f>
        <v xml:space="preserve"> </v>
      </c>
      <c r="AT58" s="55"/>
      <c r="AU58" s="32"/>
      <c r="AV58" s="32"/>
      <c r="AW58" s="55"/>
      <c r="AX58" s="32"/>
      <c r="AY58" s="54"/>
      <c r="AZ58" s="21" t="str">
        <f>IFERROR(VLOOKUP(November[[#This Row],[Drug Name5]],'Data Options'!$R$1:$S$100,2,FALSE), " ")</f>
        <v xml:space="preserve"> </v>
      </c>
      <c r="BA58" s="55"/>
      <c r="BB58" s="32"/>
      <c r="BC58" s="32"/>
      <c r="BD58" s="55"/>
      <c r="BE58" s="32"/>
      <c r="BF58" s="54"/>
      <c r="BG58" s="21" t="str">
        <f>IFERROR(VLOOKUP(November[[#This Row],[Drug Name6]],'Data Options'!$R$1:$S$100,2,FALSE), " ")</f>
        <v xml:space="preserve"> </v>
      </c>
      <c r="BH58" s="55"/>
      <c r="BI58" s="32"/>
      <c r="BJ58" s="32"/>
      <c r="BK58" s="55"/>
      <c r="BL58" s="32"/>
      <c r="BM58" s="32"/>
      <c r="BN58" s="32"/>
      <c r="BO58" s="32"/>
      <c r="BP58" s="32"/>
      <c r="BQ58" s="31"/>
      <c r="BR58" s="31"/>
      <c r="BS58" s="54"/>
      <c r="BT58" s="21" t="str">
        <f>IFERROR(VLOOKUP(November[[#This Row],[Drug Name7]],'Data Options'!$R$1:$S$100,2,FALSE), " ")</f>
        <v xml:space="preserve"> </v>
      </c>
      <c r="BU58" s="55"/>
      <c r="BV58" s="32"/>
      <c r="BW58" s="32"/>
      <c r="BX58" s="55"/>
      <c r="BY58" s="32"/>
      <c r="BZ58" s="54"/>
      <c r="CA58" s="21" t="str">
        <f>IFERROR(VLOOKUP(November[[#This Row],[Drug Name8]],'Data Options'!$R$1:$S$100,2,FALSE), " ")</f>
        <v xml:space="preserve"> </v>
      </c>
      <c r="CB58" s="55"/>
      <c r="CC58" s="32"/>
      <c r="CD58" s="32"/>
      <c r="CE58" s="55"/>
      <c r="CF58" s="32"/>
      <c r="CG58" s="54"/>
      <c r="CH58" s="21" t="str">
        <f>IFERROR(VLOOKUP(November[[#This Row],[Drug Name9]],'Data Options'!$R$1:$S$100,2,FALSE), " ")</f>
        <v xml:space="preserve"> </v>
      </c>
      <c r="CI58" s="55"/>
      <c r="CJ58" s="32"/>
      <c r="CK58" s="32"/>
      <c r="CL58" s="55"/>
      <c r="CM58" s="32"/>
    </row>
    <row r="59" spans="1:91">
      <c r="A59" s="5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31"/>
      <c r="Q59" s="54"/>
      <c r="R59" s="21" t="str">
        <f>IFERROR(VLOOKUP(November[[#This Row],[Drug Name]],'Data Options'!$R$1:$S$100,2,FALSE), " ")</f>
        <v xml:space="preserve"> </v>
      </c>
      <c r="S59" s="55"/>
      <c r="T59" s="32"/>
      <c r="U59" s="32"/>
      <c r="V59" s="55"/>
      <c r="W59" s="32"/>
      <c r="X59" s="54"/>
      <c r="Y59" s="21" t="str">
        <f>IFERROR(VLOOKUP(November[[#This Row],[Drug Name2]],'Data Options'!$R$1:$S$100,2,FALSE), " ")</f>
        <v xml:space="preserve"> </v>
      </c>
      <c r="Z59" s="55"/>
      <c r="AA59" s="32"/>
      <c r="AB59" s="32"/>
      <c r="AC59" s="55"/>
      <c r="AD59" s="32"/>
      <c r="AE59" s="54"/>
      <c r="AF59" s="21" t="str">
        <f>IFERROR(VLOOKUP(November[[#This Row],[Drug Name3]],'Data Options'!$R$1:$S$100,2,FALSE), " ")</f>
        <v xml:space="preserve"> </v>
      </c>
      <c r="AG59" s="55"/>
      <c r="AH59" s="32"/>
      <c r="AI59" s="32"/>
      <c r="AJ59" s="55"/>
      <c r="AK59" s="32"/>
      <c r="AL59" s="32"/>
      <c r="AM59" s="32"/>
      <c r="AN59" s="32"/>
      <c r="AO59" s="32"/>
      <c r="AP59" s="31"/>
      <c r="AQ59" s="31"/>
      <c r="AR59" s="54"/>
      <c r="AS59" s="21" t="str">
        <f>IFERROR(VLOOKUP(November[[#This Row],[Drug Name4]],'Data Options'!$R$1:$S$100,2,FALSE), " ")</f>
        <v xml:space="preserve"> </v>
      </c>
      <c r="AT59" s="55"/>
      <c r="AU59" s="32"/>
      <c r="AV59" s="32"/>
      <c r="AW59" s="55"/>
      <c r="AX59" s="32"/>
      <c r="AY59" s="54"/>
      <c r="AZ59" s="21" t="str">
        <f>IFERROR(VLOOKUP(November[[#This Row],[Drug Name5]],'Data Options'!$R$1:$S$100,2,FALSE), " ")</f>
        <v xml:space="preserve"> </v>
      </c>
      <c r="BA59" s="55"/>
      <c r="BB59" s="32"/>
      <c r="BC59" s="32"/>
      <c r="BD59" s="55"/>
      <c r="BE59" s="32"/>
      <c r="BF59" s="54"/>
      <c r="BG59" s="21" t="str">
        <f>IFERROR(VLOOKUP(November[[#This Row],[Drug Name6]],'Data Options'!$R$1:$S$100,2,FALSE), " ")</f>
        <v xml:space="preserve"> </v>
      </c>
      <c r="BH59" s="55"/>
      <c r="BI59" s="32"/>
      <c r="BJ59" s="32"/>
      <c r="BK59" s="55"/>
      <c r="BL59" s="32"/>
      <c r="BM59" s="32"/>
      <c r="BN59" s="32"/>
      <c r="BO59" s="32"/>
      <c r="BP59" s="32"/>
      <c r="BQ59" s="31"/>
      <c r="BR59" s="31"/>
      <c r="BS59" s="54"/>
      <c r="BT59" s="21" t="str">
        <f>IFERROR(VLOOKUP(November[[#This Row],[Drug Name7]],'Data Options'!$R$1:$S$100,2,FALSE), " ")</f>
        <v xml:space="preserve"> </v>
      </c>
      <c r="BU59" s="55"/>
      <c r="BV59" s="32"/>
      <c r="BW59" s="32"/>
      <c r="BX59" s="55"/>
      <c r="BY59" s="32"/>
      <c r="BZ59" s="54"/>
      <c r="CA59" s="21" t="str">
        <f>IFERROR(VLOOKUP(November[[#This Row],[Drug Name8]],'Data Options'!$R$1:$S$100,2,FALSE), " ")</f>
        <v xml:space="preserve"> </v>
      </c>
      <c r="CB59" s="55"/>
      <c r="CC59" s="32"/>
      <c r="CD59" s="32"/>
      <c r="CE59" s="55"/>
      <c r="CF59" s="32"/>
      <c r="CG59" s="54"/>
      <c r="CH59" s="21" t="str">
        <f>IFERROR(VLOOKUP(November[[#This Row],[Drug Name9]],'Data Options'!$R$1:$S$100,2,FALSE), " ")</f>
        <v xml:space="preserve"> </v>
      </c>
      <c r="CI59" s="55"/>
      <c r="CJ59" s="32"/>
      <c r="CK59" s="32"/>
      <c r="CL59" s="55"/>
      <c r="CM59" s="32"/>
    </row>
    <row r="60" spans="1:91">
      <c r="A60" s="5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31"/>
      <c r="Q60" s="54"/>
      <c r="R60" s="21" t="str">
        <f>IFERROR(VLOOKUP(November[[#This Row],[Drug Name]],'Data Options'!$R$1:$S$100,2,FALSE), " ")</f>
        <v xml:space="preserve"> </v>
      </c>
      <c r="S60" s="55"/>
      <c r="T60" s="32"/>
      <c r="U60" s="32"/>
      <c r="V60" s="55"/>
      <c r="W60" s="32"/>
      <c r="X60" s="54"/>
      <c r="Y60" s="21" t="str">
        <f>IFERROR(VLOOKUP(November[[#This Row],[Drug Name2]],'Data Options'!$R$1:$S$100,2,FALSE), " ")</f>
        <v xml:space="preserve"> </v>
      </c>
      <c r="Z60" s="55"/>
      <c r="AA60" s="32"/>
      <c r="AB60" s="32"/>
      <c r="AC60" s="55"/>
      <c r="AD60" s="32"/>
      <c r="AE60" s="54"/>
      <c r="AF60" s="21" t="str">
        <f>IFERROR(VLOOKUP(November[[#This Row],[Drug Name3]],'Data Options'!$R$1:$S$100,2,FALSE), " ")</f>
        <v xml:space="preserve"> </v>
      </c>
      <c r="AG60" s="55"/>
      <c r="AH60" s="32"/>
      <c r="AI60" s="32"/>
      <c r="AJ60" s="55"/>
      <c r="AK60" s="32"/>
      <c r="AL60" s="32"/>
      <c r="AM60" s="32"/>
      <c r="AN60" s="32"/>
      <c r="AO60" s="32"/>
      <c r="AP60" s="31"/>
      <c r="AQ60" s="31"/>
      <c r="AR60" s="54"/>
      <c r="AS60" s="21" t="str">
        <f>IFERROR(VLOOKUP(November[[#This Row],[Drug Name4]],'Data Options'!$R$1:$S$100,2,FALSE), " ")</f>
        <v xml:space="preserve"> </v>
      </c>
      <c r="AT60" s="55"/>
      <c r="AU60" s="32"/>
      <c r="AV60" s="32"/>
      <c r="AW60" s="55"/>
      <c r="AX60" s="32"/>
      <c r="AY60" s="54"/>
      <c r="AZ60" s="21" t="str">
        <f>IFERROR(VLOOKUP(November[[#This Row],[Drug Name5]],'Data Options'!$R$1:$S$100,2,FALSE), " ")</f>
        <v xml:space="preserve"> </v>
      </c>
      <c r="BA60" s="55"/>
      <c r="BB60" s="32"/>
      <c r="BC60" s="32"/>
      <c r="BD60" s="55"/>
      <c r="BE60" s="32"/>
      <c r="BF60" s="54"/>
      <c r="BG60" s="21" t="str">
        <f>IFERROR(VLOOKUP(November[[#This Row],[Drug Name6]],'Data Options'!$R$1:$S$100,2,FALSE), " ")</f>
        <v xml:space="preserve"> </v>
      </c>
      <c r="BH60" s="55"/>
      <c r="BI60" s="32"/>
      <c r="BJ60" s="32"/>
      <c r="BK60" s="55"/>
      <c r="BL60" s="32"/>
      <c r="BM60" s="32"/>
      <c r="BN60" s="32"/>
      <c r="BO60" s="32"/>
      <c r="BP60" s="32"/>
      <c r="BQ60" s="31"/>
      <c r="BR60" s="31"/>
      <c r="BS60" s="54"/>
      <c r="BT60" s="21" t="str">
        <f>IFERROR(VLOOKUP(November[[#This Row],[Drug Name7]],'Data Options'!$R$1:$S$100,2,FALSE), " ")</f>
        <v xml:space="preserve"> </v>
      </c>
      <c r="BU60" s="55"/>
      <c r="BV60" s="32"/>
      <c r="BW60" s="32"/>
      <c r="BX60" s="55"/>
      <c r="BY60" s="32"/>
      <c r="BZ60" s="54"/>
      <c r="CA60" s="21" t="str">
        <f>IFERROR(VLOOKUP(November[[#This Row],[Drug Name8]],'Data Options'!$R$1:$S$100,2,FALSE), " ")</f>
        <v xml:space="preserve"> </v>
      </c>
      <c r="CB60" s="55"/>
      <c r="CC60" s="32"/>
      <c r="CD60" s="32"/>
      <c r="CE60" s="55"/>
      <c r="CF60" s="32"/>
      <c r="CG60" s="54"/>
      <c r="CH60" s="21" t="str">
        <f>IFERROR(VLOOKUP(November[[#This Row],[Drug Name9]],'Data Options'!$R$1:$S$100,2,FALSE), " ")</f>
        <v xml:space="preserve"> </v>
      </c>
      <c r="CI60" s="55"/>
      <c r="CJ60" s="32"/>
      <c r="CK60" s="32"/>
      <c r="CL60" s="55"/>
      <c r="CM60" s="32"/>
    </row>
    <row r="61" spans="1:91">
      <c r="A61" s="5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31"/>
      <c r="Q61" s="54"/>
      <c r="R61" s="21" t="str">
        <f>IFERROR(VLOOKUP(November[[#This Row],[Drug Name]],'Data Options'!$R$1:$S$100,2,FALSE), " ")</f>
        <v xml:space="preserve"> </v>
      </c>
      <c r="S61" s="55"/>
      <c r="T61" s="32"/>
      <c r="U61" s="32"/>
      <c r="V61" s="55"/>
      <c r="W61" s="32"/>
      <c r="X61" s="54"/>
      <c r="Y61" s="21" t="str">
        <f>IFERROR(VLOOKUP(November[[#This Row],[Drug Name2]],'Data Options'!$R$1:$S$100,2,FALSE), " ")</f>
        <v xml:space="preserve"> </v>
      </c>
      <c r="Z61" s="55"/>
      <c r="AA61" s="32"/>
      <c r="AB61" s="32"/>
      <c r="AC61" s="55"/>
      <c r="AD61" s="32"/>
      <c r="AE61" s="54"/>
      <c r="AF61" s="21" t="str">
        <f>IFERROR(VLOOKUP(November[[#This Row],[Drug Name3]],'Data Options'!$R$1:$S$100,2,FALSE), " ")</f>
        <v xml:space="preserve"> </v>
      </c>
      <c r="AG61" s="55"/>
      <c r="AH61" s="32"/>
      <c r="AI61" s="32"/>
      <c r="AJ61" s="55"/>
      <c r="AK61" s="32"/>
      <c r="AL61" s="32"/>
      <c r="AM61" s="32"/>
      <c r="AN61" s="32"/>
      <c r="AO61" s="32"/>
      <c r="AP61" s="31"/>
      <c r="AQ61" s="31"/>
      <c r="AR61" s="54"/>
      <c r="AS61" s="21" t="str">
        <f>IFERROR(VLOOKUP(November[[#This Row],[Drug Name4]],'Data Options'!$R$1:$S$100,2,FALSE), " ")</f>
        <v xml:space="preserve"> </v>
      </c>
      <c r="AT61" s="55"/>
      <c r="AU61" s="32"/>
      <c r="AV61" s="32"/>
      <c r="AW61" s="55"/>
      <c r="AX61" s="32"/>
      <c r="AY61" s="54"/>
      <c r="AZ61" s="21" t="str">
        <f>IFERROR(VLOOKUP(November[[#This Row],[Drug Name5]],'Data Options'!$R$1:$S$100,2,FALSE), " ")</f>
        <v xml:space="preserve"> </v>
      </c>
      <c r="BA61" s="55"/>
      <c r="BB61" s="32"/>
      <c r="BC61" s="32"/>
      <c r="BD61" s="55"/>
      <c r="BE61" s="32"/>
      <c r="BF61" s="54"/>
      <c r="BG61" s="21" t="str">
        <f>IFERROR(VLOOKUP(November[[#This Row],[Drug Name6]],'Data Options'!$R$1:$S$100,2,FALSE), " ")</f>
        <v xml:space="preserve"> </v>
      </c>
      <c r="BH61" s="55"/>
      <c r="BI61" s="32"/>
      <c r="BJ61" s="32"/>
      <c r="BK61" s="55"/>
      <c r="BL61" s="32"/>
      <c r="BM61" s="32"/>
      <c r="BN61" s="32"/>
      <c r="BO61" s="32"/>
      <c r="BP61" s="32"/>
      <c r="BQ61" s="31"/>
      <c r="BR61" s="31"/>
      <c r="BS61" s="54"/>
      <c r="BT61" s="21" t="str">
        <f>IFERROR(VLOOKUP(November[[#This Row],[Drug Name7]],'Data Options'!$R$1:$S$100,2,FALSE), " ")</f>
        <v xml:space="preserve"> </v>
      </c>
      <c r="BU61" s="55"/>
      <c r="BV61" s="32"/>
      <c r="BW61" s="32"/>
      <c r="BX61" s="55"/>
      <c r="BY61" s="32"/>
      <c r="BZ61" s="54"/>
      <c r="CA61" s="21" t="str">
        <f>IFERROR(VLOOKUP(November[[#This Row],[Drug Name8]],'Data Options'!$R$1:$S$100,2,FALSE), " ")</f>
        <v xml:space="preserve"> </v>
      </c>
      <c r="CB61" s="55"/>
      <c r="CC61" s="32"/>
      <c r="CD61" s="32"/>
      <c r="CE61" s="55"/>
      <c r="CF61" s="32"/>
      <c r="CG61" s="54"/>
      <c r="CH61" s="21" t="str">
        <f>IFERROR(VLOOKUP(November[[#This Row],[Drug Name9]],'Data Options'!$R$1:$S$100,2,FALSE), " ")</f>
        <v xml:space="preserve"> </v>
      </c>
      <c r="CI61" s="55"/>
      <c r="CJ61" s="32"/>
      <c r="CK61" s="32"/>
      <c r="CL61" s="55"/>
      <c r="CM61" s="32"/>
    </row>
    <row r="62" spans="1:9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31"/>
      <c r="Q62" s="54"/>
      <c r="R62" s="21" t="str">
        <f>IFERROR(VLOOKUP(November[[#This Row],[Drug Name]],'Data Options'!$R$1:$S$100,2,FALSE), " ")</f>
        <v xml:space="preserve"> </v>
      </c>
      <c r="S62" s="55"/>
      <c r="T62" s="32"/>
      <c r="U62" s="32"/>
      <c r="V62" s="55"/>
      <c r="W62" s="32"/>
      <c r="X62" s="54"/>
      <c r="Y62" s="21" t="str">
        <f>IFERROR(VLOOKUP(November[[#This Row],[Drug Name2]],'Data Options'!$R$1:$S$100,2,FALSE), " ")</f>
        <v xml:space="preserve"> </v>
      </c>
      <c r="Z62" s="55"/>
      <c r="AA62" s="32"/>
      <c r="AB62" s="32"/>
      <c r="AC62" s="55"/>
      <c r="AD62" s="32"/>
      <c r="AE62" s="54"/>
      <c r="AF62" s="21" t="str">
        <f>IFERROR(VLOOKUP(November[[#This Row],[Drug Name3]],'Data Options'!$R$1:$S$100,2,FALSE), " ")</f>
        <v xml:space="preserve"> </v>
      </c>
      <c r="AG62" s="55"/>
      <c r="AH62" s="32"/>
      <c r="AI62" s="32"/>
      <c r="AJ62" s="55"/>
      <c r="AK62" s="32"/>
      <c r="AL62" s="32"/>
      <c r="AM62" s="32"/>
      <c r="AN62" s="32"/>
      <c r="AO62" s="32"/>
      <c r="AP62" s="31"/>
      <c r="AQ62" s="31"/>
      <c r="AR62" s="54"/>
      <c r="AS62" s="21" t="str">
        <f>IFERROR(VLOOKUP(November[[#This Row],[Drug Name4]],'Data Options'!$R$1:$S$100,2,FALSE), " ")</f>
        <v xml:space="preserve"> </v>
      </c>
      <c r="AT62" s="55"/>
      <c r="AU62" s="32"/>
      <c r="AV62" s="32"/>
      <c r="AW62" s="55"/>
      <c r="AX62" s="32"/>
      <c r="AY62" s="54"/>
      <c r="AZ62" s="21" t="str">
        <f>IFERROR(VLOOKUP(November[[#This Row],[Drug Name5]],'Data Options'!$R$1:$S$100,2,FALSE), " ")</f>
        <v xml:space="preserve"> </v>
      </c>
      <c r="BA62" s="55"/>
      <c r="BB62" s="32"/>
      <c r="BC62" s="32"/>
      <c r="BD62" s="55"/>
      <c r="BE62" s="32"/>
      <c r="BF62" s="54"/>
      <c r="BG62" s="21" t="str">
        <f>IFERROR(VLOOKUP(November[[#This Row],[Drug Name6]],'Data Options'!$R$1:$S$100,2,FALSE), " ")</f>
        <v xml:space="preserve"> </v>
      </c>
      <c r="BH62" s="55"/>
      <c r="BI62" s="32"/>
      <c r="BJ62" s="32"/>
      <c r="BK62" s="55"/>
      <c r="BL62" s="32"/>
      <c r="BM62" s="32"/>
      <c r="BN62" s="32"/>
      <c r="BO62" s="32"/>
      <c r="BP62" s="32"/>
      <c r="BQ62" s="31"/>
      <c r="BR62" s="31"/>
      <c r="BS62" s="54"/>
      <c r="BT62" s="21" t="str">
        <f>IFERROR(VLOOKUP(November[[#This Row],[Drug Name7]],'Data Options'!$R$1:$S$100,2,FALSE), " ")</f>
        <v xml:space="preserve"> </v>
      </c>
      <c r="BU62" s="55"/>
      <c r="BV62" s="32"/>
      <c r="BW62" s="32"/>
      <c r="BX62" s="55"/>
      <c r="BY62" s="32"/>
      <c r="BZ62" s="54"/>
      <c r="CA62" s="21" t="str">
        <f>IFERROR(VLOOKUP(November[[#This Row],[Drug Name8]],'Data Options'!$R$1:$S$100,2,FALSE), " ")</f>
        <v xml:space="preserve"> </v>
      </c>
      <c r="CB62" s="55"/>
      <c r="CC62" s="32"/>
      <c r="CD62" s="32"/>
      <c r="CE62" s="55"/>
      <c r="CF62" s="32"/>
      <c r="CG62" s="54"/>
      <c r="CH62" s="21" t="str">
        <f>IFERROR(VLOOKUP(November[[#This Row],[Drug Name9]],'Data Options'!$R$1:$S$100,2,FALSE), " ")</f>
        <v xml:space="preserve"> </v>
      </c>
      <c r="CI62" s="55"/>
      <c r="CJ62" s="32"/>
      <c r="CK62" s="32"/>
      <c r="CL62" s="55"/>
      <c r="CM62" s="32"/>
    </row>
    <row r="63" spans="1:91">
      <c r="A63" s="5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31"/>
      <c r="Q63" s="54"/>
      <c r="R63" s="21" t="str">
        <f>IFERROR(VLOOKUP(November[[#This Row],[Drug Name]],'Data Options'!$R$1:$S$100,2,FALSE), " ")</f>
        <v xml:space="preserve"> </v>
      </c>
      <c r="S63" s="55"/>
      <c r="T63" s="32"/>
      <c r="U63" s="32"/>
      <c r="V63" s="55"/>
      <c r="W63" s="32"/>
      <c r="X63" s="54"/>
      <c r="Y63" s="21" t="str">
        <f>IFERROR(VLOOKUP(November[[#This Row],[Drug Name2]],'Data Options'!$R$1:$S$100,2,FALSE), " ")</f>
        <v xml:space="preserve"> </v>
      </c>
      <c r="Z63" s="55"/>
      <c r="AA63" s="32"/>
      <c r="AB63" s="32"/>
      <c r="AC63" s="55"/>
      <c r="AD63" s="32"/>
      <c r="AE63" s="54"/>
      <c r="AF63" s="21" t="str">
        <f>IFERROR(VLOOKUP(November[[#This Row],[Drug Name3]],'Data Options'!$R$1:$S$100,2,FALSE), " ")</f>
        <v xml:space="preserve"> </v>
      </c>
      <c r="AG63" s="55"/>
      <c r="AH63" s="32"/>
      <c r="AI63" s="32"/>
      <c r="AJ63" s="55"/>
      <c r="AK63" s="32"/>
      <c r="AL63" s="32"/>
      <c r="AM63" s="32"/>
      <c r="AN63" s="32"/>
      <c r="AO63" s="32"/>
      <c r="AP63" s="31"/>
      <c r="AQ63" s="31"/>
      <c r="AR63" s="54"/>
      <c r="AS63" s="21" t="str">
        <f>IFERROR(VLOOKUP(November[[#This Row],[Drug Name4]],'Data Options'!$R$1:$S$100,2,FALSE), " ")</f>
        <v xml:space="preserve"> </v>
      </c>
      <c r="AT63" s="55"/>
      <c r="AU63" s="32"/>
      <c r="AV63" s="32"/>
      <c r="AW63" s="55"/>
      <c r="AX63" s="32"/>
      <c r="AY63" s="54"/>
      <c r="AZ63" s="21" t="str">
        <f>IFERROR(VLOOKUP(November[[#This Row],[Drug Name5]],'Data Options'!$R$1:$S$100,2,FALSE), " ")</f>
        <v xml:space="preserve"> </v>
      </c>
      <c r="BA63" s="55"/>
      <c r="BB63" s="32"/>
      <c r="BC63" s="32"/>
      <c r="BD63" s="55"/>
      <c r="BE63" s="32"/>
      <c r="BF63" s="54"/>
      <c r="BG63" s="21" t="str">
        <f>IFERROR(VLOOKUP(November[[#This Row],[Drug Name6]],'Data Options'!$R$1:$S$100,2,FALSE), " ")</f>
        <v xml:space="preserve"> </v>
      </c>
      <c r="BH63" s="55"/>
      <c r="BI63" s="32"/>
      <c r="BJ63" s="32"/>
      <c r="BK63" s="55"/>
      <c r="BL63" s="32"/>
      <c r="BM63" s="32"/>
      <c r="BN63" s="32"/>
      <c r="BO63" s="32"/>
      <c r="BP63" s="32"/>
      <c r="BQ63" s="31"/>
      <c r="BR63" s="31"/>
      <c r="BS63" s="54"/>
      <c r="BT63" s="21" t="str">
        <f>IFERROR(VLOOKUP(November[[#This Row],[Drug Name7]],'Data Options'!$R$1:$S$100,2,FALSE), " ")</f>
        <v xml:space="preserve"> </v>
      </c>
      <c r="BU63" s="55"/>
      <c r="BV63" s="32"/>
      <c r="BW63" s="32"/>
      <c r="BX63" s="55"/>
      <c r="BY63" s="32"/>
      <c r="BZ63" s="54"/>
      <c r="CA63" s="21" t="str">
        <f>IFERROR(VLOOKUP(November[[#This Row],[Drug Name8]],'Data Options'!$R$1:$S$100,2,FALSE), " ")</f>
        <v xml:space="preserve"> </v>
      </c>
      <c r="CB63" s="55"/>
      <c r="CC63" s="32"/>
      <c r="CD63" s="32"/>
      <c r="CE63" s="55"/>
      <c r="CF63" s="32"/>
      <c r="CG63" s="54"/>
      <c r="CH63" s="21" t="str">
        <f>IFERROR(VLOOKUP(November[[#This Row],[Drug Name9]],'Data Options'!$R$1:$S$100,2,FALSE), " ")</f>
        <v xml:space="preserve"> </v>
      </c>
      <c r="CI63" s="55"/>
      <c r="CJ63" s="32"/>
      <c r="CK63" s="32"/>
      <c r="CL63" s="55"/>
      <c r="CM63" s="32"/>
    </row>
    <row r="64" spans="1:91">
      <c r="A64" s="5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31"/>
      <c r="Q64" s="54"/>
      <c r="R64" s="21" t="str">
        <f>IFERROR(VLOOKUP(November[[#This Row],[Drug Name]],'Data Options'!$R$1:$S$100,2,FALSE), " ")</f>
        <v xml:space="preserve"> </v>
      </c>
      <c r="S64" s="55"/>
      <c r="T64" s="32"/>
      <c r="U64" s="32"/>
      <c r="V64" s="55"/>
      <c r="W64" s="32"/>
      <c r="X64" s="54"/>
      <c r="Y64" s="21" t="str">
        <f>IFERROR(VLOOKUP(November[[#This Row],[Drug Name2]],'Data Options'!$R$1:$S$100,2,FALSE), " ")</f>
        <v xml:space="preserve"> </v>
      </c>
      <c r="Z64" s="55"/>
      <c r="AA64" s="32"/>
      <c r="AB64" s="32"/>
      <c r="AC64" s="55"/>
      <c r="AD64" s="32"/>
      <c r="AE64" s="54"/>
      <c r="AF64" s="21" t="str">
        <f>IFERROR(VLOOKUP(November[[#This Row],[Drug Name3]],'Data Options'!$R$1:$S$100,2,FALSE), " ")</f>
        <v xml:space="preserve"> </v>
      </c>
      <c r="AG64" s="55"/>
      <c r="AH64" s="32"/>
      <c r="AI64" s="32"/>
      <c r="AJ64" s="55"/>
      <c r="AK64" s="32"/>
      <c r="AL64" s="32"/>
      <c r="AM64" s="32"/>
      <c r="AN64" s="32"/>
      <c r="AO64" s="32"/>
      <c r="AP64" s="31"/>
      <c r="AQ64" s="31"/>
      <c r="AR64" s="54"/>
      <c r="AS64" s="21" t="str">
        <f>IFERROR(VLOOKUP(November[[#This Row],[Drug Name4]],'Data Options'!$R$1:$S$100,2,FALSE), " ")</f>
        <v xml:space="preserve"> </v>
      </c>
      <c r="AT64" s="55"/>
      <c r="AU64" s="32"/>
      <c r="AV64" s="32"/>
      <c r="AW64" s="55"/>
      <c r="AX64" s="32"/>
      <c r="AY64" s="54"/>
      <c r="AZ64" s="21" t="str">
        <f>IFERROR(VLOOKUP(November[[#This Row],[Drug Name5]],'Data Options'!$R$1:$S$100,2,FALSE), " ")</f>
        <v xml:space="preserve"> </v>
      </c>
      <c r="BA64" s="55"/>
      <c r="BB64" s="32"/>
      <c r="BC64" s="32"/>
      <c r="BD64" s="55"/>
      <c r="BE64" s="32"/>
      <c r="BF64" s="54"/>
      <c r="BG64" s="21" t="str">
        <f>IFERROR(VLOOKUP(November[[#This Row],[Drug Name6]],'Data Options'!$R$1:$S$100,2,FALSE), " ")</f>
        <v xml:space="preserve"> </v>
      </c>
      <c r="BH64" s="55"/>
      <c r="BI64" s="32"/>
      <c r="BJ64" s="32"/>
      <c r="BK64" s="55"/>
      <c r="BL64" s="32"/>
      <c r="BM64" s="32"/>
      <c r="BN64" s="32"/>
      <c r="BO64" s="32"/>
      <c r="BP64" s="32"/>
      <c r="BQ64" s="31"/>
      <c r="BR64" s="31"/>
      <c r="BS64" s="54"/>
      <c r="BT64" s="21" t="str">
        <f>IFERROR(VLOOKUP(November[[#This Row],[Drug Name7]],'Data Options'!$R$1:$S$100,2,FALSE), " ")</f>
        <v xml:space="preserve"> </v>
      </c>
      <c r="BU64" s="55"/>
      <c r="BV64" s="32"/>
      <c r="BW64" s="32"/>
      <c r="BX64" s="55"/>
      <c r="BY64" s="32"/>
      <c r="BZ64" s="54"/>
      <c r="CA64" s="21" t="str">
        <f>IFERROR(VLOOKUP(November[[#This Row],[Drug Name8]],'Data Options'!$R$1:$S$100,2,FALSE), " ")</f>
        <v xml:space="preserve"> </v>
      </c>
      <c r="CB64" s="55"/>
      <c r="CC64" s="32"/>
      <c r="CD64" s="32"/>
      <c r="CE64" s="55"/>
      <c r="CF64" s="32"/>
      <c r="CG64" s="54"/>
      <c r="CH64" s="21" t="str">
        <f>IFERROR(VLOOKUP(November[[#This Row],[Drug Name9]],'Data Options'!$R$1:$S$100,2,FALSE), " ")</f>
        <v xml:space="preserve"> </v>
      </c>
      <c r="CI64" s="55"/>
      <c r="CJ64" s="32"/>
      <c r="CK64" s="32"/>
      <c r="CL64" s="55"/>
      <c r="CM64" s="32"/>
    </row>
    <row r="65" spans="1:91">
      <c r="A65" s="5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54"/>
      <c r="R65" s="21" t="str">
        <f>IFERROR(VLOOKUP(November[[#This Row],[Drug Name]],'Data Options'!$R$1:$S$100,2,FALSE), " ")</f>
        <v xml:space="preserve"> </v>
      </c>
      <c r="S65" s="55"/>
      <c r="T65" s="32"/>
      <c r="U65" s="32"/>
      <c r="V65" s="55"/>
      <c r="W65" s="32"/>
      <c r="X65" s="54"/>
      <c r="Y65" s="21" t="str">
        <f>IFERROR(VLOOKUP(November[[#This Row],[Drug Name2]],'Data Options'!$R$1:$S$100,2,FALSE), " ")</f>
        <v xml:space="preserve"> </v>
      </c>
      <c r="Z65" s="55"/>
      <c r="AA65" s="32"/>
      <c r="AB65" s="32"/>
      <c r="AC65" s="55"/>
      <c r="AD65" s="32"/>
      <c r="AE65" s="54"/>
      <c r="AF65" s="21" t="str">
        <f>IFERROR(VLOOKUP(November[[#This Row],[Drug Name3]],'Data Options'!$R$1:$S$100,2,FALSE), " ")</f>
        <v xml:space="preserve"> </v>
      </c>
      <c r="AG65" s="55"/>
      <c r="AH65" s="32"/>
      <c r="AI65" s="32"/>
      <c r="AJ65" s="55"/>
      <c r="AK65" s="32"/>
      <c r="AL65" s="32"/>
      <c r="AM65" s="32"/>
      <c r="AN65" s="32"/>
      <c r="AO65" s="32"/>
      <c r="AP65" s="31"/>
      <c r="AQ65" s="31"/>
      <c r="AR65" s="54"/>
      <c r="AS65" s="21" t="str">
        <f>IFERROR(VLOOKUP(November[[#This Row],[Drug Name4]],'Data Options'!$R$1:$S$100,2,FALSE), " ")</f>
        <v xml:space="preserve"> </v>
      </c>
      <c r="AT65" s="55"/>
      <c r="AU65" s="32"/>
      <c r="AV65" s="32"/>
      <c r="AW65" s="55"/>
      <c r="AX65" s="32"/>
      <c r="AY65" s="54"/>
      <c r="AZ65" s="21" t="str">
        <f>IFERROR(VLOOKUP(November[[#This Row],[Drug Name5]],'Data Options'!$R$1:$S$100,2,FALSE), " ")</f>
        <v xml:space="preserve"> </v>
      </c>
      <c r="BA65" s="55"/>
      <c r="BB65" s="32"/>
      <c r="BC65" s="32"/>
      <c r="BD65" s="55"/>
      <c r="BE65" s="32"/>
      <c r="BF65" s="54"/>
      <c r="BG65" s="21" t="str">
        <f>IFERROR(VLOOKUP(November[[#This Row],[Drug Name6]],'Data Options'!$R$1:$S$100,2,FALSE), " ")</f>
        <v xml:space="preserve"> </v>
      </c>
      <c r="BH65" s="55"/>
      <c r="BI65" s="32"/>
      <c r="BJ65" s="32"/>
      <c r="BK65" s="55"/>
      <c r="BL65" s="32"/>
      <c r="BM65" s="32"/>
      <c r="BN65" s="32"/>
      <c r="BO65" s="32"/>
      <c r="BP65" s="32"/>
      <c r="BQ65" s="31"/>
      <c r="BR65" s="31"/>
      <c r="BS65" s="54"/>
      <c r="BT65" s="21" t="str">
        <f>IFERROR(VLOOKUP(November[[#This Row],[Drug Name7]],'Data Options'!$R$1:$S$100,2,FALSE), " ")</f>
        <v xml:space="preserve"> </v>
      </c>
      <c r="BU65" s="55"/>
      <c r="BV65" s="32"/>
      <c r="BW65" s="32"/>
      <c r="BX65" s="55"/>
      <c r="BY65" s="32"/>
      <c r="BZ65" s="54"/>
      <c r="CA65" s="21" t="str">
        <f>IFERROR(VLOOKUP(November[[#This Row],[Drug Name8]],'Data Options'!$R$1:$S$100,2,FALSE), " ")</f>
        <v xml:space="preserve"> </v>
      </c>
      <c r="CB65" s="55"/>
      <c r="CC65" s="32"/>
      <c r="CD65" s="32"/>
      <c r="CE65" s="55"/>
      <c r="CF65" s="32"/>
      <c r="CG65" s="54"/>
      <c r="CH65" s="21" t="str">
        <f>IFERROR(VLOOKUP(November[[#This Row],[Drug Name9]],'Data Options'!$R$1:$S$100,2,FALSE), " ")</f>
        <v xml:space="preserve"> </v>
      </c>
      <c r="CI65" s="55"/>
      <c r="CJ65" s="32"/>
      <c r="CK65" s="32"/>
      <c r="CL65" s="55"/>
      <c r="CM65" s="32"/>
    </row>
    <row r="66" spans="1:91">
      <c r="A66" s="5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31"/>
      <c r="Q66" s="54"/>
      <c r="R66" s="21" t="str">
        <f>IFERROR(VLOOKUP(November[[#This Row],[Drug Name]],'Data Options'!$R$1:$S$100,2,FALSE), " ")</f>
        <v xml:space="preserve"> </v>
      </c>
      <c r="S66" s="55"/>
      <c r="T66" s="32"/>
      <c r="U66" s="32"/>
      <c r="V66" s="55"/>
      <c r="W66" s="32"/>
      <c r="X66" s="54"/>
      <c r="Y66" s="21" t="str">
        <f>IFERROR(VLOOKUP(November[[#This Row],[Drug Name2]],'Data Options'!$R$1:$S$100,2,FALSE), " ")</f>
        <v xml:space="preserve"> </v>
      </c>
      <c r="Z66" s="55"/>
      <c r="AA66" s="32"/>
      <c r="AB66" s="32"/>
      <c r="AC66" s="55"/>
      <c r="AD66" s="32"/>
      <c r="AE66" s="54"/>
      <c r="AF66" s="21" t="str">
        <f>IFERROR(VLOOKUP(November[[#This Row],[Drug Name3]],'Data Options'!$R$1:$S$100,2,FALSE), " ")</f>
        <v xml:space="preserve"> </v>
      </c>
      <c r="AG66" s="55"/>
      <c r="AH66" s="32"/>
      <c r="AI66" s="32"/>
      <c r="AJ66" s="55"/>
      <c r="AK66" s="32"/>
      <c r="AL66" s="32"/>
      <c r="AM66" s="32"/>
      <c r="AN66" s="32"/>
      <c r="AO66" s="32"/>
      <c r="AP66" s="31"/>
      <c r="AQ66" s="31"/>
      <c r="AR66" s="54"/>
      <c r="AS66" s="21" t="str">
        <f>IFERROR(VLOOKUP(November[[#This Row],[Drug Name4]],'Data Options'!$R$1:$S$100,2,FALSE), " ")</f>
        <v xml:space="preserve"> </v>
      </c>
      <c r="AT66" s="55"/>
      <c r="AU66" s="32"/>
      <c r="AV66" s="32"/>
      <c r="AW66" s="55"/>
      <c r="AX66" s="32"/>
      <c r="AY66" s="54"/>
      <c r="AZ66" s="21" t="str">
        <f>IFERROR(VLOOKUP(November[[#This Row],[Drug Name5]],'Data Options'!$R$1:$S$100,2,FALSE), " ")</f>
        <v xml:space="preserve"> </v>
      </c>
      <c r="BA66" s="55"/>
      <c r="BB66" s="32"/>
      <c r="BC66" s="32"/>
      <c r="BD66" s="55"/>
      <c r="BE66" s="32"/>
      <c r="BF66" s="54"/>
      <c r="BG66" s="21" t="str">
        <f>IFERROR(VLOOKUP(November[[#This Row],[Drug Name6]],'Data Options'!$R$1:$S$100,2,FALSE), " ")</f>
        <v xml:space="preserve"> </v>
      </c>
      <c r="BH66" s="55"/>
      <c r="BI66" s="32"/>
      <c r="BJ66" s="32"/>
      <c r="BK66" s="55"/>
      <c r="BL66" s="32"/>
      <c r="BM66" s="32"/>
      <c r="BN66" s="32"/>
      <c r="BO66" s="32"/>
      <c r="BP66" s="32"/>
      <c r="BQ66" s="31"/>
      <c r="BR66" s="31"/>
      <c r="BS66" s="54"/>
      <c r="BT66" s="21" t="str">
        <f>IFERROR(VLOOKUP(November[[#This Row],[Drug Name7]],'Data Options'!$R$1:$S$100,2,FALSE), " ")</f>
        <v xml:space="preserve"> </v>
      </c>
      <c r="BU66" s="55"/>
      <c r="BV66" s="32"/>
      <c r="BW66" s="32"/>
      <c r="BX66" s="55"/>
      <c r="BY66" s="32"/>
      <c r="BZ66" s="54"/>
      <c r="CA66" s="21" t="str">
        <f>IFERROR(VLOOKUP(November[[#This Row],[Drug Name8]],'Data Options'!$R$1:$S$100,2,FALSE), " ")</f>
        <v xml:space="preserve"> </v>
      </c>
      <c r="CB66" s="55"/>
      <c r="CC66" s="32"/>
      <c r="CD66" s="32"/>
      <c r="CE66" s="55"/>
      <c r="CF66" s="32"/>
      <c r="CG66" s="54"/>
      <c r="CH66" s="21" t="str">
        <f>IFERROR(VLOOKUP(November[[#This Row],[Drug Name9]],'Data Options'!$R$1:$S$100,2,FALSE), " ")</f>
        <v xml:space="preserve"> </v>
      </c>
      <c r="CI66" s="55"/>
      <c r="CJ66" s="32"/>
      <c r="CK66" s="32"/>
      <c r="CL66" s="55"/>
      <c r="CM66" s="32"/>
    </row>
    <row r="67" spans="1:91">
      <c r="A67" s="5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31"/>
      <c r="Q67" s="54"/>
      <c r="R67" s="21" t="str">
        <f>IFERROR(VLOOKUP(November[[#This Row],[Drug Name]],'Data Options'!$R$1:$S$100,2,FALSE), " ")</f>
        <v xml:space="preserve"> </v>
      </c>
      <c r="S67" s="55"/>
      <c r="T67" s="32"/>
      <c r="U67" s="32"/>
      <c r="V67" s="55"/>
      <c r="W67" s="32"/>
      <c r="X67" s="54"/>
      <c r="Y67" s="21" t="str">
        <f>IFERROR(VLOOKUP(November[[#This Row],[Drug Name2]],'Data Options'!$R$1:$S$100,2,FALSE), " ")</f>
        <v xml:space="preserve"> </v>
      </c>
      <c r="Z67" s="55"/>
      <c r="AA67" s="32"/>
      <c r="AB67" s="32"/>
      <c r="AC67" s="55"/>
      <c r="AD67" s="32"/>
      <c r="AE67" s="54"/>
      <c r="AF67" s="21" t="str">
        <f>IFERROR(VLOOKUP(November[[#This Row],[Drug Name3]],'Data Options'!$R$1:$S$100,2,FALSE), " ")</f>
        <v xml:space="preserve"> </v>
      </c>
      <c r="AG67" s="55"/>
      <c r="AH67" s="32"/>
      <c r="AI67" s="32"/>
      <c r="AJ67" s="55"/>
      <c r="AK67" s="32"/>
      <c r="AL67" s="32"/>
      <c r="AM67" s="32"/>
      <c r="AN67" s="32"/>
      <c r="AO67" s="32"/>
      <c r="AP67" s="31"/>
      <c r="AQ67" s="31"/>
      <c r="AR67" s="54"/>
      <c r="AS67" s="21" t="str">
        <f>IFERROR(VLOOKUP(November[[#This Row],[Drug Name4]],'Data Options'!$R$1:$S$100,2,FALSE), " ")</f>
        <v xml:space="preserve"> </v>
      </c>
      <c r="AT67" s="55"/>
      <c r="AU67" s="32"/>
      <c r="AV67" s="32"/>
      <c r="AW67" s="55"/>
      <c r="AX67" s="32"/>
      <c r="AY67" s="54"/>
      <c r="AZ67" s="21" t="str">
        <f>IFERROR(VLOOKUP(November[[#This Row],[Drug Name5]],'Data Options'!$R$1:$S$100,2,FALSE), " ")</f>
        <v xml:space="preserve"> </v>
      </c>
      <c r="BA67" s="55"/>
      <c r="BB67" s="32"/>
      <c r="BC67" s="32"/>
      <c r="BD67" s="55"/>
      <c r="BE67" s="32"/>
      <c r="BF67" s="54"/>
      <c r="BG67" s="21" t="str">
        <f>IFERROR(VLOOKUP(November[[#This Row],[Drug Name6]],'Data Options'!$R$1:$S$100,2,FALSE), " ")</f>
        <v xml:space="preserve"> </v>
      </c>
      <c r="BH67" s="55"/>
      <c r="BI67" s="32"/>
      <c r="BJ67" s="32"/>
      <c r="BK67" s="55"/>
      <c r="BL67" s="32"/>
      <c r="BM67" s="32"/>
      <c r="BN67" s="32"/>
      <c r="BO67" s="32"/>
      <c r="BP67" s="32"/>
      <c r="BQ67" s="31"/>
      <c r="BR67" s="31"/>
      <c r="BS67" s="54"/>
      <c r="BT67" s="21" t="str">
        <f>IFERROR(VLOOKUP(November[[#This Row],[Drug Name7]],'Data Options'!$R$1:$S$100,2,FALSE), " ")</f>
        <v xml:space="preserve"> </v>
      </c>
      <c r="BU67" s="55"/>
      <c r="BV67" s="32"/>
      <c r="BW67" s="32"/>
      <c r="BX67" s="55"/>
      <c r="BY67" s="32"/>
      <c r="BZ67" s="54"/>
      <c r="CA67" s="21" t="str">
        <f>IFERROR(VLOOKUP(November[[#This Row],[Drug Name8]],'Data Options'!$R$1:$S$100,2,FALSE), " ")</f>
        <v xml:space="preserve"> </v>
      </c>
      <c r="CB67" s="55"/>
      <c r="CC67" s="32"/>
      <c r="CD67" s="32"/>
      <c r="CE67" s="55"/>
      <c r="CF67" s="32"/>
      <c r="CG67" s="54"/>
      <c r="CH67" s="21" t="str">
        <f>IFERROR(VLOOKUP(November[[#This Row],[Drug Name9]],'Data Options'!$R$1:$S$100,2,FALSE), " ")</f>
        <v xml:space="preserve"> </v>
      </c>
      <c r="CI67" s="55"/>
      <c r="CJ67" s="32"/>
      <c r="CK67" s="32"/>
      <c r="CL67" s="55"/>
      <c r="CM67" s="32"/>
    </row>
    <row r="68" spans="1:91">
      <c r="A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31"/>
      <c r="Q68" s="54"/>
      <c r="R68" s="21" t="str">
        <f>IFERROR(VLOOKUP(November[[#This Row],[Drug Name]],'Data Options'!$R$1:$S$100,2,FALSE), " ")</f>
        <v xml:space="preserve"> </v>
      </c>
      <c r="S68" s="55"/>
      <c r="T68" s="32"/>
      <c r="U68" s="32"/>
      <c r="V68" s="55"/>
      <c r="W68" s="32"/>
      <c r="X68" s="54"/>
      <c r="Y68" s="21" t="str">
        <f>IFERROR(VLOOKUP(November[[#This Row],[Drug Name2]],'Data Options'!$R$1:$S$100,2,FALSE), " ")</f>
        <v xml:space="preserve"> </v>
      </c>
      <c r="Z68" s="55"/>
      <c r="AA68" s="32"/>
      <c r="AB68" s="32"/>
      <c r="AC68" s="55"/>
      <c r="AD68" s="32"/>
      <c r="AE68" s="54"/>
      <c r="AF68" s="21" t="str">
        <f>IFERROR(VLOOKUP(November[[#This Row],[Drug Name3]],'Data Options'!$R$1:$S$100,2,FALSE), " ")</f>
        <v xml:space="preserve"> </v>
      </c>
      <c r="AG68" s="55"/>
      <c r="AH68" s="32"/>
      <c r="AI68" s="32"/>
      <c r="AJ68" s="55"/>
      <c r="AK68" s="32"/>
      <c r="AL68" s="32"/>
      <c r="AM68" s="32"/>
      <c r="AN68" s="32"/>
      <c r="AO68" s="32"/>
      <c r="AP68" s="31"/>
      <c r="AQ68" s="31"/>
      <c r="AR68" s="54"/>
      <c r="AS68" s="21" t="str">
        <f>IFERROR(VLOOKUP(November[[#This Row],[Drug Name4]],'Data Options'!$R$1:$S$100,2,FALSE), " ")</f>
        <v xml:space="preserve"> </v>
      </c>
      <c r="AT68" s="55"/>
      <c r="AU68" s="32"/>
      <c r="AV68" s="32"/>
      <c r="AW68" s="55"/>
      <c r="AX68" s="32"/>
      <c r="AY68" s="54"/>
      <c r="AZ68" s="21" t="str">
        <f>IFERROR(VLOOKUP(November[[#This Row],[Drug Name5]],'Data Options'!$R$1:$S$100,2,FALSE), " ")</f>
        <v xml:space="preserve"> </v>
      </c>
      <c r="BA68" s="55"/>
      <c r="BB68" s="32"/>
      <c r="BC68" s="32"/>
      <c r="BD68" s="55"/>
      <c r="BE68" s="32"/>
      <c r="BF68" s="54"/>
      <c r="BG68" s="21" t="str">
        <f>IFERROR(VLOOKUP(November[[#This Row],[Drug Name6]],'Data Options'!$R$1:$S$100,2,FALSE), " ")</f>
        <v xml:space="preserve"> </v>
      </c>
      <c r="BH68" s="55"/>
      <c r="BI68" s="32"/>
      <c r="BJ68" s="32"/>
      <c r="BK68" s="55"/>
      <c r="BL68" s="32"/>
      <c r="BM68" s="32"/>
      <c r="BN68" s="32"/>
      <c r="BO68" s="32"/>
      <c r="BP68" s="32"/>
      <c r="BQ68" s="31"/>
      <c r="BR68" s="31"/>
      <c r="BS68" s="54"/>
      <c r="BT68" s="21" t="str">
        <f>IFERROR(VLOOKUP(November[[#This Row],[Drug Name7]],'Data Options'!$R$1:$S$100,2,FALSE), " ")</f>
        <v xml:space="preserve"> </v>
      </c>
      <c r="BU68" s="55"/>
      <c r="BV68" s="32"/>
      <c r="BW68" s="32"/>
      <c r="BX68" s="55"/>
      <c r="BY68" s="32"/>
      <c r="BZ68" s="54"/>
      <c r="CA68" s="21" t="str">
        <f>IFERROR(VLOOKUP(November[[#This Row],[Drug Name8]],'Data Options'!$R$1:$S$100,2,FALSE), " ")</f>
        <v xml:space="preserve"> </v>
      </c>
      <c r="CB68" s="55"/>
      <c r="CC68" s="32"/>
      <c r="CD68" s="32"/>
      <c r="CE68" s="55"/>
      <c r="CF68" s="32"/>
      <c r="CG68" s="54"/>
      <c r="CH68" s="21" t="str">
        <f>IFERROR(VLOOKUP(November[[#This Row],[Drug Name9]],'Data Options'!$R$1:$S$100,2,FALSE), " ")</f>
        <v xml:space="preserve"> </v>
      </c>
      <c r="CI68" s="55"/>
      <c r="CJ68" s="32"/>
      <c r="CK68" s="32"/>
      <c r="CL68" s="55"/>
      <c r="CM68" s="32"/>
    </row>
    <row r="69" spans="1:91">
      <c r="A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31"/>
      <c r="Q69" s="54"/>
      <c r="R69" s="21" t="str">
        <f>IFERROR(VLOOKUP(November[[#This Row],[Drug Name]],'Data Options'!$R$1:$S$100,2,FALSE), " ")</f>
        <v xml:space="preserve"> </v>
      </c>
      <c r="S69" s="55"/>
      <c r="T69" s="32"/>
      <c r="U69" s="32"/>
      <c r="V69" s="55"/>
      <c r="W69" s="32"/>
      <c r="X69" s="54"/>
      <c r="Y69" s="21" t="str">
        <f>IFERROR(VLOOKUP(November[[#This Row],[Drug Name2]],'Data Options'!$R$1:$S$100,2,FALSE), " ")</f>
        <v xml:space="preserve"> </v>
      </c>
      <c r="Z69" s="55"/>
      <c r="AA69" s="32"/>
      <c r="AB69" s="32"/>
      <c r="AC69" s="55"/>
      <c r="AD69" s="32"/>
      <c r="AE69" s="54"/>
      <c r="AF69" s="21" t="str">
        <f>IFERROR(VLOOKUP(November[[#This Row],[Drug Name3]],'Data Options'!$R$1:$S$100,2,FALSE), " ")</f>
        <v xml:space="preserve"> </v>
      </c>
      <c r="AG69" s="55"/>
      <c r="AH69" s="32"/>
      <c r="AI69" s="32"/>
      <c r="AJ69" s="55"/>
      <c r="AK69" s="32"/>
      <c r="AL69" s="32"/>
      <c r="AM69" s="32"/>
      <c r="AN69" s="32"/>
      <c r="AO69" s="32"/>
      <c r="AP69" s="31"/>
      <c r="AQ69" s="31"/>
      <c r="AR69" s="54"/>
      <c r="AS69" s="21" t="str">
        <f>IFERROR(VLOOKUP(November[[#This Row],[Drug Name4]],'Data Options'!$R$1:$S$100,2,FALSE), " ")</f>
        <v xml:space="preserve"> </v>
      </c>
      <c r="AT69" s="55"/>
      <c r="AU69" s="32"/>
      <c r="AV69" s="32"/>
      <c r="AW69" s="55"/>
      <c r="AX69" s="32"/>
      <c r="AY69" s="54"/>
      <c r="AZ69" s="21" t="str">
        <f>IFERROR(VLOOKUP(November[[#This Row],[Drug Name5]],'Data Options'!$R$1:$S$100,2,FALSE), " ")</f>
        <v xml:space="preserve"> </v>
      </c>
      <c r="BA69" s="55"/>
      <c r="BB69" s="32"/>
      <c r="BC69" s="32"/>
      <c r="BD69" s="55"/>
      <c r="BE69" s="32"/>
      <c r="BF69" s="54"/>
      <c r="BG69" s="21" t="str">
        <f>IFERROR(VLOOKUP(November[[#This Row],[Drug Name6]],'Data Options'!$R$1:$S$100,2,FALSE), " ")</f>
        <v xml:space="preserve"> </v>
      </c>
      <c r="BH69" s="55"/>
      <c r="BI69" s="32"/>
      <c r="BJ69" s="32"/>
      <c r="BK69" s="55"/>
      <c r="BL69" s="32"/>
      <c r="BM69" s="32"/>
      <c r="BN69" s="32"/>
      <c r="BO69" s="32"/>
      <c r="BP69" s="32"/>
      <c r="BQ69" s="31"/>
      <c r="BR69" s="31"/>
      <c r="BS69" s="54"/>
      <c r="BT69" s="21" t="str">
        <f>IFERROR(VLOOKUP(November[[#This Row],[Drug Name7]],'Data Options'!$R$1:$S$100,2,FALSE), " ")</f>
        <v xml:space="preserve"> </v>
      </c>
      <c r="BU69" s="55"/>
      <c r="BV69" s="32"/>
      <c r="BW69" s="32"/>
      <c r="BX69" s="55"/>
      <c r="BY69" s="32"/>
      <c r="BZ69" s="54"/>
      <c r="CA69" s="21" t="str">
        <f>IFERROR(VLOOKUP(November[[#This Row],[Drug Name8]],'Data Options'!$R$1:$S$100,2,FALSE), " ")</f>
        <v xml:space="preserve"> </v>
      </c>
      <c r="CB69" s="55"/>
      <c r="CC69" s="32"/>
      <c r="CD69" s="32"/>
      <c r="CE69" s="55"/>
      <c r="CF69" s="32"/>
      <c r="CG69" s="54"/>
      <c r="CH69" s="21" t="str">
        <f>IFERROR(VLOOKUP(November[[#This Row],[Drug Name9]],'Data Options'!$R$1:$S$100,2,FALSE), " ")</f>
        <v xml:space="preserve"> </v>
      </c>
      <c r="CI69" s="55"/>
      <c r="CJ69" s="32"/>
      <c r="CK69" s="32"/>
      <c r="CL69" s="55"/>
      <c r="CM69" s="32"/>
    </row>
    <row r="70" spans="1:91">
      <c r="A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31"/>
      <c r="Q70" s="54"/>
      <c r="R70" s="21" t="str">
        <f>IFERROR(VLOOKUP(November[[#This Row],[Drug Name]],'Data Options'!$R$1:$S$100,2,FALSE), " ")</f>
        <v xml:space="preserve"> </v>
      </c>
      <c r="S70" s="55"/>
      <c r="T70" s="32"/>
      <c r="U70" s="32"/>
      <c r="V70" s="55"/>
      <c r="W70" s="32"/>
      <c r="X70" s="54"/>
      <c r="Y70" s="21" t="str">
        <f>IFERROR(VLOOKUP(November[[#This Row],[Drug Name2]],'Data Options'!$R$1:$S$100,2,FALSE), " ")</f>
        <v xml:space="preserve"> </v>
      </c>
      <c r="Z70" s="55"/>
      <c r="AA70" s="32"/>
      <c r="AB70" s="32"/>
      <c r="AC70" s="55"/>
      <c r="AD70" s="32"/>
      <c r="AE70" s="54"/>
      <c r="AF70" s="21" t="str">
        <f>IFERROR(VLOOKUP(November[[#This Row],[Drug Name3]],'Data Options'!$R$1:$S$100,2,FALSE), " ")</f>
        <v xml:space="preserve"> </v>
      </c>
      <c r="AG70" s="55"/>
      <c r="AH70" s="32"/>
      <c r="AI70" s="32"/>
      <c r="AJ70" s="55"/>
      <c r="AK70" s="32"/>
      <c r="AL70" s="32"/>
      <c r="AM70" s="32"/>
      <c r="AN70" s="32"/>
      <c r="AO70" s="32"/>
      <c r="AP70" s="31"/>
      <c r="AQ70" s="31"/>
      <c r="AR70" s="54"/>
      <c r="AS70" s="21" t="str">
        <f>IFERROR(VLOOKUP(November[[#This Row],[Drug Name4]],'Data Options'!$R$1:$S$100,2,FALSE), " ")</f>
        <v xml:space="preserve"> </v>
      </c>
      <c r="AT70" s="55"/>
      <c r="AU70" s="32"/>
      <c r="AV70" s="32"/>
      <c r="AW70" s="55"/>
      <c r="AX70" s="32"/>
      <c r="AY70" s="54"/>
      <c r="AZ70" s="21" t="str">
        <f>IFERROR(VLOOKUP(November[[#This Row],[Drug Name5]],'Data Options'!$R$1:$S$100,2,FALSE), " ")</f>
        <v xml:space="preserve"> </v>
      </c>
      <c r="BA70" s="55"/>
      <c r="BB70" s="32"/>
      <c r="BC70" s="32"/>
      <c r="BD70" s="55"/>
      <c r="BE70" s="32"/>
      <c r="BF70" s="54"/>
      <c r="BG70" s="21" t="str">
        <f>IFERROR(VLOOKUP(November[[#This Row],[Drug Name6]],'Data Options'!$R$1:$S$100,2,FALSE), " ")</f>
        <v xml:space="preserve"> </v>
      </c>
      <c r="BH70" s="55"/>
      <c r="BI70" s="32"/>
      <c r="BJ70" s="32"/>
      <c r="BK70" s="55"/>
      <c r="BL70" s="32"/>
      <c r="BM70" s="32"/>
      <c r="BN70" s="32"/>
      <c r="BO70" s="32"/>
      <c r="BP70" s="32"/>
      <c r="BQ70" s="31"/>
      <c r="BR70" s="31"/>
      <c r="BS70" s="54"/>
      <c r="BT70" s="21" t="str">
        <f>IFERROR(VLOOKUP(November[[#This Row],[Drug Name7]],'Data Options'!$R$1:$S$100,2,FALSE), " ")</f>
        <v xml:space="preserve"> </v>
      </c>
      <c r="BU70" s="55"/>
      <c r="BV70" s="32"/>
      <c r="BW70" s="32"/>
      <c r="BX70" s="55"/>
      <c r="BY70" s="32"/>
      <c r="BZ70" s="54"/>
      <c r="CA70" s="21" t="str">
        <f>IFERROR(VLOOKUP(November[[#This Row],[Drug Name8]],'Data Options'!$R$1:$S$100,2,FALSE), " ")</f>
        <v xml:space="preserve"> </v>
      </c>
      <c r="CB70" s="55"/>
      <c r="CC70" s="32"/>
      <c r="CD70" s="32"/>
      <c r="CE70" s="55"/>
      <c r="CF70" s="32"/>
      <c r="CG70" s="54"/>
      <c r="CH70" s="21" t="str">
        <f>IFERROR(VLOOKUP(November[[#This Row],[Drug Name9]],'Data Options'!$R$1:$S$100,2,FALSE), " ")</f>
        <v xml:space="preserve"> </v>
      </c>
      <c r="CI70" s="55"/>
      <c r="CJ70" s="32"/>
      <c r="CK70" s="32"/>
      <c r="CL70" s="55"/>
      <c r="CM70" s="32"/>
    </row>
    <row r="71" spans="1:91">
      <c r="A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31"/>
      <c r="Q71" s="54"/>
      <c r="R71" s="21" t="str">
        <f>IFERROR(VLOOKUP(November[[#This Row],[Drug Name]],'Data Options'!$R$1:$S$100,2,FALSE), " ")</f>
        <v xml:space="preserve"> </v>
      </c>
      <c r="S71" s="55"/>
      <c r="T71" s="32"/>
      <c r="U71" s="32"/>
      <c r="V71" s="55"/>
      <c r="W71" s="32"/>
      <c r="X71" s="54"/>
      <c r="Y71" s="21" t="str">
        <f>IFERROR(VLOOKUP(November[[#This Row],[Drug Name2]],'Data Options'!$R$1:$S$100,2,FALSE), " ")</f>
        <v xml:space="preserve"> </v>
      </c>
      <c r="Z71" s="55"/>
      <c r="AA71" s="32"/>
      <c r="AB71" s="32"/>
      <c r="AC71" s="55"/>
      <c r="AD71" s="32"/>
      <c r="AE71" s="54"/>
      <c r="AF71" s="21" t="str">
        <f>IFERROR(VLOOKUP(November[[#This Row],[Drug Name3]],'Data Options'!$R$1:$S$100,2,FALSE), " ")</f>
        <v xml:space="preserve"> </v>
      </c>
      <c r="AG71" s="55"/>
      <c r="AH71" s="32"/>
      <c r="AI71" s="32"/>
      <c r="AJ71" s="55"/>
      <c r="AK71" s="32"/>
      <c r="AL71" s="32"/>
      <c r="AM71" s="32"/>
      <c r="AN71" s="32"/>
      <c r="AO71" s="32"/>
      <c r="AP71" s="31"/>
      <c r="AQ71" s="31"/>
      <c r="AR71" s="54"/>
      <c r="AS71" s="21" t="str">
        <f>IFERROR(VLOOKUP(November[[#This Row],[Drug Name4]],'Data Options'!$R$1:$S$100,2,FALSE), " ")</f>
        <v xml:space="preserve"> </v>
      </c>
      <c r="AT71" s="55"/>
      <c r="AU71" s="32"/>
      <c r="AV71" s="32"/>
      <c r="AW71" s="55"/>
      <c r="AX71" s="32"/>
      <c r="AY71" s="54"/>
      <c r="AZ71" s="21" t="str">
        <f>IFERROR(VLOOKUP(November[[#This Row],[Drug Name5]],'Data Options'!$R$1:$S$100,2,FALSE), " ")</f>
        <v xml:space="preserve"> </v>
      </c>
      <c r="BA71" s="55"/>
      <c r="BB71" s="32"/>
      <c r="BC71" s="32"/>
      <c r="BD71" s="55"/>
      <c r="BE71" s="32"/>
      <c r="BF71" s="54"/>
      <c r="BG71" s="21" t="str">
        <f>IFERROR(VLOOKUP(November[[#This Row],[Drug Name6]],'Data Options'!$R$1:$S$100,2,FALSE), " ")</f>
        <v xml:space="preserve"> </v>
      </c>
      <c r="BH71" s="55"/>
      <c r="BI71" s="32"/>
      <c r="BJ71" s="32"/>
      <c r="BK71" s="55"/>
      <c r="BL71" s="32"/>
      <c r="BM71" s="32"/>
      <c r="BN71" s="32"/>
      <c r="BO71" s="32"/>
      <c r="BP71" s="32"/>
      <c r="BQ71" s="31"/>
      <c r="BR71" s="31"/>
      <c r="BS71" s="54"/>
      <c r="BT71" s="21" t="str">
        <f>IFERROR(VLOOKUP(November[[#This Row],[Drug Name7]],'Data Options'!$R$1:$S$100,2,FALSE), " ")</f>
        <v xml:space="preserve"> </v>
      </c>
      <c r="BU71" s="55"/>
      <c r="BV71" s="32"/>
      <c r="BW71" s="32"/>
      <c r="BX71" s="55"/>
      <c r="BY71" s="32"/>
      <c r="BZ71" s="54"/>
      <c r="CA71" s="21" t="str">
        <f>IFERROR(VLOOKUP(November[[#This Row],[Drug Name8]],'Data Options'!$R$1:$S$100,2,FALSE), " ")</f>
        <v xml:space="preserve"> </v>
      </c>
      <c r="CB71" s="55"/>
      <c r="CC71" s="32"/>
      <c r="CD71" s="32"/>
      <c r="CE71" s="55"/>
      <c r="CF71" s="32"/>
      <c r="CG71" s="54"/>
      <c r="CH71" s="21" t="str">
        <f>IFERROR(VLOOKUP(November[[#This Row],[Drug Name9]],'Data Options'!$R$1:$S$100,2,FALSE), " ")</f>
        <v xml:space="preserve"> </v>
      </c>
      <c r="CI71" s="55"/>
      <c r="CJ71" s="32"/>
      <c r="CK71" s="32"/>
      <c r="CL71" s="55"/>
      <c r="CM71" s="32"/>
    </row>
    <row r="72" spans="1:91">
      <c r="A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54"/>
      <c r="R72" s="21" t="str">
        <f>IFERROR(VLOOKUP(November[[#This Row],[Drug Name]],'Data Options'!$R$1:$S$100,2,FALSE), " ")</f>
        <v xml:space="preserve"> </v>
      </c>
      <c r="S72" s="55"/>
      <c r="T72" s="32"/>
      <c r="U72" s="32"/>
      <c r="V72" s="55"/>
      <c r="W72" s="32"/>
      <c r="X72" s="54"/>
      <c r="Y72" s="21" t="str">
        <f>IFERROR(VLOOKUP(November[[#This Row],[Drug Name2]],'Data Options'!$R$1:$S$100,2,FALSE), " ")</f>
        <v xml:space="preserve"> </v>
      </c>
      <c r="Z72" s="55"/>
      <c r="AA72" s="32"/>
      <c r="AB72" s="32"/>
      <c r="AC72" s="55"/>
      <c r="AD72" s="32"/>
      <c r="AE72" s="54"/>
      <c r="AF72" s="21" t="str">
        <f>IFERROR(VLOOKUP(November[[#This Row],[Drug Name3]],'Data Options'!$R$1:$S$100,2,FALSE), " ")</f>
        <v xml:space="preserve"> </v>
      </c>
      <c r="AG72" s="55"/>
      <c r="AH72" s="32"/>
      <c r="AI72" s="32"/>
      <c r="AJ72" s="55"/>
      <c r="AK72" s="32"/>
      <c r="AL72" s="32"/>
      <c r="AM72" s="32"/>
      <c r="AN72" s="32"/>
      <c r="AO72" s="32"/>
      <c r="AP72" s="31"/>
      <c r="AQ72" s="31"/>
      <c r="AR72" s="54"/>
      <c r="AS72" s="21" t="str">
        <f>IFERROR(VLOOKUP(November[[#This Row],[Drug Name4]],'Data Options'!$R$1:$S$100,2,FALSE), " ")</f>
        <v xml:space="preserve"> </v>
      </c>
      <c r="AT72" s="55"/>
      <c r="AU72" s="32"/>
      <c r="AV72" s="32"/>
      <c r="AW72" s="55"/>
      <c r="AX72" s="32"/>
      <c r="AY72" s="54"/>
      <c r="AZ72" s="21" t="str">
        <f>IFERROR(VLOOKUP(November[[#This Row],[Drug Name5]],'Data Options'!$R$1:$S$100,2,FALSE), " ")</f>
        <v xml:space="preserve"> </v>
      </c>
      <c r="BA72" s="55"/>
      <c r="BB72" s="32"/>
      <c r="BC72" s="32"/>
      <c r="BD72" s="55"/>
      <c r="BE72" s="32"/>
      <c r="BF72" s="54"/>
      <c r="BG72" s="21" t="str">
        <f>IFERROR(VLOOKUP(November[[#This Row],[Drug Name6]],'Data Options'!$R$1:$S$100,2,FALSE), " ")</f>
        <v xml:space="preserve"> </v>
      </c>
      <c r="BH72" s="55"/>
      <c r="BI72" s="32"/>
      <c r="BJ72" s="32"/>
      <c r="BK72" s="55"/>
      <c r="BL72" s="32"/>
      <c r="BM72" s="32"/>
      <c r="BN72" s="32"/>
      <c r="BO72" s="32"/>
      <c r="BP72" s="32"/>
      <c r="BQ72" s="31"/>
      <c r="BR72" s="31"/>
      <c r="BS72" s="54"/>
      <c r="BT72" s="21" t="str">
        <f>IFERROR(VLOOKUP(November[[#This Row],[Drug Name7]],'Data Options'!$R$1:$S$100,2,FALSE), " ")</f>
        <v xml:space="preserve"> </v>
      </c>
      <c r="BU72" s="55"/>
      <c r="BV72" s="32"/>
      <c r="BW72" s="32"/>
      <c r="BX72" s="55"/>
      <c r="BY72" s="32"/>
      <c r="BZ72" s="54"/>
      <c r="CA72" s="21" t="str">
        <f>IFERROR(VLOOKUP(November[[#This Row],[Drug Name8]],'Data Options'!$R$1:$S$100,2,FALSE), " ")</f>
        <v xml:space="preserve"> </v>
      </c>
      <c r="CB72" s="55"/>
      <c r="CC72" s="32"/>
      <c r="CD72" s="32"/>
      <c r="CE72" s="55"/>
      <c r="CF72" s="32"/>
      <c r="CG72" s="54"/>
      <c r="CH72" s="21" t="str">
        <f>IFERROR(VLOOKUP(November[[#This Row],[Drug Name9]],'Data Options'!$R$1:$S$100,2,FALSE), " ")</f>
        <v xml:space="preserve"> </v>
      </c>
      <c r="CI72" s="55"/>
      <c r="CJ72" s="32"/>
      <c r="CK72" s="32"/>
      <c r="CL72" s="55"/>
      <c r="CM72" s="32"/>
    </row>
    <row r="73" spans="1:91">
      <c r="A73" s="5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31"/>
      <c r="Q73" s="54"/>
      <c r="R73" s="21" t="str">
        <f>IFERROR(VLOOKUP(November[[#This Row],[Drug Name]],'Data Options'!$R$1:$S$100,2,FALSE), " ")</f>
        <v xml:space="preserve"> </v>
      </c>
      <c r="S73" s="55"/>
      <c r="T73" s="32"/>
      <c r="U73" s="32"/>
      <c r="V73" s="55"/>
      <c r="W73" s="32"/>
      <c r="X73" s="54"/>
      <c r="Y73" s="21" t="str">
        <f>IFERROR(VLOOKUP(November[[#This Row],[Drug Name2]],'Data Options'!$R$1:$S$100,2,FALSE), " ")</f>
        <v xml:space="preserve"> </v>
      </c>
      <c r="Z73" s="55"/>
      <c r="AA73" s="32"/>
      <c r="AB73" s="32"/>
      <c r="AC73" s="55"/>
      <c r="AD73" s="32"/>
      <c r="AE73" s="54"/>
      <c r="AF73" s="21" t="str">
        <f>IFERROR(VLOOKUP(November[[#This Row],[Drug Name3]],'Data Options'!$R$1:$S$100,2,FALSE), " ")</f>
        <v xml:space="preserve"> </v>
      </c>
      <c r="AG73" s="55"/>
      <c r="AH73" s="32"/>
      <c r="AI73" s="32"/>
      <c r="AJ73" s="55"/>
      <c r="AK73" s="32"/>
      <c r="AL73" s="32"/>
      <c r="AM73" s="32"/>
      <c r="AN73" s="32"/>
      <c r="AO73" s="32"/>
      <c r="AP73" s="31"/>
      <c r="AQ73" s="31"/>
      <c r="AR73" s="54"/>
      <c r="AS73" s="21" t="str">
        <f>IFERROR(VLOOKUP(November[[#This Row],[Drug Name4]],'Data Options'!$R$1:$S$100,2,FALSE), " ")</f>
        <v xml:space="preserve"> </v>
      </c>
      <c r="AT73" s="55"/>
      <c r="AU73" s="32"/>
      <c r="AV73" s="32"/>
      <c r="AW73" s="55"/>
      <c r="AX73" s="32"/>
      <c r="AY73" s="54"/>
      <c r="AZ73" s="21" t="str">
        <f>IFERROR(VLOOKUP(November[[#This Row],[Drug Name5]],'Data Options'!$R$1:$S$100,2,FALSE), " ")</f>
        <v xml:space="preserve"> </v>
      </c>
      <c r="BA73" s="55"/>
      <c r="BB73" s="32"/>
      <c r="BC73" s="32"/>
      <c r="BD73" s="55"/>
      <c r="BE73" s="32"/>
      <c r="BF73" s="54"/>
      <c r="BG73" s="21" t="str">
        <f>IFERROR(VLOOKUP(November[[#This Row],[Drug Name6]],'Data Options'!$R$1:$S$100,2,FALSE), " ")</f>
        <v xml:space="preserve"> </v>
      </c>
      <c r="BH73" s="55"/>
      <c r="BI73" s="32"/>
      <c r="BJ73" s="32"/>
      <c r="BK73" s="55"/>
      <c r="BL73" s="32"/>
      <c r="BM73" s="32"/>
      <c r="BN73" s="32"/>
      <c r="BO73" s="32"/>
      <c r="BP73" s="32"/>
      <c r="BQ73" s="31"/>
      <c r="BR73" s="31"/>
      <c r="BS73" s="54"/>
      <c r="BT73" s="21" t="str">
        <f>IFERROR(VLOOKUP(November[[#This Row],[Drug Name7]],'Data Options'!$R$1:$S$100,2,FALSE), " ")</f>
        <v xml:space="preserve"> </v>
      </c>
      <c r="BU73" s="55"/>
      <c r="BV73" s="32"/>
      <c r="BW73" s="32"/>
      <c r="BX73" s="55"/>
      <c r="BY73" s="32"/>
      <c r="BZ73" s="54"/>
      <c r="CA73" s="21" t="str">
        <f>IFERROR(VLOOKUP(November[[#This Row],[Drug Name8]],'Data Options'!$R$1:$S$100,2,FALSE), " ")</f>
        <v xml:space="preserve"> </v>
      </c>
      <c r="CB73" s="55"/>
      <c r="CC73" s="32"/>
      <c r="CD73" s="32"/>
      <c r="CE73" s="55"/>
      <c r="CF73" s="32"/>
      <c r="CG73" s="54"/>
      <c r="CH73" s="21" t="str">
        <f>IFERROR(VLOOKUP(November[[#This Row],[Drug Name9]],'Data Options'!$R$1:$S$100,2,FALSE), " ")</f>
        <v xml:space="preserve"> </v>
      </c>
      <c r="CI73" s="55"/>
      <c r="CJ73" s="32"/>
      <c r="CK73" s="32"/>
      <c r="CL73" s="55"/>
      <c r="CM73" s="32"/>
    </row>
    <row r="74" spans="1:91">
      <c r="A74" s="5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31"/>
      <c r="Q74" s="54"/>
      <c r="R74" s="21" t="str">
        <f>IFERROR(VLOOKUP(November[[#This Row],[Drug Name]],'Data Options'!$R$1:$S$100,2,FALSE), " ")</f>
        <v xml:space="preserve"> </v>
      </c>
      <c r="S74" s="55"/>
      <c r="T74" s="32"/>
      <c r="U74" s="32"/>
      <c r="V74" s="55"/>
      <c r="W74" s="32"/>
      <c r="X74" s="54"/>
      <c r="Y74" s="21" t="str">
        <f>IFERROR(VLOOKUP(November[[#This Row],[Drug Name2]],'Data Options'!$R$1:$S$100,2,FALSE), " ")</f>
        <v xml:space="preserve"> </v>
      </c>
      <c r="Z74" s="55"/>
      <c r="AA74" s="32"/>
      <c r="AB74" s="32"/>
      <c r="AC74" s="55"/>
      <c r="AD74" s="32"/>
      <c r="AE74" s="54"/>
      <c r="AF74" s="21" t="str">
        <f>IFERROR(VLOOKUP(November[[#This Row],[Drug Name3]],'Data Options'!$R$1:$S$100,2,FALSE), " ")</f>
        <v xml:space="preserve"> </v>
      </c>
      <c r="AG74" s="55"/>
      <c r="AH74" s="32"/>
      <c r="AI74" s="32"/>
      <c r="AJ74" s="55"/>
      <c r="AK74" s="32"/>
      <c r="AL74" s="32"/>
      <c r="AM74" s="32"/>
      <c r="AN74" s="32"/>
      <c r="AO74" s="32"/>
      <c r="AP74" s="31"/>
      <c r="AQ74" s="31"/>
      <c r="AR74" s="54"/>
      <c r="AS74" s="21" t="str">
        <f>IFERROR(VLOOKUP(November[[#This Row],[Drug Name4]],'Data Options'!$R$1:$S$100,2,FALSE), " ")</f>
        <v xml:space="preserve"> </v>
      </c>
      <c r="AT74" s="55"/>
      <c r="AU74" s="32"/>
      <c r="AV74" s="32"/>
      <c r="AW74" s="55"/>
      <c r="AX74" s="32"/>
      <c r="AY74" s="54"/>
      <c r="AZ74" s="21" t="str">
        <f>IFERROR(VLOOKUP(November[[#This Row],[Drug Name5]],'Data Options'!$R$1:$S$100,2,FALSE), " ")</f>
        <v xml:space="preserve"> </v>
      </c>
      <c r="BA74" s="55"/>
      <c r="BB74" s="32"/>
      <c r="BC74" s="32"/>
      <c r="BD74" s="55"/>
      <c r="BE74" s="32"/>
      <c r="BF74" s="54"/>
      <c r="BG74" s="21" t="str">
        <f>IFERROR(VLOOKUP(November[[#This Row],[Drug Name6]],'Data Options'!$R$1:$S$100,2,FALSE), " ")</f>
        <v xml:space="preserve"> </v>
      </c>
      <c r="BH74" s="55"/>
      <c r="BI74" s="32"/>
      <c r="BJ74" s="32"/>
      <c r="BK74" s="55"/>
      <c r="BL74" s="32"/>
      <c r="BM74" s="32"/>
      <c r="BN74" s="32"/>
      <c r="BO74" s="32"/>
      <c r="BP74" s="32"/>
      <c r="BQ74" s="31"/>
      <c r="BR74" s="31"/>
      <c r="BS74" s="54"/>
      <c r="BT74" s="21" t="str">
        <f>IFERROR(VLOOKUP(November[[#This Row],[Drug Name7]],'Data Options'!$R$1:$S$100,2,FALSE), " ")</f>
        <v xml:space="preserve"> </v>
      </c>
      <c r="BU74" s="55"/>
      <c r="BV74" s="32"/>
      <c r="BW74" s="32"/>
      <c r="BX74" s="55"/>
      <c r="BY74" s="32"/>
      <c r="BZ74" s="54"/>
      <c r="CA74" s="21" t="str">
        <f>IFERROR(VLOOKUP(November[[#This Row],[Drug Name8]],'Data Options'!$R$1:$S$100,2,FALSE), " ")</f>
        <v xml:space="preserve"> </v>
      </c>
      <c r="CB74" s="55"/>
      <c r="CC74" s="32"/>
      <c r="CD74" s="32"/>
      <c r="CE74" s="55"/>
      <c r="CF74" s="32"/>
      <c r="CG74" s="54"/>
      <c r="CH74" s="21" t="str">
        <f>IFERROR(VLOOKUP(November[[#This Row],[Drug Name9]],'Data Options'!$R$1:$S$100,2,FALSE), " ")</f>
        <v xml:space="preserve"> </v>
      </c>
      <c r="CI74" s="55"/>
      <c r="CJ74" s="32"/>
      <c r="CK74" s="32"/>
      <c r="CL74" s="55"/>
      <c r="CM74" s="32"/>
    </row>
    <row r="75" spans="1:91">
      <c r="A75" s="5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31"/>
      <c r="Q75" s="54"/>
      <c r="R75" s="21" t="str">
        <f>IFERROR(VLOOKUP(November[[#This Row],[Drug Name]],'Data Options'!$R$1:$S$100,2,FALSE), " ")</f>
        <v xml:space="preserve"> </v>
      </c>
      <c r="S75" s="55"/>
      <c r="T75" s="32"/>
      <c r="U75" s="32"/>
      <c r="V75" s="55"/>
      <c r="W75" s="32"/>
      <c r="X75" s="54"/>
      <c r="Y75" s="21" t="str">
        <f>IFERROR(VLOOKUP(November[[#This Row],[Drug Name2]],'Data Options'!$R$1:$S$100,2,FALSE), " ")</f>
        <v xml:space="preserve"> </v>
      </c>
      <c r="Z75" s="55"/>
      <c r="AA75" s="32"/>
      <c r="AB75" s="32"/>
      <c r="AC75" s="55"/>
      <c r="AD75" s="32"/>
      <c r="AE75" s="54"/>
      <c r="AF75" s="21" t="str">
        <f>IFERROR(VLOOKUP(November[[#This Row],[Drug Name3]],'Data Options'!$R$1:$S$100,2,FALSE), " ")</f>
        <v xml:space="preserve"> </v>
      </c>
      <c r="AG75" s="55"/>
      <c r="AH75" s="32"/>
      <c r="AI75" s="32"/>
      <c r="AJ75" s="55"/>
      <c r="AK75" s="32"/>
      <c r="AL75" s="32"/>
      <c r="AM75" s="32"/>
      <c r="AN75" s="32"/>
      <c r="AO75" s="32"/>
      <c r="AP75" s="31"/>
      <c r="AQ75" s="31"/>
      <c r="AR75" s="54"/>
      <c r="AS75" s="21" t="str">
        <f>IFERROR(VLOOKUP(November[[#This Row],[Drug Name4]],'Data Options'!$R$1:$S$100,2,FALSE), " ")</f>
        <v xml:space="preserve"> </v>
      </c>
      <c r="AT75" s="55"/>
      <c r="AU75" s="32"/>
      <c r="AV75" s="32"/>
      <c r="AW75" s="55"/>
      <c r="AX75" s="32"/>
      <c r="AY75" s="54"/>
      <c r="AZ75" s="21" t="str">
        <f>IFERROR(VLOOKUP(November[[#This Row],[Drug Name5]],'Data Options'!$R$1:$S$100,2,FALSE), " ")</f>
        <v xml:space="preserve"> </v>
      </c>
      <c r="BA75" s="55"/>
      <c r="BB75" s="32"/>
      <c r="BC75" s="32"/>
      <c r="BD75" s="55"/>
      <c r="BE75" s="32"/>
      <c r="BF75" s="54"/>
      <c r="BG75" s="21" t="str">
        <f>IFERROR(VLOOKUP(November[[#This Row],[Drug Name6]],'Data Options'!$R$1:$S$100,2,FALSE), " ")</f>
        <v xml:space="preserve"> </v>
      </c>
      <c r="BH75" s="55"/>
      <c r="BI75" s="32"/>
      <c r="BJ75" s="32"/>
      <c r="BK75" s="55"/>
      <c r="BL75" s="32"/>
      <c r="BM75" s="32"/>
      <c r="BN75" s="32"/>
      <c r="BO75" s="32"/>
      <c r="BP75" s="32"/>
      <c r="BQ75" s="31"/>
      <c r="BR75" s="31"/>
      <c r="BS75" s="54"/>
      <c r="BT75" s="21" t="str">
        <f>IFERROR(VLOOKUP(November[[#This Row],[Drug Name7]],'Data Options'!$R$1:$S$100,2,FALSE), " ")</f>
        <v xml:space="preserve"> </v>
      </c>
      <c r="BU75" s="55"/>
      <c r="BV75" s="32"/>
      <c r="BW75" s="32"/>
      <c r="BX75" s="55"/>
      <c r="BY75" s="32"/>
      <c r="BZ75" s="54"/>
      <c r="CA75" s="21" t="str">
        <f>IFERROR(VLOOKUP(November[[#This Row],[Drug Name8]],'Data Options'!$R$1:$S$100,2,FALSE), " ")</f>
        <v xml:space="preserve"> </v>
      </c>
      <c r="CB75" s="55"/>
      <c r="CC75" s="32"/>
      <c r="CD75" s="32"/>
      <c r="CE75" s="55"/>
      <c r="CF75" s="32"/>
      <c r="CG75" s="54"/>
      <c r="CH75" s="21" t="str">
        <f>IFERROR(VLOOKUP(November[[#This Row],[Drug Name9]],'Data Options'!$R$1:$S$100,2,FALSE), " ")</f>
        <v xml:space="preserve"> </v>
      </c>
      <c r="CI75" s="55"/>
      <c r="CJ75" s="32"/>
      <c r="CK75" s="32"/>
      <c r="CL75" s="55"/>
      <c r="CM75" s="32"/>
    </row>
    <row r="76" spans="1:91">
      <c r="A76" s="5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54"/>
      <c r="R76" s="21" t="str">
        <f>IFERROR(VLOOKUP(November[[#This Row],[Drug Name]],'Data Options'!$R$1:$S$100,2,FALSE), " ")</f>
        <v xml:space="preserve"> </v>
      </c>
      <c r="S76" s="55"/>
      <c r="T76" s="32"/>
      <c r="U76" s="32"/>
      <c r="V76" s="55"/>
      <c r="W76" s="32"/>
      <c r="X76" s="54"/>
      <c r="Y76" s="21" t="str">
        <f>IFERROR(VLOOKUP(November[[#This Row],[Drug Name2]],'Data Options'!$R$1:$S$100,2,FALSE), " ")</f>
        <v xml:space="preserve"> </v>
      </c>
      <c r="Z76" s="55"/>
      <c r="AA76" s="32"/>
      <c r="AB76" s="32"/>
      <c r="AC76" s="55"/>
      <c r="AD76" s="32"/>
      <c r="AE76" s="54"/>
      <c r="AF76" s="21" t="str">
        <f>IFERROR(VLOOKUP(November[[#This Row],[Drug Name3]],'Data Options'!$R$1:$S$100,2,FALSE), " ")</f>
        <v xml:space="preserve"> </v>
      </c>
      <c r="AG76" s="55"/>
      <c r="AH76" s="32"/>
      <c r="AI76" s="32"/>
      <c r="AJ76" s="55"/>
      <c r="AK76" s="32"/>
      <c r="AL76" s="32"/>
      <c r="AM76" s="32"/>
      <c r="AN76" s="32"/>
      <c r="AO76" s="32"/>
      <c r="AP76" s="31"/>
      <c r="AQ76" s="31"/>
      <c r="AR76" s="54"/>
      <c r="AS76" s="21" t="str">
        <f>IFERROR(VLOOKUP(November[[#This Row],[Drug Name4]],'Data Options'!$R$1:$S$100,2,FALSE), " ")</f>
        <v xml:space="preserve"> </v>
      </c>
      <c r="AT76" s="55"/>
      <c r="AU76" s="32"/>
      <c r="AV76" s="32"/>
      <c r="AW76" s="55"/>
      <c r="AX76" s="32"/>
      <c r="AY76" s="54"/>
      <c r="AZ76" s="21" t="str">
        <f>IFERROR(VLOOKUP(November[[#This Row],[Drug Name5]],'Data Options'!$R$1:$S$100,2,FALSE), " ")</f>
        <v xml:space="preserve"> </v>
      </c>
      <c r="BA76" s="55"/>
      <c r="BB76" s="32"/>
      <c r="BC76" s="32"/>
      <c r="BD76" s="55"/>
      <c r="BE76" s="32"/>
      <c r="BF76" s="54"/>
      <c r="BG76" s="21" t="str">
        <f>IFERROR(VLOOKUP(November[[#This Row],[Drug Name6]],'Data Options'!$R$1:$S$100,2,FALSE), " ")</f>
        <v xml:space="preserve"> </v>
      </c>
      <c r="BH76" s="55"/>
      <c r="BI76" s="32"/>
      <c r="BJ76" s="32"/>
      <c r="BK76" s="55"/>
      <c r="BL76" s="32"/>
      <c r="BM76" s="32"/>
      <c r="BN76" s="32"/>
      <c r="BO76" s="32"/>
      <c r="BP76" s="32"/>
      <c r="BQ76" s="31"/>
      <c r="BR76" s="31"/>
      <c r="BS76" s="54"/>
      <c r="BT76" s="21" t="str">
        <f>IFERROR(VLOOKUP(November[[#This Row],[Drug Name7]],'Data Options'!$R$1:$S$100,2,FALSE), " ")</f>
        <v xml:space="preserve"> </v>
      </c>
      <c r="BU76" s="55"/>
      <c r="BV76" s="32"/>
      <c r="BW76" s="32"/>
      <c r="BX76" s="55"/>
      <c r="BY76" s="32"/>
      <c r="BZ76" s="54"/>
      <c r="CA76" s="21" t="str">
        <f>IFERROR(VLOOKUP(November[[#This Row],[Drug Name8]],'Data Options'!$R$1:$S$100,2,FALSE), " ")</f>
        <v xml:space="preserve"> </v>
      </c>
      <c r="CB76" s="55"/>
      <c r="CC76" s="32"/>
      <c r="CD76" s="32"/>
      <c r="CE76" s="55"/>
      <c r="CF76" s="32"/>
      <c r="CG76" s="54"/>
      <c r="CH76" s="21" t="str">
        <f>IFERROR(VLOOKUP(November[[#This Row],[Drug Name9]],'Data Options'!$R$1:$S$100,2,FALSE), " ")</f>
        <v xml:space="preserve"> </v>
      </c>
      <c r="CI76" s="55"/>
      <c r="CJ76" s="32"/>
      <c r="CK76" s="32"/>
      <c r="CL76" s="55"/>
      <c r="CM76" s="32"/>
    </row>
    <row r="77" spans="1:91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31"/>
      <c r="Q77" s="54"/>
      <c r="R77" s="21" t="str">
        <f>IFERROR(VLOOKUP(November[[#This Row],[Drug Name]],'Data Options'!$R$1:$S$100,2,FALSE), " ")</f>
        <v xml:space="preserve"> </v>
      </c>
      <c r="S77" s="55"/>
      <c r="T77" s="32"/>
      <c r="U77" s="32"/>
      <c r="V77" s="55"/>
      <c r="W77" s="32"/>
      <c r="X77" s="54"/>
      <c r="Y77" s="21" t="str">
        <f>IFERROR(VLOOKUP(November[[#This Row],[Drug Name2]],'Data Options'!$R$1:$S$100,2,FALSE), " ")</f>
        <v xml:space="preserve"> </v>
      </c>
      <c r="Z77" s="55"/>
      <c r="AA77" s="32"/>
      <c r="AB77" s="32"/>
      <c r="AC77" s="55"/>
      <c r="AD77" s="32"/>
      <c r="AE77" s="54"/>
      <c r="AF77" s="21" t="str">
        <f>IFERROR(VLOOKUP(November[[#This Row],[Drug Name3]],'Data Options'!$R$1:$S$100,2,FALSE), " ")</f>
        <v xml:space="preserve"> </v>
      </c>
      <c r="AG77" s="55"/>
      <c r="AH77" s="32"/>
      <c r="AI77" s="32"/>
      <c r="AJ77" s="55"/>
      <c r="AK77" s="32"/>
      <c r="AL77" s="32"/>
      <c r="AM77" s="32"/>
      <c r="AN77" s="32"/>
      <c r="AO77" s="32"/>
      <c r="AP77" s="31"/>
      <c r="AQ77" s="31"/>
      <c r="AR77" s="54"/>
      <c r="AS77" s="21" t="str">
        <f>IFERROR(VLOOKUP(November[[#This Row],[Drug Name4]],'Data Options'!$R$1:$S$100,2,FALSE), " ")</f>
        <v xml:space="preserve"> </v>
      </c>
      <c r="AT77" s="55"/>
      <c r="AU77" s="32"/>
      <c r="AV77" s="32"/>
      <c r="AW77" s="55"/>
      <c r="AX77" s="32"/>
      <c r="AY77" s="54"/>
      <c r="AZ77" s="21" t="str">
        <f>IFERROR(VLOOKUP(November[[#This Row],[Drug Name5]],'Data Options'!$R$1:$S$100,2,FALSE), " ")</f>
        <v xml:space="preserve"> </v>
      </c>
      <c r="BA77" s="55"/>
      <c r="BB77" s="32"/>
      <c r="BC77" s="32"/>
      <c r="BD77" s="55"/>
      <c r="BE77" s="32"/>
      <c r="BF77" s="54"/>
      <c r="BG77" s="21" t="str">
        <f>IFERROR(VLOOKUP(November[[#This Row],[Drug Name6]],'Data Options'!$R$1:$S$100,2,FALSE), " ")</f>
        <v xml:space="preserve"> </v>
      </c>
      <c r="BH77" s="55"/>
      <c r="BI77" s="32"/>
      <c r="BJ77" s="32"/>
      <c r="BK77" s="55"/>
      <c r="BL77" s="32"/>
      <c r="BM77" s="32"/>
      <c r="BN77" s="32"/>
      <c r="BO77" s="32"/>
      <c r="BP77" s="32"/>
      <c r="BQ77" s="31"/>
      <c r="BR77" s="31"/>
      <c r="BS77" s="54"/>
      <c r="BT77" s="21" t="str">
        <f>IFERROR(VLOOKUP(November[[#This Row],[Drug Name7]],'Data Options'!$R$1:$S$100,2,FALSE), " ")</f>
        <v xml:space="preserve"> </v>
      </c>
      <c r="BU77" s="55"/>
      <c r="BV77" s="32"/>
      <c r="BW77" s="32"/>
      <c r="BX77" s="55"/>
      <c r="BY77" s="32"/>
      <c r="BZ77" s="54"/>
      <c r="CA77" s="21" t="str">
        <f>IFERROR(VLOOKUP(November[[#This Row],[Drug Name8]],'Data Options'!$R$1:$S$100,2,FALSE), " ")</f>
        <v xml:space="preserve"> </v>
      </c>
      <c r="CB77" s="55"/>
      <c r="CC77" s="32"/>
      <c r="CD77" s="32"/>
      <c r="CE77" s="55"/>
      <c r="CF77" s="32"/>
      <c r="CG77" s="54"/>
      <c r="CH77" s="21" t="str">
        <f>IFERROR(VLOOKUP(November[[#This Row],[Drug Name9]],'Data Options'!$R$1:$S$100,2,FALSE), " ")</f>
        <v xml:space="preserve"> </v>
      </c>
      <c r="CI77" s="55"/>
      <c r="CJ77" s="32"/>
      <c r="CK77" s="32"/>
      <c r="CL77" s="55"/>
      <c r="CM77" s="32"/>
    </row>
    <row r="78" spans="1:91">
      <c r="A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31"/>
      <c r="Q78" s="54"/>
      <c r="R78" s="21" t="str">
        <f>IFERROR(VLOOKUP(November[[#This Row],[Drug Name]],'Data Options'!$R$1:$S$100,2,FALSE), " ")</f>
        <v xml:space="preserve"> </v>
      </c>
      <c r="S78" s="55"/>
      <c r="T78" s="32"/>
      <c r="U78" s="32"/>
      <c r="V78" s="55"/>
      <c r="W78" s="32"/>
      <c r="X78" s="54"/>
      <c r="Y78" s="21" t="str">
        <f>IFERROR(VLOOKUP(November[[#This Row],[Drug Name2]],'Data Options'!$R$1:$S$100,2,FALSE), " ")</f>
        <v xml:space="preserve"> </v>
      </c>
      <c r="Z78" s="55"/>
      <c r="AA78" s="32"/>
      <c r="AB78" s="32"/>
      <c r="AC78" s="55"/>
      <c r="AD78" s="32"/>
      <c r="AE78" s="54"/>
      <c r="AF78" s="21" t="str">
        <f>IFERROR(VLOOKUP(November[[#This Row],[Drug Name3]],'Data Options'!$R$1:$S$100,2,FALSE), " ")</f>
        <v xml:space="preserve"> </v>
      </c>
      <c r="AG78" s="55"/>
      <c r="AH78" s="32"/>
      <c r="AI78" s="32"/>
      <c r="AJ78" s="55"/>
      <c r="AK78" s="32"/>
      <c r="AL78" s="32"/>
      <c r="AM78" s="32"/>
      <c r="AN78" s="32"/>
      <c r="AO78" s="32"/>
      <c r="AP78" s="31"/>
      <c r="AQ78" s="31"/>
      <c r="AR78" s="54"/>
      <c r="AS78" s="21" t="str">
        <f>IFERROR(VLOOKUP(November[[#This Row],[Drug Name4]],'Data Options'!$R$1:$S$100,2,FALSE), " ")</f>
        <v xml:space="preserve"> </v>
      </c>
      <c r="AT78" s="55"/>
      <c r="AU78" s="32"/>
      <c r="AV78" s="32"/>
      <c r="AW78" s="55"/>
      <c r="AX78" s="32"/>
      <c r="AY78" s="54"/>
      <c r="AZ78" s="21" t="str">
        <f>IFERROR(VLOOKUP(November[[#This Row],[Drug Name5]],'Data Options'!$R$1:$S$100,2,FALSE), " ")</f>
        <v xml:space="preserve"> </v>
      </c>
      <c r="BA78" s="55"/>
      <c r="BB78" s="32"/>
      <c r="BC78" s="32"/>
      <c r="BD78" s="55"/>
      <c r="BE78" s="32"/>
      <c r="BF78" s="54"/>
      <c r="BG78" s="21" t="str">
        <f>IFERROR(VLOOKUP(November[[#This Row],[Drug Name6]],'Data Options'!$R$1:$S$100,2,FALSE), " ")</f>
        <v xml:space="preserve"> </v>
      </c>
      <c r="BH78" s="55"/>
      <c r="BI78" s="32"/>
      <c r="BJ78" s="32"/>
      <c r="BK78" s="55"/>
      <c r="BL78" s="32"/>
      <c r="BM78" s="32"/>
      <c r="BN78" s="32"/>
      <c r="BO78" s="32"/>
      <c r="BP78" s="32"/>
      <c r="BQ78" s="31"/>
      <c r="BR78" s="31"/>
      <c r="BS78" s="54"/>
      <c r="BT78" s="21" t="str">
        <f>IFERROR(VLOOKUP(November[[#This Row],[Drug Name7]],'Data Options'!$R$1:$S$100,2,FALSE), " ")</f>
        <v xml:space="preserve"> </v>
      </c>
      <c r="BU78" s="55"/>
      <c r="BV78" s="32"/>
      <c r="BW78" s="32"/>
      <c r="BX78" s="55"/>
      <c r="BY78" s="32"/>
      <c r="BZ78" s="54"/>
      <c r="CA78" s="21" t="str">
        <f>IFERROR(VLOOKUP(November[[#This Row],[Drug Name8]],'Data Options'!$R$1:$S$100,2,FALSE), " ")</f>
        <v xml:space="preserve"> </v>
      </c>
      <c r="CB78" s="55"/>
      <c r="CC78" s="32"/>
      <c r="CD78" s="32"/>
      <c r="CE78" s="55"/>
      <c r="CF78" s="32"/>
      <c r="CG78" s="54"/>
      <c r="CH78" s="21" t="str">
        <f>IFERROR(VLOOKUP(November[[#This Row],[Drug Name9]],'Data Options'!$R$1:$S$100,2,FALSE), " ")</f>
        <v xml:space="preserve"> </v>
      </c>
      <c r="CI78" s="55"/>
      <c r="CJ78" s="32"/>
      <c r="CK78" s="32"/>
      <c r="CL78" s="55"/>
      <c r="CM78" s="32"/>
    </row>
    <row r="79" spans="1:91">
      <c r="A79" s="5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31"/>
      <c r="Q79" s="54"/>
      <c r="R79" s="21" t="str">
        <f>IFERROR(VLOOKUP(November[[#This Row],[Drug Name]],'Data Options'!$R$1:$S$100,2,FALSE), " ")</f>
        <v xml:space="preserve"> </v>
      </c>
      <c r="S79" s="55"/>
      <c r="T79" s="32"/>
      <c r="U79" s="32"/>
      <c r="V79" s="55"/>
      <c r="W79" s="32"/>
      <c r="X79" s="54"/>
      <c r="Y79" s="21" t="str">
        <f>IFERROR(VLOOKUP(November[[#This Row],[Drug Name2]],'Data Options'!$R$1:$S$100,2,FALSE), " ")</f>
        <v xml:space="preserve"> </v>
      </c>
      <c r="Z79" s="55"/>
      <c r="AA79" s="32"/>
      <c r="AB79" s="32"/>
      <c r="AC79" s="55"/>
      <c r="AD79" s="32"/>
      <c r="AE79" s="54"/>
      <c r="AF79" s="21" t="str">
        <f>IFERROR(VLOOKUP(November[[#This Row],[Drug Name3]],'Data Options'!$R$1:$S$100,2,FALSE), " ")</f>
        <v xml:space="preserve"> </v>
      </c>
      <c r="AG79" s="55"/>
      <c r="AH79" s="32"/>
      <c r="AI79" s="32"/>
      <c r="AJ79" s="55"/>
      <c r="AK79" s="32"/>
      <c r="AL79" s="32"/>
      <c r="AM79" s="32"/>
      <c r="AN79" s="32"/>
      <c r="AO79" s="32"/>
      <c r="AP79" s="31"/>
      <c r="AQ79" s="31"/>
      <c r="AR79" s="54"/>
      <c r="AS79" s="21" t="str">
        <f>IFERROR(VLOOKUP(November[[#This Row],[Drug Name4]],'Data Options'!$R$1:$S$100,2,FALSE), " ")</f>
        <v xml:space="preserve"> </v>
      </c>
      <c r="AT79" s="55"/>
      <c r="AU79" s="32"/>
      <c r="AV79" s="32"/>
      <c r="AW79" s="55"/>
      <c r="AX79" s="32"/>
      <c r="AY79" s="54"/>
      <c r="AZ79" s="21" t="str">
        <f>IFERROR(VLOOKUP(November[[#This Row],[Drug Name5]],'Data Options'!$R$1:$S$100,2,FALSE), " ")</f>
        <v xml:space="preserve"> </v>
      </c>
      <c r="BA79" s="55"/>
      <c r="BB79" s="32"/>
      <c r="BC79" s="32"/>
      <c r="BD79" s="55"/>
      <c r="BE79" s="32"/>
      <c r="BF79" s="54"/>
      <c r="BG79" s="21" t="str">
        <f>IFERROR(VLOOKUP(November[[#This Row],[Drug Name6]],'Data Options'!$R$1:$S$100,2,FALSE), " ")</f>
        <v xml:space="preserve"> </v>
      </c>
      <c r="BH79" s="55"/>
      <c r="BI79" s="32"/>
      <c r="BJ79" s="32"/>
      <c r="BK79" s="55"/>
      <c r="BL79" s="32"/>
      <c r="BM79" s="32"/>
      <c r="BN79" s="32"/>
      <c r="BO79" s="32"/>
      <c r="BP79" s="32"/>
      <c r="BQ79" s="31"/>
      <c r="BR79" s="31"/>
      <c r="BS79" s="54"/>
      <c r="BT79" s="21" t="str">
        <f>IFERROR(VLOOKUP(November[[#This Row],[Drug Name7]],'Data Options'!$R$1:$S$100,2,FALSE), " ")</f>
        <v xml:space="preserve"> </v>
      </c>
      <c r="BU79" s="55"/>
      <c r="BV79" s="32"/>
      <c r="BW79" s="32"/>
      <c r="BX79" s="55"/>
      <c r="BY79" s="32"/>
      <c r="BZ79" s="54"/>
      <c r="CA79" s="21" t="str">
        <f>IFERROR(VLOOKUP(November[[#This Row],[Drug Name8]],'Data Options'!$R$1:$S$100,2,FALSE), " ")</f>
        <v xml:space="preserve"> </v>
      </c>
      <c r="CB79" s="55"/>
      <c r="CC79" s="32"/>
      <c r="CD79" s="32"/>
      <c r="CE79" s="55"/>
      <c r="CF79" s="32"/>
      <c r="CG79" s="54"/>
      <c r="CH79" s="21" t="str">
        <f>IFERROR(VLOOKUP(November[[#This Row],[Drug Name9]],'Data Options'!$R$1:$S$100,2,FALSE), " ")</f>
        <v xml:space="preserve"> </v>
      </c>
      <c r="CI79" s="55"/>
      <c r="CJ79" s="32"/>
      <c r="CK79" s="32"/>
      <c r="CL79" s="55"/>
      <c r="CM79" s="32"/>
    </row>
    <row r="80" spans="1:91">
      <c r="A80" s="5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31"/>
      <c r="Q80" s="54"/>
      <c r="R80" s="21" t="str">
        <f>IFERROR(VLOOKUP(November[[#This Row],[Drug Name]],'Data Options'!$R$1:$S$100,2,FALSE), " ")</f>
        <v xml:space="preserve"> </v>
      </c>
      <c r="S80" s="55"/>
      <c r="T80" s="32"/>
      <c r="U80" s="32"/>
      <c r="V80" s="55"/>
      <c r="W80" s="32"/>
      <c r="X80" s="54"/>
      <c r="Y80" s="21" t="str">
        <f>IFERROR(VLOOKUP(November[[#This Row],[Drug Name2]],'Data Options'!$R$1:$S$100,2,FALSE), " ")</f>
        <v xml:space="preserve"> </v>
      </c>
      <c r="Z80" s="55"/>
      <c r="AA80" s="32"/>
      <c r="AB80" s="32"/>
      <c r="AC80" s="55"/>
      <c r="AD80" s="32"/>
      <c r="AE80" s="54"/>
      <c r="AF80" s="21" t="str">
        <f>IFERROR(VLOOKUP(November[[#This Row],[Drug Name3]],'Data Options'!$R$1:$S$100,2,FALSE), " ")</f>
        <v xml:space="preserve"> </v>
      </c>
      <c r="AG80" s="55"/>
      <c r="AH80" s="32"/>
      <c r="AI80" s="32"/>
      <c r="AJ80" s="55"/>
      <c r="AK80" s="32"/>
      <c r="AL80" s="32"/>
      <c r="AM80" s="32"/>
      <c r="AN80" s="32"/>
      <c r="AO80" s="32"/>
      <c r="AP80" s="31"/>
      <c r="AQ80" s="31"/>
      <c r="AR80" s="54"/>
      <c r="AS80" s="21" t="str">
        <f>IFERROR(VLOOKUP(November[[#This Row],[Drug Name4]],'Data Options'!$R$1:$S$100,2,FALSE), " ")</f>
        <v xml:space="preserve"> </v>
      </c>
      <c r="AT80" s="55"/>
      <c r="AU80" s="32"/>
      <c r="AV80" s="32"/>
      <c r="AW80" s="55"/>
      <c r="AX80" s="32"/>
      <c r="AY80" s="54"/>
      <c r="AZ80" s="21" t="str">
        <f>IFERROR(VLOOKUP(November[[#This Row],[Drug Name5]],'Data Options'!$R$1:$S$100,2,FALSE), " ")</f>
        <v xml:space="preserve"> </v>
      </c>
      <c r="BA80" s="55"/>
      <c r="BB80" s="32"/>
      <c r="BC80" s="32"/>
      <c r="BD80" s="55"/>
      <c r="BE80" s="32"/>
      <c r="BF80" s="54"/>
      <c r="BG80" s="21" t="str">
        <f>IFERROR(VLOOKUP(November[[#This Row],[Drug Name6]],'Data Options'!$R$1:$S$100,2,FALSE), " ")</f>
        <v xml:space="preserve"> </v>
      </c>
      <c r="BH80" s="55"/>
      <c r="BI80" s="32"/>
      <c r="BJ80" s="32"/>
      <c r="BK80" s="55"/>
      <c r="BL80" s="32"/>
      <c r="BM80" s="32"/>
      <c r="BN80" s="32"/>
      <c r="BO80" s="32"/>
      <c r="BP80" s="32"/>
      <c r="BQ80" s="31"/>
      <c r="BR80" s="31"/>
      <c r="BS80" s="54"/>
      <c r="BT80" s="21" t="str">
        <f>IFERROR(VLOOKUP(November[[#This Row],[Drug Name7]],'Data Options'!$R$1:$S$100,2,FALSE), " ")</f>
        <v xml:space="preserve"> </v>
      </c>
      <c r="BU80" s="55"/>
      <c r="BV80" s="32"/>
      <c r="BW80" s="32"/>
      <c r="BX80" s="55"/>
      <c r="BY80" s="32"/>
      <c r="BZ80" s="54"/>
      <c r="CA80" s="21" t="str">
        <f>IFERROR(VLOOKUP(November[[#This Row],[Drug Name8]],'Data Options'!$R$1:$S$100,2,FALSE), " ")</f>
        <v xml:space="preserve"> </v>
      </c>
      <c r="CB80" s="55"/>
      <c r="CC80" s="32"/>
      <c r="CD80" s="32"/>
      <c r="CE80" s="55"/>
      <c r="CF80" s="32"/>
      <c r="CG80" s="54"/>
      <c r="CH80" s="21" t="str">
        <f>IFERROR(VLOOKUP(November[[#This Row],[Drug Name9]],'Data Options'!$R$1:$S$100,2,FALSE), " ")</f>
        <v xml:space="preserve"> </v>
      </c>
      <c r="CI80" s="55"/>
      <c r="CJ80" s="32"/>
      <c r="CK80" s="32"/>
      <c r="CL80" s="55"/>
      <c r="CM80" s="32"/>
    </row>
    <row r="81" spans="1:91">
      <c r="A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54"/>
      <c r="R81" s="21" t="str">
        <f>IFERROR(VLOOKUP(November[[#This Row],[Drug Name]],'Data Options'!$R$1:$S$100,2,FALSE), " ")</f>
        <v xml:space="preserve"> </v>
      </c>
      <c r="S81" s="55"/>
      <c r="T81" s="32"/>
      <c r="U81" s="32"/>
      <c r="V81" s="55"/>
      <c r="W81" s="32"/>
      <c r="X81" s="54"/>
      <c r="Y81" s="21" t="str">
        <f>IFERROR(VLOOKUP(November[[#This Row],[Drug Name2]],'Data Options'!$R$1:$S$100,2,FALSE), " ")</f>
        <v xml:space="preserve"> </v>
      </c>
      <c r="Z81" s="55"/>
      <c r="AA81" s="32"/>
      <c r="AB81" s="32"/>
      <c r="AC81" s="55"/>
      <c r="AD81" s="32"/>
      <c r="AE81" s="54"/>
      <c r="AF81" s="21" t="str">
        <f>IFERROR(VLOOKUP(November[[#This Row],[Drug Name3]],'Data Options'!$R$1:$S$100,2,FALSE), " ")</f>
        <v xml:space="preserve"> </v>
      </c>
      <c r="AG81" s="55"/>
      <c r="AH81" s="32"/>
      <c r="AI81" s="32"/>
      <c r="AJ81" s="55"/>
      <c r="AK81" s="32"/>
      <c r="AL81" s="32"/>
      <c r="AM81" s="32"/>
      <c r="AN81" s="32"/>
      <c r="AO81" s="32"/>
      <c r="AP81" s="31"/>
      <c r="AQ81" s="31"/>
      <c r="AR81" s="54"/>
      <c r="AS81" s="21" t="str">
        <f>IFERROR(VLOOKUP(November[[#This Row],[Drug Name4]],'Data Options'!$R$1:$S$100,2,FALSE), " ")</f>
        <v xml:space="preserve"> </v>
      </c>
      <c r="AT81" s="55"/>
      <c r="AU81" s="32"/>
      <c r="AV81" s="32"/>
      <c r="AW81" s="55"/>
      <c r="AX81" s="32"/>
      <c r="AY81" s="54"/>
      <c r="AZ81" s="21" t="str">
        <f>IFERROR(VLOOKUP(November[[#This Row],[Drug Name5]],'Data Options'!$R$1:$S$100,2,FALSE), " ")</f>
        <v xml:space="preserve"> </v>
      </c>
      <c r="BA81" s="55"/>
      <c r="BB81" s="32"/>
      <c r="BC81" s="32"/>
      <c r="BD81" s="55"/>
      <c r="BE81" s="32"/>
      <c r="BF81" s="54"/>
      <c r="BG81" s="21" t="str">
        <f>IFERROR(VLOOKUP(November[[#This Row],[Drug Name6]],'Data Options'!$R$1:$S$100,2,FALSE), " ")</f>
        <v xml:space="preserve"> </v>
      </c>
      <c r="BH81" s="55"/>
      <c r="BI81" s="32"/>
      <c r="BJ81" s="32"/>
      <c r="BK81" s="55"/>
      <c r="BL81" s="32"/>
      <c r="BM81" s="32"/>
      <c r="BN81" s="32"/>
      <c r="BO81" s="32"/>
      <c r="BP81" s="32"/>
      <c r="BQ81" s="31"/>
      <c r="BR81" s="31"/>
      <c r="BS81" s="54"/>
      <c r="BT81" s="21" t="str">
        <f>IFERROR(VLOOKUP(November[[#This Row],[Drug Name7]],'Data Options'!$R$1:$S$100,2,FALSE), " ")</f>
        <v xml:space="preserve"> </v>
      </c>
      <c r="BU81" s="55"/>
      <c r="BV81" s="32"/>
      <c r="BW81" s="32"/>
      <c r="BX81" s="55"/>
      <c r="BY81" s="32"/>
      <c r="BZ81" s="54"/>
      <c r="CA81" s="21" t="str">
        <f>IFERROR(VLOOKUP(November[[#This Row],[Drug Name8]],'Data Options'!$R$1:$S$100,2,FALSE), " ")</f>
        <v xml:space="preserve"> </v>
      </c>
      <c r="CB81" s="55"/>
      <c r="CC81" s="32"/>
      <c r="CD81" s="32"/>
      <c r="CE81" s="55"/>
      <c r="CF81" s="32"/>
      <c r="CG81" s="54"/>
      <c r="CH81" s="21" t="str">
        <f>IFERROR(VLOOKUP(November[[#This Row],[Drug Name9]],'Data Options'!$R$1:$S$100,2,FALSE), " ")</f>
        <v xml:space="preserve"> </v>
      </c>
      <c r="CI81" s="55"/>
      <c r="CJ81" s="32"/>
      <c r="CK81" s="32"/>
      <c r="CL81" s="55"/>
      <c r="CM81" s="32"/>
    </row>
    <row r="82" spans="1:91">
      <c r="A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54"/>
      <c r="R82" s="21" t="str">
        <f>IFERROR(VLOOKUP(November[[#This Row],[Drug Name]],'Data Options'!$R$1:$S$100,2,FALSE), " ")</f>
        <v xml:space="preserve"> </v>
      </c>
      <c r="S82" s="55"/>
      <c r="T82" s="32"/>
      <c r="U82" s="32"/>
      <c r="V82" s="55"/>
      <c r="W82" s="32"/>
      <c r="X82" s="54"/>
      <c r="Y82" s="21" t="str">
        <f>IFERROR(VLOOKUP(November[[#This Row],[Drug Name2]],'Data Options'!$R$1:$S$100,2,FALSE), " ")</f>
        <v xml:space="preserve"> </v>
      </c>
      <c r="Z82" s="55"/>
      <c r="AA82" s="32"/>
      <c r="AB82" s="32"/>
      <c r="AC82" s="55"/>
      <c r="AD82" s="32"/>
      <c r="AE82" s="54"/>
      <c r="AF82" s="21" t="str">
        <f>IFERROR(VLOOKUP(November[[#This Row],[Drug Name3]],'Data Options'!$R$1:$S$100,2,FALSE), " ")</f>
        <v xml:space="preserve"> </v>
      </c>
      <c r="AG82" s="55"/>
      <c r="AH82" s="32"/>
      <c r="AI82" s="32"/>
      <c r="AJ82" s="55"/>
      <c r="AK82" s="32"/>
      <c r="AL82" s="32"/>
      <c r="AM82" s="32"/>
      <c r="AN82" s="32"/>
      <c r="AO82" s="32"/>
      <c r="AP82" s="31"/>
      <c r="AQ82" s="31"/>
      <c r="AR82" s="54"/>
      <c r="AS82" s="21" t="str">
        <f>IFERROR(VLOOKUP(November[[#This Row],[Drug Name4]],'Data Options'!$R$1:$S$100,2,FALSE), " ")</f>
        <v xml:space="preserve"> </v>
      </c>
      <c r="AT82" s="55"/>
      <c r="AU82" s="32"/>
      <c r="AV82" s="32"/>
      <c r="AW82" s="55"/>
      <c r="AX82" s="32"/>
      <c r="AY82" s="54"/>
      <c r="AZ82" s="21" t="str">
        <f>IFERROR(VLOOKUP(November[[#This Row],[Drug Name5]],'Data Options'!$R$1:$S$100,2,FALSE), " ")</f>
        <v xml:space="preserve"> </v>
      </c>
      <c r="BA82" s="55"/>
      <c r="BB82" s="32"/>
      <c r="BC82" s="32"/>
      <c r="BD82" s="55"/>
      <c r="BE82" s="32"/>
      <c r="BF82" s="54"/>
      <c r="BG82" s="21" t="str">
        <f>IFERROR(VLOOKUP(November[[#This Row],[Drug Name6]],'Data Options'!$R$1:$S$100,2,FALSE), " ")</f>
        <v xml:space="preserve"> </v>
      </c>
      <c r="BH82" s="55"/>
      <c r="BI82" s="32"/>
      <c r="BJ82" s="32"/>
      <c r="BK82" s="55"/>
      <c r="BL82" s="32"/>
      <c r="BM82" s="32"/>
      <c r="BN82" s="32"/>
      <c r="BO82" s="32"/>
      <c r="BP82" s="32"/>
      <c r="BQ82" s="31"/>
      <c r="BR82" s="31"/>
      <c r="BS82" s="54"/>
      <c r="BT82" s="21" t="str">
        <f>IFERROR(VLOOKUP(November[[#This Row],[Drug Name7]],'Data Options'!$R$1:$S$100,2,FALSE), " ")</f>
        <v xml:space="preserve"> </v>
      </c>
      <c r="BU82" s="55"/>
      <c r="BV82" s="32"/>
      <c r="BW82" s="32"/>
      <c r="BX82" s="55"/>
      <c r="BY82" s="32"/>
      <c r="BZ82" s="54"/>
      <c r="CA82" s="21" t="str">
        <f>IFERROR(VLOOKUP(November[[#This Row],[Drug Name8]],'Data Options'!$R$1:$S$100,2,FALSE), " ")</f>
        <v xml:space="preserve"> </v>
      </c>
      <c r="CB82" s="55"/>
      <c r="CC82" s="32"/>
      <c r="CD82" s="32"/>
      <c r="CE82" s="55"/>
      <c r="CF82" s="32"/>
      <c r="CG82" s="54"/>
      <c r="CH82" s="21" t="str">
        <f>IFERROR(VLOOKUP(November[[#This Row],[Drug Name9]],'Data Options'!$R$1:$S$100,2,FALSE), " ")</f>
        <v xml:space="preserve"> </v>
      </c>
      <c r="CI82" s="55"/>
      <c r="CJ82" s="32"/>
      <c r="CK82" s="32"/>
      <c r="CL82" s="55"/>
      <c r="CM82" s="32"/>
    </row>
    <row r="83" spans="1:91">
      <c r="A83" s="5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31"/>
      <c r="Q83" s="54"/>
      <c r="R83" s="21" t="str">
        <f>IFERROR(VLOOKUP(November[[#This Row],[Drug Name]],'Data Options'!$R$1:$S$100,2,FALSE), " ")</f>
        <v xml:space="preserve"> </v>
      </c>
      <c r="S83" s="55"/>
      <c r="T83" s="32"/>
      <c r="U83" s="32"/>
      <c r="V83" s="55"/>
      <c r="W83" s="32"/>
      <c r="X83" s="54"/>
      <c r="Y83" s="21" t="str">
        <f>IFERROR(VLOOKUP(November[[#This Row],[Drug Name2]],'Data Options'!$R$1:$S$100,2,FALSE), " ")</f>
        <v xml:space="preserve"> </v>
      </c>
      <c r="Z83" s="55"/>
      <c r="AA83" s="32"/>
      <c r="AB83" s="32"/>
      <c r="AC83" s="55"/>
      <c r="AD83" s="32"/>
      <c r="AE83" s="54"/>
      <c r="AF83" s="21" t="str">
        <f>IFERROR(VLOOKUP(November[[#This Row],[Drug Name3]],'Data Options'!$R$1:$S$100,2,FALSE), " ")</f>
        <v xml:space="preserve"> </v>
      </c>
      <c r="AG83" s="55"/>
      <c r="AH83" s="32"/>
      <c r="AI83" s="32"/>
      <c r="AJ83" s="55"/>
      <c r="AK83" s="32"/>
      <c r="AL83" s="32"/>
      <c r="AM83" s="32"/>
      <c r="AN83" s="32"/>
      <c r="AO83" s="32"/>
      <c r="AP83" s="31"/>
      <c r="AQ83" s="31"/>
      <c r="AR83" s="54"/>
      <c r="AS83" s="21" t="str">
        <f>IFERROR(VLOOKUP(November[[#This Row],[Drug Name4]],'Data Options'!$R$1:$S$100,2,FALSE), " ")</f>
        <v xml:space="preserve"> </v>
      </c>
      <c r="AT83" s="55"/>
      <c r="AU83" s="32"/>
      <c r="AV83" s="32"/>
      <c r="AW83" s="55"/>
      <c r="AX83" s="32"/>
      <c r="AY83" s="54"/>
      <c r="AZ83" s="21" t="str">
        <f>IFERROR(VLOOKUP(November[[#This Row],[Drug Name5]],'Data Options'!$R$1:$S$100,2,FALSE), " ")</f>
        <v xml:space="preserve"> </v>
      </c>
      <c r="BA83" s="55"/>
      <c r="BB83" s="32"/>
      <c r="BC83" s="32"/>
      <c r="BD83" s="55"/>
      <c r="BE83" s="32"/>
      <c r="BF83" s="54"/>
      <c r="BG83" s="21" t="str">
        <f>IFERROR(VLOOKUP(November[[#This Row],[Drug Name6]],'Data Options'!$R$1:$S$100,2,FALSE), " ")</f>
        <v xml:space="preserve"> </v>
      </c>
      <c r="BH83" s="55"/>
      <c r="BI83" s="32"/>
      <c r="BJ83" s="32"/>
      <c r="BK83" s="55"/>
      <c r="BL83" s="32"/>
      <c r="BM83" s="32"/>
      <c r="BN83" s="32"/>
      <c r="BO83" s="32"/>
      <c r="BP83" s="32"/>
      <c r="BQ83" s="31"/>
      <c r="BR83" s="31"/>
      <c r="BS83" s="54"/>
      <c r="BT83" s="21" t="str">
        <f>IFERROR(VLOOKUP(November[[#This Row],[Drug Name7]],'Data Options'!$R$1:$S$100,2,FALSE), " ")</f>
        <v xml:space="preserve"> </v>
      </c>
      <c r="BU83" s="55"/>
      <c r="BV83" s="32"/>
      <c r="BW83" s="32"/>
      <c r="BX83" s="55"/>
      <c r="BY83" s="32"/>
      <c r="BZ83" s="54"/>
      <c r="CA83" s="21" t="str">
        <f>IFERROR(VLOOKUP(November[[#This Row],[Drug Name8]],'Data Options'!$R$1:$S$100,2,FALSE), " ")</f>
        <v xml:space="preserve"> </v>
      </c>
      <c r="CB83" s="55"/>
      <c r="CC83" s="32"/>
      <c r="CD83" s="32"/>
      <c r="CE83" s="55"/>
      <c r="CF83" s="32"/>
      <c r="CG83" s="54"/>
      <c r="CH83" s="21" t="str">
        <f>IFERROR(VLOOKUP(November[[#This Row],[Drug Name9]],'Data Options'!$R$1:$S$100,2,FALSE), " ")</f>
        <v xml:space="preserve"> </v>
      </c>
      <c r="CI83" s="55"/>
      <c r="CJ83" s="32"/>
      <c r="CK83" s="32"/>
      <c r="CL83" s="55"/>
      <c r="CM83" s="32"/>
    </row>
    <row r="84" spans="1:91">
      <c r="A84" s="5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31"/>
      <c r="Q84" s="54"/>
      <c r="R84" s="21" t="str">
        <f>IFERROR(VLOOKUP(November[[#This Row],[Drug Name]],'Data Options'!$R$1:$S$100,2,FALSE), " ")</f>
        <v xml:space="preserve"> </v>
      </c>
      <c r="S84" s="55"/>
      <c r="T84" s="32"/>
      <c r="U84" s="32"/>
      <c r="V84" s="55"/>
      <c r="W84" s="32"/>
      <c r="X84" s="54"/>
      <c r="Y84" s="21" t="str">
        <f>IFERROR(VLOOKUP(November[[#This Row],[Drug Name2]],'Data Options'!$R$1:$S$100,2,FALSE), " ")</f>
        <v xml:space="preserve"> </v>
      </c>
      <c r="Z84" s="55"/>
      <c r="AA84" s="32"/>
      <c r="AB84" s="32"/>
      <c r="AC84" s="55"/>
      <c r="AD84" s="32"/>
      <c r="AE84" s="54"/>
      <c r="AF84" s="21" t="str">
        <f>IFERROR(VLOOKUP(November[[#This Row],[Drug Name3]],'Data Options'!$R$1:$S$100,2,FALSE), " ")</f>
        <v xml:space="preserve"> </v>
      </c>
      <c r="AG84" s="55"/>
      <c r="AH84" s="32"/>
      <c r="AI84" s="32"/>
      <c r="AJ84" s="55"/>
      <c r="AK84" s="32"/>
      <c r="AL84" s="32"/>
      <c r="AM84" s="32"/>
      <c r="AN84" s="32"/>
      <c r="AO84" s="32"/>
      <c r="AP84" s="31"/>
      <c r="AQ84" s="31"/>
      <c r="AR84" s="54"/>
      <c r="AS84" s="21" t="str">
        <f>IFERROR(VLOOKUP(November[[#This Row],[Drug Name4]],'Data Options'!$R$1:$S$100,2,FALSE), " ")</f>
        <v xml:space="preserve"> </v>
      </c>
      <c r="AT84" s="55"/>
      <c r="AU84" s="32"/>
      <c r="AV84" s="32"/>
      <c r="AW84" s="55"/>
      <c r="AX84" s="32"/>
      <c r="AY84" s="54"/>
      <c r="AZ84" s="21" t="str">
        <f>IFERROR(VLOOKUP(November[[#This Row],[Drug Name5]],'Data Options'!$R$1:$S$100,2,FALSE), " ")</f>
        <v xml:space="preserve"> </v>
      </c>
      <c r="BA84" s="55"/>
      <c r="BB84" s="32"/>
      <c r="BC84" s="32"/>
      <c r="BD84" s="55"/>
      <c r="BE84" s="32"/>
      <c r="BF84" s="54"/>
      <c r="BG84" s="21" t="str">
        <f>IFERROR(VLOOKUP(November[[#This Row],[Drug Name6]],'Data Options'!$R$1:$S$100,2,FALSE), " ")</f>
        <v xml:space="preserve"> </v>
      </c>
      <c r="BH84" s="55"/>
      <c r="BI84" s="32"/>
      <c r="BJ84" s="32"/>
      <c r="BK84" s="55"/>
      <c r="BL84" s="32"/>
      <c r="BM84" s="32"/>
      <c r="BN84" s="32"/>
      <c r="BO84" s="32"/>
      <c r="BP84" s="32"/>
      <c r="BQ84" s="31"/>
      <c r="BR84" s="31"/>
      <c r="BS84" s="54"/>
      <c r="BT84" s="21" t="str">
        <f>IFERROR(VLOOKUP(November[[#This Row],[Drug Name7]],'Data Options'!$R$1:$S$100,2,FALSE), " ")</f>
        <v xml:space="preserve"> </v>
      </c>
      <c r="BU84" s="55"/>
      <c r="BV84" s="32"/>
      <c r="BW84" s="32"/>
      <c r="BX84" s="55"/>
      <c r="BY84" s="32"/>
      <c r="BZ84" s="54"/>
      <c r="CA84" s="21" t="str">
        <f>IFERROR(VLOOKUP(November[[#This Row],[Drug Name8]],'Data Options'!$R$1:$S$100,2,FALSE), " ")</f>
        <v xml:space="preserve"> </v>
      </c>
      <c r="CB84" s="55"/>
      <c r="CC84" s="32"/>
      <c r="CD84" s="32"/>
      <c r="CE84" s="55"/>
      <c r="CF84" s="32"/>
      <c r="CG84" s="54"/>
      <c r="CH84" s="21" t="str">
        <f>IFERROR(VLOOKUP(November[[#This Row],[Drug Name9]],'Data Options'!$R$1:$S$100,2,FALSE), " ")</f>
        <v xml:space="preserve"> </v>
      </c>
      <c r="CI84" s="55"/>
      <c r="CJ84" s="32"/>
      <c r="CK84" s="32"/>
      <c r="CL84" s="55"/>
      <c r="CM84" s="32"/>
    </row>
    <row r="85" spans="1:91">
      <c r="A85" s="5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31"/>
      <c r="Q85" s="54"/>
      <c r="R85" s="21" t="str">
        <f>IFERROR(VLOOKUP(November[[#This Row],[Drug Name]],'Data Options'!$R$1:$S$100,2,FALSE), " ")</f>
        <v xml:space="preserve"> </v>
      </c>
      <c r="S85" s="55"/>
      <c r="T85" s="32"/>
      <c r="U85" s="32"/>
      <c r="V85" s="55"/>
      <c r="W85" s="32"/>
      <c r="X85" s="54"/>
      <c r="Y85" s="21" t="str">
        <f>IFERROR(VLOOKUP(November[[#This Row],[Drug Name2]],'Data Options'!$R$1:$S$100,2,FALSE), " ")</f>
        <v xml:space="preserve"> </v>
      </c>
      <c r="Z85" s="55"/>
      <c r="AA85" s="32"/>
      <c r="AB85" s="32"/>
      <c r="AC85" s="55"/>
      <c r="AD85" s="32"/>
      <c r="AE85" s="54"/>
      <c r="AF85" s="21" t="str">
        <f>IFERROR(VLOOKUP(November[[#This Row],[Drug Name3]],'Data Options'!$R$1:$S$100,2,FALSE), " ")</f>
        <v xml:space="preserve"> </v>
      </c>
      <c r="AG85" s="55"/>
      <c r="AH85" s="32"/>
      <c r="AI85" s="32"/>
      <c r="AJ85" s="55"/>
      <c r="AK85" s="32"/>
      <c r="AL85" s="32"/>
      <c r="AM85" s="32"/>
      <c r="AN85" s="32"/>
      <c r="AO85" s="32"/>
      <c r="AP85" s="31"/>
      <c r="AQ85" s="31"/>
      <c r="AR85" s="54"/>
      <c r="AS85" s="21" t="str">
        <f>IFERROR(VLOOKUP(November[[#This Row],[Drug Name4]],'Data Options'!$R$1:$S$100,2,FALSE), " ")</f>
        <v xml:space="preserve"> </v>
      </c>
      <c r="AT85" s="55"/>
      <c r="AU85" s="32"/>
      <c r="AV85" s="32"/>
      <c r="AW85" s="55"/>
      <c r="AX85" s="32"/>
      <c r="AY85" s="54"/>
      <c r="AZ85" s="21" t="str">
        <f>IFERROR(VLOOKUP(November[[#This Row],[Drug Name5]],'Data Options'!$R$1:$S$100,2,FALSE), " ")</f>
        <v xml:space="preserve"> </v>
      </c>
      <c r="BA85" s="55"/>
      <c r="BB85" s="32"/>
      <c r="BC85" s="32"/>
      <c r="BD85" s="55"/>
      <c r="BE85" s="32"/>
      <c r="BF85" s="54"/>
      <c r="BG85" s="21" t="str">
        <f>IFERROR(VLOOKUP(November[[#This Row],[Drug Name6]],'Data Options'!$R$1:$S$100,2,FALSE), " ")</f>
        <v xml:space="preserve"> </v>
      </c>
      <c r="BH85" s="55"/>
      <c r="BI85" s="32"/>
      <c r="BJ85" s="32"/>
      <c r="BK85" s="55"/>
      <c r="BL85" s="32"/>
      <c r="BM85" s="32"/>
      <c r="BN85" s="32"/>
      <c r="BO85" s="32"/>
      <c r="BP85" s="32"/>
      <c r="BQ85" s="31"/>
      <c r="BR85" s="31"/>
      <c r="BS85" s="54"/>
      <c r="BT85" s="21" t="str">
        <f>IFERROR(VLOOKUP(November[[#This Row],[Drug Name7]],'Data Options'!$R$1:$S$100,2,FALSE), " ")</f>
        <v xml:space="preserve"> </v>
      </c>
      <c r="BU85" s="55"/>
      <c r="BV85" s="32"/>
      <c r="BW85" s="32"/>
      <c r="BX85" s="55"/>
      <c r="BY85" s="32"/>
      <c r="BZ85" s="54"/>
      <c r="CA85" s="21" t="str">
        <f>IFERROR(VLOOKUP(November[[#This Row],[Drug Name8]],'Data Options'!$R$1:$S$100,2,FALSE), " ")</f>
        <v xml:space="preserve"> </v>
      </c>
      <c r="CB85" s="55"/>
      <c r="CC85" s="32"/>
      <c r="CD85" s="32"/>
      <c r="CE85" s="55"/>
      <c r="CF85" s="32"/>
      <c r="CG85" s="54"/>
      <c r="CH85" s="21" t="str">
        <f>IFERROR(VLOOKUP(November[[#This Row],[Drug Name9]],'Data Options'!$R$1:$S$100,2,FALSE), " ")</f>
        <v xml:space="preserve"> </v>
      </c>
      <c r="CI85" s="55"/>
      <c r="CJ85" s="32"/>
      <c r="CK85" s="32"/>
      <c r="CL85" s="55"/>
      <c r="CM85" s="32"/>
    </row>
    <row r="86" spans="1:91">
      <c r="A86" s="5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31"/>
      <c r="Q86" s="54"/>
      <c r="R86" s="21" t="str">
        <f>IFERROR(VLOOKUP(November[[#This Row],[Drug Name]],'Data Options'!$R$1:$S$100,2,FALSE), " ")</f>
        <v xml:space="preserve"> </v>
      </c>
      <c r="S86" s="55"/>
      <c r="T86" s="32"/>
      <c r="U86" s="32"/>
      <c r="V86" s="55"/>
      <c r="W86" s="32"/>
      <c r="X86" s="54"/>
      <c r="Y86" s="21" t="str">
        <f>IFERROR(VLOOKUP(November[[#This Row],[Drug Name2]],'Data Options'!$R$1:$S$100,2,FALSE), " ")</f>
        <v xml:space="preserve"> </v>
      </c>
      <c r="Z86" s="55"/>
      <c r="AA86" s="32"/>
      <c r="AB86" s="32"/>
      <c r="AC86" s="55"/>
      <c r="AD86" s="32"/>
      <c r="AE86" s="54"/>
      <c r="AF86" s="21" t="str">
        <f>IFERROR(VLOOKUP(November[[#This Row],[Drug Name3]],'Data Options'!$R$1:$S$100,2,FALSE), " ")</f>
        <v xml:space="preserve"> </v>
      </c>
      <c r="AG86" s="55"/>
      <c r="AH86" s="32"/>
      <c r="AI86" s="32"/>
      <c r="AJ86" s="55"/>
      <c r="AK86" s="32"/>
      <c r="AL86" s="32"/>
      <c r="AM86" s="32"/>
      <c r="AN86" s="32"/>
      <c r="AO86" s="32"/>
      <c r="AP86" s="31"/>
      <c r="AQ86" s="31"/>
      <c r="AR86" s="54"/>
      <c r="AS86" s="21" t="str">
        <f>IFERROR(VLOOKUP(November[[#This Row],[Drug Name4]],'Data Options'!$R$1:$S$100,2,FALSE), " ")</f>
        <v xml:space="preserve"> </v>
      </c>
      <c r="AT86" s="55"/>
      <c r="AU86" s="32"/>
      <c r="AV86" s="32"/>
      <c r="AW86" s="55"/>
      <c r="AX86" s="32"/>
      <c r="AY86" s="54"/>
      <c r="AZ86" s="21" t="str">
        <f>IFERROR(VLOOKUP(November[[#This Row],[Drug Name5]],'Data Options'!$R$1:$S$100,2,FALSE), " ")</f>
        <v xml:space="preserve"> </v>
      </c>
      <c r="BA86" s="55"/>
      <c r="BB86" s="32"/>
      <c r="BC86" s="32"/>
      <c r="BD86" s="55"/>
      <c r="BE86" s="32"/>
      <c r="BF86" s="54"/>
      <c r="BG86" s="21" t="str">
        <f>IFERROR(VLOOKUP(November[[#This Row],[Drug Name6]],'Data Options'!$R$1:$S$100,2,FALSE), " ")</f>
        <v xml:space="preserve"> </v>
      </c>
      <c r="BH86" s="55"/>
      <c r="BI86" s="32"/>
      <c r="BJ86" s="32"/>
      <c r="BK86" s="55"/>
      <c r="BL86" s="32"/>
      <c r="BM86" s="32"/>
      <c r="BN86" s="32"/>
      <c r="BO86" s="32"/>
      <c r="BP86" s="32"/>
      <c r="BQ86" s="31"/>
      <c r="BR86" s="31"/>
      <c r="BS86" s="54"/>
      <c r="BT86" s="21" t="str">
        <f>IFERROR(VLOOKUP(November[[#This Row],[Drug Name7]],'Data Options'!$R$1:$S$100,2,FALSE), " ")</f>
        <v xml:space="preserve"> </v>
      </c>
      <c r="BU86" s="55"/>
      <c r="BV86" s="32"/>
      <c r="BW86" s="32"/>
      <c r="BX86" s="55"/>
      <c r="BY86" s="32"/>
      <c r="BZ86" s="54"/>
      <c r="CA86" s="21" t="str">
        <f>IFERROR(VLOOKUP(November[[#This Row],[Drug Name8]],'Data Options'!$R$1:$S$100,2,FALSE), " ")</f>
        <v xml:space="preserve"> </v>
      </c>
      <c r="CB86" s="55"/>
      <c r="CC86" s="32"/>
      <c r="CD86" s="32"/>
      <c r="CE86" s="55"/>
      <c r="CF86" s="32"/>
      <c r="CG86" s="54"/>
      <c r="CH86" s="21" t="str">
        <f>IFERROR(VLOOKUP(November[[#This Row],[Drug Name9]],'Data Options'!$R$1:$S$100,2,FALSE), " ")</f>
        <v xml:space="preserve"> </v>
      </c>
      <c r="CI86" s="55"/>
      <c r="CJ86" s="32"/>
      <c r="CK86" s="32"/>
      <c r="CL86" s="55"/>
      <c r="CM86" s="32"/>
    </row>
    <row r="87" spans="1:91">
      <c r="A87" s="5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31"/>
      <c r="Q87" s="54"/>
      <c r="R87" s="21" t="str">
        <f>IFERROR(VLOOKUP(November[[#This Row],[Drug Name]],'Data Options'!$R$1:$S$100,2,FALSE), " ")</f>
        <v xml:space="preserve"> </v>
      </c>
      <c r="S87" s="55"/>
      <c r="T87" s="32"/>
      <c r="U87" s="32"/>
      <c r="V87" s="55"/>
      <c r="W87" s="32"/>
      <c r="X87" s="54"/>
      <c r="Y87" s="21" t="str">
        <f>IFERROR(VLOOKUP(November[[#This Row],[Drug Name2]],'Data Options'!$R$1:$S$100,2,FALSE), " ")</f>
        <v xml:space="preserve"> </v>
      </c>
      <c r="Z87" s="55"/>
      <c r="AA87" s="32"/>
      <c r="AB87" s="32"/>
      <c r="AC87" s="55"/>
      <c r="AD87" s="32"/>
      <c r="AE87" s="54"/>
      <c r="AF87" s="21" t="str">
        <f>IFERROR(VLOOKUP(November[[#This Row],[Drug Name3]],'Data Options'!$R$1:$S$100,2,FALSE), " ")</f>
        <v xml:space="preserve"> </v>
      </c>
      <c r="AG87" s="55"/>
      <c r="AH87" s="32"/>
      <c r="AI87" s="32"/>
      <c r="AJ87" s="55"/>
      <c r="AK87" s="32"/>
      <c r="AL87" s="32"/>
      <c r="AM87" s="32"/>
      <c r="AN87" s="32"/>
      <c r="AO87" s="32"/>
      <c r="AP87" s="31"/>
      <c r="AQ87" s="31"/>
      <c r="AR87" s="54"/>
      <c r="AS87" s="21" t="str">
        <f>IFERROR(VLOOKUP(November[[#This Row],[Drug Name4]],'Data Options'!$R$1:$S$100,2,FALSE), " ")</f>
        <v xml:space="preserve"> </v>
      </c>
      <c r="AT87" s="55"/>
      <c r="AU87" s="32"/>
      <c r="AV87" s="32"/>
      <c r="AW87" s="55"/>
      <c r="AX87" s="32"/>
      <c r="AY87" s="54"/>
      <c r="AZ87" s="21" t="str">
        <f>IFERROR(VLOOKUP(November[[#This Row],[Drug Name5]],'Data Options'!$R$1:$S$100,2,FALSE), " ")</f>
        <v xml:space="preserve"> </v>
      </c>
      <c r="BA87" s="55"/>
      <c r="BB87" s="32"/>
      <c r="BC87" s="32"/>
      <c r="BD87" s="55"/>
      <c r="BE87" s="32"/>
      <c r="BF87" s="54"/>
      <c r="BG87" s="21" t="str">
        <f>IFERROR(VLOOKUP(November[[#This Row],[Drug Name6]],'Data Options'!$R$1:$S$100,2,FALSE), " ")</f>
        <v xml:space="preserve"> </v>
      </c>
      <c r="BH87" s="55"/>
      <c r="BI87" s="32"/>
      <c r="BJ87" s="32"/>
      <c r="BK87" s="55"/>
      <c r="BL87" s="32"/>
      <c r="BM87" s="32"/>
      <c r="BN87" s="32"/>
      <c r="BO87" s="32"/>
      <c r="BP87" s="32"/>
      <c r="BQ87" s="31"/>
      <c r="BR87" s="31"/>
      <c r="BS87" s="54"/>
      <c r="BT87" s="21" t="str">
        <f>IFERROR(VLOOKUP(November[[#This Row],[Drug Name7]],'Data Options'!$R$1:$S$100,2,FALSE), " ")</f>
        <v xml:space="preserve"> </v>
      </c>
      <c r="BU87" s="55"/>
      <c r="BV87" s="32"/>
      <c r="BW87" s="32"/>
      <c r="BX87" s="55"/>
      <c r="BY87" s="32"/>
      <c r="BZ87" s="54"/>
      <c r="CA87" s="21" t="str">
        <f>IFERROR(VLOOKUP(November[[#This Row],[Drug Name8]],'Data Options'!$R$1:$S$100,2,FALSE), " ")</f>
        <v xml:space="preserve"> </v>
      </c>
      <c r="CB87" s="55"/>
      <c r="CC87" s="32"/>
      <c r="CD87" s="32"/>
      <c r="CE87" s="55"/>
      <c r="CF87" s="32"/>
      <c r="CG87" s="54"/>
      <c r="CH87" s="21" t="str">
        <f>IFERROR(VLOOKUP(November[[#This Row],[Drug Name9]],'Data Options'!$R$1:$S$100,2,FALSE), " ")</f>
        <v xml:space="preserve"> </v>
      </c>
      <c r="CI87" s="55"/>
      <c r="CJ87" s="32"/>
      <c r="CK87" s="32"/>
      <c r="CL87" s="55"/>
      <c r="CM87" s="32"/>
    </row>
    <row r="88" spans="1:91">
      <c r="A88" s="5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31"/>
      <c r="Q88" s="54"/>
      <c r="R88" s="21" t="str">
        <f>IFERROR(VLOOKUP(November[[#This Row],[Drug Name]],'Data Options'!$R$1:$S$100,2,FALSE), " ")</f>
        <v xml:space="preserve"> </v>
      </c>
      <c r="S88" s="55"/>
      <c r="T88" s="32"/>
      <c r="U88" s="32"/>
      <c r="V88" s="55"/>
      <c r="W88" s="32"/>
      <c r="X88" s="54"/>
      <c r="Y88" s="21" t="str">
        <f>IFERROR(VLOOKUP(November[[#This Row],[Drug Name2]],'Data Options'!$R$1:$S$100,2,FALSE), " ")</f>
        <v xml:space="preserve"> </v>
      </c>
      <c r="Z88" s="55"/>
      <c r="AA88" s="32"/>
      <c r="AB88" s="32"/>
      <c r="AC88" s="55"/>
      <c r="AD88" s="32"/>
      <c r="AE88" s="54"/>
      <c r="AF88" s="21" t="str">
        <f>IFERROR(VLOOKUP(November[[#This Row],[Drug Name3]],'Data Options'!$R$1:$S$100,2,FALSE), " ")</f>
        <v xml:space="preserve"> </v>
      </c>
      <c r="AG88" s="55"/>
      <c r="AH88" s="32"/>
      <c r="AI88" s="32"/>
      <c r="AJ88" s="55"/>
      <c r="AK88" s="32"/>
      <c r="AL88" s="32"/>
      <c r="AM88" s="32"/>
      <c r="AN88" s="32"/>
      <c r="AO88" s="32"/>
      <c r="AP88" s="31"/>
      <c r="AQ88" s="31"/>
      <c r="AR88" s="54"/>
      <c r="AS88" s="21" t="str">
        <f>IFERROR(VLOOKUP(November[[#This Row],[Drug Name4]],'Data Options'!$R$1:$S$100,2,FALSE), " ")</f>
        <v xml:space="preserve"> </v>
      </c>
      <c r="AT88" s="55"/>
      <c r="AU88" s="32"/>
      <c r="AV88" s="32"/>
      <c r="AW88" s="55"/>
      <c r="AX88" s="32"/>
      <c r="AY88" s="54"/>
      <c r="AZ88" s="21" t="str">
        <f>IFERROR(VLOOKUP(November[[#This Row],[Drug Name5]],'Data Options'!$R$1:$S$100,2,FALSE), " ")</f>
        <v xml:space="preserve"> </v>
      </c>
      <c r="BA88" s="55"/>
      <c r="BB88" s="32"/>
      <c r="BC88" s="32"/>
      <c r="BD88" s="55"/>
      <c r="BE88" s="32"/>
      <c r="BF88" s="54"/>
      <c r="BG88" s="21" t="str">
        <f>IFERROR(VLOOKUP(November[[#This Row],[Drug Name6]],'Data Options'!$R$1:$S$100,2,FALSE), " ")</f>
        <v xml:space="preserve"> </v>
      </c>
      <c r="BH88" s="55"/>
      <c r="BI88" s="32"/>
      <c r="BJ88" s="32"/>
      <c r="BK88" s="55"/>
      <c r="BL88" s="32"/>
      <c r="BM88" s="32"/>
      <c r="BN88" s="32"/>
      <c r="BO88" s="32"/>
      <c r="BP88" s="32"/>
      <c r="BQ88" s="31"/>
      <c r="BR88" s="31"/>
      <c r="BS88" s="54"/>
      <c r="BT88" s="21" t="str">
        <f>IFERROR(VLOOKUP(November[[#This Row],[Drug Name7]],'Data Options'!$R$1:$S$100,2,FALSE), " ")</f>
        <v xml:space="preserve"> </v>
      </c>
      <c r="BU88" s="55"/>
      <c r="BV88" s="32"/>
      <c r="BW88" s="32"/>
      <c r="BX88" s="55"/>
      <c r="BY88" s="32"/>
      <c r="BZ88" s="54"/>
      <c r="CA88" s="21" t="str">
        <f>IFERROR(VLOOKUP(November[[#This Row],[Drug Name8]],'Data Options'!$R$1:$S$100,2,FALSE), " ")</f>
        <v xml:space="preserve"> </v>
      </c>
      <c r="CB88" s="55"/>
      <c r="CC88" s="32"/>
      <c r="CD88" s="32"/>
      <c r="CE88" s="55"/>
      <c r="CF88" s="32"/>
      <c r="CG88" s="54"/>
      <c r="CH88" s="21" t="str">
        <f>IFERROR(VLOOKUP(November[[#This Row],[Drug Name9]],'Data Options'!$R$1:$S$100,2,FALSE), " ")</f>
        <v xml:space="preserve"> </v>
      </c>
      <c r="CI88" s="55"/>
      <c r="CJ88" s="32"/>
      <c r="CK88" s="32"/>
      <c r="CL88" s="55"/>
      <c r="CM88" s="32"/>
    </row>
    <row r="89" spans="1:91">
      <c r="A89" s="5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31"/>
      <c r="Q89" s="54"/>
      <c r="R89" s="21" t="str">
        <f>IFERROR(VLOOKUP(November[[#This Row],[Drug Name]],'Data Options'!$R$1:$S$100,2,FALSE), " ")</f>
        <v xml:space="preserve"> </v>
      </c>
      <c r="S89" s="55"/>
      <c r="T89" s="32"/>
      <c r="U89" s="32"/>
      <c r="V89" s="55"/>
      <c r="W89" s="32"/>
      <c r="X89" s="54"/>
      <c r="Y89" s="21" t="str">
        <f>IFERROR(VLOOKUP(November[[#This Row],[Drug Name2]],'Data Options'!$R$1:$S$100,2,FALSE), " ")</f>
        <v xml:space="preserve"> </v>
      </c>
      <c r="Z89" s="55"/>
      <c r="AA89" s="32"/>
      <c r="AB89" s="32"/>
      <c r="AC89" s="55"/>
      <c r="AD89" s="32"/>
      <c r="AE89" s="54"/>
      <c r="AF89" s="21" t="str">
        <f>IFERROR(VLOOKUP(November[[#This Row],[Drug Name3]],'Data Options'!$R$1:$S$100,2,FALSE), " ")</f>
        <v xml:space="preserve"> </v>
      </c>
      <c r="AG89" s="55"/>
      <c r="AH89" s="32"/>
      <c r="AI89" s="32"/>
      <c r="AJ89" s="55"/>
      <c r="AK89" s="32"/>
      <c r="AL89" s="32"/>
      <c r="AM89" s="32"/>
      <c r="AN89" s="32"/>
      <c r="AO89" s="32"/>
      <c r="AP89" s="31"/>
      <c r="AQ89" s="31"/>
      <c r="AR89" s="54"/>
      <c r="AS89" s="21" t="str">
        <f>IFERROR(VLOOKUP(November[[#This Row],[Drug Name4]],'Data Options'!$R$1:$S$100,2,FALSE), " ")</f>
        <v xml:space="preserve"> </v>
      </c>
      <c r="AT89" s="55"/>
      <c r="AU89" s="32"/>
      <c r="AV89" s="32"/>
      <c r="AW89" s="55"/>
      <c r="AX89" s="32"/>
      <c r="AY89" s="54"/>
      <c r="AZ89" s="21" t="str">
        <f>IFERROR(VLOOKUP(November[[#This Row],[Drug Name5]],'Data Options'!$R$1:$S$100,2,FALSE), " ")</f>
        <v xml:space="preserve"> </v>
      </c>
      <c r="BA89" s="55"/>
      <c r="BB89" s="32"/>
      <c r="BC89" s="32"/>
      <c r="BD89" s="55"/>
      <c r="BE89" s="32"/>
      <c r="BF89" s="54"/>
      <c r="BG89" s="21" t="str">
        <f>IFERROR(VLOOKUP(November[[#This Row],[Drug Name6]],'Data Options'!$R$1:$S$100,2,FALSE), " ")</f>
        <v xml:space="preserve"> </v>
      </c>
      <c r="BH89" s="55"/>
      <c r="BI89" s="32"/>
      <c r="BJ89" s="32"/>
      <c r="BK89" s="55"/>
      <c r="BL89" s="32"/>
      <c r="BM89" s="32"/>
      <c r="BN89" s="32"/>
      <c r="BO89" s="32"/>
      <c r="BP89" s="32"/>
      <c r="BQ89" s="31"/>
      <c r="BR89" s="31"/>
      <c r="BS89" s="54"/>
      <c r="BT89" s="21" t="str">
        <f>IFERROR(VLOOKUP(November[[#This Row],[Drug Name7]],'Data Options'!$R$1:$S$100,2,FALSE), " ")</f>
        <v xml:space="preserve"> </v>
      </c>
      <c r="BU89" s="55"/>
      <c r="BV89" s="32"/>
      <c r="BW89" s="32"/>
      <c r="BX89" s="55"/>
      <c r="BY89" s="32"/>
      <c r="BZ89" s="54"/>
      <c r="CA89" s="21" t="str">
        <f>IFERROR(VLOOKUP(November[[#This Row],[Drug Name8]],'Data Options'!$R$1:$S$100,2,FALSE), " ")</f>
        <v xml:space="preserve"> </v>
      </c>
      <c r="CB89" s="55"/>
      <c r="CC89" s="32"/>
      <c r="CD89" s="32"/>
      <c r="CE89" s="55"/>
      <c r="CF89" s="32"/>
      <c r="CG89" s="54"/>
      <c r="CH89" s="21" t="str">
        <f>IFERROR(VLOOKUP(November[[#This Row],[Drug Name9]],'Data Options'!$R$1:$S$100,2,FALSE), " ")</f>
        <v xml:space="preserve"> </v>
      </c>
      <c r="CI89" s="55"/>
      <c r="CJ89" s="32"/>
      <c r="CK89" s="32"/>
      <c r="CL89" s="55"/>
      <c r="CM89" s="32"/>
    </row>
    <row r="90" spans="1:91">
      <c r="A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1"/>
      <c r="Q90" s="54"/>
      <c r="R90" s="21" t="str">
        <f>IFERROR(VLOOKUP(November[[#This Row],[Drug Name]],'Data Options'!$R$1:$S$100,2,FALSE), " ")</f>
        <v xml:space="preserve"> </v>
      </c>
      <c r="S90" s="55"/>
      <c r="T90" s="32"/>
      <c r="U90" s="32"/>
      <c r="V90" s="55"/>
      <c r="W90" s="32"/>
      <c r="X90" s="54"/>
      <c r="Y90" s="21" t="str">
        <f>IFERROR(VLOOKUP(November[[#This Row],[Drug Name2]],'Data Options'!$R$1:$S$100,2,FALSE), " ")</f>
        <v xml:space="preserve"> </v>
      </c>
      <c r="Z90" s="55"/>
      <c r="AA90" s="32"/>
      <c r="AB90" s="32"/>
      <c r="AC90" s="55"/>
      <c r="AD90" s="32"/>
      <c r="AE90" s="54"/>
      <c r="AF90" s="21" t="str">
        <f>IFERROR(VLOOKUP(November[[#This Row],[Drug Name3]],'Data Options'!$R$1:$S$100,2,FALSE), " ")</f>
        <v xml:space="preserve"> </v>
      </c>
      <c r="AG90" s="55"/>
      <c r="AH90" s="32"/>
      <c r="AI90" s="32"/>
      <c r="AJ90" s="55"/>
      <c r="AK90" s="32"/>
      <c r="AL90" s="32"/>
      <c r="AM90" s="32"/>
      <c r="AN90" s="32"/>
      <c r="AO90" s="32"/>
      <c r="AP90" s="31"/>
      <c r="AQ90" s="31"/>
      <c r="AR90" s="54"/>
      <c r="AS90" s="21" t="str">
        <f>IFERROR(VLOOKUP(November[[#This Row],[Drug Name4]],'Data Options'!$R$1:$S$100,2,FALSE), " ")</f>
        <v xml:space="preserve"> </v>
      </c>
      <c r="AT90" s="55"/>
      <c r="AU90" s="32"/>
      <c r="AV90" s="32"/>
      <c r="AW90" s="55"/>
      <c r="AX90" s="32"/>
      <c r="AY90" s="54"/>
      <c r="AZ90" s="21" t="str">
        <f>IFERROR(VLOOKUP(November[[#This Row],[Drug Name5]],'Data Options'!$R$1:$S$100,2,FALSE), " ")</f>
        <v xml:space="preserve"> </v>
      </c>
      <c r="BA90" s="55"/>
      <c r="BB90" s="32"/>
      <c r="BC90" s="32"/>
      <c r="BD90" s="55"/>
      <c r="BE90" s="32"/>
      <c r="BF90" s="54"/>
      <c r="BG90" s="21" t="str">
        <f>IFERROR(VLOOKUP(November[[#This Row],[Drug Name6]],'Data Options'!$R$1:$S$100,2,FALSE), " ")</f>
        <v xml:space="preserve"> </v>
      </c>
      <c r="BH90" s="55"/>
      <c r="BI90" s="32"/>
      <c r="BJ90" s="32"/>
      <c r="BK90" s="55"/>
      <c r="BL90" s="32"/>
      <c r="BM90" s="32"/>
      <c r="BN90" s="32"/>
      <c r="BO90" s="32"/>
      <c r="BP90" s="32"/>
      <c r="BQ90" s="31"/>
      <c r="BR90" s="31"/>
      <c r="BS90" s="54"/>
      <c r="BT90" s="21" t="str">
        <f>IFERROR(VLOOKUP(November[[#This Row],[Drug Name7]],'Data Options'!$R$1:$S$100,2,FALSE), " ")</f>
        <v xml:space="preserve"> </v>
      </c>
      <c r="BU90" s="55"/>
      <c r="BV90" s="32"/>
      <c r="BW90" s="32"/>
      <c r="BX90" s="55"/>
      <c r="BY90" s="32"/>
      <c r="BZ90" s="54"/>
      <c r="CA90" s="21" t="str">
        <f>IFERROR(VLOOKUP(November[[#This Row],[Drug Name8]],'Data Options'!$R$1:$S$100,2,FALSE), " ")</f>
        <v xml:space="preserve"> </v>
      </c>
      <c r="CB90" s="55"/>
      <c r="CC90" s="32"/>
      <c r="CD90" s="32"/>
      <c r="CE90" s="55"/>
      <c r="CF90" s="32"/>
      <c r="CG90" s="54"/>
      <c r="CH90" s="21" t="str">
        <f>IFERROR(VLOOKUP(November[[#This Row],[Drug Name9]],'Data Options'!$R$1:$S$100,2,FALSE), " ")</f>
        <v xml:space="preserve"> </v>
      </c>
      <c r="CI90" s="55"/>
      <c r="CJ90" s="32"/>
      <c r="CK90" s="32"/>
      <c r="CL90" s="55"/>
      <c r="CM90" s="32"/>
    </row>
    <row r="91" spans="1:91">
      <c r="A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1"/>
      <c r="Q91" s="54"/>
      <c r="R91" s="21" t="str">
        <f>IFERROR(VLOOKUP(November[[#This Row],[Drug Name]],'Data Options'!$R$1:$S$100,2,FALSE), " ")</f>
        <v xml:space="preserve"> </v>
      </c>
      <c r="S91" s="55"/>
      <c r="T91" s="32"/>
      <c r="U91" s="32"/>
      <c r="V91" s="55"/>
      <c r="W91" s="32"/>
      <c r="X91" s="54"/>
      <c r="Y91" s="21" t="str">
        <f>IFERROR(VLOOKUP(November[[#This Row],[Drug Name2]],'Data Options'!$R$1:$S$100,2,FALSE), " ")</f>
        <v xml:space="preserve"> </v>
      </c>
      <c r="Z91" s="55"/>
      <c r="AA91" s="32"/>
      <c r="AB91" s="32"/>
      <c r="AC91" s="55"/>
      <c r="AD91" s="32"/>
      <c r="AE91" s="54"/>
      <c r="AF91" s="21" t="str">
        <f>IFERROR(VLOOKUP(November[[#This Row],[Drug Name3]],'Data Options'!$R$1:$S$100,2,FALSE), " ")</f>
        <v xml:space="preserve"> </v>
      </c>
      <c r="AG91" s="55"/>
      <c r="AH91" s="32"/>
      <c r="AI91" s="32"/>
      <c r="AJ91" s="55"/>
      <c r="AK91" s="32"/>
      <c r="AL91" s="32"/>
      <c r="AM91" s="32"/>
      <c r="AN91" s="32"/>
      <c r="AO91" s="32"/>
      <c r="AP91" s="31"/>
      <c r="AQ91" s="31"/>
      <c r="AR91" s="54"/>
      <c r="AS91" s="21" t="str">
        <f>IFERROR(VLOOKUP(November[[#This Row],[Drug Name4]],'Data Options'!$R$1:$S$100,2,FALSE), " ")</f>
        <v xml:space="preserve"> </v>
      </c>
      <c r="AT91" s="55"/>
      <c r="AU91" s="32"/>
      <c r="AV91" s="32"/>
      <c r="AW91" s="55"/>
      <c r="AX91" s="32"/>
      <c r="AY91" s="54"/>
      <c r="AZ91" s="21" t="str">
        <f>IFERROR(VLOOKUP(November[[#This Row],[Drug Name5]],'Data Options'!$R$1:$S$100,2,FALSE), " ")</f>
        <v xml:space="preserve"> </v>
      </c>
      <c r="BA91" s="55"/>
      <c r="BB91" s="32"/>
      <c r="BC91" s="32"/>
      <c r="BD91" s="55"/>
      <c r="BE91" s="32"/>
      <c r="BF91" s="54"/>
      <c r="BG91" s="21" t="str">
        <f>IFERROR(VLOOKUP(November[[#This Row],[Drug Name6]],'Data Options'!$R$1:$S$100,2,FALSE), " ")</f>
        <v xml:space="preserve"> </v>
      </c>
      <c r="BH91" s="55"/>
      <c r="BI91" s="32"/>
      <c r="BJ91" s="32"/>
      <c r="BK91" s="55"/>
      <c r="BL91" s="32"/>
      <c r="BM91" s="32"/>
      <c r="BN91" s="32"/>
      <c r="BO91" s="32"/>
      <c r="BP91" s="32"/>
      <c r="BQ91" s="31"/>
      <c r="BR91" s="31"/>
      <c r="BS91" s="54"/>
      <c r="BT91" s="21" t="str">
        <f>IFERROR(VLOOKUP(November[[#This Row],[Drug Name7]],'Data Options'!$R$1:$S$100,2,FALSE), " ")</f>
        <v xml:space="preserve"> </v>
      </c>
      <c r="BU91" s="55"/>
      <c r="BV91" s="32"/>
      <c r="BW91" s="32"/>
      <c r="BX91" s="55"/>
      <c r="BY91" s="32"/>
      <c r="BZ91" s="54"/>
      <c r="CA91" s="21" t="str">
        <f>IFERROR(VLOOKUP(November[[#This Row],[Drug Name8]],'Data Options'!$R$1:$S$100,2,FALSE), " ")</f>
        <v xml:space="preserve"> </v>
      </c>
      <c r="CB91" s="55"/>
      <c r="CC91" s="32"/>
      <c r="CD91" s="32"/>
      <c r="CE91" s="55"/>
      <c r="CF91" s="32"/>
      <c r="CG91" s="54"/>
      <c r="CH91" s="21" t="str">
        <f>IFERROR(VLOOKUP(November[[#This Row],[Drug Name9]],'Data Options'!$R$1:$S$100,2,FALSE), " ")</f>
        <v xml:space="preserve"> </v>
      </c>
      <c r="CI91" s="55"/>
      <c r="CJ91" s="32"/>
      <c r="CK91" s="32"/>
      <c r="CL91" s="55"/>
      <c r="CM91" s="32"/>
    </row>
    <row r="92" spans="1:91">
      <c r="A92" s="5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1"/>
      <c r="Q92" s="54"/>
      <c r="R92" s="21" t="str">
        <f>IFERROR(VLOOKUP(November[[#This Row],[Drug Name]],'Data Options'!$R$1:$S$100,2,FALSE), " ")</f>
        <v xml:space="preserve"> </v>
      </c>
      <c r="S92" s="55"/>
      <c r="T92" s="32"/>
      <c r="U92" s="32"/>
      <c r="V92" s="55"/>
      <c r="W92" s="32"/>
      <c r="X92" s="54"/>
      <c r="Y92" s="21" t="str">
        <f>IFERROR(VLOOKUP(November[[#This Row],[Drug Name2]],'Data Options'!$R$1:$S$100,2,FALSE), " ")</f>
        <v xml:space="preserve"> </v>
      </c>
      <c r="Z92" s="55"/>
      <c r="AA92" s="32"/>
      <c r="AB92" s="32"/>
      <c r="AC92" s="55"/>
      <c r="AD92" s="32"/>
      <c r="AE92" s="54"/>
      <c r="AF92" s="21" t="str">
        <f>IFERROR(VLOOKUP(November[[#This Row],[Drug Name3]],'Data Options'!$R$1:$S$100,2,FALSE), " ")</f>
        <v xml:space="preserve"> </v>
      </c>
      <c r="AG92" s="55"/>
      <c r="AH92" s="32"/>
      <c r="AI92" s="32"/>
      <c r="AJ92" s="55"/>
      <c r="AK92" s="32"/>
      <c r="AL92" s="32"/>
      <c r="AM92" s="32"/>
      <c r="AN92" s="32"/>
      <c r="AO92" s="32"/>
      <c r="AP92" s="31"/>
      <c r="AQ92" s="31"/>
      <c r="AR92" s="54"/>
      <c r="AS92" s="21" t="str">
        <f>IFERROR(VLOOKUP(November[[#This Row],[Drug Name4]],'Data Options'!$R$1:$S$100,2,FALSE), " ")</f>
        <v xml:space="preserve"> </v>
      </c>
      <c r="AT92" s="55"/>
      <c r="AU92" s="32"/>
      <c r="AV92" s="32"/>
      <c r="AW92" s="55"/>
      <c r="AX92" s="32"/>
      <c r="AY92" s="54"/>
      <c r="AZ92" s="21" t="str">
        <f>IFERROR(VLOOKUP(November[[#This Row],[Drug Name5]],'Data Options'!$R$1:$S$100,2,FALSE), " ")</f>
        <v xml:space="preserve"> </v>
      </c>
      <c r="BA92" s="55"/>
      <c r="BB92" s="32"/>
      <c r="BC92" s="32"/>
      <c r="BD92" s="55"/>
      <c r="BE92" s="32"/>
      <c r="BF92" s="54"/>
      <c r="BG92" s="21" t="str">
        <f>IFERROR(VLOOKUP(November[[#This Row],[Drug Name6]],'Data Options'!$R$1:$S$100,2,FALSE), " ")</f>
        <v xml:space="preserve"> </v>
      </c>
      <c r="BH92" s="55"/>
      <c r="BI92" s="32"/>
      <c r="BJ92" s="32"/>
      <c r="BK92" s="55"/>
      <c r="BL92" s="32"/>
      <c r="BM92" s="32"/>
      <c r="BN92" s="32"/>
      <c r="BO92" s="32"/>
      <c r="BP92" s="32"/>
      <c r="BQ92" s="31"/>
      <c r="BR92" s="31"/>
      <c r="BS92" s="54"/>
      <c r="BT92" s="21" t="str">
        <f>IFERROR(VLOOKUP(November[[#This Row],[Drug Name7]],'Data Options'!$R$1:$S$100,2,FALSE), " ")</f>
        <v xml:space="preserve"> </v>
      </c>
      <c r="BU92" s="55"/>
      <c r="BV92" s="32"/>
      <c r="BW92" s="32"/>
      <c r="BX92" s="55"/>
      <c r="BY92" s="32"/>
      <c r="BZ92" s="54"/>
      <c r="CA92" s="21" t="str">
        <f>IFERROR(VLOOKUP(November[[#This Row],[Drug Name8]],'Data Options'!$R$1:$S$100,2,FALSE), " ")</f>
        <v xml:space="preserve"> </v>
      </c>
      <c r="CB92" s="55"/>
      <c r="CC92" s="32"/>
      <c r="CD92" s="32"/>
      <c r="CE92" s="55"/>
      <c r="CF92" s="32"/>
      <c r="CG92" s="54"/>
      <c r="CH92" s="21" t="str">
        <f>IFERROR(VLOOKUP(November[[#This Row],[Drug Name9]],'Data Options'!$R$1:$S$100,2,FALSE), " ")</f>
        <v xml:space="preserve"> </v>
      </c>
      <c r="CI92" s="55"/>
      <c r="CJ92" s="32"/>
      <c r="CK92" s="32"/>
      <c r="CL92" s="55"/>
      <c r="CM92" s="32"/>
    </row>
    <row r="93" spans="1:91">
      <c r="A93" s="5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1"/>
      <c r="Q93" s="54"/>
      <c r="R93" s="21" t="str">
        <f>IFERROR(VLOOKUP(November[[#This Row],[Drug Name]],'Data Options'!$R$1:$S$100,2,FALSE), " ")</f>
        <v xml:space="preserve"> </v>
      </c>
      <c r="S93" s="55"/>
      <c r="T93" s="32"/>
      <c r="U93" s="32"/>
      <c r="V93" s="55"/>
      <c r="W93" s="32"/>
      <c r="X93" s="54"/>
      <c r="Y93" s="21" t="str">
        <f>IFERROR(VLOOKUP(November[[#This Row],[Drug Name2]],'Data Options'!$R$1:$S$100,2,FALSE), " ")</f>
        <v xml:space="preserve"> </v>
      </c>
      <c r="Z93" s="55"/>
      <c r="AA93" s="32"/>
      <c r="AB93" s="32"/>
      <c r="AC93" s="55"/>
      <c r="AD93" s="32"/>
      <c r="AE93" s="54"/>
      <c r="AF93" s="21" t="str">
        <f>IFERROR(VLOOKUP(November[[#This Row],[Drug Name3]],'Data Options'!$R$1:$S$100,2,FALSE), " ")</f>
        <v xml:space="preserve"> </v>
      </c>
      <c r="AG93" s="55"/>
      <c r="AH93" s="32"/>
      <c r="AI93" s="32"/>
      <c r="AJ93" s="55"/>
      <c r="AK93" s="32"/>
      <c r="AL93" s="32"/>
      <c r="AM93" s="32"/>
      <c r="AN93" s="32"/>
      <c r="AO93" s="32"/>
      <c r="AP93" s="31"/>
      <c r="AQ93" s="31"/>
      <c r="AR93" s="54"/>
      <c r="AS93" s="21" t="str">
        <f>IFERROR(VLOOKUP(November[[#This Row],[Drug Name4]],'Data Options'!$R$1:$S$100,2,FALSE), " ")</f>
        <v xml:space="preserve"> </v>
      </c>
      <c r="AT93" s="55"/>
      <c r="AU93" s="32"/>
      <c r="AV93" s="32"/>
      <c r="AW93" s="55"/>
      <c r="AX93" s="32"/>
      <c r="AY93" s="54"/>
      <c r="AZ93" s="21" t="str">
        <f>IFERROR(VLOOKUP(November[[#This Row],[Drug Name5]],'Data Options'!$R$1:$S$100,2,FALSE), " ")</f>
        <v xml:space="preserve"> </v>
      </c>
      <c r="BA93" s="55"/>
      <c r="BB93" s="32"/>
      <c r="BC93" s="32"/>
      <c r="BD93" s="55"/>
      <c r="BE93" s="32"/>
      <c r="BF93" s="54"/>
      <c r="BG93" s="21" t="str">
        <f>IFERROR(VLOOKUP(November[[#This Row],[Drug Name6]],'Data Options'!$R$1:$S$100,2,FALSE), " ")</f>
        <v xml:space="preserve"> </v>
      </c>
      <c r="BH93" s="55"/>
      <c r="BI93" s="32"/>
      <c r="BJ93" s="32"/>
      <c r="BK93" s="55"/>
      <c r="BL93" s="32"/>
      <c r="BM93" s="32"/>
      <c r="BN93" s="32"/>
      <c r="BO93" s="32"/>
      <c r="BP93" s="32"/>
      <c r="BQ93" s="31"/>
      <c r="BR93" s="31"/>
      <c r="BS93" s="54"/>
      <c r="BT93" s="21" t="str">
        <f>IFERROR(VLOOKUP(November[[#This Row],[Drug Name7]],'Data Options'!$R$1:$S$100,2,FALSE), " ")</f>
        <v xml:space="preserve"> </v>
      </c>
      <c r="BU93" s="55"/>
      <c r="BV93" s="32"/>
      <c r="BW93" s="32"/>
      <c r="BX93" s="55"/>
      <c r="BY93" s="32"/>
      <c r="BZ93" s="54"/>
      <c r="CA93" s="21" t="str">
        <f>IFERROR(VLOOKUP(November[[#This Row],[Drug Name8]],'Data Options'!$R$1:$S$100,2,FALSE), " ")</f>
        <v xml:space="preserve"> </v>
      </c>
      <c r="CB93" s="55"/>
      <c r="CC93" s="32"/>
      <c r="CD93" s="32"/>
      <c r="CE93" s="55"/>
      <c r="CF93" s="32"/>
      <c r="CG93" s="54"/>
      <c r="CH93" s="21" t="str">
        <f>IFERROR(VLOOKUP(November[[#This Row],[Drug Name9]],'Data Options'!$R$1:$S$100,2,FALSE), " ")</f>
        <v xml:space="preserve"> </v>
      </c>
      <c r="CI93" s="55"/>
      <c r="CJ93" s="32"/>
      <c r="CK93" s="32"/>
      <c r="CL93" s="55"/>
      <c r="CM93" s="32"/>
    </row>
    <row r="94" spans="1:91">
      <c r="A94" s="5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1"/>
      <c r="Q94" s="54"/>
      <c r="R94" s="21" t="str">
        <f>IFERROR(VLOOKUP(November[[#This Row],[Drug Name]],'Data Options'!$R$1:$S$100,2,FALSE), " ")</f>
        <v xml:space="preserve"> </v>
      </c>
      <c r="S94" s="55"/>
      <c r="T94" s="32"/>
      <c r="U94" s="32"/>
      <c r="V94" s="55"/>
      <c r="W94" s="32"/>
      <c r="X94" s="54"/>
      <c r="Y94" s="21" t="str">
        <f>IFERROR(VLOOKUP(November[[#This Row],[Drug Name2]],'Data Options'!$R$1:$S$100,2,FALSE), " ")</f>
        <v xml:space="preserve"> </v>
      </c>
      <c r="Z94" s="55"/>
      <c r="AA94" s="32"/>
      <c r="AB94" s="32"/>
      <c r="AC94" s="55"/>
      <c r="AD94" s="32"/>
      <c r="AE94" s="54"/>
      <c r="AF94" s="21" t="str">
        <f>IFERROR(VLOOKUP(November[[#This Row],[Drug Name3]],'Data Options'!$R$1:$S$100,2,FALSE), " ")</f>
        <v xml:space="preserve"> </v>
      </c>
      <c r="AG94" s="55"/>
      <c r="AH94" s="32"/>
      <c r="AI94" s="32"/>
      <c r="AJ94" s="55"/>
      <c r="AK94" s="32"/>
      <c r="AL94" s="32"/>
      <c r="AM94" s="32"/>
      <c r="AN94" s="32"/>
      <c r="AO94" s="32"/>
      <c r="AP94" s="31"/>
      <c r="AQ94" s="31"/>
      <c r="AR94" s="54"/>
      <c r="AS94" s="21" t="str">
        <f>IFERROR(VLOOKUP(November[[#This Row],[Drug Name4]],'Data Options'!$R$1:$S$100,2,FALSE), " ")</f>
        <v xml:space="preserve"> </v>
      </c>
      <c r="AT94" s="55"/>
      <c r="AU94" s="32"/>
      <c r="AV94" s="32"/>
      <c r="AW94" s="55"/>
      <c r="AX94" s="32"/>
      <c r="AY94" s="54"/>
      <c r="AZ94" s="21" t="str">
        <f>IFERROR(VLOOKUP(November[[#This Row],[Drug Name5]],'Data Options'!$R$1:$S$100,2,FALSE), " ")</f>
        <v xml:space="preserve"> </v>
      </c>
      <c r="BA94" s="55"/>
      <c r="BB94" s="32"/>
      <c r="BC94" s="32"/>
      <c r="BD94" s="55"/>
      <c r="BE94" s="32"/>
      <c r="BF94" s="54"/>
      <c r="BG94" s="21" t="str">
        <f>IFERROR(VLOOKUP(November[[#This Row],[Drug Name6]],'Data Options'!$R$1:$S$100,2,FALSE), " ")</f>
        <v xml:space="preserve"> </v>
      </c>
      <c r="BH94" s="55"/>
      <c r="BI94" s="32"/>
      <c r="BJ94" s="32"/>
      <c r="BK94" s="55"/>
      <c r="BL94" s="32"/>
      <c r="BM94" s="32"/>
      <c r="BN94" s="32"/>
      <c r="BO94" s="32"/>
      <c r="BP94" s="32"/>
      <c r="BQ94" s="31"/>
      <c r="BR94" s="31"/>
      <c r="BS94" s="54"/>
      <c r="BT94" s="21" t="str">
        <f>IFERROR(VLOOKUP(November[[#This Row],[Drug Name7]],'Data Options'!$R$1:$S$100,2,FALSE), " ")</f>
        <v xml:space="preserve"> </v>
      </c>
      <c r="BU94" s="55"/>
      <c r="BV94" s="32"/>
      <c r="BW94" s="32"/>
      <c r="BX94" s="55"/>
      <c r="BY94" s="32"/>
      <c r="BZ94" s="54"/>
      <c r="CA94" s="21" t="str">
        <f>IFERROR(VLOOKUP(November[[#This Row],[Drug Name8]],'Data Options'!$R$1:$S$100,2,FALSE), " ")</f>
        <v xml:space="preserve"> </v>
      </c>
      <c r="CB94" s="55"/>
      <c r="CC94" s="32"/>
      <c r="CD94" s="32"/>
      <c r="CE94" s="55"/>
      <c r="CF94" s="32"/>
      <c r="CG94" s="54"/>
      <c r="CH94" s="21" t="str">
        <f>IFERROR(VLOOKUP(November[[#This Row],[Drug Name9]],'Data Options'!$R$1:$S$100,2,FALSE), " ")</f>
        <v xml:space="preserve"> </v>
      </c>
      <c r="CI94" s="55"/>
      <c r="CJ94" s="32"/>
      <c r="CK94" s="32"/>
      <c r="CL94" s="55"/>
      <c r="CM94" s="32"/>
    </row>
    <row r="95" spans="1:91">
      <c r="A95" s="5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1"/>
      <c r="P95" s="31"/>
      <c r="Q95" s="54"/>
      <c r="R95" s="21" t="str">
        <f>IFERROR(VLOOKUP(November[[#This Row],[Drug Name]],'Data Options'!$R$1:$S$100,2,FALSE), " ")</f>
        <v xml:space="preserve"> </v>
      </c>
      <c r="S95" s="55"/>
      <c r="T95" s="32"/>
      <c r="U95" s="32"/>
      <c r="V95" s="55"/>
      <c r="W95" s="32"/>
      <c r="X95" s="54"/>
      <c r="Y95" s="21" t="str">
        <f>IFERROR(VLOOKUP(November[[#This Row],[Drug Name2]],'Data Options'!$R$1:$S$100,2,FALSE), " ")</f>
        <v xml:space="preserve"> </v>
      </c>
      <c r="Z95" s="55"/>
      <c r="AA95" s="32"/>
      <c r="AB95" s="32"/>
      <c r="AC95" s="55"/>
      <c r="AD95" s="32"/>
      <c r="AE95" s="54"/>
      <c r="AF95" s="21" t="str">
        <f>IFERROR(VLOOKUP(November[[#This Row],[Drug Name3]],'Data Options'!$R$1:$S$100,2,FALSE), " ")</f>
        <v xml:space="preserve"> </v>
      </c>
      <c r="AG95" s="55"/>
      <c r="AH95" s="32"/>
      <c r="AI95" s="32"/>
      <c r="AJ95" s="55"/>
      <c r="AK95" s="32"/>
      <c r="AL95" s="32"/>
      <c r="AM95" s="32"/>
      <c r="AN95" s="32"/>
      <c r="AO95" s="32"/>
      <c r="AP95" s="31"/>
      <c r="AQ95" s="31"/>
      <c r="AR95" s="54"/>
      <c r="AS95" s="21" t="str">
        <f>IFERROR(VLOOKUP(November[[#This Row],[Drug Name4]],'Data Options'!$R$1:$S$100,2,FALSE), " ")</f>
        <v xml:space="preserve"> </v>
      </c>
      <c r="AT95" s="55"/>
      <c r="AU95" s="32"/>
      <c r="AV95" s="32"/>
      <c r="AW95" s="55"/>
      <c r="AX95" s="32"/>
      <c r="AY95" s="54"/>
      <c r="AZ95" s="21" t="str">
        <f>IFERROR(VLOOKUP(November[[#This Row],[Drug Name5]],'Data Options'!$R$1:$S$100,2,FALSE), " ")</f>
        <v xml:space="preserve"> </v>
      </c>
      <c r="BA95" s="55"/>
      <c r="BB95" s="32"/>
      <c r="BC95" s="32"/>
      <c r="BD95" s="55"/>
      <c r="BE95" s="32"/>
      <c r="BF95" s="54"/>
      <c r="BG95" s="21" t="str">
        <f>IFERROR(VLOOKUP(November[[#This Row],[Drug Name6]],'Data Options'!$R$1:$S$100,2,FALSE), " ")</f>
        <v xml:space="preserve"> </v>
      </c>
      <c r="BH95" s="55"/>
      <c r="BI95" s="32"/>
      <c r="BJ95" s="32"/>
      <c r="BK95" s="55"/>
      <c r="BL95" s="32"/>
      <c r="BM95" s="32"/>
      <c r="BN95" s="32"/>
      <c r="BO95" s="32"/>
      <c r="BP95" s="32"/>
      <c r="BQ95" s="31"/>
      <c r="BR95" s="31"/>
      <c r="BS95" s="54"/>
      <c r="BT95" s="21" t="str">
        <f>IFERROR(VLOOKUP(November[[#This Row],[Drug Name7]],'Data Options'!$R$1:$S$100,2,FALSE), " ")</f>
        <v xml:space="preserve"> </v>
      </c>
      <c r="BU95" s="55"/>
      <c r="BV95" s="32"/>
      <c r="BW95" s="32"/>
      <c r="BX95" s="55"/>
      <c r="BY95" s="32"/>
      <c r="BZ95" s="54"/>
      <c r="CA95" s="21" t="str">
        <f>IFERROR(VLOOKUP(November[[#This Row],[Drug Name8]],'Data Options'!$R$1:$S$100,2,FALSE), " ")</f>
        <v xml:space="preserve"> </v>
      </c>
      <c r="CB95" s="55"/>
      <c r="CC95" s="32"/>
      <c r="CD95" s="32"/>
      <c r="CE95" s="55"/>
      <c r="CF95" s="32"/>
      <c r="CG95" s="54"/>
      <c r="CH95" s="21" t="str">
        <f>IFERROR(VLOOKUP(November[[#This Row],[Drug Name9]],'Data Options'!$R$1:$S$100,2,FALSE), " ")</f>
        <v xml:space="preserve"> </v>
      </c>
      <c r="CI95" s="55"/>
      <c r="CJ95" s="32"/>
      <c r="CK95" s="32"/>
      <c r="CL95" s="55"/>
      <c r="CM95" s="32"/>
    </row>
    <row r="96" spans="1:91">
      <c r="A96" s="5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1"/>
      <c r="P96" s="31"/>
      <c r="Q96" s="54"/>
      <c r="R96" s="21" t="str">
        <f>IFERROR(VLOOKUP(November[[#This Row],[Drug Name]],'Data Options'!$R$1:$S$100,2,FALSE), " ")</f>
        <v xml:space="preserve"> </v>
      </c>
      <c r="S96" s="55"/>
      <c r="T96" s="32"/>
      <c r="U96" s="32"/>
      <c r="V96" s="55"/>
      <c r="W96" s="32"/>
      <c r="X96" s="54"/>
      <c r="Y96" s="21" t="str">
        <f>IFERROR(VLOOKUP(November[[#This Row],[Drug Name2]],'Data Options'!$R$1:$S$100,2,FALSE), " ")</f>
        <v xml:space="preserve"> </v>
      </c>
      <c r="Z96" s="55"/>
      <c r="AA96" s="32"/>
      <c r="AB96" s="32"/>
      <c r="AC96" s="55"/>
      <c r="AD96" s="32"/>
      <c r="AE96" s="54"/>
      <c r="AF96" s="21" t="str">
        <f>IFERROR(VLOOKUP(November[[#This Row],[Drug Name3]],'Data Options'!$R$1:$S$100,2,FALSE), " ")</f>
        <v xml:space="preserve"> </v>
      </c>
      <c r="AG96" s="55"/>
      <c r="AH96" s="32"/>
      <c r="AI96" s="32"/>
      <c r="AJ96" s="55"/>
      <c r="AK96" s="32"/>
      <c r="AL96" s="32"/>
      <c r="AM96" s="32"/>
      <c r="AN96" s="32"/>
      <c r="AO96" s="32"/>
      <c r="AP96" s="31"/>
      <c r="AQ96" s="31"/>
      <c r="AR96" s="54"/>
      <c r="AS96" s="21" t="str">
        <f>IFERROR(VLOOKUP(November[[#This Row],[Drug Name4]],'Data Options'!$R$1:$S$100,2,FALSE), " ")</f>
        <v xml:space="preserve"> </v>
      </c>
      <c r="AT96" s="55"/>
      <c r="AU96" s="32"/>
      <c r="AV96" s="32"/>
      <c r="AW96" s="55"/>
      <c r="AX96" s="32"/>
      <c r="AY96" s="54"/>
      <c r="AZ96" s="21" t="str">
        <f>IFERROR(VLOOKUP(November[[#This Row],[Drug Name5]],'Data Options'!$R$1:$S$100,2,FALSE), " ")</f>
        <v xml:space="preserve"> </v>
      </c>
      <c r="BA96" s="55"/>
      <c r="BB96" s="32"/>
      <c r="BC96" s="32"/>
      <c r="BD96" s="55"/>
      <c r="BE96" s="32"/>
      <c r="BF96" s="54"/>
      <c r="BG96" s="21" t="str">
        <f>IFERROR(VLOOKUP(November[[#This Row],[Drug Name6]],'Data Options'!$R$1:$S$100,2,FALSE), " ")</f>
        <v xml:space="preserve"> </v>
      </c>
      <c r="BH96" s="55"/>
      <c r="BI96" s="32"/>
      <c r="BJ96" s="32"/>
      <c r="BK96" s="55"/>
      <c r="BL96" s="32"/>
      <c r="BM96" s="32"/>
      <c r="BN96" s="32"/>
      <c r="BO96" s="32"/>
      <c r="BP96" s="32"/>
      <c r="BQ96" s="31"/>
      <c r="BR96" s="31"/>
      <c r="BS96" s="54"/>
      <c r="BT96" s="21" t="str">
        <f>IFERROR(VLOOKUP(November[[#This Row],[Drug Name7]],'Data Options'!$R$1:$S$100,2,FALSE), " ")</f>
        <v xml:space="preserve"> </v>
      </c>
      <c r="BU96" s="55"/>
      <c r="BV96" s="32"/>
      <c r="BW96" s="32"/>
      <c r="BX96" s="55"/>
      <c r="BY96" s="32"/>
      <c r="BZ96" s="54"/>
      <c r="CA96" s="21" t="str">
        <f>IFERROR(VLOOKUP(November[[#This Row],[Drug Name8]],'Data Options'!$R$1:$S$100,2,FALSE), " ")</f>
        <v xml:space="preserve"> </v>
      </c>
      <c r="CB96" s="55"/>
      <c r="CC96" s="32"/>
      <c r="CD96" s="32"/>
      <c r="CE96" s="55"/>
      <c r="CF96" s="32"/>
      <c r="CG96" s="54"/>
      <c r="CH96" s="21" t="str">
        <f>IFERROR(VLOOKUP(November[[#This Row],[Drug Name9]],'Data Options'!$R$1:$S$100,2,FALSE), " ")</f>
        <v xml:space="preserve"> </v>
      </c>
      <c r="CI96" s="55"/>
      <c r="CJ96" s="32"/>
      <c r="CK96" s="32"/>
      <c r="CL96" s="55"/>
      <c r="CM96" s="32"/>
    </row>
    <row r="97" spans="1:91">
      <c r="A97" s="5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1"/>
      <c r="P97" s="31"/>
      <c r="Q97" s="54"/>
      <c r="R97" s="21" t="str">
        <f>IFERROR(VLOOKUP(November[[#This Row],[Drug Name]],'Data Options'!$R$1:$S$100,2,FALSE), " ")</f>
        <v xml:space="preserve"> </v>
      </c>
      <c r="S97" s="55"/>
      <c r="T97" s="32"/>
      <c r="U97" s="32"/>
      <c r="V97" s="55"/>
      <c r="W97" s="32"/>
      <c r="X97" s="54"/>
      <c r="Y97" s="21" t="str">
        <f>IFERROR(VLOOKUP(November[[#This Row],[Drug Name2]],'Data Options'!$R$1:$S$100,2,FALSE), " ")</f>
        <v xml:space="preserve"> </v>
      </c>
      <c r="Z97" s="55"/>
      <c r="AA97" s="32"/>
      <c r="AB97" s="32"/>
      <c r="AC97" s="55"/>
      <c r="AD97" s="32"/>
      <c r="AE97" s="54"/>
      <c r="AF97" s="21" t="str">
        <f>IFERROR(VLOOKUP(November[[#This Row],[Drug Name3]],'Data Options'!$R$1:$S$100,2,FALSE), " ")</f>
        <v xml:space="preserve"> </v>
      </c>
      <c r="AG97" s="55"/>
      <c r="AH97" s="32"/>
      <c r="AI97" s="32"/>
      <c r="AJ97" s="55"/>
      <c r="AK97" s="32"/>
      <c r="AL97" s="32"/>
      <c r="AM97" s="32"/>
      <c r="AN97" s="32"/>
      <c r="AO97" s="32"/>
      <c r="AP97" s="31"/>
      <c r="AQ97" s="31"/>
      <c r="AR97" s="54"/>
      <c r="AS97" s="21" t="str">
        <f>IFERROR(VLOOKUP(November[[#This Row],[Drug Name4]],'Data Options'!$R$1:$S$100,2,FALSE), " ")</f>
        <v xml:space="preserve"> </v>
      </c>
      <c r="AT97" s="55"/>
      <c r="AU97" s="32"/>
      <c r="AV97" s="32"/>
      <c r="AW97" s="55"/>
      <c r="AX97" s="32"/>
      <c r="AY97" s="54"/>
      <c r="AZ97" s="21" t="str">
        <f>IFERROR(VLOOKUP(November[[#This Row],[Drug Name5]],'Data Options'!$R$1:$S$100,2,FALSE), " ")</f>
        <v xml:space="preserve"> </v>
      </c>
      <c r="BA97" s="55"/>
      <c r="BB97" s="32"/>
      <c r="BC97" s="32"/>
      <c r="BD97" s="55"/>
      <c r="BE97" s="32"/>
      <c r="BF97" s="54"/>
      <c r="BG97" s="21" t="str">
        <f>IFERROR(VLOOKUP(November[[#This Row],[Drug Name6]],'Data Options'!$R$1:$S$100,2,FALSE), " ")</f>
        <v xml:space="preserve"> </v>
      </c>
      <c r="BH97" s="55"/>
      <c r="BI97" s="32"/>
      <c r="BJ97" s="32"/>
      <c r="BK97" s="55"/>
      <c r="BL97" s="32"/>
      <c r="BM97" s="32"/>
      <c r="BN97" s="32"/>
      <c r="BO97" s="32"/>
      <c r="BP97" s="32"/>
      <c r="BQ97" s="31"/>
      <c r="BR97" s="31"/>
      <c r="BS97" s="54"/>
      <c r="BT97" s="21" t="str">
        <f>IFERROR(VLOOKUP(November[[#This Row],[Drug Name7]],'Data Options'!$R$1:$S$100,2,FALSE), " ")</f>
        <v xml:space="preserve"> </v>
      </c>
      <c r="BU97" s="55"/>
      <c r="BV97" s="32"/>
      <c r="BW97" s="32"/>
      <c r="BX97" s="55"/>
      <c r="BY97" s="32"/>
      <c r="BZ97" s="54"/>
      <c r="CA97" s="21" t="str">
        <f>IFERROR(VLOOKUP(November[[#This Row],[Drug Name8]],'Data Options'!$R$1:$S$100,2,FALSE), " ")</f>
        <v xml:space="preserve"> </v>
      </c>
      <c r="CB97" s="55"/>
      <c r="CC97" s="32"/>
      <c r="CD97" s="32"/>
      <c r="CE97" s="55"/>
      <c r="CF97" s="32"/>
      <c r="CG97" s="54"/>
      <c r="CH97" s="21" t="str">
        <f>IFERROR(VLOOKUP(November[[#This Row],[Drug Name9]],'Data Options'!$R$1:$S$100,2,FALSE), " ")</f>
        <v xml:space="preserve"> </v>
      </c>
      <c r="CI97" s="55"/>
      <c r="CJ97" s="32"/>
      <c r="CK97" s="32"/>
      <c r="CL97" s="55"/>
      <c r="CM97" s="32"/>
    </row>
    <row r="98" spans="1:91">
      <c r="A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1"/>
      <c r="P98" s="31"/>
      <c r="Q98" s="54"/>
      <c r="R98" s="21" t="str">
        <f>IFERROR(VLOOKUP(November[[#This Row],[Drug Name]],'Data Options'!$R$1:$S$100,2,FALSE), " ")</f>
        <v xml:space="preserve"> </v>
      </c>
      <c r="S98" s="55"/>
      <c r="T98" s="32"/>
      <c r="U98" s="32"/>
      <c r="V98" s="55"/>
      <c r="W98" s="32"/>
      <c r="X98" s="54"/>
      <c r="Y98" s="21" t="str">
        <f>IFERROR(VLOOKUP(November[[#This Row],[Drug Name2]],'Data Options'!$R$1:$S$100,2,FALSE), " ")</f>
        <v xml:space="preserve"> </v>
      </c>
      <c r="Z98" s="55"/>
      <c r="AA98" s="32"/>
      <c r="AB98" s="32"/>
      <c r="AC98" s="55"/>
      <c r="AD98" s="32"/>
      <c r="AE98" s="54"/>
      <c r="AF98" s="21" t="str">
        <f>IFERROR(VLOOKUP(November[[#This Row],[Drug Name3]],'Data Options'!$R$1:$S$100,2,FALSE), " ")</f>
        <v xml:space="preserve"> </v>
      </c>
      <c r="AG98" s="55"/>
      <c r="AH98" s="32"/>
      <c r="AI98" s="32"/>
      <c r="AJ98" s="55"/>
      <c r="AK98" s="32"/>
      <c r="AL98" s="32"/>
      <c r="AM98" s="32"/>
      <c r="AN98" s="32"/>
      <c r="AO98" s="32"/>
      <c r="AP98" s="31"/>
      <c r="AQ98" s="31"/>
      <c r="AR98" s="54"/>
      <c r="AS98" s="21" t="str">
        <f>IFERROR(VLOOKUP(November[[#This Row],[Drug Name4]],'Data Options'!$R$1:$S$100,2,FALSE), " ")</f>
        <v xml:space="preserve"> </v>
      </c>
      <c r="AT98" s="55"/>
      <c r="AU98" s="32"/>
      <c r="AV98" s="32"/>
      <c r="AW98" s="55"/>
      <c r="AX98" s="32"/>
      <c r="AY98" s="54"/>
      <c r="AZ98" s="21" t="str">
        <f>IFERROR(VLOOKUP(November[[#This Row],[Drug Name5]],'Data Options'!$R$1:$S$100,2,FALSE), " ")</f>
        <v xml:space="preserve"> </v>
      </c>
      <c r="BA98" s="55"/>
      <c r="BB98" s="32"/>
      <c r="BC98" s="32"/>
      <c r="BD98" s="55"/>
      <c r="BE98" s="32"/>
      <c r="BF98" s="54"/>
      <c r="BG98" s="21" t="str">
        <f>IFERROR(VLOOKUP(November[[#This Row],[Drug Name6]],'Data Options'!$R$1:$S$100,2,FALSE), " ")</f>
        <v xml:space="preserve"> </v>
      </c>
      <c r="BH98" s="55"/>
      <c r="BI98" s="32"/>
      <c r="BJ98" s="32"/>
      <c r="BK98" s="55"/>
      <c r="BL98" s="32"/>
      <c r="BM98" s="32"/>
      <c r="BN98" s="32"/>
      <c r="BO98" s="32"/>
      <c r="BP98" s="32"/>
      <c r="BQ98" s="31"/>
      <c r="BR98" s="31"/>
      <c r="BS98" s="54"/>
      <c r="BT98" s="21" t="str">
        <f>IFERROR(VLOOKUP(November[[#This Row],[Drug Name7]],'Data Options'!$R$1:$S$100,2,FALSE), " ")</f>
        <v xml:space="preserve"> </v>
      </c>
      <c r="BU98" s="55"/>
      <c r="BV98" s="32"/>
      <c r="BW98" s="32"/>
      <c r="BX98" s="55"/>
      <c r="BY98" s="32"/>
      <c r="BZ98" s="54"/>
      <c r="CA98" s="21" t="str">
        <f>IFERROR(VLOOKUP(November[[#This Row],[Drug Name8]],'Data Options'!$R$1:$S$100,2,FALSE), " ")</f>
        <v xml:space="preserve"> </v>
      </c>
      <c r="CB98" s="55"/>
      <c r="CC98" s="32"/>
      <c r="CD98" s="32"/>
      <c r="CE98" s="55"/>
      <c r="CF98" s="32"/>
      <c r="CG98" s="54"/>
      <c r="CH98" s="21" t="str">
        <f>IFERROR(VLOOKUP(November[[#This Row],[Drug Name9]],'Data Options'!$R$1:$S$100,2,FALSE), " ")</f>
        <v xml:space="preserve"> </v>
      </c>
      <c r="CI98" s="55"/>
      <c r="CJ98" s="32"/>
      <c r="CK98" s="32"/>
      <c r="CL98" s="55"/>
      <c r="CM98" s="32"/>
    </row>
    <row r="99" spans="1:91">
      <c r="A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1"/>
      <c r="P99" s="31"/>
      <c r="Q99" s="54"/>
      <c r="R99" s="21" t="str">
        <f>IFERROR(VLOOKUP(November[[#This Row],[Drug Name]],'Data Options'!$R$1:$S$100,2,FALSE), " ")</f>
        <v xml:space="preserve"> </v>
      </c>
      <c r="S99" s="55"/>
      <c r="T99" s="32"/>
      <c r="U99" s="32"/>
      <c r="V99" s="55"/>
      <c r="W99" s="32"/>
      <c r="X99" s="54"/>
      <c r="Y99" s="21" t="str">
        <f>IFERROR(VLOOKUP(November[[#This Row],[Drug Name2]],'Data Options'!$R$1:$S$100,2,FALSE), " ")</f>
        <v xml:space="preserve"> </v>
      </c>
      <c r="Z99" s="55"/>
      <c r="AA99" s="32"/>
      <c r="AB99" s="32"/>
      <c r="AC99" s="55"/>
      <c r="AD99" s="32"/>
      <c r="AE99" s="54"/>
      <c r="AF99" s="21" t="str">
        <f>IFERROR(VLOOKUP(November[[#This Row],[Drug Name3]],'Data Options'!$R$1:$S$100,2,FALSE), " ")</f>
        <v xml:space="preserve"> </v>
      </c>
      <c r="AG99" s="55"/>
      <c r="AH99" s="32"/>
      <c r="AI99" s="32"/>
      <c r="AJ99" s="55"/>
      <c r="AK99" s="32"/>
      <c r="AL99" s="32"/>
      <c r="AM99" s="32"/>
      <c r="AN99" s="32"/>
      <c r="AO99" s="32"/>
      <c r="AP99" s="31"/>
      <c r="AQ99" s="31"/>
      <c r="AR99" s="54"/>
      <c r="AS99" s="21" t="str">
        <f>IFERROR(VLOOKUP(November[[#This Row],[Drug Name4]],'Data Options'!$R$1:$S$100,2,FALSE), " ")</f>
        <v xml:space="preserve"> </v>
      </c>
      <c r="AT99" s="55"/>
      <c r="AU99" s="32"/>
      <c r="AV99" s="32"/>
      <c r="AW99" s="55"/>
      <c r="AX99" s="32"/>
      <c r="AY99" s="54"/>
      <c r="AZ99" s="21" t="str">
        <f>IFERROR(VLOOKUP(November[[#This Row],[Drug Name5]],'Data Options'!$R$1:$S$100,2,FALSE), " ")</f>
        <v xml:space="preserve"> </v>
      </c>
      <c r="BA99" s="55"/>
      <c r="BB99" s="32"/>
      <c r="BC99" s="32"/>
      <c r="BD99" s="55"/>
      <c r="BE99" s="32"/>
      <c r="BF99" s="54"/>
      <c r="BG99" s="21" t="str">
        <f>IFERROR(VLOOKUP(November[[#This Row],[Drug Name6]],'Data Options'!$R$1:$S$100,2,FALSE), " ")</f>
        <v xml:space="preserve"> </v>
      </c>
      <c r="BH99" s="55"/>
      <c r="BI99" s="32"/>
      <c r="BJ99" s="32"/>
      <c r="BK99" s="55"/>
      <c r="BL99" s="32"/>
      <c r="BM99" s="32"/>
      <c r="BN99" s="32"/>
      <c r="BO99" s="32"/>
      <c r="BP99" s="32"/>
      <c r="BQ99" s="31"/>
      <c r="BR99" s="31"/>
      <c r="BS99" s="54"/>
      <c r="BT99" s="21" t="str">
        <f>IFERROR(VLOOKUP(November[[#This Row],[Drug Name7]],'Data Options'!$R$1:$S$100,2,FALSE), " ")</f>
        <v xml:space="preserve"> </v>
      </c>
      <c r="BU99" s="55"/>
      <c r="BV99" s="32"/>
      <c r="BW99" s="32"/>
      <c r="BX99" s="55"/>
      <c r="BY99" s="32"/>
      <c r="BZ99" s="54"/>
      <c r="CA99" s="21" t="str">
        <f>IFERROR(VLOOKUP(November[[#This Row],[Drug Name8]],'Data Options'!$R$1:$S$100,2,FALSE), " ")</f>
        <v xml:space="preserve"> </v>
      </c>
      <c r="CB99" s="55"/>
      <c r="CC99" s="32"/>
      <c r="CD99" s="32"/>
      <c r="CE99" s="55"/>
      <c r="CF99" s="32"/>
      <c r="CG99" s="54"/>
      <c r="CH99" s="21" t="str">
        <f>IFERROR(VLOOKUP(November[[#This Row],[Drug Name9]],'Data Options'!$R$1:$S$100,2,FALSE), " ")</f>
        <v xml:space="preserve"> </v>
      </c>
      <c r="CI99" s="55"/>
      <c r="CJ99" s="32"/>
      <c r="CK99" s="32"/>
      <c r="CL99" s="55"/>
      <c r="CM99" s="32"/>
    </row>
    <row r="100" spans="1:91">
      <c r="A100" s="5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1"/>
      <c r="P100" s="31"/>
      <c r="Q100" s="54"/>
      <c r="R100" s="21" t="str">
        <f>IFERROR(VLOOKUP(November[[#This Row],[Drug Name]],'Data Options'!$R$1:$S$100,2,FALSE), " ")</f>
        <v xml:space="preserve"> </v>
      </c>
      <c r="S100" s="55"/>
      <c r="T100" s="32"/>
      <c r="U100" s="32"/>
      <c r="V100" s="55"/>
      <c r="W100" s="32"/>
      <c r="X100" s="54"/>
      <c r="Y100" s="21" t="str">
        <f>IFERROR(VLOOKUP(November[[#This Row],[Drug Name2]],'Data Options'!$R$1:$S$100,2,FALSE), " ")</f>
        <v xml:space="preserve"> </v>
      </c>
      <c r="Z100" s="55"/>
      <c r="AA100" s="32"/>
      <c r="AB100" s="32"/>
      <c r="AC100" s="55"/>
      <c r="AD100" s="32"/>
      <c r="AE100" s="54"/>
      <c r="AF100" s="21" t="str">
        <f>IFERROR(VLOOKUP(November[[#This Row],[Drug Name3]],'Data Options'!$R$1:$S$100,2,FALSE), " ")</f>
        <v xml:space="preserve"> </v>
      </c>
      <c r="AG100" s="55"/>
      <c r="AH100" s="32"/>
      <c r="AI100" s="32"/>
      <c r="AJ100" s="55"/>
      <c r="AK100" s="32"/>
      <c r="AL100" s="32"/>
      <c r="AM100" s="32"/>
      <c r="AN100" s="32"/>
      <c r="AO100" s="32"/>
      <c r="AP100" s="31"/>
      <c r="AQ100" s="31"/>
      <c r="AR100" s="54"/>
      <c r="AS100" s="21" t="str">
        <f>IFERROR(VLOOKUP(November[[#This Row],[Drug Name4]],'Data Options'!$R$1:$S$100,2,FALSE), " ")</f>
        <v xml:space="preserve"> </v>
      </c>
      <c r="AT100" s="55"/>
      <c r="AU100" s="32"/>
      <c r="AV100" s="32"/>
      <c r="AW100" s="55"/>
      <c r="AX100" s="32"/>
      <c r="AY100" s="54"/>
      <c r="AZ100" s="21" t="str">
        <f>IFERROR(VLOOKUP(November[[#This Row],[Drug Name5]],'Data Options'!$R$1:$S$100,2,FALSE), " ")</f>
        <v xml:space="preserve"> </v>
      </c>
      <c r="BA100" s="55"/>
      <c r="BB100" s="32"/>
      <c r="BC100" s="32"/>
      <c r="BD100" s="55"/>
      <c r="BE100" s="32"/>
      <c r="BF100" s="54"/>
      <c r="BG100" s="21" t="str">
        <f>IFERROR(VLOOKUP(November[[#This Row],[Drug Name6]],'Data Options'!$R$1:$S$100,2,FALSE), " ")</f>
        <v xml:space="preserve"> </v>
      </c>
      <c r="BH100" s="55"/>
      <c r="BI100" s="32"/>
      <c r="BJ100" s="32"/>
      <c r="BK100" s="55"/>
      <c r="BL100" s="32"/>
      <c r="BM100" s="32"/>
      <c r="BN100" s="32"/>
      <c r="BO100" s="32"/>
      <c r="BP100" s="32"/>
      <c r="BQ100" s="31"/>
      <c r="BR100" s="31"/>
      <c r="BS100" s="54"/>
      <c r="BT100" s="21" t="str">
        <f>IFERROR(VLOOKUP(November[[#This Row],[Drug Name7]],'Data Options'!$R$1:$S$100,2,FALSE), " ")</f>
        <v xml:space="preserve"> </v>
      </c>
      <c r="BU100" s="55"/>
      <c r="BV100" s="32"/>
      <c r="BW100" s="32"/>
      <c r="BX100" s="55"/>
      <c r="BY100" s="32"/>
      <c r="BZ100" s="54"/>
      <c r="CA100" s="21" t="str">
        <f>IFERROR(VLOOKUP(November[[#This Row],[Drug Name8]],'Data Options'!$R$1:$S$100,2,FALSE), " ")</f>
        <v xml:space="preserve"> </v>
      </c>
      <c r="CB100" s="55"/>
      <c r="CC100" s="32"/>
      <c r="CD100" s="32"/>
      <c r="CE100" s="55"/>
      <c r="CF100" s="32"/>
      <c r="CG100" s="54"/>
      <c r="CH100" s="21" t="str">
        <f>IFERROR(VLOOKUP(November[[#This Row],[Drug Name9]],'Data Options'!$R$1:$S$100,2,FALSE), " ")</f>
        <v xml:space="preserve"> </v>
      </c>
      <c r="CI100" s="55"/>
      <c r="CJ100" s="32"/>
      <c r="CK100" s="32"/>
      <c r="CL100" s="55"/>
      <c r="CM100" s="32"/>
    </row>
    <row r="101" spans="1:91">
      <c r="A101" s="5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1"/>
      <c r="P101" s="31"/>
      <c r="Q101" s="54"/>
      <c r="R101" s="21" t="str">
        <f>IFERROR(VLOOKUP(November[[#This Row],[Drug Name]],'Data Options'!$R$1:$S$100,2,FALSE), " ")</f>
        <v xml:space="preserve"> </v>
      </c>
      <c r="S101" s="55"/>
      <c r="T101" s="32"/>
      <c r="U101" s="32"/>
      <c r="V101" s="55"/>
      <c r="W101" s="32"/>
      <c r="X101" s="54"/>
      <c r="Y101" s="21" t="str">
        <f>IFERROR(VLOOKUP(November[[#This Row],[Drug Name2]],'Data Options'!$R$1:$S$100,2,FALSE), " ")</f>
        <v xml:space="preserve"> </v>
      </c>
      <c r="Z101" s="55"/>
      <c r="AA101" s="32"/>
      <c r="AB101" s="32"/>
      <c r="AC101" s="55"/>
      <c r="AD101" s="32"/>
      <c r="AE101" s="54"/>
      <c r="AF101" s="21" t="str">
        <f>IFERROR(VLOOKUP(November[[#This Row],[Drug Name3]],'Data Options'!$R$1:$S$100,2,FALSE), " ")</f>
        <v xml:space="preserve"> </v>
      </c>
      <c r="AG101" s="55"/>
      <c r="AH101" s="32"/>
      <c r="AI101" s="32"/>
      <c r="AJ101" s="55"/>
      <c r="AK101" s="32"/>
      <c r="AL101" s="32"/>
      <c r="AM101" s="32"/>
      <c r="AN101" s="32"/>
      <c r="AO101" s="32"/>
      <c r="AP101" s="31"/>
      <c r="AQ101" s="31"/>
      <c r="AR101" s="54"/>
      <c r="AS101" s="21" t="str">
        <f>IFERROR(VLOOKUP(November[[#This Row],[Drug Name4]],'Data Options'!$R$1:$S$100,2,FALSE), " ")</f>
        <v xml:space="preserve"> </v>
      </c>
      <c r="AT101" s="55"/>
      <c r="AU101" s="32"/>
      <c r="AV101" s="32"/>
      <c r="AW101" s="55"/>
      <c r="AX101" s="32"/>
      <c r="AY101" s="54"/>
      <c r="AZ101" s="21" t="str">
        <f>IFERROR(VLOOKUP(November[[#This Row],[Drug Name5]],'Data Options'!$R$1:$S$100,2,FALSE), " ")</f>
        <v xml:space="preserve"> </v>
      </c>
      <c r="BA101" s="55"/>
      <c r="BB101" s="32"/>
      <c r="BC101" s="32"/>
      <c r="BD101" s="55"/>
      <c r="BE101" s="32"/>
      <c r="BF101" s="54"/>
      <c r="BG101" s="21" t="str">
        <f>IFERROR(VLOOKUP(November[[#This Row],[Drug Name6]],'Data Options'!$R$1:$S$100,2,FALSE), " ")</f>
        <v xml:space="preserve"> </v>
      </c>
      <c r="BH101" s="55"/>
      <c r="BI101" s="32"/>
      <c r="BJ101" s="32"/>
      <c r="BK101" s="55"/>
      <c r="BL101" s="32"/>
      <c r="BM101" s="32"/>
      <c r="BN101" s="32"/>
      <c r="BO101" s="32"/>
      <c r="BP101" s="32"/>
      <c r="BQ101" s="31"/>
      <c r="BR101" s="31"/>
      <c r="BS101" s="54"/>
      <c r="BT101" s="21" t="str">
        <f>IFERROR(VLOOKUP(November[[#This Row],[Drug Name7]],'Data Options'!$R$1:$S$100,2,FALSE), " ")</f>
        <v xml:space="preserve"> </v>
      </c>
      <c r="BU101" s="55"/>
      <c r="BV101" s="32"/>
      <c r="BW101" s="32"/>
      <c r="BX101" s="55"/>
      <c r="BY101" s="32"/>
      <c r="BZ101" s="54"/>
      <c r="CA101" s="21" t="str">
        <f>IFERROR(VLOOKUP(November[[#This Row],[Drug Name8]],'Data Options'!$R$1:$S$100,2,FALSE), " ")</f>
        <v xml:space="preserve"> </v>
      </c>
      <c r="CB101" s="55"/>
      <c r="CC101" s="32"/>
      <c r="CD101" s="32"/>
      <c r="CE101" s="55"/>
      <c r="CF101" s="32"/>
      <c r="CG101" s="54"/>
      <c r="CH101" s="21" t="str">
        <f>IFERROR(VLOOKUP(November[[#This Row],[Drug Name9]],'Data Options'!$R$1:$S$100,2,FALSE), " ")</f>
        <v xml:space="preserve"> </v>
      </c>
      <c r="CI101" s="55"/>
      <c r="CJ101" s="32"/>
      <c r="CK101" s="32"/>
      <c r="CL101" s="55"/>
      <c r="CM101" s="32"/>
    </row>
    <row r="102" spans="1:91">
      <c r="A102" s="5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1"/>
      <c r="P102" s="31"/>
      <c r="Q102" s="54"/>
      <c r="R102" s="21" t="str">
        <f>IFERROR(VLOOKUP(November[[#This Row],[Drug Name]],'Data Options'!$R$1:$S$100,2,FALSE), " ")</f>
        <v xml:space="preserve"> </v>
      </c>
      <c r="S102" s="55"/>
      <c r="T102" s="32"/>
      <c r="U102" s="32"/>
      <c r="V102" s="55"/>
      <c r="W102" s="32"/>
      <c r="X102" s="54"/>
      <c r="Y102" s="21" t="str">
        <f>IFERROR(VLOOKUP(November[[#This Row],[Drug Name2]],'Data Options'!$R$1:$S$100,2,FALSE), " ")</f>
        <v xml:space="preserve"> </v>
      </c>
      <c r="Z102" s="55"/>
      <c r="AA102" s="32"/>
      <c r="AB102" s="32"/>
      <c r="AC102" s="55"/>
      <c r="AD102" s="32"/>
      <c r="AE102" s="54"/>
      <c r="AF102" s="21" t="str">
        <f>IFERROR(VLOOKUP(November[[#This Row],[Drug Name3]],'Data Options'!$R$1:$S$100,2,FALSE), " ")</f>
        <v xml:space="preserve"> </v>
      </c>
      <c r="AG102" s="55"/>
      <c r="AH102" s="32"/>
      <c r="AI102" s="32"/>
      <c r="AJ102" s="55"/>
      <c r="AK102" s="32"/>
      <c r="AL102" s="32"/>
      <c r="AM102" s="32"/>
      <c r="AN102" s="32"/>
      <c r="AO102" s="32"/>
      <c r="AP102" s="31"/>
      <c r="AQ102" s="31"/>
      <c r="AR102" s="54"/>
      <c r="AS102" s="21" t="str">
        <f>IFERROR(VLOOKUP(November[[#This Row],[Drug Name4]],'Data Options'!$R$1:$S$100,2,FALSE), " ")</f>
        <v xml:space="preserve"> </v>
      </c>
      <c r="AT102" s="55"/>
      <c r="AU102" s="32"/>
      <c r="AV102" s="32"/>
      <c r="AW102" s="55"/>
      <c r="AX102" s="32"/>
      <c r="AY102" s="54"/>
      <c r="AZ102" s="21" t="str">
        <f>IFERROR(VLOOKUP(November[[#This Row],[Drug Name5]],'Data Options'!$R$1:$S$100,2,FALSE), " ")</f>
        <v xml:space="preserve"> </v>
      </c>
      <c r="BA102" s="55"/>
      <c r="BB102" s="32"/>
      <c r="BC102" s="32"/>
      <c r="BD102" s="55"/>
      <c r="BE102" s="32"/>
      <c r="BF102" s="54"/>
      <c r="BG102" s="21" t="str">
        <f>IFERROR(VLOOKUP(November[[#This Row],[Drug Name6]],'Data Options'!$R$1:$S$100,2,FALSE), " ")</f>
        <v xml:space="preserve"> </v>
      </c>
      <c r="BH102" s="55"/>
      <c r="BI102" s="32"/>
      <c r="BJ102" s="32"/>
      <c r="BK102" s="55"/>
      <c r="BL102" s="32"/>
      <c r="BM102" s="32"/>
      <c r="BN102" s="32"/>
      <c r="BO102" s="32"/>
      <c r="BP102" s="32"/>
      <c r="BQ102" s="31"/>
      <c r="BR102" s="31"/>
      <c r="BS102" s="54"/>
      <c r="BT102" s="21" t="str">
        <f>IFERROR(VLOOKUP(November[[#This Row],[Drug Name7]],'Data Options'!$R$1:$S$100,2,FALSE), " ")</f>
        <v xml:space="preserve"> </v>
      </c>
      <c r="BU102" s="55"/>
      <c r="BV102" s="32"/>
      <c r="BW102" s="32"/>
      <c r="BX102" s="55"/>
      <c r="BY102" s="32"/>
      <c r="BZ102" s="54"/>
      <c r="CA102" s="21" t="str">
        <f>IFERROR(VLOOKUP(November[[#This Row],[Drug Name8]],'Data Options'!$R$1:$S$100,2,FALSE), " ")</f>
        <v xml:space="preserve"> </v>
      </c>
      <c r="CB102" s="55"/>
      <c r="CC102" s="32"/>
      <c r="CD102" s="32"/>
      <c r="CE102" s="55"/>
      <c r="CF102" s="32"/>
      <c r="CG102" s="54"/>
      <c r="CH102" s="21" t="str">
        <f>IFERROR(VLOOKUP(November[[#This Row],[Drug Name9]],'Data Options'!$R$1:$S$100,2,FALSE), " ")</f>
        <v xml:space="preserve"> </v>
      </c>
      <c r="CI102" s="55"/>
      <c r="CJ102" s="32"/>
      <c r="CK102" s="32"/>
      <c r="CL102" s="55"/>
      <c r="CM102" s="32"/>
    </row>
    <row r="103" spans="1:91">
      <c r="A103" s="5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1"/>
      <c r="Q103" s="54"/>
      <c r="R103" s="21" t="str">
        <f>IFERROR(VLOOKUP(November[[#This Row],[Drug Name]],'Data Options'!$R$1:$S$100,2,FALSE), " ")</f>
        <v xml:space="preserve"> </v>
      </c>
      <c r="S103" s="55"/>
      <c r="T103" s="32"/>
      <c r="U103" s="32"/>
      <c r="V103" s="55"/>
      <c r="W103" s="32"/>
      <c r="X103" s="54"/>
      <c r="Y103" s="21" t="str">
        <f>IFERROR(VLOOKUP(November[[#This Row],[Drug Name2]],'Data Options'!$R$1:$S$100,2,FALSE), " ")</f>
        <v xml:space="preserve"> </v>
      </c>
      <c r="Z103" s="55"/>
      <c r="AA103" s="32"/>
      <c r="AB103" s="32"/>
      <c r="AC103" s="55"/>
      <c r="AD103" s="32"/>
      <c r="AE103" s="54"/>
      <c r="AF103" s="21" t="str">
        <f>IFERROR(VLOOKUP(November[[#This Row],[Drug Name3]],'Data Options'!$R$1:$S$100,2,FALSE), " ")</f>
        <v xml:space="preserve"> </v>
      </c>
      <c r="AG103" s="55"/>
      <c r="AH103" s="32"/>
      <c r="AI103" s="32"/>
      <c r="AJ103" s="55"/>
      <c r="AK103" s="32"/>
      <c r="AL103" s="32"/>
      <c r="AM103" s="32"/>
      <c r="AN103" s="32"/>
      <c r="AO103" s="32"/>
      <c r="AP103" s="31"/>
      <c r="AQ103" s="31"/>
      <c r="AR103" s="54"/>
      <c r="AS103" s="21" t="str">
        <f>IFERROR(VLOOKUP(November[[#This Row],[Drug Name4]],'Data Options'!$R$1:$S$100,2,FALSE), " ")</f>
        <v xml:space="preserve"> </v>
      </c>
      <c r="AT103" s="55"/>
      <c r="AU103" s="32"/>
      <c r="AV103" s="32"/>
      <c r="AW103" s="55"/>
      <c r="AX103" s="32"/>
      <c r="AY103" s="54"/>
      <c r="AZ103" s="21" t="str">
        <f>IFERROR(VLOOKUP(November[[#This Row],[Drug Name5]],'Data Options'!$R$1:$S$100,2,FALSE), " ")</f>
        <v xml:space="preserve"> </v>
      </c>
      <c r="BA103" s="55"/>
      <c r="BB103" s="32"/>
      <c r="BC103" s="32"/>
      <c r="BD103" s="55"/>
      <c r="BE103" s="32"/>
      <c r="BF103" s="54"/>
      <c r="BG103" s="21" t="str">
        <f>IFERROR(VLOOKUP(November[[#This Row],[Drug Name6]],'Data Options'!$R$1:$S$100,2,FALSE), " ")</f>
        <v xml:space="preserve"> </v>
      </c>
      <c r="BH103" s="55"/>
      <c r="BI103" s="32"/>
      <c r="BJ103" s="32"/>
      <c r="BK103" s="55"/>
      <c r="BL103" s="32"/>
      <c r="BM103" s="32"/>
      <c r="BN103" s="32"/>
      <c r="BO103" s="32"/>
      <c r="BP103" s="32"/>
      <c r="BQ103" s="31"/>
      <c r="BR103" s="31"/>
      <c r="BS103" s="54"/>
      <c r="BT103" s="21" t="str">
        <f>IFERROR(VLOOKUP(November[[#This Row],[Drug Name7]],'Data Options'!$R$1:$S$100,2,FALSE), " ")</f>
        <v xml:space="preserve"> </v>
      </c>
      <c r="BU103" s="55"/>
      <c r="BV103" s="32"/>
      <c r="BW103" s="32"/>
      <c r="BX103" s="55"/>
      <c r="BY103" s="32"/>
      <c r="BZ103" s="54"/>
      <c r="CA103" s="21" t="str">
        <f>IFERROR(VLOOKUP(November[[#This Row],[Drug Name8]],'Data Options'!$R$1:$S$100,2,FALSE), " ")</f>
        <v xml:space="preserve"> </v>
      </c>
      <c r="CB103" s="55"/>
      <c r="CC103" s="32"/>
      <c r="CD103" s="32"/>
      <c r="CE103" s="55"/>
      <c r="CF103" s="32"/>
      <c r="CG103" s="54"/>
      <c r="CH103" s="21" t="str">
        <f>IFERROR(VLOOKUP(November[[#This Row],[Drug Name9]],'Data Options'!$R$1:$S$100,2,FALSE), " ")</f>
        <v xml:space="preserve"> </v>
      </c>
      <c r="CI103" s="55"/>
      <c r="CJ103" s="32"/>
      <c r="CK103" s="32"/>
      <c r="CL103" s="55"/>
      <c r="CM103" s="32"/>
    </row>
    <row r="104" spans="1:91">
      <c r="A104" s="5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Q104" s="54"/>
      <c r="R104" s="21" t="str">
        <f>IFERROR(VLOOKUP(November[[#This Row],[Drug Name]],'Data Options'!$R$1:$S$100,2,FALSE), " ")</f>
        <v xml:space="preserve"> </v>
      </c>
      <c r="S104" s="55"/>
      <c r="T104" s="32"/>
      <c r="U104" s="32"/>
      <c r="V104" s="55"/>
      <c r="W104" s="32"/>
      <c r="X104" s="54"/>
      <c r="Y104" s="21" t="str">
        <f>IFERROR(VLOOKUP(November[[#This Row],[Drug Name2]],'Data Options'!$R$1:$S$100,2,FALSE), " ")</f>
        <v xml:space="preserve"> </v>
      </c>
      <c r="Z104" s="55"/>
      <c r="AA104" s="32"/>
      <c r="AB104" s="32"/>
      <c r="AC104" s="55"/>
      <c r="AD104" s="32"/>
      <c r="AE104" s="54"/>
      <c r="AF104" s="21" t="str">
        <f>IFERROR(VLOOKUP(November[[#This Row],[Drug Name3]],'Data Options'!$R$1:$S$100,2,FALSE), " ")</f>
        <v xml:space="preserve"> </v>
      </c>
      <c r="AG104" s="55"/>
      <c r="AH104" s="32"/>
      <c r="AI104" s="32"/>
      <c r="AJ104" s="55"/>
      <c r="AK104" s="32"/>
      <c r="AL104" s="32"/>
      <c r="AM104" s="32"/>
      <c r="AN104" s="32"/>
      <c r="AO104" s="32"/>
      <c r="AP104" s="31"/>
      <c r="AQ104" s="31"/>
      <c r="AR104" s="54"/>
      <c r="AS104" s="21" t="str">
        <f>IFERROR(VLOOKUP(November[[#This Row],[Drug Name4]],'Data Options'!$R$1:$S$100,2,FALSE), " ")</f>
        <v xml:space="preserve"> </v>
      </c>
      <c r="AT104" s="55"/>
      <c r="AU104" s="32"/>
      <c r="AV104" s="32"/>
      <c r="AW104" s="55"/>
      <c r="AX104" s="32"/>
      <c r="AY104" s="54"/>
      <c r="AZ104" s="21" t="str">
        <f>IFERROR(VLOOKUP(November[[#This Row],[Drug Name5]],'Data Options'!$R$1:$S$100,2,FALSE), " ")</f>
        <v xml:space="preserve"> </v>
      </c>
      <c r="BA104" s="55"/>
      <c r="BB104" s="32"/>
      <c r="BC104" s="32"/>
      <c r="BD104" s="55"/>
      <c r="BE104" s="32"/>
      <c r="BF104" s="54"/>
      <c r="BG104" s="21" t="str">
        <f>IFERROR(VLOOKUP(November[[#This Row],[Drug Name6]],'Data Options'!$R$1:$S$100,2,FALSE), " ")</f>
        <v xml:space="preserve"> </v>
      </c>
      <c r="BH104" s="55"/>
      <c r="BI104" s="32"/>
      <c r="BJ104" s="32"/>
      <c r="BK104" s="55"/>
      <c r="BL104" s="32"/>
      <c r="BM104" s="32"/>
      <c r="BN104" s="32"/>
      <c r="BO104" s="32"/>
      <c r="BP104" s="32"/>
      <c r="BQ104" s="31"/>
      <c r="BR104" s="31"/>
      <c r="BS104" s="54"/>
      <c r="BT104" s="21" t="str">
        <f>IFERROR(VLOOKUP(November[[#This Row],[Drug Name7]],'Data Options'!$R$1:$S$100,2,FALSE), " ")</f>
        <v xml:space="preserve"> </v>
      </c>
      <c r="BU104" s="55"/>
      <c r="BV104" s="32"/>
      <c r="BW104" s="32"/>
      <c r="BX104" s="55"/>
      <c r="BY104" s="32"/>
      <c r="BZ104" s="54"/>
      <c r="CA104" s="21" t="str">
        <f>IFERROR(VLOOKUP(November[[#This Row],[Drug Name8]],'Data Options'!$R$1:$S$100,2,FALSE), " ")</f>
        <v xml:space="preserve"> </v>
      </c>
      <c r="CB104" s="55"/>
      <c r="CC104" s="32"/>
      <c r="CD104" s="32"/>
      <c r="CE104" s="55"/>
      <c r="CF104" s="32"/>
      <c r="CG104" s="54"/>
      <c r="CH104" s="21" t="str">
        <f>IFERROR(VLOOKUP(November[[#This Row],[Drug Name9]],'Data Options'!$R$1:$S$100,2,FALSE), " ")</f>
        <v xml:space="preserve"> </v>
      </c>
      <c r="CI104" s="55"/>
      <c r="CJ104" s="32"/>
      <c r="CK104" s="32"/>
      <c r="CL104" s="55"/>
      <c r="CM104" s="32"/>
    </row>
    <row r="105" spans="1:91">
      <c r="A105" s="5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1"/>
      <c r="Q105" s="54"/>
      <c r="R105" s="21" t="str">
        <f>IFERROR(VLOOKUP(November[[#This Row],[Drug Name]],'Data Options'!$R$1:$S$100,2,FALSE), " ")</f>
        <v xml:space="preserve"> </v>
      </c>
      <c r="S105" s="55"/>
      <c r="T105" s="32"/>
      <c r="U105" s="32"/>
      <c r="V105" s="55"/>
      <c r="W105" s="32"/>
      <c r="X105" s="54"/>
      <c r="Y105" s="21" t="str">
        <f>IFERROR(VLOOKUP(November[[#This Row],[Drug Name2]],'Data Options'!$R$1:$S$100,2,FALSE), " ")</f>
        <v xml:space="preserve"> </v>
      </c>
      <c r="Z105" s="55"/>
      <c r="AA105" s="32"/>
      <c r="AB105" s="32"/>
      <c r="AC105" s="55"/>
      <c r="AD105" s="32"/>
      <c r="AE105" s="54"/>
      <c r="AF105" s="21" t="str">
        <f>IFERROR(VLOOKUP(November[[#This Row],[Drug Name3]],'Data Options'!$R$1:$S$100,2,FALSE), " ")</f>
        <v xml:space="preserve"> </v>
      </c>
      <c r="AG105" s="55"/>
      <c r="AH105" s="32"/>
      <c r="AI105" s="32"/>
      <c r="AJ105" s="55"/>
      <c r="AK105" s="32"/>
      <c r="AL105" s="32"/>
      <c r="AM105" s="32"/>
      <c r="AN105" s="32"/>
      <c r="AO105" s="32"/>
      <c r="AP105" s="31"/>
      <c r="AQ105" s="31"/>
      <c r="AR105" s="54"/>
      <c r="AS105" s="21" t="str">
        <f>IFERROR(VLOOKUP(November[[#This Row],[Drug Name4]],'Data Options'!$R$1:$S$100,2,FALSE), " ")</f>
        <v xml:space="preserve"> </v>
      </c>
      <c r="AT105" s="55"/>
      <c r="AU105" s="32"/>
      <c r="AV105" s="32"/>
      <c r="AW105" s="55"/>
      <c r="AX105" s="32"/>
      <c r="AY105" s="54"/>
      <c r="AZ105" s="21" t="str">
        <f>IFERROR(VLOOKUP(November[[#This Row],[Drug Name5]],'Data Options'!$R$1:$S$100,2,FALSE), " ")</f>
        <v xml:space="preserve"> </v>
      </c>
      <c r="BA105" s="55"/>
      <c r="BB105" s="32"/>
      <c r="BC105" s="32"/>
      <c r="BD105" s="55"/>
      <c r="BE105" s="32"/>
      <c r="BF105" s="54"/>
      <c r="BG105" s="21" t="str">
        <f>IFERROR(VLOOKUP(November[[#This Row],[Drug Name6]],'Data Options'!$R$1:$S$100,2,FALSE), " ")</f>
        <v xml:space="preserve"> </v>
      </c>
      <c r="BH105" s="55"/>
      <c r="BI105" s="32"/>
      <c r="BJ105" s="32"/>
      <c r="BK105" s="55"/>
      <c r="BL105" s="32"/>
      <c r="BM105" s="32"/>
      <c r="BN105" s="32"/>
      <c r="BO105" s="32"/>
      <c r="BP105" s="32"/>
      <c r="BQ105" s="31"/>
      <c r="BR105" s="31"/>
      <c r="BS105" s="54"/>
      <c r="BT105" s="21" t="str">
        <f>IFERROR(VLOOKUP(November[[#This Row],[Drug Name7]],'Data Options'!$R$1:$S$100,2,FALSE), " ")</f>
        <v xml:space="preserve"> </v>
      </c>
      <c r="BU105" s="55"/>
      <c r="BV105" s="32"/>
      <c r="BW105" s="32"/>
      <c r="BX105" s="55"/>
      <c r="BY105" s="32"/>
      <c r="BZ105" s="54"/>
      <c r="CA105" s="21" t="str">
        <f>IFERROR(VLOOKUP(November[[#This Row],[Drug Name8]],'Data Options'!$R$1:$S$100,2,FALSE), " ")</f>
        <v xml:space="preserve"> </v>
      </c>
      <c r="CB105" s="55"/>
      <c r="CC105" s="32"/>
      <c r="CD105" s="32"/>
      <c r="CE105" s="55"/>
      <c r="CF105" s="32"/>
      <c r="CG105" s="54"/>
      <c r="CH105" s="21" t="str">
        <f>IFERROR(VLOOKUP(November[[#This Row],[Drug Name9]],'Data Options'!$R$1:$S$100,2,FALSE), " ")</f>
        <v xml:space="preserve"> </v>
      </c>
      <c r="CI105" s="55"/>
      <c r="CJ105" s="32"/>
      <c r="CK105" s="32"/>
      <c r="CL105" s="55"/>
      <c r="CM105" s="32"/>
    </row>
    <row r="106" spans="1:91">
      <c r="A106" s="5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1"/>
      <c r="P106" s="31"/>
      <c r="Q106" s="54"/>
      <c r="R106" s="21" t="str">
        <f>IFERROR(VLOOKUP(November[[#This Row],[Drug Name]],'Data Options'!$R$1:$S$100,2,FALSE), " ")</f>
        <v xml:space="preserve"> </v>
      </c>
      <c r="S106" s="55"/>
      <c r="T106" s="32"/>
      <c r="U106" s="32"/>
      <c r="V106" s="55"/>
      <c r="W106" s="32"/>
      <c r="X106" s="54"/>
      <c r="Y106" s="21" t="str">
        <f>IFERROR(VLOOKUP(November[[#This Row],[Drug Name2]],'Data Options'!$R$1:$S$100,2,FALSE), " ")</f>
        <v xml:space="preserve"> </v>
      </c>
      <c r="Z106" s="55"/>
      <c r="AA106" s="32"/>
      <c r="AB106" s="32"/>
      <c r="AC106" s="55"/>
      <c r="AD106" s="32"/>
      <c r="AE106" s="54"/>
      <c r="AF106" s="21" t="str">
        <f>IFERROR(VLOOKUP(November[[#This Row],[Drug Name3]],'Data Options'!$R$1:$S$100,2,FALSE), " ")</f>
        <v xml:space="preserve"> </v>
      </c>
      <c r="AG106" s="55"/>
      <c r="AH106" s="32"/>
      <c r="AI106" s="32"/>
      <c r="AJ106" s="55"/>
      <c r="AK106" s="32"/>
      <c r="AL106" s="32"/>
      <c r="AM106" s="32"/>
      <c r="AN106" s="32"/>
      <c r="AO106" s="32"/>
      <c r="AP106" s="31"/>
      <c r="AQ106" s="31"/>
      <c r="AR106" s="54"/>
      <c r="AS106" s="21" t="str">
        <f>IFERROR(VLOOKUP(November[[#This Row],[Drug Name4]],'Data Options'!$R$1:$S$100,2,FALSE), " ")</f>
        <v xml:space="preserve"> </v>
      </c>
      <c r="AT106" s="55"/>
      <c r="AU106" s="32"/>
      <c r="AV106" s="32"/>
      <c r="AW106" s="55"/>
      <c r="AX106" s="32"/>
      <c r="AY106" s="54"/>
      <c r="AZ106" s="21" t="str">
        <f>IFERROR(VLOOKUP(November[[#This Row],[Drug Name5]],'Data Options'!$R$1:$S$100,2,FALSE), " ")</f>
        <v xml:space="preserve"> </v>
      </c>
      <c r="BA106" s="55"/>
      <c r="BB106" s="32"/>
      <c r="BC106" s="32"/>
      <c r="BD106" s="55"/>
      <c r="BE106" s="32"/>
      <c r="BF106" s="54"/>
      <c r="BG106" s="21" t="str">
        <f>IFERROR(VLOOKUP(November[[#This Row],[Drug Name6]],'Data Options'!$R$1:$S$100,2,FALSE), " ")</f>
        <v xml:space="preserve"> </v>
      </c>
      <c r="BH106" s="55"/>
      <c r="BI106" s="32"/>
      <c r="BJ106" s="32"/>
      <c r="BK106" s="55"/>
      <c r="BL106" s="32"/>
      <c r="BM106" s="32"/>
      <c r="BN106" s="32"/>
      <c r="BO106" s="32"/>
      <c r="BP106" s="32"/>
      <c r="BQ106" s="31"/>
      <c r="BR106" s="31"/>
      <c r="BS106" s="54"/>
      <c r="BT106" s="21" t="str">
        <f>IFERROR(VLOOKUP(November[[#This Row],[Drug Name7]],'Data Options'!$R$1:$S$100,2,FALSE), " ")</f>
        <v xml:space="preserve"> </v>
      </c>
      <c r="BU106" s="55"/>
      <c r="BV106" s="32"/>
      <c r="BW106" s="32"/>
      <c r="BX106" s="55"/>
      <c r="BY106" s="32"/>
      <c r="BZ106" s="54"/>
      <c r="CA106" s="21" t="str">
        <f>IFERROR(VLOOKUP(November[[#This Row],[Drug Name8]],'Data Options'!$R$1:$S$100,2,FALSE), " ")</f>
        <v xml:space="preserve"> </v>
      </c>
      <c r="CB106" s="55"/>
      <c r="CC106" s="32"/>
      <c r="CD106" s="32"/>
      <c r="CE106" s="55"/>
      <c r="CF106" s="32"/>
      <c r="CG106" s="54"/>
      <c r="CH106" s="21" t="str">
        <f>IFERROR(VLOOKUP(November[[#This Row],[Drug Name9]],'Data Options'!$R$1:$S$100,2,FALSE), " ")</f>
        <v xml:space="preserve"> </v>
      </c>
      <c r="CI106" s="55"/>
      <c r="CJ106" s="32"/>
      <c r="CK106" s="32"/>
      <c r="CL106" s="55"/>
      <c r="CM106" s="32"/>
    </row>
    <row r="107" spans="1:91">
      <c r="A107" s="5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1"/>
      <c r="P107" s="31"/>
      <c r="Q107" s="54"/>
      <c r="R107" s="21" t="str">
        <f>IFERROR(VLOOKUP(November[[#This Row],[Drug Name]],'Data Options'!$R$1:$S$100,2,FALSE), " ")</f>
        <v xml:space="preserve"> </v>
      </c>
      <c r="S107" s="55"/>
      <c r="T107" s="32"/>
      <c r="U107" s="32"/>
      <c r="V107" s="55"/>
      <c r="W107" s="32"/>
      <c r="X107" s="54"/>
      <c r="Y107" s="21" t="str">
        <f>IFERROR(VLOOKUP(November[[#This Row],[Drug Name2]],'Data Options'!$R$1:$S$100,2,FALSE), " ")</f>
        <v xml:space="preserve"> </v>
      </c>
      <c r="Z107" s="55"/>
      <c r="AA107" s="32"/>
      <c r="AB107" s="32"/>
      <c r="AC107" s="55"/>
      <c r="AD107" s="32"/>
      <c r="AE107" s="54"/>
      <c r="AF107" s="21" t="str">
        <f>IFERROR(VLOOKUP(November[[#This Row],[Drug Name3]],'Data Options'!$R$1:$S$100,2,FALSE), " ")</f>
        <v xml:space="preserve"> </v>
      </c>
      <c r="AG107" s="55"/>
      <c r="AH107" s="32"/>
      <c r="AI107" s="32"/>
      <c r="AJ107" s="55"/>
      <c r="AK107" s="32"/>
      <c r="AL107" s="32"/>
      <c r="AM107" s="32"/>
      <c r="AN107" s="32"/>
      <c r="AO107" s="32"/>
      <c r="AP107" s="31"/>
      <c r="AQ107" s="31"/>
      <c r="AR107" s="54"/>
      <c r="AS107" s="21" t="str">
        <f>IFERROR(VLOOKUP(November[[#This Row],[Drug Name4]],'Data Options'!$R$1:$S$100,2,FALSE), " ")</f>
        <v xml:space="preserve"> </v>
      </c>
      <c r="AT107" s="55"/>
      <c r="AU107" s="32"/>
      <c r="AV107" s="32"/>
      <c r="AW107" s="55"/>
      <c r="AX107" s="32"/>
      <c r="AY107" s="54"/>
      <c r="AZ107" s="21" t="str">
        <f>IFERROR(VLOOKUP(November[[#This Row],[Drug Name5]],'Data Options'!$R$1:$S$100,2,FALSE), " ")</f>
        <v xml:space="preserve"> </v>
      </c>
      <c r="BA107" s="55"/>
      <c r="BB107" s="32"/>
      <c r="BC107" s="32"/>
      <c r="BD107" s="55"/>
      <c r="BE107" s="32"/>
      <c r="BF107" s="54"/>
      <c r="BG107" s="21" t="str">
        <f>IFERROR(VLOOKUP(November[[#This Row],[Drug Name6]],'Data Options'!$R$1:$S$100,2,FALSE), " ")</f>
        <v xml:space="preserve"> </v>
      </c>
      <c r="BH107" s="55"/>
      <c r="BI107" s="32"/>
      <c r="BJ107" s="32"/>
      <c r="BK107" s="55"/>
      <c r="BL107" s="32"/>
      <c r="BM107" s="32"/>
      <c r="BN107" s="32"/>
      <c r="BO107" s="32"/>
      <c r="BP107" s="32"/>
      <c r="BQ107" s="31"/>
      <c r="BR107" s="31"/>
      <c r="BS107" s="54"/>
      <c r="BT107" s="21" t="str">
        <f>IFERROR(VLOOKUP(November[[#This Row],[Drug Name7]],'Data Options'!$R$1:$S$100,2,FALSE), " ")</f>
        <v xml:space="preserve"> </v>
      </c>
      <c r="BU107" s="55"/>
      <c r="BV107" s="32"/>
      <c r="BW107" s="32"/>
      <c r="BX107" s="55"/>
      <c r="BY107" s="32"/>
      <c r="BZ107" s="54"/>
      <c r="CA107" s="21" t="str">
        <f>IFERROR(VLOOKUP(November[[#This Row],[Drug Name8]],'Data Options'!$R$1:$S$100,2,FALSE), " ")</f>
        <v xml:space="preserve"> </v>
      </c>
      <c r="CB107" s="55"/>
      <c r="CC107" s="32"/>
      <c r="CD107" s="32"/>
      <c r="CE107" s="55"/>
      <c r="CF107" s="32"/>
      <c r="CG107" s="54"/>
      <c r="CH107" s="21" t="str">
        <f>IFERROR(VLOOKUP(November[[#This Row],[Drug Name9]],'Data Options'!$R$1:$S$100,2,FALSE), " ")</f>
        <v xml:space="preserve"> </v>
      </c>
      <c r="CI107" s="55"/>
      <c r="CJ107" s="32"/>
      <c r="CK107" s="32"/>
      <c r="CL107" s="55"/>
      <c r="CM107" s="32"/>
    </row>
    <row r="108" spans="1:91">
      <c r="A108" s="5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1"/>
      <c r="P108" s="31"/>
      <c r="Q108" s="54"/>
      <c r="R108" s="21" t="str">
        <f>IFERROR(VLOOKUP(November[[#This Row],[Drug Name]],'Data Options'!$R$1:$S$100,2,FALSE), " ")</f>
        <v xml:space="preserve"> </v>
      </c>
      <c r="S108" s="55"/>
      <c r="T108" s="32"/>
      <c r="U108" s="32"/>
      <c r="V108" s="55"/>
      <c r="W108" s="32"/>
      <c r="X108" s="54"/>
      <c r="Y108" s="21" t="str">
        <f>IFERROR(VLOOKUP(November[[#This Row],[Drug Name2]],'Data Options'!$R$1:$S$100,2,FALSE), " ")</f>
        <v xml:space="preserve"> </v>
      </c>
      <c r="Z108" s="55"/>
      <c r="AA108" s="32"/>
      <c r="AB108" s="32"/>
      <c r="AC108" s="55"/>
      <c r="AD108" s="32"/>
      <c r="AE108" s="54"/>
      <c r="AF108" s="21" t="str">
        <f>IFERROR(VLOOKUP(November[[#This Row],[Drug Name3]],'Data Options'!$R$1:$S$100,2,FALSE), " ")</f>
        <v xml:space="preserve"> </v>
      </c>
      <c r="AG108" s="55"/>
      <c r="AH108" s="32"/>
      <c r="AI108" s="32"/>
      <c r="AJ108" s="55"/>
      <c r="AK108" s="32"/>
      <c r="AL108" s="32"/>
      <c r="AM108" s="32"/>
      <c r="AN108" s="32"/>
      <c r="AO108" s="32"/>
      <c r="AP108" s="31"/>
      <c r="AQ108" s="31"/>
      <c r="AR108" s="54"/>
      <c r="AS108" s="21" t="str">
        <f>IFERROR(VLOOKUP(November[[#This Row],[Drug Name4]],'Data Options'!$R$1:$S$100,2,FALSE), " ")</f>
        <v xml:space="preserve"> </v>
      </c>
      <c r="AT108" s="55"/>
      <c r="AU108" s="32"/>
      <c r="AV108" s="32"/>
      <c r="AW108" s="55"/>
      <c r="AX108" s="32"/>
      <c r="AY108" s="54"/>
      <c r="AZ108" s="21" t="str">
        <f>IFERROR(VLOOKUP(November[[#This Row],[Drug Name5]],'Data Options'!$R$1:$S$100,2,FALSE), " ")</f>
        <v xml:space="preserve"> </v>
      </c>
      <c r="BA108" s="55"/>
      <c r="BB108" s="32"/>
      <c r="BC108" s="32"/>
      <c r="BD108" s="55"/>
      <c r="BE108" s="32"/>
      <c r="BF108" s="54"/>
      <c r="BG108" s="21" t="str">
        <f>IFERROR(VLOOKUP(November[[#This Row],[Drug Name6]],'Data Options'!$R$1:$S$100,2,FALSE), " ")</f>
        <v xml:space="preserve"> </v>
      </c>
      <c r="BH108" s="55"/>
      <c r="BI108" s="32"/>
      <c r="BJ108" s="32"/>
      <c r="BK108" s="55"/>
      <c r="BL108" s="32"/>
      <c r="BM108" s="32"/>
      <c r="BN108" s="32"/>
      <c r="BO108" s="32"/>
      <c r="BP108" s="32"/>
      <c r="BQ108" s="31"/>
      <c r="BR108" s="31"/>
      <c r="BS108" s="54"/>
      <c r="BT108" s="21" t="str">
        <f>IFERROR(VLOOKUP(November[[#This Row],[Drug Name7]],'Data Options'!$R$1:$S$100,2,FALSE), " ")</f>
        <v xml:space="preserve"> </v>
      </c>
      <c r="BU108" s="55"/>
      <c r="BV108" s="32"/>
      <c r="BW108" s="32"/>
      <c r="BX108" s="55"/>
      <c r="BY108" s="32"/>
      <c r="BZ108" s="54"/>
      <c r="CA108" s="21" t="str">
        <f>IFERROR(VLOOKUP(November[[#This Row],[Drug Name8]],'Data Options'!$R$1:$S$100,2,FALSE), " ")</f>
        <v xml:space="preserve"> </v>
      </c>
      <c r="CB108" s="55"/>
      <c r="CC108" s="32"/>
      <c r="CD108" s="32"/>
      <c r="CE108" s="55"/>
      <c r="CF108" s="32"/>
      <c r="CG108" s="54"/>
      <c r="CH108" s="21" t="str">
        <f>IFERROR(VLOOKUP(November[[#This Row],[Drug Name9]],'Data Options'!$R$1:$S$100,2,FALSE), " ")</f>
        <v xml:space="preserve"> </v>
      </c>
      <c r="CI108" s="55"/>
      <c r="CJ108" s="32"/>
      <c r="CK108" s="32"/>
      <c r="CL108" s="55"/>
      <c r="CM108" s="32"/>
    </row>
    <row r="109" spans="1:91">
      <c r="A109" s="5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1"/>
      <c r="P109" s="31"/>
      <c r="Q109" s="54"/>
      <c r="R109" s="21" t="str">
        <f>IFERROR(VLOOKUP(November[[#This Row],[Drug Name]],'Data Options'!$R$1:$S$100,2,FALSE), " ")</f>
        <v xml:space="preserve"> </v>
      </c>
      <c r="S109" s="55"/>
      <c r="T109" s="32"/>
      <c r="U109" s="32"/>
      <c r="V109" s="55"/>
      <c r="W109" s="32"/>
      <c r="X109" s="54"/>
      <c r="Y109" s="21" t="str">
        <f>IFERROR(VLOOKUP(November[[#This Row],[Drug Name2]],'Data Options'!$R$1:$S$100,2,FALSE), " ")</f>
        <v xml:space="preserve"> </v>
      </c>
      <c r="Z109" s="55"/>
      <c r="AA109" s="32"/>
      <c r="AB109" s="32"/>
      <c r="AC109" s="55"/>
      <c r="AD109" s="32"/>
      <c r="AE109" s="54"/>
      <c r="AF109" s="21" t="str">
        <f>IFERROR(VLOOKUP(November[[#This Row],[Drug Name3]],'Data Options'!$R$1:$S$100,2,FALSE), " ")</f>
        <v xml:space="preserve"> </v>
      </c>
      <c r="AG109" s="55"/>
      <c r="AH109" s="32"/>
      <c r="AI109" s="32"/>
      <c r="AJ109" s="55"/>
      <c r="AK109" s="32"/>
      <c r="AL109" s="32"/>
      <c r="AM109" s="32"/>
      <c r="AN109" s="32"/>
      <c r="AO109" s="32"/>
      <c r="AP109" s="31"/>
      <c r="AQ109" s="31"/>
      <c r="AR109" s="54"/>
      <c r="AS109" s="21" t="str">
        <f>IFERROR(VLOOKUP(November[[#This Row],[Drug Name4]],'Data Options'!$R$1:$S$100,2,FALSE), " ")</f>
        <v xml:space="preserve"> </v>
      </c>
      <c r="AT109" s="55"/>
      <c r="AU109" s="32"/>
      <c r="AV109" s="32"/>
      <c r="AW109" s="55"/>
      <c r="AX109" s="32"/>
      <c r="AY109" s="54"/>
      <c r="AZ109" s="21" t="str">
        <f>IFERROR(VLOOKUP(November[[#This Row],[Drug Name5]],'Data Options'!$R$1:$S$100,2,FALSE), " ")</f>
        <v xml:space="preserve"> </v>
      </c>
      <c r="BA109" s="55"/>
      <c r="BB109" s="32"/>
      <c r="BC109" s="32"/>
      <c r="BD109" s="55"/>
      <c r="BE109" s="32"/>
      <c r="BF109" s="54"/>
      <c r="BG109" s="21" t="str">
        <f>IFERROR(VLOOKUP(November[[#This Row],[Drug Name6]],'Data Options'!$R$1:$S$100,2,FALSE), " ")</f>
        <v xml:space="preserve"> </v>
      </c>
      <c r="BH109" s="55"/>
      <c r="BI109" s="32"/>
      <c r="BJ109" s="32"/>
      <c r="BK109" s="55"/>
      <c r="BL109" s="32"/>
      <c r="BM109" s="32"/>
      <c r="BN109" s="32"/>
      <c r="BO109" s="32"/>
      <c r="BP109" s="32"/>
      <c r="BQ109" s="31"/>
      <c r="BR109" s="31"/>
      <c r="BS109" s="54"/>
      <c r="BT109" s="21" t="str">
        <f>IFERROR(VLOOKUP(November[[#This Row],[Drug Name7]],'Data Options'!$R$1:$S$100,2,FALSE), " ")</f>
        <v xml:space="preserve"> </v>
      </c>
      <c r="BU109" s="55"/>
      <c r="BV109" s="32"/>
      <c r="BW109" s="32"/>
      <c r="BX109" s="55"/>
      <c r="BY109" s="32"/>
      <c r="BZ109" s="54"/>
      <c r="CA109" s="21" t="str">
        <f>IFERROR(VLOOKUP(November[[#This Row],[Drug Name8]],'Data Options'!$R$1:$S$100,2,FALSE), " ")</f>
        <v xml:space="preserve"> </v>
      </c>
      <c r="CB109" s="55"/>
      <c r="CC109" s="32"/>
      <c r="CD109" s="32"/>
      <c r="CE109" s="55"/>
      <c r="CF109" s="32"/>
      <c r="CG109" s="54"/>
      <c r="CH109" s="21" t="str">
        <f>IFERROR(VLOOKUP(November[[#This Row],[Drug Name9]],'Data Options'!$R$1:$S$100,2,FALSE), " ")</f>
        <v xml:space="preserve"> </v>
      </c>
      <c r="CI109" s="55"/>
      <c r="CJ109" s="32"/>
      <c r="CK109" s="32"/>
      <c r="CL109" s="55"/>
      <c r="CM109" s="32"/>
    </row>
    <row r="110" spans="1:91">
      <c r="A110" s="5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54"/>
      <c r="R110" s="21" t="str">
        <f>IFERROR(VLOOKUP(November[[#This Row],[Drug Name]],'Data Options'!$R$1:$S$100,2,FALSE), " ")</f>
        <v xml:space="preserve"> </v>
      </c>
      <c r="S110" s="55"/>
      <c r="T110" s="32"/>
      <c r="U110" s="32"/>
      <c r="V110" s="55"/>
      <c r="W110" s="32"/>
      <c r="X110" s="54"/>
      <c r="Y110" s="21" t="str">
        <f>IFERROR(VLOOKUP(November[[#This Row],[Drug Name2]],'Data Options'!$R$1:$S$100,2,FALSE), " ")</f>
        <v xml:space="preserve"> </v>
      </c>
      <c r="Z110" s="55"/>
      <c r="AA110" s="32"/>
      <c r="AB110" s="32"/>
      <c r="AC110" s="55"/>
      <c r="AD110" s="32"/>
      <c r="AE110" s="54"/>
      <c r="AF110" s="21" t="str">
        <f>IFERROR(VLOOKUP(November[[#This Row],[Drug Name3]],'Data Options'!$R$1:$S$100,2,FALSE), " ")</f>
        <v xml:space="preserve"> </v>
      </c>
      <c r="AG110" s="55"/>
      <c r="AH110" s="32"/>
      <c r="AI110" s="32"/>
      <c r="AJ110" s="55"/>
      <c r="AK110" s="32"/>
      <c r="AL110" s="32"/>
      <c r="AM110" s="32"/>
      <c r="AN110" s="32"/>
      <c r="AO110" s="32"/>
      <c r="AP110" s="31"/>
      <c r="AQ110" s="31"/>
      <c r="AR110" s="54"/>
      <c r="AS110" s="21" t="str">
        <f>IFERROR(VLOOKUP(November[[#This Row],[Drug Name4]],'Data Options'!$R$1:$S$100,2,FALSE), " ")</f>
        <v xml:space="preserve"> </v>
      </c>
      <c r="AT110" s="55"/>
      <c r="AU110" s="32"/>
      <c r="AV110" s="32"/>
      <c r="AW110" s="55"/>
      <c r="AX110" s="32"/>
      <c r="AY110" s="54"/>
      <c r="AZ110" s="21" t="str">
        <f>IFERROR(VLOOKUP(November[[#This Row],[Drug Name5]],'Data Options'!$R$1:$S$100,2,FALSE), " ")</f>
        <v xml:space="preserve"> </v>
      </c>
      <c r="BA110" s="55"/>
      <c r="BB110" s="32"/>
      <c r="BC110" s="32"/>
      <c r="BD110" s="55"/>
      <c r="BE110" s="32"/>
      <c r="BF110" s="54"/>
      <c r="BG110" s="21" t="str">
        <f>IFERROR(VLOOKUP(November[[#This Row],[Drug Name6]],'Data Options'!$R$1:$S$100,2,FALSE), " ")</f>
        <v xml:space="preserve"> </v>
      </c>
      <c r="BH110" s="55"/>
      <c r="BI110" s="32"/>
      <c r="BJ110" s="32"/>
      <c r="BK110" s="55"/>
      <c r="BL110" s="32"/>
      <c r="BM110" s="32"/>
      <c r="BN110" s="32"/>
      <c r="BO110" s="32"/>
      <c r="BP110" s="32"/>
      <c r="BQ110" s="31"/>
      <c r="BR110" s="31"/>
      <c r="BS110" s="54"/>
      <c r="BT110" s="21" t="str">
        <f>IFERROR(VLOOKUP(November[[#This Row],[Drug Name7]],'Data Options'!$R$1:$S$100,2,FALSE), " ")</f>
        <v xml:space="preserve"> </v>
      </c>
      <c r="BU110" s="55"/>
      <c r="BV110" s="32"/>
      <c r="BW110" s="32"/>
      <c r="BX110" s="55"/>
      <c r="BY110" s="32"/>
      <c r="BZ110" s="54"/>
      <c r="CA110" s="21" t="str">
        <f>IFERROR(VLOOKUP(November[[#This Row],[Drug Name8]],'Data Options'!$R$1:$S$100,2,FALSE), " ")</f>
        <v xml:space="preserve"> </v>
      </c>
      <c r="CB110" s="55"/>
      <c r="CC110" s="32"/>
      <c r="CD110" s="32"/>
      <c r="CE110" s="55"/>
      <c r="CF110" s="32"/>
      <c r="CG110" s="54"/>
      <c r="CH110" s="21" t="str">
        <f>IFERROR(VLOOKUP(November[[#This Row],[Drug Name9]],'Data Options'!$R$1:$S$100,2,FALSE), " ")</f>
        <v xml:space="preserve"> </v>
      </c>
      <c r="CI110" s="55"/>
      <c r="CJ110" s="32"/>
      <c r="CK110" s="32"/>
      <c r="CL110" s="55"/>
      <c r="CM110" s="32"/>
    </row>
    <row r="111" spans="1:91">
      <c r="A111" s="5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1"/>
      <c r="P111" s="31"/>
      <c r="Q111" s="54"/>
      <c r="R111" s="21" t="str">
        <f>IFERROR(VLOOKUP(November[[#This Row],[Drug Name]],'Data Options'!$R$1:$S$100,2,FALSE), " ")</f>
        <v xml:space="preserve"> </v>
      </c>
      <c r="S111" s="55"/>
      <c r="T111" s="32"/>
      <c r="U111" s="32"/>
      <c r="V111" s="55"/>
      <c r="W111" s="32"/>
      <c r="X111" s="54"/>
      <c r="Y111" s="21" t="str">
        <f>IFERROR(VLOOKUP(November[[#This Row],[Drug Name2]],'Data Options'!$R$1:$S$100,2,FALSE), " ")</f>
        <v xml:space="preserve"> </v>
      </c>
      <c r="Z111" s="55"/>
      <c r="AA111" s="32"/>
      <c r="AB111" s="32"/>
      <c r="AC111" s="55"/>
      <c r="AD111" s="32"/>
      <c r="AE111" s="54"/>
      <c r="AF111" s="21" t="str">
        <f>IFERROR(VLOOKUP(November[[#This Row],[Drug Name3]],'Data Options'!$R$1:$S$100,2,FALSE), " ")</f>
        <v xml:space="preserve"> </v>
      </c>
      <c r="AG111" s="55"/>
      <c r="AH111" s="32"/>
      <c r="AI111" s="32"/>
      <c r="AJ111" s="55"/>
      <c r="AK111" s="32"/>
      <c r="AL111" s="32"/>
      <c r="AM111" s="32"/>
      <c r="AN111" s="32"/>
      <c r="AO111" s="32"/>
      <c r="AP111" s="31"/>
      <c r="AQ111" s="31"/>
      <c r="AR111" s="54"/>
      <c r="AS111" s="21" t="str">
        <f>IFERROR(VLOOKUP(November[[#This Row],[Drug Name4]],'Data Options'!$R$1:$S$100,2,FALSE), " ")</f>
        <v xml:space="preserve"> </v>
      </c>
      <c r="AT111" s="55"/>
      <c r="AU111" s="32"/>
      <c r="AV111" s="32"/>
      <c r="AW111" s="55"/>
      <c r="AX111" s="32"/>
      <c r="AY111" s="54"/>
      <c r="AZ111" s="21" t="str">
        <f>IFERROR(VLOOKUP(November[[#This Row],[Drug Name5]],'Data Options'!$R$1:$S$100,2,FALSE), " ")</f>
        <v xml:space="preserve"> </v>
      </c>
      <c r="BA111" s="55"/>
      <c r="BB111" s="32"/>
      <c r="BC111" s="32"/>
      <c r="BD111" s="55"/>
      <c r="BE111" s="32"/>
      <c r="BF111" s="54"/>
      <c r="BG111" s="21" t="str">
        <f>IFERROR(VLOOKUP(November[[#This Row],[Drug Name6]],'Data Options'!$R$1:$S$100,2,FALSE), " ")</f>
        <v xml:space="preserve"> </v>
      </c>
      <c r="BH111" s="55"/>
      <c r="BI111" s="32"/>
      <c r="BJ111" s="32"/>
      <c r="BK111" s="55"/>
      <c r="BL111" s="32"/>
      <c r="BM111" s="32"/>
      <c r="BN111" s="32"/>
      <c r="BO111" s="32"/>
      <c r="BP111" s="32"/>
      <c r="BQ111" s="31"/>
      <c r="BR111" s="31"/>
      <c r="BS111" s="54"/>
      <c r="BT111" s="21" t="str">
        <f>IFERROR(VLOOKUP(November[[#This Row],[Drug Name7]],'Data Options'!$R$1:$S$100,2,FALSE), " ")</f>
        <v xml:space="preserve"> </v>
      </c>
      <c r="BU111" s="55"/>
      <c r="BV111" s="32"/>
      <c r="BW111" s="32"/>
      <c r="BX111" s="55"/>
      <c r="BY111" s="32"/>
      <c r="BZ111" s="54"/>
      <c r="CA111" s="21" t="str">
        <f>IFERROR(VLOOKUP(November[[#This Row],[Drug Name8]],'Data Options'!$R$1:$S$100,2,FALSE), " ")</f>
        <v xml:space="preserve"> </v>
      </c>
      <c r="CB111" s="55"/>
      <c r="CC111" s="32"/>
      <c r="CD111" s="32"/>
      <c r="CE111" s="55"/>
      <c r="CF111" s="32"/>
      <c r="CG111" s="54"/>
      <c r="CH111" s="21" t="str">
        <f>IFERROR(VLOOKUP(November[[#This Row],[Drug Name9]],'Data Options'!$R$1:$S$100,2,FALSE), " ")</f>
        <v xml:space="preserve"> </v>
      </c>
      <c r="CI111" s="55"/>
      <c r="CJ111" s="32"/>
      <c r="CK111" s="32"/>
      <c r="CL111" s="55"/>
      <c r="CM111" s="32"/>
    </row>
    <row r="112" spans="1:91">
      <c r="A112" s="5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1"/>
      <c r="P112" s="31"/>
      <c r="Q112" s="54"/>
      <c r="R112" s="21" t="str">
        <f>IFERROR(VLOOKUP(November[[#This Row],[Drug Name]],'Data Options'!$R$1:$S$100,2,FALSE), " ")</f>
        <v xml:space="preserve"> </v>
      </c>
      <c r="S112" s="55"/>
      <c r="T112" s="32"/>
      <c r="U112" s="32"/>
      <c r="V112" s="55"/>
      <c r="W112" s="32"/>
      <c r="X112" s="54"/>
      <c r="Y112" s="21" t="str">
        <f>IFERROR(VLOOKUP(November[[#This Row],[Drug Name2]],'Data Options'!$R$1:$S$100,2,FALSE), " ")</f>
        <v xml:space="preserve"> </v>
      </c>
      <c r="Z112" s="55"/>
      <c r="AA112" s="32"/>
      <c r="AB112" s="32"/>
      <c r="AC112" s="55"/>
      <c r="AD112" s="32"/>
      <c r="AE112" s="54"/>
      <c r="AF112" s="21" t="str">
        <f>IFERROR(VLOOKUP(November[[#This Row],[Drug Name3]],'Data Options'!$R$1:$S$100,2,FALSE), " ")</f>
        <v xml:space="preserve"> </v>
      </c>
      <c r="AG112" s="55"/>
      <c r="AH112" s="32"/>
      <c r="AI112" s="32"/>
      <c r="AJ112" s="55"/>
      <c r="AK112" s="32"/>
      <c r="AL112" s="32"/>
      <c r="AM112" s="32"/>
      <c r="AN112" s="32"/>
      <c r="AO112" s="32"/>
      <c r="AP112" s="31"/>
      <c r="AQ112" s="31"/>
      <c r="AR112" s="54"/>
      <c r="AS112" s="21" t="str">
        <f>IFERROR(VLOOKUP(November[[#This Row],[Drug Name4]],'Data Options'!$R$1:$S$100,2,FALSE), " ")</f>
        <v xml:space="preserve"> </v>
      </c>
      <c r="AT112" s="55"/>
      <c r="AU112" s="32"/>
      <c r="AV112" s="32"/>
      <c r="AW112" s="55"/>
      <c r="AX112" s="32"/>
      <c r="AY112" s="54"/>
      <c r="AZ112" s="21" t="str">
        <f>IFERROR(VLOOKUP(November[[#This Row],[Drug Name5]],'Data Options'!$R$1:$S$100,2,FALSE), " ")</f>
        <v xml:space="preserve"> </v>
      </c>
      <c r="BA112" s="55"/>
      <c r="BB112" s="32"/>
      <c r="BC112" s="32"/>
      <c r="BD112" s="55"/>
      <c r="BE112" s="32"/>
      <c r="BF112" s="54"/>
      <c r="BG112" s="21" t="str">
        <f>IFERROR(VLOOKUP(November[[#This Row],[Drug Name6]],'Data Options'!$R$1:$S$100,2,FALSE), " ")</f>
        <v xml:space="preserve"> </v>
      </c>
      <c r="BH112" s="55"/>
      <c r="BI112" s="32"/>
      <c r="BJ112" s="32"/>
      <c r="BK112" s="55"/>
      <c r="BL112" s="32"/>
      <c r="BM112" s="32"/>
      <c r="BN112" s="32"/>
      <c r="BO112" s="32"/>
      <c r="BP112" s="32"/>
      <c r="BQ112" s="31"/>
      <c r="BR112" s="31"/>
      <c r="BS112" s="54"/>
      <c r="BT112" s="21" t="str">
        <f>IFERROR(VLOOKUP(November[[#This Row],[Drug Name7]],'Data Options'!$R$1:$S$100,2,FALSE), " ")</f>
        <v xml:space="preserve"> </v>
      </c>
      <c r="BU112" s="55"/>
      <c r="BV112" s="32"/>
      <c r="BW112" s="32"/>
      <c r="BX112" s="55"/>
      <c r="BY112" s="32"/>
      <c r="BZ112" s="54"/>
      <c r="CA112" s="21" t="str">
        <f>IFERROR(VLOOKUP(November[[#This Row],[Drug Name8]],'Data Options'!$R$1:$S$100,2,FALSE), " ")</f>
        <v xml:space="preserve"> </v>
      </c>
      <c r="CB112" s="55"/>
      <c r="CC112" s="32"/>
      <c r="CD112" s="32"/>
      <c r="CE112" s="55"/>
      <c r="CF112" s="32"/>
      <c r="CG112" s="54"/>
      <c r="CH112" s="21" t="str">
        <f>IFERROR(VLOOKUP(November[[#This Row],[Drug Name9]],'Data Options'!$R$1:$S$100,2,FALSE), " ")</f>
        <v xml:space="preserve"> </v>
      </c>
      <c r="CI112" s="55"/>
      <c r="CJ112" s="32"/>
      <c r="CK112" s="32"/>
      <c r="CL112" s="55"/>
      <c r="CM112" s="32"/>
    </row>
    <row r="113" spans="1:91">
      <c r="A113" s="5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1"/>
      <c r="P113" s="31"/>
      <c r="Q113" s="54"/>
      <c r="R113" s="21" t="str">
        <f>IFERROR(VLOOKUP(November[[#This Row],[Drug Name]],'Data Options'!$R$1:$S$100,2,FALSE), " ")</f>
        <v xml:space="preserve"> </v>
      </c>
      <c r="S113" s="55"/>
      <c r="T113" s="32"/>
      <c r="U113" s="32"/>
      <c r="V113" s="55"/>
      <c r="W113" s="32"/>
      <c r="X113" s="54"/>
      <c r="Y113" s="21" t="str">
        <f>IFERROR(VLOOKUP(November[[#This Row],[Drug Name2]],'Data Options'!$R$1:$S$100,2,FALSE), " ")</f>
        <v xml:space="preserve"> </v>
      </c>
      <c r="Z113" s="55"/>
      <c r="AA113" s="32"/>
      <c r="AB113" s="32"/>
      <c r="AC113" s="55"/>
      <c r="AD113" s="32"/>
      <c r="AE113" s="54"/>
      <c r="AF113" s="21" t="str">
        <f>IFERROR(VLOOKUP(November[[#This Row],[Drug Name3]],'Data Options'!$R$1:$S$100,2,FALSE), " ")</f>
        <v xml:space="preserve"> </v>
      </c>
      <c r="AG113" s="55"/>
      <c r="AH113" s="32"/>
      <c r="AI113" s="32"/>
      <c r="AJ113" s="55"/>
      <c r="AK113" s="32"/>
      <c r="AL113" s="32"/>
      <c r="AM113" s="32"/>
      <c r="AN113" s="32"/>
      <c r="AO113" s="32"/>
      <c r="AP113" s="31"/>
      <c r="AQ113" s="31"/>
      <c r="AR113" s="54"/>
      <c r="AS113" s="21" t="str">
        <f>IFERROR(VLOOKUP(November[[#This Row],[Drug Name4]],'Data Options'!$R$1:$S$100,2,FALSE), " ")</f>
        <v xml:space="preserve"> </v>
      </c>
      <c r="AT113" s="55"/>
      <c r="AU113" s="32"/>
      <c r="AV113" s="32"/>
      <c r="AW113" s="55"/>
      <c r="AX113" s="32"/>
      <c r="AY113" s="54"/>
      <c r="AZ113" s="21" t="str">
        <f>IFERROR(VLOOKUP(November[[#This Row],[Drug Name5]],'Data Options'!$R$1:$S$100,2,FALSE), " ")</f>
        <v xml:space="preserve"> </v>
      </c>
      <c r="BA113" s="55"/>
      <c r="BB113" s="32"/>
      <c r="BC113" s="32"/>
      <c r="BD113" s="55"/>
      <c r="BE113" s="32"/>
      <c r="BF113" s="54"/>
      <c r="BG113" s="21" t="str">
        <f>IFERROR(VLOOKUP(November[[#This Row],[Drug Name6]],'Data Options'!$R$1:$S$100,2,FALSE), " ")</f>
        <v xml:space="preserve"> </v>
      </c>
      <c r="BH113" s="55"/>
      <c r="BI113" s="32"/>
      <c r="BJ113" s="32"/>
      <c r="BK113" s="55"/>
      <c r="BL113" s="32"/>
      <c r="BM113" s="32"/>
      <c r="BN113" s="32"/>
      <c r="BO113" s="32"/>
      <c r="BP113" s="32"/>
      <c r="BQ113" s="31"/>
      <c r="BR113" s="31"/>
      <c r="BS113" s="54"/>
      <c r="BT113" s="21" t="str">
        <f>IFERROR(VLOOKUP(November[[#This Row],[Drug Name7]],'Data Options'!$R$1:$S$100,2,FALSE), " ")</f>
        <v xml:space="preserve"> </v>
      </c>
      <c r="BU113" s="55"/>
      <c r="BV113" s="32"/>
      <c r="BW113" s="32"/>
      <c r="BX113" s="55"/>
      <c r="BY113" s="32"/>
      <c r="BZ113" s="54"/>
      <c r="CA113" s="21" t="str">
        <f>IFERROR(VLOOKUP(November[[#This Row],[Drug Name8]],'Data Options'!$R$1:$S$100,2,FALSE), " ")</f>
        <v xml:space="preserve"> </v>
      </c>
      <c r="CB113" s="55"/>
      <c r="CC113" s="32"/>
      <c r="CD113" s="32"/>
      <c r="CE113" s="55"/>
      <c r="CF113" s="32"/>
      <c r="CG113" s="54"/>
      <c r="CH113" s="21" t="str">
        <f>IFERROR(VLOOKUP(November[[#This Row],[Drug Name9]],'Data Options'!$R$1:$S$100,2,FALSE), " ")</f>
        <v xml:space="preserve"> </v>
      </c>
      <c r="CI113" s="55"/>
      <c r="CJ113" s="32"/>
      <c r="CK113" s="32"/>
      <c r="CL113" s="55"/>
      <c r="CM113" s="32"/>
    </row>
    <row r="114" spans="1:91">
      <c r="A114" s="5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1"/>
      <c r="P114" s="31"/>
      <c r="Q114" s="54"/>
      <c r="R114" s="21" t="str">
        <f>IFERROR(VLOOKUP(November[[#This Row],[Drug Name]],'Data Options'!$R$1:$S$100,2,FALSE), " ")</f>
        <v xml:space="preserve"> </v>
      </c>
      <c r="S114" s="55"/>
      <c r="T114" s="32"/>
      <c r="U114" s="32"/>
      <c r="V114" s="55"/>
      <c r="W114" s="32"/>
      <c r="X114" s="54"/>
      <c r="Y114" s="21" t="str">
        <f>IFERROR(VLOOKUP(November[[#This Row],[Drug Name2]],'Data Options'!$R$1:$S$100,2,FALSE), " ")</f>
        <v xml:space="preserve"> </v>
      </c>
      <c r="Z114" s="55"/>
      <c r="AA114" s="32"/>
      <c r="AB114" s="32"/>
      <c r="AC114" s="55"/>
      <c r="AD114" s="32"/>
      <c r="AE114" s="54"/>
      <c r="AF114" s="21" t="str">
        <f>IFERROR(VLOOKUP(November[[#This Row],[Drug Name3]],'Data Options'!$R$1:$S$100,2,FALSE), " ")</f>
        <v xml:space="preserve"> </v>
      </c>
      <c r="AG114" s="55"/>
      <c r="AH114" s="32"/>
      <c r="AI114" s="32"/>
      <c r="AJ114" s="55"/>
      <c r="AK114" s="32"/>
      <c r="AL114" s="32"/>
      <c r="AM114" s="32"/>
      <c r="AN114" s="32"/>
      <c r="AO114" s="32"/>
      <c r="AP114" s="31"/>
      <c r="AQ114" s="31"/>
      <c r="AR114" s="54"/>
      <c r="AS114" s="21" t="str">
        <f>IFERROR(VLOOKUP(November[[#This Row],[Drug Name4]],'Data Options'!$R$1:$S$100,2,FALSE), " ")</f>
        <v xml:space="preserve"> </v>
      </c>
      <c r="AT114" s="55"/>
      <c r="AU114" s="32"/>
      <c r="AV114" s="32"/>
      <c r="AW114" s="55"/>
      <c r="AX114" s="32"/>
      <c r="AY114" s="54"/>
      <c r="AZ114" s="21" t="str">
        <f>IFERROR(VLOOKUP(November[[#This Row],[Drug Name5]],'Data Options'!$R$1:$S$100,2,FALSE), " ")</f>
        <v xml:space="preserve"> </v>
      </c>
      <c r="BA114" s="55"/>
      <c r="BB114" s="32"/>
      <c r="BC114" s="32"/>
      <c r="BD114" s="55"/>
      <c r="BE114" s="32"/>
      <c r="BF114" s="54"/>
      <c r="BG114" s="21" t="str">
        <f>IFERROR(VLOOKUP(November[[#This Row],[Drug Name6]],'Data Options'!$R$1:$S$100,2,FALSE), " ")</f>
        <v xml:space="preserve"> </v>
      </c>
      <c r="BH114" s="55"/>
      <c r="BI114" s="32"/>
      <c r="BJ114" s="32"/>
      <c r="BK114" s="55"/>
      <c r="BL114" s="32"/>
      <c r="BM114" s="32"/>
      <c r="BN114" s="32"/>
      <c r="BO114" s="32"/>
      <c r="BP114" s="32"/>
      <c r="BQ114" s="31"/>
      <c r="BR114" s="31"/>
      <c r="BS114" s="54"/>
      <c r="BT114" s="21" t="str">
        <f>IFERROR(VLOOKUP(November[[#This Row],[Drug Name7]],'Data Options'!$R$1:$S$100,2,FALSE), " ")</f>
        <v xml:space="preserve"> </v>
      </c>
      <c r="BU114" s="55"/>
      <c r="BV114" s="32"/>
      <c r="BW114" s="32"/>
      <c r="BX114" s="55"/>
      <c r="BY114" s="32"/>
      <c r="BZ114" s="54"/>
      <c r="CA114" s="21" t="str">
        <f>IFERROR(VLOOKUP(November[[#This Row],[Drug Name8]],'Data Options'!$R$1:$S$100,2,FALSE), " ")</f>
        <v xml:space="preserve"> </v>
      </c>
      <c r="CB114" s="55"/>
      <c r="CC114" s="32"/>
      <c r="CD114" s="32"/>
      <c r="CE114" s="55"/>
      <c r="CF114" s="32"/>
      <c r="CG114" s="54"/>
      <c r="CH114" s="21" t="str">
        <f>IFERROR(VLOOKUP(November[[#This Row],[Drug Name9]],'Data Options'!$R$1:$S$100,2,FALSE), " ")</f>
        <v xml:space="preserve"> </v>
      </c>
      <c r="CI114" s="55"/>
      <c r="CJ114" s="32"/>
      <c r="CK114" s="32"/>
      <c r="CL114" s="55"/>
      <c r="CM114" s="32"/>
    </row>
    <row r="115" spans="1:91">
      <c r="A115" s="5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1"/>
      <c r="P115" s="31"/>
      <c r="Q115" s="54"/>
      <c r="R115" s="21" t="str">
        <f>IFERROR(VLOOKUP(November[[#This Row],[Drug Name]],'Data Options'!$R$1:$S$100,2,FALSE), " ")</f>
        <v xml:space="preserve"> </v>
      </c>
      <c r="S115" s="55"/>
      <c r="T115" s="32"/>
      <c r="U115" s="32"/>
      <c r="V115" s="55"/>
      <c r="W115" s="32"/>
      <c r="X115" s="54"/>
      <c r="Y115" s="21" t="str">
        <f>IFERROR(VLOOKUP(November[[#This Row],[Drug Name2]],'Data Options'!$R$1:$S$100,2,FALSE), " ")</f>
        <v xml:space="preserve"> </v>
      </c>
      <c r="Z115" s="55"/>
      <c r="AA115" s="32"/>
      <c r="AB115" s="32"/>
      <c r="AC115" s="55"/>
      <c r="AD115" s="32"/>
      <c r="AE115" s="54"/>
      <c r="AF115" s="21" t="str">
        <f>IFERROR(VLOOKUP(November[[#This Row],[Drug Name3]],'Data Options'!$R$1:$S$100,2,FALSE), " ")</f>
        <v xml:space="preserve"> </v>
      </c>
      <c r="AG115" s="55"/>
      <c r="AH115" s="32"/>
      <c r="AI115" s="32"/>
      <c r="AJ115" s="55"/>
      <c r="AK115" s="32"/>
      <c r="AL115" s="32"/>
      <c r="AM115" s="32"/>
      <c r="AN115" s="32"/>
      <c r="AO115" s="32"/>
      <c r="AP115" s="31"/>
      <c r="AQ115" s="31"/>
      <c r="AR115" s="54"/>
      <c r="AS115" s="21" t="str">
        <f>IFERROR(VLOOKUP(November[[#This Row],[Drug Name4]],'Data Options'!$R$1:$S$100,2,FALSE), " ")</f>
        <v xml:space="preserve"> </v>
      </c>
      <c r="AT115" s="55"/>
      <c r="AU115" s="32"/>
      <c r="AV115" s="32"/>
      <c r="AW115" s="55"/>
      <c r="AX115" s="32"/>
      <c r="AY115" s="54"/>
      <c r="AZ115" s="21" t="str">
        <f>IFERROR(VLOOKUP(November[[#This Row],[Drug Name5]],'Data Options'!$R$1:$S$100,2,FALSE), " ")</f>
        <v xml:space="preserve"> </v>
      </c>
      <c r="BA115" s="55"/>
      <c r="BB115" s="32"/>
      <c r="BC115" s="32"/>
      <c r="BD115" s="55"/>
      <c r="BE115" s="32"/>
      <c r="BF115" s="54"/>
      <c r="BG115" s="21" t="str">
        <f>IFERROR(VLOOKUP(November[[#This Row],[Drug Name6]],'Data Options'!$R$1:$S$100,2,FALSE), " ")</f>
        <v xml:space="preserve"> </v>
      </c>
      <c r="BH115" s="55"/>
      <c r="BI115" s="32"/>
      <c r="BJ115" s="32"/>
      <c r="BK115" s="55"/>
      <c r="BL115" s="32"/>
      <c r="BM115" s="32"/>
      <c r="BN115" s="32"/>
      <c r="BO115" s="32"/>
      <c r="BP115" s="32"/>
      <c r="BQ115" s="31"/>
      <c r="BR115" s="31"/>
      <c r="BS115" s="54"/>
      <c r="BT115" s="21" t="str">
        <f>IFERROR(VLOOKUP(November[[#This Row],[Drug Name7]],'Data Options'!$R$1:$S$100,2,FALSE), " ")</f>
        <v xml:space="preserve"> </v>
      </c>
      <c r="BU115" s="55"/>
      <c r="BV115" s="32"/>
      <c r="BW115" s="32"/>
      <c r="BX115" s="55"/>
      <c r="BY115" s="32"/>
      <c r="BZ115" s="54"/>
      <c r="CA115" s="21" t="str">
        <f>IFERROR(VLOOKUP(November[[#This Row],[Drug Name8]],'Data Options'!$R$1:$S$100,2,FALSE), " ")</f>
        <v xml:space="preserve"> </v>
      </c>
      <c r="CB115" s="55"/>
      <c r="CC115" s="32"/>
      <c r="CD115" s="32"/>
      <c r="CE115" s="55"/>
      <c r="CF115" s="32"/>
      <c r="CG115" s="54"/>
      <c r="CH115" s="21" t="str">
        <f>IFERROR(VLOOKUP(November[[#This Row],[Drug Name9]],'Data Options'!$R$1:$S$100,2,FALSE), " ")</f>
        <v xml:space="preserve"> </v>
      </c>
      <c r="CI115" s="55"/>
      <c r="CJ115" s="32"/>
      <c r="CK115" s="32"/>
      <c r="CL115" s="55"/>
      <c r="CM115" s="32"/>
    </row>
    <row r="116" spans="1:91">
      <c r="A116" s="5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1"/>
      <c r="P116" s="31"/>
      <c r="Q116" s="54"/>
      <c r="R116" s="21" t="str">
        <f>IFERROR(VLOOKUP(November[[#This Row],[Drug Name]],'Data Options'!$R$1:$S$100,2,FALSE), " ")</f>
        <v xml:space="preserve"> </v>
      </c>
      <c r="S116" s="55"/>
      <c r="T116" s="32"/>
      <c r="U116" s="32"/>
      <c r="V116" s="55"/>
      <c r="W116" s="32"/>
      <c r="X116" s="54"/>
      <c r="Y116" s="21" t="str">
        <f>IFERROR(VLOOKUP(November[[#This Row],[Drug Name2]],'Data Options'!$R$1:$S$100,2,FALSE), " ")</f>
        <v xml:space="preserve"> </v>
      </c>
      <c r="Z116" s="55"/>
      <c r="AA116" s="32"/>
      <c r="AB116" s="32"/>
      <c r="AC116" s="55"/>
      <c r="AD116" s="32"/>
      <c r="AE116" s="54"/>
      <c r="AF116" s="21" t="str">
        <f>IFERROR(VLOOKUP(November[[#This Row],[Drug Name3]],'Data Options'!$R$1:$S$100,2,FALSE), " ")</f>
        <v xml:space="preserve"> </v>
      </c>
      <c r="AG116" s="55"/>
      <c r="AH116" s="32"/>
      <c r="AI116" s="32"/>
      <c r="AJ116" s="55"/>
      <c r="AK116" s="32"/>
      <c r="AL116" s="32"/>
      <c r="AM116" s="32"/>
      <c r="AN116" s="32"/>
      <c r="AO116" s="32"/>
      <c r="AP116" s="31"/>
      <c r="AQ116" s="31"/>
      <c r="AR116" s="54"/>
      <c r="AS116" s="21" t="str">
        <f>IFERROR(VLOOKUP(November[[#This Row],[Drug Name4]],'Data Options'!$R$1:$S$100,2,FALSE), " ")</f>
        <v xml:space="preserve"> </v>
      </c>
      <c r="AT116" s="55"/>
      <c r="AU116" s="32"/>
      <c r="AV116" s="32"/>
      <c r="AW116" s="55"/>
      <c r="AX116" s="32"/>
      <c r="AY116" s="54"/>
      <c r="AZ116" s="21" t="str">
        <f>IFERROR(VLOOKUP(November[[#This Row],[Drug Name5]],'Data Options'!$R$1:$S$100,2,FALSE), " ")</f>
        <v xml:space="preserve"> </v>
      </c>
      <c r="BA116" s="55"/>
      <c r="BB116" s="32"/>
      <c r="BC116" s="32"/>
      <c r="BD116" s="55"/>
      <c r="BE116" s="32"/>
      <c r="BF116" s="54"/>
      <c r="BG116" s="21" t="str">
        <f>IFERROR(VLOOKUP(November[[#This Row],[Drug Name6]],'Data Options'!$R$1:$S$100,2,FALSE), " ")</f>
        <v xml:space="preserve"> </v>
      </c>
      <c r="BH116" s="55"/>
      <c r="BI116" s="32"/>
      <c r="BJ116" s="32"/>
      <c r="BK116" s="55"/>
      <c r="BL116" s="32"/>
      <c r="BM116" s="32"/>
      <c r="BN116" s="32"/>
      <c r="BO116" s="32"/>
      <c r="BP116" s="32"/>
      <c r="BQ116" s="31"/>
      <c r="BR116" s="31"/>
      <c r="BS116" s="54"/>
      <c r="BT116" s="21" t="str">
        <f>IFERROR(VLOOKUP(November[[#This Row],[Drug Name7]],'Data Options'!$R$1:$S$100,2,FALSE), " ")</f>
        <v xml:space="preserve"> </v>
      </c>
      <c r="BU116" s="55"/>
      <c r="BV116" s="32"/>
      <c r="BW116" s="32"/>
      <c r="BX116" s="55"/>
      <c r="BY116" s="32"/>
      <c r="BZ116" s="54"/>
      <c r="CA116" s="21" t="str">
        <f>IFERROR(VLOOKUP(November[[#This Row],[Drug Name8]],'Data Options'!$R$1:$S$100,2,FALSE), " ")</f>
        <v xml:space="preserve"> </v>
      </c>
      <c r="CB116" s="55"/>
      <c r="CC116" s="32"/>
      <c r="CD116" s="32"/>
      <c r="CE116" s="55"/>
      <c r="CF116" s="32"/>
      <c r="CG116" s="54"/>
      <c r="CH116" s="21" t="str">
        <f>IFERROR(VLOOKUP(November[[#This Row],[Drug Name9]],'Data Options'!$R$1:$S$100,2,FALSE), " ")</f>
        <v xml:space="preserve"> </v>
      </c>
      <c r="CI116" s="55"/>
      <c r="CJ116" s="32"/>
      <c r="CK116" s="32"/>
      <c r="CL116" s="55"/>
      <c r="CM116" s="32"/>
    </row>
    <row r="117" spans="1:91">
      <c r="A117" s="5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1"/>
      <c r="P117" s="31"/>
      <c r="Q117" s="54"/>
      <c r="R117" s="21" t="str">
        <f>IFERROR(VLOOKUP(November[[#This Row],[Drug Name]],'Data Options'!$R$1:$S$100,2,FALSE), " ")</f>
        <v xml:space="preserve"> </v>
      </c>
      <c r="S117" s="55"/>
      <c r="T117" s="32"/>
      <c r="U117" s="32"/>
      <c r="V117" s="55"/>
      <c r="W117" s="32"/>
      <c r="X117" s="54"/>
      <c r="Y117" s="21" t="str">
        <f>IFERROR(VLOOKUP(November[[#This Row],[Drug Name2]],'Data Options'!$R$1:$S$100,2,FALSE), " ")</f>
        <v xml:space="preserve"> </v>
      </c>
      <c r="Z117" s="55"/>
      <c r="AA117" s="32"/>
      <c r="AB117" s="32"/>
      <c r="AC117" s="55"/>
      <c r="AD117" s="32"/>
      <c r="AE117" s="54"/>
      <c r="AF117" s="21" t="str">
        <f>IFERROR(VLOOKUP(November[[#This Row],[Drug Name3]],'Data Options'!$R$1:$S$100,2,FALSE), " ")</f>
        <v xml:space="preserve"> </v>
      </c>
      <c r="AG117" s="55"/>
      <c r="AH117" s="32"/>
      <c r="AI117" s="32"/>
      <c r="AJ117" s="55"/>
      <c r="AK117" s="32"/>
      <c r="AL117" s="32"/>
      <c r="AM117" s="32"/>
      <c r="AN117" s="32"/>
      <c r="AO117" s="32"/>
      <c r="AP117" s="31"/>
      <c r="AQ117" s="31"/>
      <c r="AR117" s="54"/>
      <c r="AS117" s="21" t="str">
        <f>IFERROR(VLOOKUP(November[[#This Row],[Drug Name4]],'Data Options'!$R$1:$S$100,2,FALSE), " ")</f>
        <v xml:space="preserve"> </v>
      </c>
      <c r="AT117" s="55"/>
      <c r="AU117" s="32"/>
      <c r="AV117" s="32"/>
      <c r="AW117" s="55"/>
      <c r="AX117" s="32"/>
      <c r="AY117" s="54"/>
      <c r="AZ117" s="21" t="str">
        <f>IFERROR(VLOOKUP(November[[#This Row],[Drug Name5]],'Data Options'!$R$1:$S$100,2,FALSE), " ")</f>
        <v xml:space="preserve"> </v>
      </c>
      <c r="BA117" s="55"/>
      <c r="BB117" s="32"/>
      <c r="BC117" s="32"/>
      <c r="BD117" s="55"/>
      <c r="BE117" s="32"/>
      <c r="BF117" s="54"/>
      <c r="BG117" s="21" t="str">
        <f>IFERROR(VLOOKUP(November[[#This Row],[Drug Name6]],'Data Options'!$R$1:$S$100,2,FALSE), " ")</f>
        <v xml:space="preserve"> </v>
      </c>
      <c r="BH117" s="55"/>
      <c r="BI117" s="32"/>
      <c r="BJ117" s="32"/>
      <c r="BK117" s="55"/>
      <c r="BL117" s="32"/>
      <c r="BM117" s="32"/>
      <c r="BN117" s="32"/>
      <c r="BO117" s="32"/>
      <c r="BP117" s="32"/>
      <c r="BQ117" s="31"/>
      <c r="BR117" s="31"/>
      <c r="BS117" s="54"/>
      <c r="BT117" s="21" t="str">
        <f>IFERROR(VLOOKUP(November[[#This Row],[Drug Name7]],'Data Options'!$R$1:$S$100,2,FALSE), " ")</f>
        <v xml:space="preserve"> </v>
      </c>
      <c r="BU117" s="55"/>
      <c r="BV117" s="32"/>
      <c r="BW117" s="32"/>
      <c r="BX117" s="55"/>
      <c r="BY117" s="32"/>
      <c r="BZ117" s="54"/>
      <c r="CA117" s="21" t="str">
        <f>IFERROR(VLOOKUP(November[[#This Row],[Drug Name8]],'Data Options'!$R$1:$S$100,2,FALSE), " ")</f>
        <v xml:space="preserve"> </v>
      </c>
      <c r="CB117" s="55"/>
      <c r="CC117" s="32"/>
      <c r="CD117" s="32"/>
      <c r="CE117" s="55"/>
      <c r="CF117" s="32"/>
      <c r="CG117" s="54"/>
      <c r="CH117" s="21" t="str">
        <f>IFERROR(VLOOKUP(November[[#This Row],[Drug Name9]],'Data Options'!$R$1:$S$100,2,FALSE), " ")</f>
        <v xml:space="preserve"> </v>
      </c>
      <c r="CI117" s="55"/>
      <c r="CJ117" s="32"/>
      <c r="CK117" s="32"/>
      <c r="CL117" s="55"/>
      <c r="CM117" s="32"/>
    </row>
    <row r="118" spans="1:91">
      <c r="A118" s="5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/>
      <c r="P118" s="31"/>
      <c r="Q118" s="54"/>
      <c r="R118" s="21" t="str">
        <f>IFERROR(VLOOKUP(November[[#This Row],[Drug Name]],'Data Options'!$R$1:$S$100,2,FALSE), " ")</f>
        <v xml:space="preserve"> </v>
      </c>
      <c r="S118" s="55"/>
      <c r="T118" s="32"/>
      <c r="U118" s="32"/>
      <c r="V118" s="55"/>
      <c r="W118" s="32"/>
      <c r="X118" s="54"/>
      <c r="Y118" s="21" t="str">
        <f>IFERROR(VLOOKUP(November[[#This Row],[Drug Name2]],'Data Options'!$R$1:$S$100,2,FALSE), " ")</f>
        <v xml:space="preserve"> </v>
      </c>
      <c r="Z118" s="55"/>
      <c r="AA118" s="32"/>
      <c r="AB118" s="32"/>
      <c r="AC118" s="55"/>
      <c r="AD118" s="32"/>
      <c r="AE118" s="54"/>
      <c r="AF118" s="21" t="str">
        <f>IFERROR(VLOOKUP(November[[#This Row],[Drug Name3]],'Data Options'!$R$1:$S$100,2,FALSE), " ")</f>
        <v xml:space="preserve"> </v>
      </c>
      <c r="AG118" s="55"/>
      <c r="AH118" s="32"/>
      <c r="AI118" s="32"/>
      <c r="AJ118" s="55"/>
      <c r="AK118" s="32"/>
      <c r="AL118" s="32"/>
      <c r="AM118" s="32"/>
      <c r="AN118" s="32"/>
      <c r="AO118" s="32"/>
      <c r="AP118" s="31"/>
      <c r="AQ118" s="31"/>
      <c r="AR118" s="54"/>
      <c r="AS118" s="21" t="str">
        <f>IFERROR(VLOOKUP(November[[#This Row],[Drug Name4]],'Data Options'!$R$1:$S$100,2,FALSE), " ")</f>
        <v xml:space="preserve"> </v>
      </c>
      <c r="AT118" s="55"/>
      <c r="AU118" s="32"/>
      <c r="AV118" s="32"/>
      <c r="AW118" s="55"/>
      <c r="AX118" s="32"/>
      <c r="AY118" s="54"/>
      <c r="AZ118" s="21" t="str">
        <f>IFERROR(VLOOKUP(November[[#This Row],[Drug Name5]],'Data Options'!$R$1:$S$100,2,FALSE), " ")</f>
        <v xml:space="preserve"> </v>
      </c>
      <c r="BA118" s="55"/>
      <c r="BB118" s="32"/>
      <c r="BC118" s="32"/>
      <c r="BD118" s="55"/>
      <c r="BE118" s="32"/>
      <c r="BF118" s="54"/>
      <c r="BG118" s="21" t="str">
        <f>IFERROR(VLOOKUP(November[[#This Row],[Drug Name6]],'Data Options'!$R$1:$S$100,2,FALSE), " ")</f>
        <v xml:space="preserve"> </v>
      </c>
      <c r="BH118" s="55"/>
      <c r="BI118" s="32"/>
      <c r="BJ118" s="32"/>
      <c r="BK118" s="55"/>
      <c r="BL118" s="32"/>
      <c r="BM118" s="32"/>
      <c r="BN118" s="32"/>
      <c r="BO118" s="32"/>
      <c r="BP118" s="32"/>
      <c r="BQ118" s="31"/>
      <c r="BR118" s="31"/>
      <c r="BS118" s="54"/>
      <c r="BT118" s="21" t="str">
        <f>IFERROR(VLOOKUP(November[[#This Row],[Drug Name7]],'Data Options'!$R$1:$S$100,2,FALSE), " ")</f>
        <v xml:space="preserve"> </v>
      </c>
      <c r="BU118" s="55"/>
      <c r="BV118" s="32"/>
      <c r="BW118" s="32"/>
      <c r="BX118" s="55"/>
      <c r="BY118" s="32"/>
      <c r="BZ118" s="54"/>
      <c r="CA118" s="21" t="str">
        <f>IFERROR(VLOOKUP(November[[#This Row],[Drug Name8]],'Data Options'!$R$1:$S$100,2,FALSE), " ")</f>
        <v xml:space="preserve"> </v>
      </c>
      <c r="CB118" s="55"/>
      <c r="CC118" s="32"/>
      <c r="CD118" s="32"/>
      <c r="CE118" s="55"/>
      <c r="CF118" s="32"/>
      <c r="CG118" s="54"/>
      <c r="CH118" s="21" t="str">
        <f>IFERROR(VLOOKUP(November[[#This Row],[Drug Name9]],'Data Options'!$R$1:$S$100,2,FALSE), " ")</f>
        <v xml:space="preserve"> </v>
      </c>
      <c r="CI118" s="55"/>
      <c r="CJ118" s="32"/>
      <c r="CK118" s="32"/>
      <c r="CL118" s="55"/>
      <c r="CM118" s="32"/>
    </row>
    <row r="119" spans="1:91">
      <c r="A119" s="5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1"/>
      <c r="P119" s="31"/>
      <c r="Q119" s="54"/>
      <c r="R119" s="21" t="str">
        <f>IFERROR(VLOOKUP(November[[#This Row],[Drug Name]],'Data Options'!$R$1:$S$100,2,FALSE), " ")</f>
        <v xml:space="preserve"> </v>
      </c>
      <c r="S119" s="55"/>
      <c r="T119" s="32"/>
      <c r="U119" s="32"/>
      <c r="V119" s="55"/>
      <c r="W119" s="32"/>
      <c r="X119" s="54"/>
      <c r="Y119" s="21" t="str">
        <f>IFERROR(VLOOKUP(November[[#This Row],[Drug Name2]],'Data Options'!$R$1:$S$100,2,FALSE), " ")</f>
        <v xml:space="preserve"> </v>
      </c>
      <c r="Z119" s="55"/>
      <c r="AA119" s="32"/>
      <c r="AB119" s="32"/>
      <c r="AC119" s="55"/>
      <c r="AD119" s="32"/>
      <c r="AE119" s="54"/>
      <c r="AF119" s="21" t="str">
        <f>IFERROR(VLOOKUP(November[[#This Row],[Drug Name3]],'Data Options'!$R$1:$S$100,2,FALSE), " ")</f>
        <v xml:space="preserve"> </v>
      </c>
      <c r="AG119" s="55"/>
      <c r="AH119" s="32"/>
      <c r="AI119" s="32"/>
      <c r="AJ119" s="55"/>
      <c r="AK119" s="32"/>
      <c r="AL119" s="32"/>
      <c r="AM119" s="32"/>
      <c r="AN119" s="32"/>
      <c r="AO119" s="32"/>
      <c r="AP119" s="31"/>
      <c r="AQ119" s="31"/>
      <c r="AR119" s="54"/>
      <c r="AS119" s="21" t="str">
        <f>IFERROR(VLOOKUP(November[[#This Row],[Drug Name4]],'Data Options'!$R$1:$S$100,2,FALSE), " ")</f>
        <v xml:space="preserve"> </v>
      </c>
      <c r="AT119" s="55"/>
      <c r="AU119" s="32"/>
      <c r="AV119" s="32"/>
      <c r="AW119" s="55"/>
      <c r="AX119" s="32"/>
      <c r="AY119" s="54"/>
      <c r="AZ119" s="21" t="str">
        <f>IFERROR(VLOOKUP(November[[#This Row],[Drug Name5]],'Data Options'!$R$1:$S$100,2,FALSE), " ")</f>
        <v xml:space="preserve"> </v>
      </c>
      <c r="BA119" s="55"/>
      <c r="BB119" s="32"/>
      <c r="BC119" s="32"/>
      <c r="BD119" s="55"/>
      <c r="BE119" s="32"/>
      <c r="BF119" s="54"/>
      <c r="BG119" s="21" t="str">
        <f>IFERROR(VLOOKUP(November[[#This Row],[Drug Name6]],'Data Options'!$R$1:$S$100,2,FALSE), " ")</f>
        <v xml:space="preserve"> </v>
      </c>
      <c r="BH119" s="55"/>
      <c r="BI119" s="32"/>
      <c r="BJ119" s="32"/>
      <c r="BK119" s="55"/>
      <c r="BL119" s="32"/>
      <c r="BM119" s="32"/>
      <c r="BN119" s="32"/>
      <c r="BO119" s="32"/>
      <c r="BP119" s="32"/>
      <c r="BQ119" s="31"/>
      <c r="BR119" s="31"/>
      <c r="BS119" s="54"/>
      <c r="BT119" s="21" t="str">
        <f>IFERROR(VLOOKUP(November[[#This Row],[Drug Name7]],'Data Options'!$R$1:$S$100,2,FALSE), " ")</f>
        <v xml:space="preserve"> </v>
      </c>
      <c r="BU119" s="55"/>
      <c r="BV119" s="32"/>
      <c r="BW119" s="32"/>
      <c r="BX119" s="55"/>
      <c r="BY119" s="32"/>
      <c r="BZ119" s="54"/>
      <c r="CA119" s="21" t="str">
        <f>IFERROR(VLOOKUP(November[[#This Row],[Drug Name8]],'Data Options'!$R$1:$S$100,2,FALSE), " ")</f>
        <v xml:space="preserve"> </v>
      </c>
      <c r="CB119" s="55"/>
      <c r="CC119" s="32"/>
      <c r="CD119" s="32"/>
      <c r="CE119" s="55"/>
      <c r="CF119" s="32"/>
      <c r="CG119" s="54"/>
      <c r="CH119" s="21" t="str">
        <f>IFERROR(VLOOKUP(November[[#This Row],[Drug Name9]],'Data Options'!$R$1:$S$100,2,FALSE), " ")</f>
        <v xml:space="preserve"> </v>
      </c>
      <c r="CI119" s="55"/>
      <c r="CJ119" s="32"/>
      <c r="CK119" s="32"/>
      <c r="CL119" s="55"/>
      <c r="CM119" s="32"/>
    </row>
    <row r="120" spans="1:91">
      <c r="A120" s="5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/>
      <c r="P120" s="31"/>
      <c r="Q120" s="54"/>
      <c r="R120" s="21" t="str">
        <f>IFERROR(VLOOKUP(November[[#This Row],[Drug Name]],'Data Options'!$R$1:$S$100,2,FALSE), " ")</f>
        <v xml:space="preserve"> </v>
      </c>
      <c r="S120" s="55"/>
      <c r="T120" s="32"/>
      <c r="U120" s="32"/>
      <c r="V120" s="55"/>
      <c r="W120" s="32"/>
      <c r="X120" s="54"/>
      <c r="Y120" s="21" t="str">
        <f>IFERROR(VLOOKUP(November[[#This Row],[Drug Name2]],'Data Options'!$R$1:$S$100,2,FALSE), " ")</f>
        <v xml:space="preserve"> </v>
      </c>
      <c r="Z120" s="55"/>
      <c r="AA120" s="32"/>
      <c r="AB120" s="32"/>
      <c r="AC120" s="55"/>
      <c r="AD120" s="32"/>
      <c r="AE120" s="54"/>
      <c r="AF120" s="21" t="str">
        <f>IFERROR(VLOOKUP(November[[#This Row],[Drug Name3]],'Data Options'!$R$1:$S$100,2,FALSE), " ")</f>
        <v xml:space="preserve"> </v>
      </c>
      <c r="AG120" s="55"/>
      <c r="AH120" s="32"/>
      <c r="AI120" s="32"/>
      <c r="AJ120" s="55"/>
      <c r="AK120" s="32"/>
      <c r="AL120" s="32"/>
      <c r="AM120" s="32"/>
      <c r="AN120" s="32"/>
      <c r="AO120" s="32"/>
      <c r="AP120" s="31"/>
      <c r="AQ120" s="31"/>
      <c r="AR120" s="54"/>
      <c r="AS120" s="21" t="str">
        <f>IFERROR(VLOOKUP(November[[#This Row],[Drug Name4]],'Data Options'!$R$1:$S$100,2,FALSE), " ")</f>
        <v xml:space="preserve"> </v>
      </c>
      <c r="AT120" s="55"/>
      <c r="AU120" s="32"/>
      <c r="AV120" s="32"/>
      <c r="AW120" s="55"/>
      <c r="AX120" s="32"/>
      <c r="AY120" s="54"/>
      <c r="AZ120" s="21" t="str">
        <f>IFERROR(VLOOKUP(November[[#This Row],[Drug Name5]],'Data Options'!$R$1:$S$100,2,FALSE), " ")</f>
        <v xml:space="preserve"> </v>
      </c>
      <c r="BA120" s="55"/>
      <c r="BB120" s="32"/>
      <c r="BC120" s="32"/>
      <c r="BD120" s="55"/>
      <c r="BE120" s="32"/>
      <c r="BF120" s="54"/>
      <c r="BG120" s="21" t="str">
        <f>IFERROR(VLOOKUP(November[[#This Row],[Drug Name6]],'Data Options'!$R$1:$S$100,2,FALSE), " ")</f>
        <v xml:space="preserve"> </v>
      </c>
      <c r="BH120" s="55"/>
      <c r="BI120" s="32"/>
      <c r="BJ120" s="32"/>
      <c r="BK120" s="55"/>
      <c r="BL120" s="32"/>
      <c r="BM120" s="32"/>
      <c r="BN120" s="32"/>
      <c r="BO120" s="32"/>
      <c r="BP120" s="32"/>
      <c r="BQ120" s="31"/>
      <c r="BR120" s="31"/>
      <c r="BS120" s="54"/>
      <c r="BT120" s="21" t="str">
        <f>IFERROR(VLOOKUP(November[[#This Row],[Drug Name7]],'Data Options'!$R$1:$S$100,2,FALSE), " ")</f>
        <v xml:space="preserve"> </v>
      </c>
      <c r="BU120" s="55"/>
      <c r="BV120" s="32"/>
      <c r="BW120" s="32"/>
      <c r="BX120" s="55"/>
      <c r="BY120" s="32"/>
      <c r="BZ120" s="54"/>
      <c r="CA120" s="21" t="str">
        <f>IFERROR(VLOOKUP(November[[#This Row],[Drug Name8]],'Data Options'!$R$1:$S$100,2,FALSE), " ")</f>
        <v xml:space="preserve"> </v>
      </c>
      <c r="CB120" s="55"/>
      <c r="CC120" s="32"/>
      <c r="CD120" s="32"/>
      <c r="CE120" s="55"/>
      <c r="CF120" s="32"/>
      <c r="CG120" s="54"/>
      <c r="CH120" s="21" t="str">
        <f>IFERROR(VLOOKUP(November[[#This Row],[Drug Name9]],'Data Options'!$R$1:$S$100,2,FALSE), " ")</f>
        <v xml:space="preserve"> </v>
      </c>
      <c r="CI120" s="55"/>
      <c r="CJ120" s="32"/>
      <c r="CK120" s="32"/>
      <c r="CL120" s="55"/>
      <c r="CM120" s="32"/>
    </row>
    <row r="121" spans="1:91">
      <c r="A121" s="5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1"/>
      <c r="P121" s="31"/>
      <c r="Q121" s="54"/>
      <c r="R121" s="21" t="str">
        <f>IFERROR(VLOOKUP(November[[#This Row],[Drug Name]],'Data Options'!$R$1:$S$100,2,FALSE), " ")</f>
        <v xml:space="preserve"> </v>
      </c>
      <c r="S121" s="55"/>
      <c r="T121" s="32"/>
      <c r="U121" s="32"/>
      <c r="V121" s="55"/>
      <c r="W121" s="32"/>
      <c r="X121" s="54"/>
      <c r="Y121" s="21" t="str">
        <f>IFERROR(VLOOKUP(November[[#This Row],[Drug Name2]],'Data Options'!$R$1:$S$100,2,FALSE), " ")</f>
        <v xml:space="preserve"> </v>
      </c>
      <c r="Z121" s="55"/>
      <c r="AA121" s="32"/>
      <c r="AB121" s="32"/>
      <c r="AC121" s="55"/>
      <c r="AD121" s="32"/>
      <c r="AE121" s="54"/>
      <c r="AF121" s="21" t="str">
        <f>IFERROR(VLOOKUP(November[[#This Row],[Drug Name3]],'Data Options'!$R$1:$S$100,2,FALSE), " ")</f>
        <v xml:space="preserve"> </v>
      </c>
      <c r="AG121" s="55"/>
      <c r="AH121" s="32"/>
      <c r="AI121" s="32"/>
      <c r="AJ121" s="55"/>
      <c r="AK121" s="32"/>
      <c r="AL121" s="32"/>
      <c r="AM121" s="32"/>
      <c r="AN121" s="32"/>
      <c r="AO121" s="32"/>
      <c r="AP121" s="31"/>
      <c r="AQ121" s="31"/>
      <c r="AR121" s="54"/>
      <c r="AS121" s="21" t="str">
        <f>IFERROR(VLOOKUP(November[[#This Row],[Drug Name4]],'Data Options'!$R$1:$S$100,2,FALSE), " ")</f>
        <v xml:space="preserve"> </v>
      </c>
      <c r="AT121" s="55"/>
      <c r="AU121" s="32"/>
      <c r="AV121" s="32"/>
      <c r="AW121" s="55"/>
      <c r="AX121" s="32"/>
      <c r="AY121" s="54"/>
      <c r="AZ121" s="21" t="str">
        <f>IFERROR(VLOOKUP(November[[#This Row],[Drug Name5]],'Data Options'!$R$1:$S$100,2,FALSE), " ")</f>
        <v xml:space="preserve"> </v>
      </c>
      <c r="BA121" s="55"/>
      <c r="BB121" s="32"/>
      <c r="BC121" s="32"/>
      <c r="BD121" s="55"/>
      <c r="BE121" s="32"/>
      <c r="BF121" s="54"/>
      <c r="BG121" s="21" t="str">
        <f>IFERROR(VLOOKUP(November[[#This Row],[Drug Name6]],'Data Options'!$R$1:$S$100,2,FALSE), " ")</f>
        <v xml:space="preserve"> </v>
      </c>
      <c r="BH121" s="55"/>
      <c r="BI121" s="32"/>
      <c r="BJ121" s="32"/>
      <c r="BK121" s="55"/>
      <c r="BL121" s="32"/>
      <c r="BM121" s="32"/>
      <c r="BN121" s="32"/>
      <c r="BO121" s="32"/>
      <c r="BP121" s="32"/>
      <c r="BQ121" s="31"/>
      <c r="BR121" s="31"/>
      <c r="BS121" s="54"/>
      <c r="BT121" s="21" t="str">
        <f>IFERROR(VLOOKUP(November[[#This Row],[Drug Name7]],'Data Options'!$R$1:$S$100,2,FALSE), " ")</f>
        <v xml:space="preserve"> </v>
      </c>
      <c r="BU121" s="55"/>
      <c r="BV121" s="32"/>
      <c r="BW121" s="32"/>
      <c r="BX121" s="55"/>
      <c r="BY121" s="32"/>
      <c r="BZ121" s="54"/>
      <c r="CA121" s="21" t="str">
        <f>IFERROR(VLOOKUP(November[[#This Row],[Drug Name8]],'Data Options'!$R$1:$S$100,2,FALSE), " ")</f>
        <v xml:space="preserve"> </v>
      </c>
      <c r="CB121" s="55"/>
      <c r="CC121" s="32"/>
      <c r="CD121" s="32"/>
      <c r="CE121" s="55"/>
      <c r="CF121" s="32"/>
      <c r="CG121" s="54"/>
      <c r="CH121" s="21" t="str">
        <f>IFERROR(VLOOKUP(November[[#This Row],[Drug Name9]],'Data Options'!$R$1:$S$100,2,FALSE), " ")</f>
        <v xml:space="preserve"> </v>
      </c>
      <c r="CI121" s="55"/>
      <c r="CJ121" s="32"/>
      <c r="CK121" s="32"/>
      <c r="CL121" s="55"/>
      <c r="CM121" s="32"/>
    </row>
    <row r="122" spans="1:91">
      <c r="A122" s="5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1"/>
      <c r="P122" s="31"/>
      <c r="Q122" s="54"/>
      <c r="R122" s="21" t="str">
        <f>IFERROR(VLOOKUP(November[[#This Row],[Drug Name]],'Data Options'!$R$1:$S$100,2,FALSE), " ")</f>
        <v xml:space="preserve"> </v>
      </c>
      <c r="S122" s="55"/>
      <c r="T122" s="32"/>
      <c r="U122" s="32"/>
      <c r="V122" s="55"/>
      <c r="W122" s="32"/>
      <c r="X122" s="54"/>
      <c r="Y122" s="21" t="str">
        <f>IFERROR(VLOOKUP(November[[#This Row],[Drug Name2]],'Data Options'!$R$1:$S$100,2,FALSE), " ")</f>
        <v xml:space="preserve"> </v>
      </c>
      <c r="Z122" s="55"/>
      <c r="AA122" s="32"/>
      <c r="AB122" s="32"/>
      <c r="AC122" s="55"/>
      <c r="AD122" s="32"/>
      <c r="AE122" s="54"/>
      <c r="AF122" s="21" t="str">
        <f>IFERROR(VLOOKUP(November[[#This Row],[Drug Name3]],'Data Options'!$R$1:$S$100,2,FALSE), " ")</f>
        <v xml:space="preserve"> </v>
      </c>
      <c r="AG122" s="55"/>
      <c r="AH122" s="32"/>
      <c r="AI122" s="32"/>
      <c r="AJ122" s="55"/>
      <c r="AK122" s="32"/>
      <c r="AL122" s="32"/>
      <c r="AM122" s="32"/>
      <c r="AN122" s="32"/>
      <c r="AO122" s="32"/>
      <c r="AP122" s="31"/>
      <c r="AQ122" s="31"/>
      <c r="AR122" s="54"/>
      <c r="AS122" s="21" t="str">
        <f>IFERROR(VLOOKUP(November[[#This Row],[Drug Name4]],'Data Options'!$R$1:$S$100,2,FALSE), " ")</f>
        <v xml:space="preserve"> </v>
      </c>
      <c r="AT122" s="55"/>
      <c r="AU122" s="32"/>
      <c r="AV122" s="32"/>
      <c r="AW122" s="55"/>
      <c r="AX122" s="32"/>
      <c r="AY122" s="54"/>
      <c r="AZ122" s="21" t="str">
        <f>IFERROR(VLOOKUP(November[[#This Row],[Drug Name5]],'Data Options'!$R$1:$S$100,2,FALSE), " ")</f>
        <v xml:space="preserve"> </v>
      </c>
      <c r="BA122" s="55"/>
      <c r="BB122" s="32"/>
      <c r="BC122" s="32"/>
      <c r="BD122" s="55"/>
      <c r="BE122" s="32"/>
      <c r="BF122" s="54"/>
      <c r="BG122" s="21" t="str">
        <f>IFERROR(VLOOKUP(November[[#This Row],[Drug Name6]],'Data Options'!$R$1:$S$100,2,FALSE), " ")</f>
        <v xml:space="preserve"> </v>
      </c>
      <c r="BH122" s="55"/>
      <c r="BI122" s="32"/>
      <c r="BJ122" s="32"/>
      <c r="BK122" s="55"/>
      <c r="BL122" s="32"/>
      <c r="BM122" s="32"/>
      <c r="BN122" s="32"/>
      <c r="BO122" s="32"/>
      <c r="BP122" s="32"/>
      <c r="BQ122" s="31"/>
      <c r="BR122" s="31"/>
      <c r="BS122" s="54"/>
      <c r="BT122" s="21" t="str">
        <f>IFERROR(VLOOKUP(November[[#This Row],[Drug Name7]],'Data Options'!$R$1:$S$100,2,FALSE), " ")</f>
        <v xml:space="preserve"> </v>
      </c>
      <c r="BU122" s="55"/>
      <c r="BV122" s="32"/>
      <c r="BW122" s="32"/>
      <c r="BX122" s="55"/>
      <c r="BY122" s="32"/>
      <c r="BZ122" s="54"/>
      <c r="CA122" s="21" t="str">
        <f>IFERROR(VLOOKUP(November[[#This Row],[Drug Name8]],'Data Options'!$R$1:$S$100,2,FALSE), " ")</f>
        <v xml:space="preserve"> </v>
      </c>
      <c r="CB122" s="55"/>
      <c r="CC122" s="32"/>
      <c r="CD122" s="32"/>
      <c r="CE122" s="55"/>
      <c r="CF122" s="32"/>
      <c r="CG122" s="54"/>
      <c r="CH122" s="21" t="str">
        <f>IFERROR(VLOOKUP(November[[#This Row],[Drug Name9]],'Data Options'!$R$1:$S$100,2,FALSE), " ")</f>
        <v xml:space="preserve"> </v>
      </c>
      <c r="CI122" s="55"/>
      <c r="CJ122" s="32"/>
      <c r="CK122" s="32"/>
      <c r="CL122" s="55"/>
      <c r="CM122" s="32"/>
    </row>
    <row r="123" spans="1:91">
      <c r="A123" s="5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1"/>
      <c r="P123" s="31"/>
      <c r="Q123" s="54"/>
      <c r="R123" s="21" t="str">
        <f>IFERROR(VLOOKUP(November[[#This Row],[Drug Name]],'Data Options'!$R$1:$S$100,2,FALSE), " ")</f>
        <v xml:space="preserve"> </v>
      </c>
      <c r="S123" s="55"/>
      <c r="T123" s="32"/>
      <c r="U123" s="32"/>
      <c r="V123" s="55"/>
      <c r="W123" s="32"/>
      <c r="X123" s="54"/>
      <c r="Y123" s="21" t="str">
        <f>IFERROR(VLOOKUP(November[[#This Row],[Drug Name2]],'Data Options'!$R$1:$S$100,2,FALSE), " ")</f>
        <v xml:space="preserve"> </v>
      </c>
      <c r="Z123" s="55"/>
      <c r="AA123" s="32"/>
      <c r="AB123" s="32"/>
      <c r="AC123" s="55"/>
      <c r="AD123" s="32"/>
      <c r="AE123" s="54"/>
      <c r="AF123" s="21" t="str">
        <f>IFERROR(VLOOKUP(November[[#This Row],[Drug Name3]],'Data Options'!$R$1:$S$100,2,FALSE), " ")</f>
        <v xml:space="preserve"> </v>
      </c>
      <c r="AG123" s="55"/>
      <c r="AH123" s="32"/>
      <c r="AI123" s="32"/>
      <c r="AJ123" s="55"/>
      <c r="AK123" s="32"/>
      <c r="AL123" s="32"/>
      <c r="AM123" s="32"/>
      <c r="AN123" s="32"/>
      <c r="AO123" s="32"/>
      <c r="AP123" s="31"/>
      <c r="AQ123" s="31"/>
      <c r="AR123" s="54"/>
      <c r="AS123" s="21" t="str">
        <f>IFERROR(VLOOKUP(November[[#This Row],[Drug Name4]],'Data Options'!$R$1:$S$100,2,FALSE), " ")</f>
        <v xml:space="preserve"> </v>
      </c>
      <c r="AT123" s="55"/>
      <c r="AU123" s="32"/>
      <c r="AV123" s="32"/>
      <c r="AW123" s="55"/>
      <c r="AX123" s="32"/>
      <c r="AY123" s="54"/>
      <c r="AZ123" s="21" t="str">
        <f>IFERROR(VLOOKUP(November[[#This Row],[Drug Name5]],'Data Options'!$R$1:$S$100,2,FALSE), " ")</f>
        <v xml:space="preserve"> </v>
      </c>
      <c r="BA123" s="55"/>
      <c r="BB123" s="32"/>
      <c r="BC123" s="32"/>
      <c r="BD123" s="55"/>
      <c r="BE123" s="32"/>
      <c r="BF123" s="54"/>
      <c r="BG123" s="21" t="str">
        <f>IFERROR(VLOOKUP(November[[#This Row],[Drug Name6]],'Data Options'!$R$1:$S$100,2,FALSE), " ")</f>
        <v xml:space="preserve"> </v>
      </c>
      <c r="BH123" s="55"/>
      <c r="BI123" s="32"/>
      <c r="BJ123" s="32"/>
      <c r="BK123" s="55"/>
      <c r="BL123" s="32"/>
      <c r="BM123" s="32"/>
      <c r="BN123" s="32"/>
      <c r="BO123" s="32"/>
      <c r="BP123" s="32"/>
      <c r="BQ123" s="31"/>
      <c r="BR123" s="31"/>
      <c r="BS123" s="54"/>
      <c r="BT123" s="21" t="str">
        <f>IFERROR(VLOOKUP(November[[#This Row],[Drug Name7]],'Data Options'!$R$1:$S$100,2,FALSE), " ")</f>
        <v xml:space="preserve"> </v>
      </c>
      <c r="BU123" s="55"/>
      <c r="BV123" s="32"/>
      <c r="BW123" s="32"/>
      <c r="BX123" s="55"/>
      <c r="BY123" s="32"/>
      <c r="BZ123" s="54"/>
      <c r="CA123" s="21" t="str">
        <f>IFERROR(VLOOKUP(November[[#This Row],[Drug Name8]],'Data Options'!$R$1:$S$100,2,FALSE), " ")</f>
        <v xml:space="preserve"> </v>
      </c>
      <c r="CB123" s="55"/>
      <c r="CC123" s="32"/>
      <c r="CD123" s="32"/>
      <c r="CE123" s="55"/>
      <c r="CF123" s="32"/>
      <c r="CG123" s="54"/>
      <c r="CH123" s="21" t="str">
        <f>IFERROR(VLOOKUP(November[[#This Row],[Drug Name9]],'Data Options'!$R$1:$S$100,2,FALSE), " ")</f>
        <v xml:space="preserve"> </v>
      </c>
      <c r="CI123" s="55"/>
      <c r="CJ123" s="32"/>
      <c r="CK123" s="32"/>
      <c r="CL123" s="55"/>
      <c r="CM123" s="32"/>
    </row>
    <row r="124" spans="1:91">
      <c r="A124" s="5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1"/>
      <c r="P124" s="31"/>
      <c r="Q124" s="54"/>
      <c r="R124" s="21" t="str">
        <f>IFERROR(VLOOKUP(November[[#This Row],[Drug Name]],'Data Options'!$R$1:$S$100,2,FALSE), " ")</f>
        <v xml:space="preserve"> </v>
      </c>
      <c r="S124" s="55"/>
      <c r="T124" s="32"/>
      <c r="U124" s="32"/>
      <c r="V124" s="55"/>
      <c r="W124" s="32"/>
      <c r="X124" s="54"/>
      <c r="Y124" s="21" t="str">
        <f>IFERROR(VLOOKUP(November[[#This Row],[Drug Name2]],'Data Options'!$R$1:$S$100,2,FALSE), " ")</f>
        <v xml:space="preserve"> </v>
      </c>
      <c r="Z124" s="55"/>
      <c r="AA124" s="32"/>
      <c r="AB124" s="32"/>
      <c r="AC124" s="55"/>
      <c r="AD124" s="32"/>
      <c r="AE124" s="54"/>
      <c r="AF124" s="21" t="str">
        <f>IFERROR(VLOOKUP(November[[#This Row],[Drug Name3]],'Data Options'!$R$1:$S$100,2,FALSE), " ")</f>
        <v xml:space="preserve"> </v>
      </c>
      <c r="AG124" s="55"/>
      <c r="AH124" s="32"/>
      <c r="AI124" s="32"/>
      <c r="AJ124" s="55"/>
      <c r="AK124" s="32"/>
      <c r="AL124" s="32"/>
      <c r="AM124" s="32"/>
      <c r="AN124" s="32"/>
      <c r="AO124" s="32"/>
      <c r="AP124" s="31"/>
      <c r="AQ124" s="31"/>
      <c r="AR124" s="54"/>
      <c r="AS124" s="21" t="str">
        <f>IFERROR(VLOOKUP(November[[#This Row],[Drug Name4]],'Data Options'!$R$1:$S$100,2,FALSE), " ")</f>
        <v xml:space="preserve"> </v>
      </c>
      <c r="AT124" s="55"/>
      <c r="AU124" s="32"/>
      <c r="AV124" s="32"/>
      <c r="AW124" s="55"/>
      <c r="AX124" s="32"/>
      <c r="AY124" s="54"/>
      <c r="AZ124" s="21" t="str">
        <f>IFERROR(VLOOKUP(November[[#This Row],[Drug Name5]],'Data Options'!$R$1:$S$100,2,FALSE), " ")</f>
        <v xml:space="preserve"> </v>
      </c>
      <c r="BA124" s="55"/>
      <c r="BB124" s="32"/>
      <c r="BC124" s="32"/>
      <c r="BD124" s="55"/>
      <c r="BE124" s="32"/>
      <c r="BF124" s="54"/>
      <c r="BG124" s="21" t="str">
        <f>IFERROR(VLOOKUP(November[[#This Row],[Drug Name6]],'Data Options'!$R$1:$S$100,2,FALSE), " ")</f>
        <v xml:space="preserve"> </v>
      </c>
      <c r="BH124" s="55"/>
      <c r="BI124" s="32"/>
      <c r="BJ124" s="32"/>
      <c r="BK124" s="55"/>
      <c r="BL124" s="32"/>
      <c r="BM124" s="32"/>
      <c r="BN124" s="32"/>
      <c r="BO124" s="32"/>
      <c r="BP124" s="32"/>
      <c r="BQ124" s="31"/>
      <c r="BR124" s="31"/>
      <c r="BS124" s="54"/>
      <c r="BT124" s="21" t="str">
        <f>IFERROR(VLOOKUP(November[[#This Row],[Drug Name7]],'Data Options'!$R$1:$S$100,2,FALSE), " ")</f>
        <v xml:space="preserve"> </v>
      </c>
      <c r="BU124" s="55"/>
      <c r="BV124" s="32"/>
      <c r="BW124" s="32"/>
      <c r="BX124" s="55"/>
      <c r="BY124" s="32"/>
      <c r="BZ124" s="54"/>
      <c r="CA124" s="21" t="str">
        <f>IFERROR(VLOOKUP(November[[#This Row],[Drug Name8]],'Data Options'!$R$1:$S$100,2,FALSE), " ")</f>
        <v xml:space="preserve"> </v>
      </c>
      <c r="CB124" s="55"/>
      <c r="CC124" s="32"/>
      <c r="CD124" s="32"/>
      <c r="CE124" s="55"/>
      <c r="CF124" s="32"/>
      <c r="CG124" s="54"/>
      <c r="CH124" s="21" t="str">
        <f>IFERROR(VLOOKUP(November[[#This Row],[Drug Name9]],'Data Options'!$R$1:$S$100,2,FALSE), " ")</f>
        <v xml:space="preserve"> </v>
      </c>
      <c r="CI124" s="55"/>
      <c r="CJ124" s="32"/>
      <c r="CK124" s="32"/>
      <c r="CL124" s="55"/>
      <c r="CM124" s="32"/>
    </row>
    <row r="125" spans="1:91">
      <c r="A125" s="5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1"/>
      <c r="P125" s="31"/>
      <c r="Q125" s="54"/>
      <c r="R125" s="21" t="str">
        <f>IFERROR(VLOOKUP(November[[#This Row],[Drug Name]],'Data Options'!$R$1:$S$100,2,FALSE), " ")</f>
        <v xml:space="preserve"> </v>
      </c>
      <c r="S125" s="55"/>
      <c r="T125" s="32"/>
      <c r="U125" s="32"/>
      <c r="V125" s="55"/>
      <c r="W125" s="32"/>
      <c r="X125" s="54"/>
      <c r="Y125" s="21" t="str">
        <f>IFERROR(VLOOKUP(November[[#This Row],[Drug Name2]],'Data Options'!$R$1:$S$100,2,FALSE), " ")</f>
        <v xml:space="preserve"> </v>
      </c>
      <c r="Z125" s="55"/>
      <c r="AA125" s="32"/>
      <c r="AB125" s="32"/>
      <c r="AC125" s="55"/>
      <c r="AD125" s="32"/>
      <c r="AE125" s="54"/>
      <c r="AF125" s="21" t="str">
        <f>IFERROR(VLOOKUP(November[[#This Row],[Drug Name3]],'Data Options'!$R$1:$S$100,2,FALSE), " ")</f>
        <v xml:space="preserve"> </v>
      </c>
      <c r="AG125" s="55"/>
      <c r="AH125" s="32"/>
      <c r="AI125" s="32"/>
      <c r="AJ125" s="55"/>
      <c r="AK125" s="32"/>
      <c r="AL125" s="32"/>
      <c r="AM125" s="32"/>
      <c r="AN125" s="32"/>
      <c r="AO125" s="32"/>
      <c r="AP125" s="31"/>
      <c r="AQ125" s="31"/>
      <c r="AR125" s="54"/>
      <c r="AS125" s="21" t="str">
        <f>IFERROR(VLOOKUP(November[[#This Row],[Drug Name4]],'Data Options'!$R$1:$S$100,2,FALSE), " ")</f>
        <v xml:space="preserve"> </v>
      </c>
      <c r="AT125" s="55"/>
      <c r="AU125" s="32"/>
      <c r="AV125" s="32"/>
      <c r="AW125" s="55"/>
      <c r="AX125" s="32"/>
      <c r="AY125" s="54"/>
      <c r="AZ125" s="21" t="str">
        <f>IFERROR(VLOOKUP(November[[#This Row],[Drug Name5]],'Data Options'!$R$1:$S$100,2,FALSE), " ")</f>
        <v xml:space="preserve"> </v>
      </c>
      <c r="BA125" s="55"/>
      <c r="BB125" s="32"/>
      <c r="BC125" s="32"/>
      <c r="BD125" s="55"/>
      <c r="BE125" s="32"/>
      <c r="BF125" s="54"/>
      <c r="BG125" s="21" t="str">
        <f>IFERROR(VLOOKUP(November[[#This Row],[Drug Name6]],'Data Options'!$R$1:$S$100,2,FALSE), " ")</f>
        <v xml:space="preserve"> </v>
      </c>
      <c r="BH125" s="55"/>
      <c r="BI125" s="32"/>
      <c r="BJ125" s="32"/>
      <c r="BK125" s="55"/>
      <c r="BL125" s="32"/>
      <c r="BM125" s="32"/>
      <c r="BN125" s="32"/>
      <c r="BO125" s="32"/>
      <c r="BP125" s="32"/>
      <c r="BQ125" s="31"/>
      <c r="BR125" s="31"/>
      <c r="BS125" s="54"/>
      <c r="BT125" s="21" t="str">
        <f>IFERROR(VLOOKUP(November[[#This Row],[Drug Name7]],'Data Options'!$R$1:$S$100,2,FALSE), " ")</f>
        <v xml:space="preserve"> </v>
      </c>
      <c r="BU125" s="55"/>
      <c r="BV125" s="32"/>
      <c r="BW125" s="32"/>
      <c r="BX125" s="55"/>
      <c r="BY125" s="32"/>
      <c r="BZ125" s="54"/>
      <c r="CA125" s="21" t="str">
        <f>IFERROR(VLOOKUP(November[[#This Row],[Drug Name8]],'Data Options'!$R$1:$S$100,2,FALSE), " ")</f>
        <v xml:space="preserve"> </v>
      </c>
      <c r="CB125" s="55"/>
      <c r="CC125" s="32"/>
      <c r="CD125" s="32"/>
      <c r="CE125" s="55"/>
      <c r="CF125" s="32"/>
      <c r="CG125" s="54"/>
      <c r="CH125" s="21" t="str">
        <f>IFERROR(VLOOKUP(November[[#This Row],[Drug Name9]],'Data Options'!$R$1:$S$100,2,FALSE), " ")</f>
        <v xml:space="preserve"> </v>
      </c>
      <c r="CI125" s="55"/>
      <c r="CJ125" s="32"/>
      <c r="CK125" s="32"/>
      <c r="CL125" s="55"/>
      <c r="CM125" s="32"/>
    </row>
    <row r="126" spans="1:91">
      <c r="A126" s="5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1"/>
      <c r="P126" s="31"/>
      <c r="Q126" s="54"/>
      <c r="R126" s="21" t="str">
        <f>IFERROR(VLOOKUP(November[[#This Row],[Drug Name]],'Data Options'!$R$1:$S$100,2,FALSE), " ")</f>
        <v xml:space="preserve"> </v>
      </c>
      <c r="S126" s="55"/>
      <c r="T126" s="32"/>
      <c r="U126" s="32"/>
      <c r="V126" s="55"/>
      <c r="W126" s="32"/>
      <c r="X126" s="54"/>
      <c r="Y126" s="21" t="str">
        <f>IFERROR(VLOOKUP(November[[#This Row],[Drug Name2]],'Data Options'!$R$1:$S$100,2,FALSE), " ")</f>
        <v xml:space="preserve"> </v>
      </c>
      <c r="Z126" s="55"/>
      <c r="AA126" s="32"/>
      <c r="AB126" s="32"/>
      <c r="AC126" s="55"/>
      <c r="AD126" s="32"/>
      <c r="AE126" s="54"/>
      <c r="AF126" s="21" t="str">
        <f>IFERROR(VLOOKUP(November[[#This Row],[Drug Name3]],'Data Options'!$R$1:$S$100,2,FALSE), " ")</f>
        <v xml:space="preserve"> </v>
      </c>
      <c r="AG126" s="55"/>
      <c r="AH126" s="32"/>
      <c r="AI126" s="32"/>
      <c r="AJ126" s="55"/>
      <c r="AK126" s="32"/>
      <c r="AL126" s="32"/>
      <c r="AM126" s="32"/>
      <c r="AN126" s="32"/>
      <c r="AO126" s="32"/>
      <c r="AP126" s="31"/>
      <c r="AQ126" s="31"/>
      <c r="AR126" s="54"/>
      <c r="AS126" s="21" t="str">
        <f>IFERROR(VLOOKUP(November[[#This Row],[Drug Name4]],'Data Options'!$R$1:$S$100,2,FALSE), " ")</f>
        <v xml:space="preserve"> </v>
      </c>
      <c r="AT126" s="55"/>
      <c r="AU126" s="32"/>
      <c r="AV126" s="32"/>
      <c r="AW126" s="55"/>
      <c r="AX126" s="32"/>
      <c r="AY126" s="54"/>
      <c r="AZ126" s="21" t="str">
        <f>IFERROR(VLOOKUP(November[[#This Row],[Drug Name5]],'Data Options'!$R$1:$S$100,2,FALSE), " ")</f>
        <v xml:space="preserve"> </v>
      </c>
      <c r="BA126" s="55"/>
      <c r="BB126" s="32"/>
      <c r="BC126" s="32"/>
      <c r="BD126" s="55"/>
      <c r="BE126" s="32"/>
      <c r="BF126" s="54"/>
      <c r="BG126" s="21" t="str">
        <f>IFERROR(VLOOKUP(November[[#This Row],[Drug Name6]],'Data Options'!$R$1:$S$100,2,FALSE), " ")</f>
        <v xml:space="preserve"> </v>
      </c>
      <c r="BH126" s="55"/>
      <c r="BI126" s="32"/>
      <c r="BJ126" s="32"/>
      <c r="BK126" s="55"/>
      <c r="BL126" s="32"/>
      <c r="BM126" s="32"/>
      <c r="BN126" s="32"/>
      <c r="BO126" s="32"/>
      <c r="BP126" s="32"/>
      <c r="BQ126" s="31"/>
      <c r="BR126" s="31"/>
      <c r="BS126" s="54"/>
      <c r="BT126" s="21" t="str">
        <f>IFERROR(VLOOKUP(November[[#This Row],[Drug Name7]],'Data Options'!$R$1:$S$100,2,FALSE), " ")</f>
        <v xml:space="preserve"> </v>
      </c>
      <c r="BU126" s="55"/>
      <c r="BV126" s="32"/>
      <c r="BW126" s="32"/>
      <c r="BX126" s="55"/>
      <c r="BY126" s="32"/>
      <c r="BZ126" s="54"/>
      <c r="CA126" s="21" t="str">
        <f>IFERROR(VLOOKUP(November[[#This Row],[Drug Name8]],'Data Options'!$R$1:$S$100,2,FALSE), " ")</f>
        <v xml:space="preserve"> </v>
      </c>
      <c r="CB126" s="55"/>
      <c r="CC126" s="32"/>
      <c r="CD126" s="32"/>
      <c r="CE126" s="55"/>
      <c r="CF126" s="32"/>
      <c r="CG126" s="54"/>
      <c r="CH126" s="21" t="str">
        <f>IFERROR(VLOOKUP(November[[#This Row],[Drug Name9]],'Data Options'!$R$1:$S$100,2,FALSE), " ")</f>
        <v xml:space="preserve"> </v>
      </c>
      <c r="CI126" s="55"/>
      <c r="CJ126" s="32"/>
      <c r="CK126" s="32"/>
      <c r="CL126" s="55"/>
      <c r="CM126" s="32"/>
    </row>
    <row r="127" spans="1:91">
      <c r="A127" s="5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1"/>
      <c r="P127" s="31"/>
      <c r="Q127" s="54"/>
      <c r="R127" s="21" t="str">
        <f>IFERROR(VLOOKUP(November[[#This Row],[Drug Name]],'Data Options'!$R$1:$S$100,2,FALSE), " ")</f>
        <v xml:space="preserve"> </v>
      </c>
      <c r="S127" s="55"/>
      <c r="T127" s="32"/>
      <c r="U127" s="32"/>
      <c r="V127" s="55"/>
      <c r="W127" s="32"/>
      <c r="X127" s="54"/>
      <c r="Y127" s="21" t="str">
        <f>IFERROR(VLOOKUP(November[[#This Row],[Drug Name2]],'Data Options'!$R$1:$S$100,2,FALSE), " ")</f>
        <v xml:space="preserve"> </v>
      </c>
      <c r="Z127" s="55"/>
      <c r="AA127" s="32"/>
      <c r="AB127" s="32"/>
      <c r="AC127" s="55"/>
      <c r="AD127" s="32"/>
      <c r="AE127" s="54"/>
      <c r="AF127" s="21" t="str">
        <f>IFERROR(VLOOKUP(November[[#This Row],[Drug Name3]],'Data Options'!$R$1:$S$100,2,FALSE), " ")</f>
        <v xml:space="preserve"> </v>
      </c>
      <c r="AG127" s="55"/>
      <c r="AH127" s="32"/>
      <c r="AI127" s="32"/>
      <c r="AJ127" s="55"/>
      <c r="AK127" s="32"/>
      <c r="AL127" s="32"/>
      <c r="AM127" s="32"/>
      <c r="AN127" s="32"/>
      <c r="AO127" s="32"/>
      <c r="AP127" s="31"/>
      <c r="AQ127" s="31"/>
      <c r="AR127" s="54"/>
      <c r="AS127" s="21" t="str">
        <f>IFERROR(VLOOKUP(November[[#This Row],[Drug Name4]],'Data Options'!$R$1:$S$100,2,FALSE), " ")</f>
        <v xml:space="preserve"> </v>
      </c>
      <c r="AT127" s="55"/>
      <c r="AU127" s="32"/>
      <c r="AV127" s="32"/>
      <c r="AW127" s="55"/>
      <c r="AX127" s="32"/>
      <c r="AY127" s="54"/>
      <c r="AZ127" s="21" t="str">
        <f>IFERROR(VLOOKUP(November[[#This Row],[Drug Name5]],'Data Options'!$R$1:$S$100,2,FALSE), " ")</f>
        <v xml:space="preserve"> </v>
      </c>
      <c r="BA127" s="55"/>
      <c r="BB127" s="32"/>
      <c r="BC127" s="32"/>
      <c r="BD127" s="55"/>
      <c r="BE127" s="32"/>
      <c r="BF127" s="54"/>
      <c r="BG127" s="21" t="str">
        <f>IFERROR(VLOOKUP(November[[#This Row],[Drug Name6]],'Data Options'!$R$1:$S$100,2,FALSE), " ")</f>
        <v xml:space="preserve"> </v>
      </c>
      <c r="BH127" s="55"/>
      <c r="BI127" s="32"/>
      <c r="BJ127" s="32"/>
      <c r="BK127" s="55"/>
      <c r="BL127" s="32"/>
      <c r="BM127" s="32"/>
      <c r="BN127" s="32"/>
      <c r="BO127" s="32"/>
      <c r="BP127" s="32"/>
      <c r="BQ127" s="31"/>
      <c r="BR127" s="31"/>
      <c r="BS127" s="54"/>
      <c r="BT127" s="21" t="str">
        <f>IFERROR(VLOOKUP(November[[#This Row],[Drug Name7]],'Data Options'!$R$1:$S$100,2,FALSE), " ")</f>
        <v xml:space="preserve"> </v>
      </c>
      <c r="BU127" s="55"/>
      <c r="BV127" s="32"/>
      <c r="BW127" s="32"/>
      <c r="BX127" s="55"/>
      <c r="BY127" s="32"/>
      <c r="BZ127" s="54"/>
      <c r="CA127" s="21" t="str">
        <f>IFERROR(VLOOKUP(November[[#This Row],[Drug Name8]],'Data Options'!$R$1:$S$100,2,FALSE), " ")</f>
        <v xml:space="preserve"> </v>
      </c>
      <c r="CB127" s="55"/>
      <c r="CC127" s="32"/>
      <c r="CD127" s="32"/>
      <c r="CE127" s="55"/>
      <c r="CF127" s="32"/>
      <c r="CG127" s="54"/>
      <c r="CH127" s="21" t="str">
        <f>IFERROR(VLOOKUP(November[[#This Row],[Drug Name9]],'Data Options'!$R$1:$S$100,2,FALSE), " ")</f>
        <v xml:space="preserve"> </v>
      </c>
      <c r="CI127" s="55"/>
      <c r="CJ127" s="32"/>
      <c r="CK127" s="32"/>
      <c r="CL127" s="55"/>
      <c r="CM127" s="32"/>
    </row>
    <row r="128" spans="1:91">
      <c r="A128" s="5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1"/>
      <c r="P128" s="31"/>
      <c r="Q128" s="54"/>
      <c r="R128" s="21" t="str">
        <f>IFERROR(VLOOKUP(November[[#This Row],[Drug Name]],'Data Options'!$R$1:$S$100,2,FALSE), " ")</f>
        <v xml:space="preserve"> </v>
      </c>
      <c r="S128" s="55"/>
      <c r="T128" s="32"/>
      <c r="U128" s="32"/>
      <c r="V128" s="55"/>
      <c r="W128" s="32"/>
      <c r="X128" s="54"/>
      <c r="Y128" s="21" t="str">
        <f>IFERROR(VLOOKUP(November[[#This Row],[Drug Name2]],'Data Options'!$R$1:$S$100,2,FALSE), " ")</f>
        <v xml:space="preserve"> </v>
      </c>
      <c r="Z128" s="55"/>
      <c r="AA128" s="32"/>
      <c r="AB128" s="32"/>
      <c r="AC128" s="55"/>
      <c r="AD128" s="32"/>
      <c r="AE128" s="54"/>
      <c r="AF128" s="21" t="str">
        <f>IFERROR(VLOOKUP(November[[#This Row],[Drug Name3]],'Data Options'!$R$1:$S$100,2,FALSE), " ")</f>
        <v xml:space="preserve"> </v>
      </c>
      <c r="AG128" s="55"/>
      <c r="AH128" s="32"/>
      <c r="AI128" s="32"/>
      <c r="AJ128" s="55"/>
      <c r="AK128" s="32"/>
      <c r="AL128" s="32"/>
      <c r="AM128" s="32"/>
      <c r="AN128" s="32"/>
      <c r="AO128" s="32"/>
      <c r="AP128" s="31"/>
      <c r="AQ128" s="31"/>
      <c r="AR128" s="54"/>
      <c r="AS128" s="21" t="str">
        <f>IFERROR(VLOOKUP(November[[#This Row],[Drug Name4]],'Data Options'!$R$1:$S$100,2,FALSE), " ")</f>
        <v xml:space="preserve"> </v>
      </c>
      <c r="AT128" s="55"/>
      <c r="AU128" s="32"/>
      <c r="AV128" s="32"/>
      <c r="AW128" s="55"/>
      <c r="AX128" s="32"/>
      <c r="AY128" s="54"/>
      <c r="AZ128" s="21" t="str">
        <f>IFERROR(VLOOKUP(November[[#This Row],[Drug Name5]],'Data Options'!$R$1:$S$100,2,FALSE), " ")</f>
        <v xml:space="preserve"> </v>
      </c>
      <c r="BA128" s="55"/>
      <c r="BB128" s="32"/>
      <c r="BC128" s="32"/>
      <c r="BD128" s="55"/>
      <c r="BE128" s="32"/>
      <c r="BF128" s="54"/>
      <c r="BG128" s="21" t="str">
        <f>IFERROR(VLOOKUP(November[[#This Row],[Drug Name6]],'Data Options'!$R$1:$S$100,2,FALSE), " ")</f>
        <v xml:space="preserve"> </v>
      </c>
      <c r="BH128" s="55"/>
      <c r="BI128" s="32"/>
      <c r="BJ128" s="32"/>
      <c r="BK128" s="55"/>
      <c r="BL128" s="32"/>
      <c r="BM128" s="32"/>
      <c r="BN128" s="32"/>
      <c r="BO128" s="32"/>
      <c r="BP128" s="32"/>
      <c r="BQ128" s="31"/>
      <c r="BR128" s="31"/>
      <c r="BS128" s="54"/>
      <c r="BT128" s="21" t="str">
        <f>IFERROR(VLOOKUP(November[[#This Row],[Drug Name7]],'Data Options'!$R$1:$S$100,2,FALSE), " ")</f>
        <v xml:space="preserve"> </v>
      </c>
      <c r="BU128" s="55"/>
      <c r="BV128" s="32"/>
      <c r="BW128" s="32"/>
      <c r="BX128" s="55"/>
      <c r="BY128" s="32"/>
      <c r="BZ128" s="54"/>
      <c r="CA128" s="21" t="str">
        <f>IFERROR(VLOOKUP(November[[#This Row],[Drug Name8]],'Data Options'!$R$1:$S$100,2,FALSE), " ")</f>
        <v xml:space="preserve"> </v>
      </c>
      <c r="CB128" s="55"/>
      <c r="CC128" s="32"/>
      <c r="CD128" s="32"/>
      <c r="CE128" s="55"/>
      <c r="CF128" s="32"/>
      <c r="CG128" s="54"/>
      <c r="CH128" s="21" t="str">
        <f>IFERROR(VLOOKUP(November[[#This Row],[Drug Name9]],'Data Options'!$R$1:$S$100,2,FALSE), " ")</f>
        <v xml:space="preserve"> </v>
      </c>
      <c r="CI128" s="55"/>
      <c r="CJ128" s="32"/>
      <c r="CK128" s="32"/>
      <c r="CL128" s="55"/>
      <c r="CM128" s="32"/>
    </row>
    <row r="129" spans="1:91">
      <c r="A129" s="5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1"/>
      <c r="P129" s="31"/>
      <c r="Q129" s="54"/>
      <c r="R129" s="21" t="str">
        <f>IFERROR(VLOOKUP(November[[#This Row],[Drug Name]],'Data Options'!$R$1:$S$100,2,FALSE), " ")</f>
        <v xml:space="preserve"> </v>
      </c>
      <c r="S129" s="55"/>
      <c r="T129" s="32"/>
      <c r="U129" s="32"/>
      <c r="V129" s="55"/>
      <c r="W129" s="32"/>
      <c r="X129" s="54"/>
      <c r="Y129" s="21" t="str">
        <f>IFERROR(VLOOKUP(November[[#This Row],[Drug Name2]],'Data Options'!$R$1:$S$100,2,FALSE), " ")</f>
        <v xml:space="preserve"> </v>
      </c>
      <c r="Z129" s="55"/>
      <c r="AA129" s="32"/>
      <c r="AB129" s="32"/>
      <c r="AC129" s="55"/>
      <c r="AD129" s="32"/>
      <c r="AE129" s="54"/>
      <c r="AF129" s="21" t="str">
        <f>IFERROR(VLOOKUP(November[[#This Row],[Drug Name3]],'Data Options'!$R$1:$S$100,2,FALSE), " ")</f>
        <v xml:space="preserve"> </v>
      </c>
      <c r="AG129" s="55"/>
      <c r="AH129" s="32"/>
      <c r="AI129" s="32"/>
      <c r="AJ129" s="55"/>
      <c r="AK129" s="32"/>
      <c r="AL129" s="32"/>
      <c r="AM129" s="32"/>
      <c r="AN129" s="32"/>
      <c r="AO129" s="32"/>
      <c r="AP129" s="31"/>
      <c r="AQ129" s="31"/>
      <c r="AR129" s="54"/>
      <c r="AS129" s="21" t="str">
        <f>IFERROR(VLOOKUP(November[[#This Row],[Drug Name4]],'Data Options'!$R$1:$S$100,2,FALSE), " ")</f>
        <v xml:space="preserve"> </v>
      </c>
      <c r="AT129" s="55"/>
      <c r="AU129" s="32"/>
      <c r="AV129" s="32"/>
      <c r="AW129" s="55"/>
      <c r="AX129" s="32"/>
      <c r="AY129" s="54"/>
      <c r="AZ129" s="21" t="str">
        <f>IFERROR(VLOOKUP(November[[#This Row],[Drug Name5]],'Data Options'!$R$1:$S$100,2,FALSE), " ")</f>
        <v xml:space="preserve"> </v>
      </c>
      <c r="BA129" s="55"/>
      <c r="BB129" s="32"/>
      <c r="BC129" s="32"/>
      <c r="BD129" s="55"/>
      <c r="BE129" s="32"/>
      <c r="BF129" s="54"/>
      <c r="BG129" s="21" t="str">
        <f>IFERROR(VLOOKUP(November[[#This Row],[Drug Name6]],'Data Options'!$R$1:$S$100,2,FALSE), " ")</f>
        <v xml:space="preserve"> </v>
      </c>
      <c r="BH129" s="55"/>
      <c r="BI129" s="32"/>
      <c r="BJ129" s="32"/>
      <c r="BK129" s="55"/>
      <c r="BL129" s="32"/>
      <c r="BM129" s="32"/>
      <c r="BN129" s="32"/>
      <c r="BO129" s="32"/>
      <c r="BP129" s="32"/>
      <c r="BQ129" s="31"/>
      <c r="BR129" s="31"/>
      <c r="BS129" s="54"/>
      <c r="BT129" s="21" t="str">
        <f>IFERROR(VLOOKUP(November[[#This Row],[Drug Name7]],'Data Options'!$R$1:$S$100,2,FALSE), " ")</f>
        <v xml:space="preserve"> </v>
      </c>
      <c r="BU129" s="55"/>
      <c r="BV129" s="32"/>
      <c r="BW129" s="32"/>
      <c r="BX129" s="55"/>
      <c r="BY129" s="32"/>
      <c r="BZ129" s="54"/>
      <c r="CA129" s="21" t="str">
        <f>IFERROR(VLOOKUP(November[[#This Row],[Drug Name8]],'Data Options'!$R$1:$S$100,2,FALSE), " ")</f>
        <v xml:space="preserve"> </v>
      </c>
      <c r="CB129" s="55"/>
      <c r="CC129" s="32"/>
      <c r="CD129" s="32"/>
      <c r="CE129" s="55"/>
      <c r="CF129" s="32"/>
      <c r="CG129" s="54"/>
      <c r="CH129" s="21" t="str">
        <f>IFERROR(VLOOKUP(November[[#This Row],[Drug Name9]],'Data Options'!$R$1:$S$100,2,FALSE), " ")</f>
        <v xml:space="preserve"> </v>
      </c>
      <c r="CI129" s="55"/>
      <c r="CJ129" s="32"/>
      <c r="CK129" s="32"/>
      <c r="CL129" s="55"/>
      <c r="CM129" s="32"/>
    </row>
    <row r="130" spans="1:91">
      <c r="A130" s="5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1"/>
      <c r="P130" s="31"/>
      <c r="Q130" s="54"/>
      <c r="R130" s="21" t="str">
        <f>IFERROR(VLOOKUP(November[[#This Row],[Drug Name]],'Data Options'!$R$1:$S$100,2,FALSE), " ")</f>
        <v xml:space="preserve"> </v>
      </c>
      <c r="S130" s="55"/>
      <c r="T130" s="32"/>
      <c r="U130" s="32"/>
      <c r="V130" s="55"/>
      <c r="W130" s="32"/>
      <c r="X130" s="54"/>
      <c r="Y130" s="21" t="str">
        <f>IFERROR(VLOOKUP(November[[#This Row],[Drug Name2]],'Data Options'!$R$1:$S$100,2,FALSE), " ")</f>
        <v xml:space="preserve"> </v>
      </c>
      <c r="Z130" s="55"/>
      <c r="AA130" s="32"/>
      <c r="AB130" s="32"/>
      <c r="AC130" s="55"/>
      <c r="AD130" s="32"/>
      <c r="AE130" s="54"/>
      <c r="AF130" s="21" t="str">
        <f>IFERROR(VLOOKUP(November[[#This Row],[Drug Name3]],'Data Options'!$R$1:$S$100,2,FALSE), " ")</f>
        <v xml:space="preserve"> </v>
      </c>
      <c r="AG130" s="55"/>
      <c r="AH130" s="32"/>
      <c r="AI130" s="32"/>
      <c r="AJ130" s="55"/>
      <c r="AK130" s="32"/>
      <c r="AL130" s="32"/>
      <c r="AM130" s="32"/>
      <c r="AN130" s="32"/>
      <c r="AO130" s="32"/>
      <c r="AP130" s="31"/>
      <c r="AQ130" s="31"/>
      <c r="AR130" s="54"/>
      <c r="AS130" s="21" t="str">
        <f>IFERROR(VLOOKUP(November[[#This Row],[Drug Name4]],'Data Options'!$R$1:$S$100,2,FALSE), " ")</f>
        <v xml:space="preserve"> </v>
      </c>
      <c r="AT130" s="55"/>
      <c r="AU130" s="32"/>
      <c r="AV130" s="32"/>
      <c r="AW130" s="55"/>
      <c r="AX130" s="32"/>
      <c r="AY130" s="54"/>
      <c r="AZ130" s="21" t="str">
        <f>IFERROR(VLOOKUP(November[[#This Row],[Drug Name5]],'Data Options'!$R$1:$S$100,2,FALSE), " ")</f>
        <v xml:space="preserve"> </v>
      </c>
      <c r="BA130" s="55"/>
      <c r="BB130" s="32"/>
      <c r="BC130" s="32"/>
      <c r="BD130" s="55"/>
      <c r="BE130" s="32"/>
      <c r="BF130" s="54"/>
      <c r="BG130" s="21" t="str">
        <f>IFERROR(VLOOKUP(November[[#This Row],[Drug Name6]],'Data Options'!$R$1:$S$100,2,FALSE), " ")</f>
        <v xml:space="preserve"> </v>
      </c>
      <c r="BH130" s="55"/>
      <c r="BI130" s="32"/>
      <c r="BJ130" s="32"/>
      <c r="BK130" s="55"/>
      <c r="BL130" s="32"/>
      <c r="BM130" s="32"/>
      <c r="BN130" s="32"/>
      <c r="BO130" s="32"/>
      <c r="BP130" s="32"/>
      <c r="BQ130" s="31"/>
      <c r="BR130" s="31"/>
      <c r="BS130" s="54"/>
      <c r="BT130" s="21" t="str">
        <f>IFERROR(VLOOKUP(November[[#This Row],[Drug Name7]],'Data Options'!$R$1:$S$100,2,FALSE), " ")</f>
        <v xml:space="preserve"> </v>
      </c>
      <c r="BU130" s="55"/>
      <c r="BV130" s="32"/>
      <c r="BW130" s="32"/>
      <c r="BX130" s="55"/>
      <c r="BY130" s="32"/>
      <c r="BZ130" s="54"/>
      <c r="CA130" s="21" t="str">
        <f>IFERROR(VLOOKUP(November[[#This Row],[Drug Name8]],'Data Options'!$R$1:$S$100,2,FALSE), " ")</f>
        <v xml:space="preserve"> </v>
      </c>
      <c r="CB130" s="55"/>
      <c r="CC130" s="32"/>
      <c r="CD130" s="32"/>
      <c r="CE130" s="55"/>
      <c r="CF130" s="32"/>
      <c r="CG130" s="54"/>
      <c r="CH130" s="21" t="str">
        <f>IFERROR(VLOOKUP(November[[#This Row],[Drug Name9]],'Data Options'!$R$1:$S$100,2,FALSE), " ")</f>
        <v xml:space="preserve"> </v>
      </c>
      <c r="CI130" s="55"/>
      <c r="CJ130" s="32"/>
      <c r="CK130" s="32"/>
      <c r="CL130" s="55"/>
      <c r="CM130" s="32"/>
    </row>
    <row r="131" spans="1:91">
      <c r="A131" s="5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1"/>
      <c r="P131" s="31"/>
      <c r="Q131" s="54"/>
      <c r="R131" s="21" t="str">
        <f>IFERROR(VLOOKUP(November[[#This Row],[Drug Name]],'Data Options'!$R$1:$S$100,2,FALSE), " ")</f>
        <v xml:space="preserve"> </v>
      </c>
      <c r="S131" s="55"/>
      <c r="T131" s="32"/>
      <c r="U131" s="32"/>
      <c r="V131" s="55"/>
      <c r="W131" s="32"/>
      <c r="X131" s="54"/>
      <c r="Y131" s="21" t="str">
        <f>IFERROR(VLOOKUP(November[[#This Row],[Drug Name2]],'Data Options'!$R$1:$S$100,2,FALSE), " ")</f>
        <v xml:space="preserve"> </v>
      </c>
      <c r="Z131" s="55"/>
      <c r="AA131" s="32"/>
      <c r="AB131" s="32"/>
      <c r="AC131" s="55"/>
      <c r="AD131" s="32"/>
      <c r="AE131" s="54"/>
      <c r="AF131" s="21" t="str">
        <f>IFERROR(VLOOKUP(November[[#This Row],[Drug Name3]],'Data Options'!$R$1:$S$100,2,FALSE), " ")</f>
        <v xml:space="preserve"> </v>
      </c>
      <c r="AG131" s="55"/>
      <c r="AH131" s="32"/>
      <c r="AI131" s="32"/>
      <c r="AJ131" s="55"/>
      <c r="AK131" s="32"/>
      <c r="AL131" s="32"/>
      <c r="AM131" s="32"/>
      <c r="AN131" s="32"/>
      <c r="AO131" s="32"/>
      <c r="AP131" s="31"/>
      <c r="AQ131" s="31"/>
      <c r="AR131" s="54"/>
      <c r="AS131" s="21" t="str">
        <f>IFERROR(VLOOKUP(November[[#This Row],[Drug Name4]],'Data Options'!$R$1:$S$100,2,FALSE), " ")</f>
        <v xml:space="preserve"> </v>
      </c>
      <c r="AT131" s="55"/>
      <c r="AU131" s="32"/>
      <c r="AV131" s="32"/>
      <c r="AW131" s="55"/>
      <c r="AX131" s="32"/>
      <c r="AY131" s="54"/>
      <c r="AZ131" s="21" t="str">
        <f>IFERROR(VLOOKUP(November[[#This Row],[Drug Name5]],'Data Options'!$R$1:$S$100,2,FALSE), " ")</f>
        <v xml:space="preserve"> </v>
      </c>
      <c r="BA131" s="55"/>
      <c r="BB131" s="32"/>
      <c r="BC131" s="32"/>
      <c r="BD131" s="55"/>
      <c r="BE131" s="32"/>
      <c r="BF131" s="54"/>
      <c r="BG131" s="21" t="str">
        <f>IFERROR(VLOOKUP(November[[#This Row],[Drug Name6]],'Data Options'!$R$1:$S$100,2,FALSE), " ")</f>
        <v xml:space="preserve"> </v>
      </c>
      <c r="BH131" s="55"/>
      <c r="BI131" s="32"/>
      <c r="BJ131" s="32"/>
      <c r="BK131" s="55"/>
      <c r="BL131" s="32"/>
      <c r="BM131" s="32"/>
      <c r="BN131" s="32"/>
      <c r="BO131" s="32"/>
      <c r="BP131" s="32"/>
      <c r="BQ131" s="31"/>
      <c r="BR131" s="31"/>
      <c r="BS131" s="54"/>
      <c r="BT131" s="21" t="str">
        <f>IFERROR(VLOOKUP(November[[#This Row],[Drug Name7]],'Data Options'!$R$1:$S$100,2,FALSE), " ")</f>
        <v xml:space="preserve"> </v>
      </c>
      <c r="BU131" s="55"/>
      <c r="BV131" s="32"/>
      <c r="BW131" s="32"/>
      <c r="BX131" s="55"/>
      <c r="BY131" s="32"/>
      <c r="BZ131" s="54"/>
      <c r="CA131" s="21" t="str">
        <f>IFERROR(VLOOKUP(November[[#This Row],[Drug Name8]],'Data Options'!$R$1:$S$100,2,FALSE), " ")</f>
        <v xml:space="preserve"> </v>
      </c>
      <c r="CB131" s="55"/>
      <c r="CC131" s="32"/>
      <c r="CD131" s="32"/>
      <c r="CE131" s="55"/>
      <c r="CF131" s="32"/>
      <c r="CG131" s="54"/>
      <c r="CH131" s="21" t="str">
        <f>IFERROR(VLOOKUP(November[[#This Row],[Drug Name9]],'Data Options'!$R$1:$S$100,2,FALSE), " ")</f>
        <v xml:space="preserve"> </v>
      </c>
      <c r="CI131" s="55"/>
      <c r="CJ131" s="32"/>
      <c r="CK131" s="32"/>
      <c r="CL131" s="55"/>
      <c r="CM131" s="32"/>
    </row>
    <row r="132" spans="1:91">
      <c r="A132" s="5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1"/>
      <c r="P132" s="31"/>
      <c r="Q132" s="54"/>
      <c r="R132" s="21" t="str">
        <f>IFERROR(VLOOKUP(November[[#This Row],[Drug Name]],'Data Options'!$R$1:$S$100,2,FALSE), " ")</f>
        <v xml:space="preserve"> </v>
      </c>
      <c r="S132" s="55"/>
      <c r="T132" s="32"/>
      <c r="U132" s="32"/>
      <c r="V132" s="55"/>
      <c r="W132" s="32"/>
      <c r="X132" s="54"/>
      <c r="Y132" s="21" t="str">
        <f>IFERROR(VLOOKUP(November[[#This Row],[Drug Name2]],'Data Options'!$R$1:$S$100,2,FALSE), " ")</f>
        <v xml:space="preserve"> </v>
      </c>
      <c r="Z132" s="55"/>
      <c r="AA132" s="32"/>
      <c r="AB132" s="32"/>
      <c r="AC132" s="55"/>
      <c r="AD132" s="32"/>
      <c r="AE132" s="54"/>
      <c r="AF132" s="21" t="str">
        <f>IFERROR(VLOOKUP(November[[#This Row],[Drug Name3]],'Data Options'!$R$1:$S$100,2,FALSE), " ")</f>
        <v xml:space="preserve"> </v>
      </c>
      <c r="AG132" s="55"/>
      <c r="AH132" s="32"/>
      <c r="AI132" s="32"/>
      <c r="AJ132" s="55"/>
      <c r="AK132" s="32"/>
      <c r="AL132" s="32"/>
      <c r="AM132" s="32"/>
      <c r="AN132" s="32"/>
      <c r="AO132" s="32"/>
      <c r="AP132" s="31"/>
      <c r="AQ132" s="31"/>
      <c r="AR132" s="54"/>
      <c r="AS132" s="21" t="str">
        <f>IFERROR(VLOOKUP(November[[#This Row],[Drug Name4]],'Data Options'!$R$1:$S$100,2,FALSE), " ")</f>
        <v xml:space="preserve"> </v>
      </c>
      <c r="AT132" s="55"/>
      <c r="AU132" s="32"/>
      <c r="AV132" s="32"/>
      <c r="AW132" s="55"/>
      <c r="AX132" s="32"/>
      <c r="AY132" s="54"/>
      <c r="AZ132" s="21" t="str">
        <f>IFERROR(VLOOKUP(November[[#This Row],[Drug Name5]],'Data Options'!$R$1:$S$100,2,FALSE), " ")</f>
        <v xml:space="preserve"> </v>
      </c>
      <c r="BA132" s="55"/>
      <c r="BB132" s="32"/>
      <c r="BC132" s="32"/>
      <c r="BD132" s="55"/>
      <c r="BE132" s="32"/>
      <c r="BF132" s="54"/>
      <c r="BG132" s="21" t="str">
        <f>IFERROR(VLOOKUP(November[[#This Row],[Drug Name6]],'Data Options'!$R$1:$S$100,2,FALSE), " ")</f>
        <v xml:space="preserve"> </v>
      </c>
      <c r="BH132" s="55"/>
      <c r="BI132" s="32"/>
      <c r="BJ132" s="32"/>
      <c r="BK132" s="55"/>
      <c r="BL132" s="32"/>
      <c r="BM132" s="32"/>
      <c r="BN132" s="32"/>
      <c r="BO132" s="32"/>
      <c r="BP132" s="32"/>
      <c r="BQ132" s="31"/>
      <c r="BR132" s="31"/>
      <c r="BS132" s="54"/>
      <c r="BT132" s="21" t="str">
        <f>IFERROR(VLOOKUP(November[[#This Row],[Drug Name7]],'Data Options'!$R$1:$S$100,2,FALSE), " ")</f>
        <v xml:space="preserve"> </v>
      </c>
      <c r="BU132" s="55"/>
      <c r="BV132" s="32"/>
      <c r="BW132" s="32"/>
      <c r="BX132" s="55"/>
      <c r="BY132" s="32"/>
      <c r="BZ132" s="54"/>
      <c r="CA132" s="21" t="str">
        <f>IFERROR(VLOOKUP(November[[#This Row],[Drug Name8]],'Data Options'!$R$1:$S$100,2,FALSE), " ")</f>
        <v xml:space="preserve"> </v>
      </c>
      <c r="CB132" s="55"/>
      <c r="CC132" s="32"/>
      <c r="CD132" s="32"/>
      <c r="CE132" s="55"/>
      <c r="CF132" s="32"/>
      <c r="CG132" s="54"/>
      <c r="CH132" s="21" t="str">
        <f>IFERROR(VLOOKUP(November[[#This Row],[Drug Name9]],'Data Options'!$R$1:$S$100,2,FALSE), " ")</f>
        <v xml:space="preserve"> </v>
      </c>
      <c r="CI132" s="55"/>
      <c r="CJ132" s="32"/>
      <c r="CK132" s="32"/>
      <c r="CL132" s="55"/>
      <c r="CM132" s="32"/>
    </row>
    <row r="133" spans="1:91">
      <c r="A133" s="5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54"/>
      <c r="R133" s="21" t="str">
        <f>IFERROR(VLOOKUP(November[[#This Row],[Drug Name]],'Data Options'!$R$1:$S$100,2,FALSE), " ")</f>
        <v xml:space="preserve"> </v>
      </c>
      <c r="S133" s="55"/>
      <c r="T133" s="32"/>
      <c r="U133" s="32"/>
      <c r="V133" s="55"/>
      <c r="W133" s="32"/>
      <c r="X133" s="54"/>
      <c r="Y133" s="21" t="str">
        <f>IFERROR(VLOOKUP(November[[#This Row],[Drug Name2]],'Data Options'!$R$1:$S$100,2,FALSE), " ")</f>
        <v xml:space="preserve"> </v>
      </c>
      <c r="Z133" s="55"/>
      <c r="AA133" s="32"/>
      <c r="AB133" s="32"/>
      <c r="AC133" s="55"/>
      <c r="AD133" s="32"/>
      <c r="AE133" s="54"/>
      <c r="AF133" s="21" t="str">
        <f>IFERROR(VLOOKUP(November[[#This Row],[Drug Name3]],'Data Options'!$R$1:$S$100,2,FALSE), " ")</f>
        <v xml:space="preserve"> </v>
      </c>
      <c r="AG133" s="55"/>
      <c r="AH133" s="32"/>
      <c r="AI133" s="32"/>
      <c r="AJ133" s="55"/>
      <c r="AK133" s="32"/>
      <c r="AL133" s="32"/>
      <c r="AM133" s="32"/>
      <c r="AN133" s="32"/>
      <c r="AO133" s="32"/>
      <c r="AP133" s="31"/>
      <c r="AQ133" s="31"/>
      <c r="AR133" s="54"/>
      <c r="AS133" s="21" t="str">
        <f>IFERROR(VLOOKUP(November[[#This Row],[Drug Name4]],'Data Options'!$R$1:$S$100,2,FALSE), " ")</f>
        <v xml:space="preserve"> </v>
      </c>
      <c r="AT133" s="55"/>
      <c r="AU133" s="32"/>
      <c r="AV133" s="32"/>
      <c r="AW133" s="55"/>
      <c r="AX133" s="32"/>
      <c r="AY133" s="54"/>
      <c r="AZ133" s="21" t="str">
        <f>IFERROR(VLOOKUP(November[[#This Row],[Drug Name5]],'Data Options'!$R$1:$S$100,2,FALSE), " ")</f>
        <v xml:space="preserve"> </v>
      </c>
      <c r="BA133" s="55"/>
      <c r="BB133" s="32"/>
      <c r="BC133" s="32"/>
      <c r="BD133" s="55"/>
      <c r="BE133" s="32"/>
      <c r="BF133" s="54"/>
      <c r="BG133" s="21" t="str">
        <f>IFERROR(VLOOKUP(November[[#This Row],[Drug Name6]],'Data Options'!$R$1:$S$100,2,FALSE), " ")</f>
        <v xml:space="preserve"> </v>
      </c>
      <c r="BH133" s="55"/>
      <c r="BI133" s="32"/>
      <c r="BJ133" s="32"/>
      <c r="BK133" s="55"/>
      <c r="BL133" s="32"/>
      <c r="BM133" s="32"/>
      <c r="BN133" s="32"/>
      <c r="BO133" s="32"/>
      <c r="BP133" s="32"/>
      <c r="BQ133" s="31"/>
      <c r="BR133" s="31"/>
      <c r="BS133" s="54"/>
      <c r="BT133" s="21" t="str">
        <f>IFERROR(VLOOKUP(November[[#This Row],[Drug Name7]],'Data Options'!$R$1:$S$100,2,FALSE), " ")</f>
        <v xml:space="preserve"> </v>
      </c>
      <c r="BU133" s="55"/>
      <c r="BV133" s="32"/>
      <c r="BW133" s="32"/>
      <c r="BX133" s="55"/>
      <c r="BY133" s="32"/>
      <c r="BZ133" s="54"/>
      <c r="CA133" s="21" t="str">
        <f>IFERROR(VLOOKUP(November[[#This Row],[Drug Name8]],'Data Options'!$R$1:$S$100,2,FALSE), " ")</f>
        <v xml:space="preserve"> </v>
      </c>
      <c r="CB133" s="55"/>
      <c r="CC133" s="32"/>
      <c r="CD133" s="32"/>
      <c r="CE133" s="55"/>
      <c r="CF133" s="32"/>
      <c r="CG133" s="54"/>
      <c r="CH133" s="21" t="str">
        <f>IFERROR(VLOOKUP(November[[#This Row],[Drug Name9]],'Data Options'!$R$1:$S$100,2,FALSE), " ")</f>
        <v xml:space="preserve"> </v>
      </c>
      <c r="CI133" s="55"/>
      <c r="CJ133" s="32"/>
      <c r="CK133" s="32"/>
      <c r="CL133" s="55"/>
      <c r="CM133" s="32"/>
    </row>
    <row r="134" spans="1:91">
      <c r="A134" s="5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54"/>
      <c r="R134" s="21" t="str">
        <f>IFERROR(VLOOKUP(November[[#This Row],[Drug Name]],'Data Options'!$R$1:$S$100,2,FALSE), " ")</f>
        <v xml:space="preserve"> </v>
      </c>
      <c r="S134" s="55"/>
      <c r="T134" s="32"/>
      <c r="U134" s="32"/>
      <c r="V134" s="55"/>
      <c r="W134" s="32"/>
      <c r="X134" s="54"/>
      <c r="Y134" s="21" t="str">
        <f>IFERROR(VLOOKUP(November[[#This Row],[Drug Name2]],'Data Options'!$R$1:$S$100,2,FALSE), " ")</f>
        <v xml:space="preserve"> </v>
      </c>
      <c r="Z134" s="55"/>
      <c r="AA134" s="32"/>
      <c r="AB134" s="32"/>
      <c r="AC134" s="55"/>
      <c r="AD134" s="32"/>
      <c r="AE134" s="54"/>
      <c r="AF134" s="21" t="str">
        <f>IFERROR(VLOOKUP(November[[#This Row],[Drug Name3]],'Data Options'!$R$1:$S$100,2,FALSE), " ")</f>
        <v xml:space="preserve"> </v>
      </c>
      <c r="AG134" s="55"/>
      <c r="AH134" s="32"/>
      <c r="AI134" s="32"/>
      <c r="AJ134" s="55"/>
      <c r="AK134" s="32"/>
      <c r="AL134" s="32"/>
      <c r="AM134" s="32"/>
      <c r="AN134" s="32"/>
      <c r="AO134" s="32"/>
      <c r="AP134" s="31"/>
      <c r="AQ134" s="31"/>
      <c r="AR134" s="54"/>
      <c r="AS134" s="21" t="str">
        <f>IFERROR(VLOOKUP(November[[#This Row],[Drug Name4]],'Data Options'!$R$1:$S$100,2,FALSE), " ")</f>
        <v xml:space="preserve"> </v>
      </c>
      <c r="AT134" s="55"/>
      <c r="AU134" s="32"/>
      <c r="AV134" s="32"/>
      <c r="AW134" s="55"/>
      <c r="AX134" s="32"/>
      <c r="AY134" s="54"/>
      <c r="AZ134" s="21" t="str">
        <f>IFERROR(VLOOKUP(November[[#This Row],[Drug Name5]],'Data Options'!$R$1:$S$100,2,FALSE), " ")</f>
        <v xml:space="preserve"> </v>
      </c>
      <c r="BA134" s="55"/>
      <c r="BB134" s="32"/>
      <c r="BC134" s="32"/>
      <c r="BD134" s="55"/>
      <c r="BE134" s="32"/>
      <c r="BF134" s="54"/>
      <c r="BG134" s="21" t="str">
        <f>IFERROR(VLOOKUP(November[[#This Row],[Drug Name6]],'Data Options'!$R$1:$S$100,2,FALSE), " ")</f>
        <v xml:space="preserve"> </v>
      </c>
      <c r="BH134" s="55"/>
      <c r="BI134" s="32"/>
      <c r="BJ134" s="32"/>
      <c r="BK134" s="55"/>
      <c r="BL134" s="32"/>
      <c r="BM134" s="32"/>
      <c r="BN134" s="32"/>
      <c r="BO134" s="32"/>
      <c r="BP134" s="32"/>
      <c r="BQ134" s="31"/>
      <c r="BR134" s="31"/>
      <c r="BS134" s="54"/>
      <c r="BT134" s="21" t="str">
        <f>IFERROR(VLOOKUP(November[[#This Row],[Drug Name7]],'Data Options'!$R$1:$S$100,2,FALSE), " ")</f>
        <v xml:space="preserve"> </v>
      </c>
      <c r="BU134" s="55"/>
      <c r="BV134" s="32"/>
      <c r="BW134" s="32"/>
      <c r="BX134" s="55"/>
      <c r="BY134" s="32"/>
      <c r="BZ134" s="54"/>
      <c r="CA134" s="21" t="str">
        <f>IFERROR(VLOOKUP(November[[#This Row],[Drug Name8]],'Data Options'!$R$1:$S$100,2,FALSE), " ")</f>
        <v xml:space="preserve"> </v>
      </c>
      <c r="CB134" s="55"/>
      <c r="CC134" s="32"/>
      <c r="CD134" s="32"/>
      <c r="CE134" s="55"/>
      <c r="CF134" s="32"/>
      <c r="CG134" s="54"/>
      <c r="CH134" s="21" t="str">
        <f>IFERROR(VLOOKUP(November[[#This Row],[Drug Name9]],'Data Options'!$R$1:$S$100,2,FALSE), " ")</f>
        <v xml:space="preserve"> </v>
      </c>
      <c r="CI134" s="55"/>
      <c r="CJ134" s="32"/>
      <c r="CK134" s="32"/>
      <c r="CL134" s="55"/>
      <c r="CM134" s="32"/>
    </row>
    <row r="135" spans="1:91">
      <c r="A135" s="5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1"/>
      <c r="P135" s="31"/>
      <c r="Q135" s="54"/>
      <c r="R135" s="21" t="str">
        <f>IFERROR(VLOOKUP(November[[#This Row],[Drug Name]],'Data Options'!$R$1:$S$100,2,FALSE), " ")</f>
        <v xml:space="preserve"> </v>
      </c>
      <c r="S135" s="55"/>
      <c r="T135" s="32"/>
      <c r="U135" s="32"/>
      <c r="V135" s="55"/>
      <c r="W135" s="32"/>
      <c r="X135" s="54"/>
      <c r="Y135" s="21" t="str">
        <f>IFERROR(VLOOKUP(November[[#This Row],[Drug Name2]],'Data Options'!$R$1:$S$100,2,FALSE), " ")</f>
        <v xml:space="preserve"> </v>
      </c>
      <c r="Z135" s="55"/>
      <c r="AA135" s="32"/>
      <c r="AB135" s="32"/>
      <c r="AC135" s="55"/>
      <c r="AD135" s="32"/>
      <c r="AE135" s="54"/>
      <c r="AF135" s="21" t="str">
        <f>IFERROR(VLOOKUP(November[[#This Row],[Drug Name3]],'Data Options'!$R$1:$S$100,2,FALSE), " ")</f>
        <v xml:space="preserve"> </v>
      </c>
      <c r="AG135" s="55"/>
      <c r="AH135" s="32"/>
      <c r="AI135" s="32"/>
      <c r="AJ135" s="55"/>
      <c r="AK135" s="32"/>
      <c r="AL135" s="32"/>
      <c r="AM135" s="32"/>
      <c r="AN135" s="32"/>
      <c r="AO135" s="32"/>
      <c r="AP135" s="31"/>
      <c r="AQ135" s="31"/>
      <c r="AR135" s="54"/>
      <c r="AS135" s="21" t="str">
        <f>IFERROR(VLOOKUP(November[[#This Row],[Drug Name4]],'Data Options'!$R$1:$S$100,2,FALSE), " ")</f>
        <v xml:space="preserve"> </v>
      </c>
      <c r="AT135" s="55"/>
      <c r="AU135" s="32"/>
      <c r="AV135" s="32"/>
      <c r="AW135" s="55"/>
      <c r="AX135" s="32"/>
      <c r="AY135" s="54"/>
      <c r="AZ135" s="21" t="str">
        <f>IFERROR(VLOOKUP(November[[#This Row],[Drug Name5]],'Data Options'!$R$1:$S$100,2,FALSE), " ")</f>
        <v xml:space="preserve"> </v>
      </c>
      <c r="BA135" s="55"/>
      <c r="BB135" s="32"/>
      <c r="BC135" s="32"/>
      <c r="BD135" s="55"/>
      <c r="BE135" s="32"/>
      <c r="BF135" s="54"/>
      <c r="BG135" s="21" t="str">
        <f>IFERROR(VLOOKUP(November[[#This Row],[Drug Name6]],'Data Options'!$R$1:$S$100,2,FALSE), " ")</f>
        <v xml:space="preserve"> </v>
      </c>
      <c r="BH135" s="55"/>
      <c r="BI135" s="32"/>
      <c r="BJ135" s="32"/>
      <c r="BK135" s="55"/>
      <c r="BL135" s="32"/>
      <c r="BM135" s="32"/>
      <c r="BN135" s="32"/>
      <c r="BO135" s="32"/>
      <c r="BP135" s="32"/>
      <c r="BQ135" s="31"/>
      <c r="BR135" s="31"/>
      <c r="BS135" s="54"/>
      <c r="BT135" s="21" t="str">
        <f>IFERROR(VLOOKUP(November[[#This Row],[Drug Name7]],'Data Options'!$R$1:$S$100,2,FALSE), " ")</f>
        <v xml:space="preserve"> </v>
      </c>
      <c r="BU135" s="55"/>
      <c r="BV135" s="32"/>
      <c r="BW135" s="32"/>
      <c r="BX135" s="55"/>
      <c r="BY135" s="32"/>
      <c r="BZ135" s="54"/>
      <c r="CA135" s="21" t="str">
        <f>IFERROR(VLOOKUP(November[[#This Row],[Drug Name8]],'Data Options'!$R$1:$S$100,2,FALSE), " ")</f>
        <v xml:space="preserve"> </v>
      </c>
      <c r="CB135" s="55"/>
      <c r="CC135" s="32"/>
      <c r="CD135" s="32"/>
      <c r="CE135" s="55"/>
      <c r="CF135" s="32"/>
      <c r="CG135" s="54"/>
      <c r="CH135" s="21" t="str">
        <f>IFERROR(VLOOKUP(November[[#This Row],[Drug Name9]],'Data Options'!$R$1:$S$100,2,FALSE), " ")</f>
        <v xml:space="preserve"> </v>
      </c>
      <c r="CI135" s="55"/>
      <c r="CJ135" s="32"/>
      <c r="CK135" s="32"/>
      <c r="CL135" s="55"/>
      <c r="CM135" s="32"/>
    </row>
    <row r="136" spans="1:91">
      <c r="A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1"/>
      <c r="P136" s="31"/>
      <c r="Q136" s="54"/>
      <c r="R136" s="21" t="str">
        <f>IFERROR(VLOOKUP(November[[#This Row],[Drug Name]],'Data Options'!$R$1:$S$100,2,FALSE), " ")</f>
        <v xml:space="preserve"> </v>
      </c>
      <c r="S136" s="55"/>
      <c r="T136" s="32"/>
      <c r="U136" s="32"/>
      <c r="V136" s="55"/>
      <c r="W136" s="32"/>
      <c r="X136" s="54"/>
      <c r="Y136" s="21" t="str">
        <f>IFERROR(VLOOKUP(November[[#This Row],[Drug Name2]],'Data Options'!$R$1:$S$100,2,FALSE), " ")</f>
        <v xml:space="preserve"> </v>
      </c>
      <c r="Z136" s="55"/>
      <c r="AA136" s="32"/>
      <c r="AB136" s="32"/>
      <c r="AC136" s="55"/>
      <c r="AD136" s="32"/>
      <c r="AE136" s="54"/>
      <c r="AF136" s="21" t="str">
        <f>IFERROR(VLOOKUP(November[[#This Row],[Drug Name3]],'Data Options'!$R$1:$S$100,2,FALSE), " ")</f>
        <v xml:space="preserve"> </v>
      </c>
      <c r="AG136" s="55"/>
      <c r="AH136" s="32"/>
      <c r="AI136" s="32"/>
      <c r="AJ136" s="55"/>
      <c r="AK136" s="32"/>
      <c r="AL136" s="32"/>
      <c r="AM136" s="32"/>
      <c r="AN136" s="32"/>
      <c r="AO136" s="32"/>
      <c r="AP136" s="31"/>
      <c r="AQ136" s="31"/>
      <c r="AR136" s="54"/>
      <c r="AS136" s="21" t="str">
        <f>IFERROR(VLOOKUP(November[[#This Row],[Drug Name4]],'Data Options'!$R$1:$S$100,2,FALSE), " ")</f>
        <v xml:space="preserve"> </v>
      </c>
      <c r="AT136" s="55"/>
      <c r="AU136" s="32"/>
      <c r="AV136" s="32"/>
      <c r="AW136" s="55"/>
      <c r="AX136" s="32"/>
      <c r="AY136" s="54"/>
      <c r="AZ136" s="21" t="str">
        <f>IFERROR(VLOOKUP(November[[#This Row],[Drug Name5]],'Data Options'!$R$1:$S$100,2,FALSE), " ")</f>
        <v xml:space="preserve"> </v>
      </c>
      <c r="BA136" s="55"/>
      <c r="BB136" s="32"/>
      <c r="BC136" s="32"/>
      <c r="BD136" s="55"/>
      <c r="BE136" s="32"/>
      <c r="BF136" s="54"/>
      <c r="BG136" s="21" t="str">
        <f>IFERROR(VLOOKUP(November[[#This Row],[Drug Name6]],'Data Options'!$R$1:$S$100,2,FALSE), " ")</f>
        <v xml:space="preserve"> </v>
      </c>
      <c r="BH136" s="55"/>
      <c r="BI136" s="32"/>
      <c r="BJ136" s="32"/>
      <c r="BK136" s="55"/>
      <c r="BL136" s="32"/>
      <c r="BM136" s="32"/>
      <c r="BN136" s="32"/>
      <c r="BO136" s="32"/>
      <c r="BP136" s="32"/>
      <c r="BQ136" s="31"/>
      <c r="BR136" s="31"/>
      <c r="BS136" s="54"/>
      <c r="BT136" s="21" t="str">
        <f>IFERROR(VLOOKUP(November[[#This Row],[Drug Name7]],'Data Options'!$R$1:$S$100,2,FALSE), " ")</f>
        <v xml:space="preserve"> </v>
      </c>
      <c r="BU136" s="55"/>
      <c r="BV136" s="32"/>
      <c r="BW136" s="32"/>
      <c r="BX136" s="55"/>
      <c r="BY136" s="32"/>
      <c r="BZ136" s="54"/>
      <c r="CA136" s="21" t="str">
        <f>IFERROR(VLOOKUP(November[[#This Row],[Drug Name8]],'Data Options'!$R$1:$S$100,2,FALSE), " ")</f>
        <v xml:space="preserve"> </v>
      </c>
      <c r="CB136" s="55"/>
      <c r="CC136" s="32"/>
      <c r="CD136" s="32"/>
      <c r="CE136" s="55"/>
      <c r="CF136" s="32"/>
      <c r="CG136" s="54"/>
      <c r="CH136" s="21" t="str">
        <f>IFERROR(VLOOKUP(November[[#This Row],[Drug Name9]],'Data Options'!$R$1:$S$100,2,FALSE), " ")</f>
        <v xml:space="preserve"> </v>
      </c>
      <c r="CI136" s="55"/>
      <c r="CJ136" s="32"/>
      <c r="CK136" s="32"/>
      <c r="CL136" s="55"/>
      <c r="CM136" s="32"/>
    </row>
    <row r="137" spans="1:91">
      <c r="A137" s="5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/>
      <c r="P137" s="31"/>
      <c r="Q137" s="54"/>
      <c r="R137" s="21" t="str">
        <f>IFERROR(VLOOKUP(November[[#This Row],[Drug Name]],'Data Options'!$R$1:$S$100,2,FALSE), " ")</f>
        <v xml:space="preserve"> </v>
      </c>
      <c r="S137" s="55"/>
      <c r="T137" s="32"/>
      <c r="U137" s="32"/>
      <c r="V137" s="55"/>
      <c r="W137" s="32"/>
      <c r="X137" s="54"/>
      <c r="Y137" s="21" t="str">
        <f>IFERROR(VLOOKUP(November[[#This Row],[Drug Name2]],'Data Options'!$R$1:$S$100,2,FALSE), " ")</f>
        <v xml:space="preserve"> </v>
      </c>
      <c r="Z137" s="55"/>
      <c r="AA137" s="32"/>
      <c r="AB137" s="32"/>
      <c r="AC137" s="55"/>
      <c r="AD137" s="32"/>
      <c r="AE137" s="54"/>
      <c r="AF137" s="21" t="str">
        <f>IFERROR(VLOOKUP(November[[#This Row],[Drug Name3]],'Data Options'!$R$1:$S$100,2,FALSE), " ")</f>
        <v xml:space="preserve"> </v>
      </c>
      <c r="AG137" s="55"/>
      <c r="AH137" s="32"/>
      <c r="AI137" s="32"/>
      <c r="AJ137" s="55"/>
      <c r="AK137" s="32"/>
      <c r="AL137" s="32"/>
      <c r="AM137" s="32"/>
      <c r="AN137" s="32"/>
      <c r="AO137" s="32"/>
      <c r="AP137" s="31"/>
      <c r="AQ137" s="31"/>
      <c r="AR137" s="54"/>
      <c r="AS137" s="21" t="str">
        <f>IFERROR(VLOOKUP(November[[#This Row],[Drug Name4]],'Data Options'!$R$1:$S$100,2,FALSE), " ")</f>
        <v xml:space="preserve"> </v>
      </c>
      <c r="AT137" s="55"/>
      <c r="AU137" s="32"/>
      <c r="AV137" s="32"/>
      <c r="AW137" s="55"/>
      <c r="AX137" s="32"/>
      <c r="AY137" s="54"/>
      <c r="AZ137" s="21" t="str">
        <f>IFERROR(VLOOKUP(November[[#This Row],[Drug Name5]],'Data Options'!$R$1:$S$100,2,FALSE), " ")</f>
        <v xml:space="preserve"> </v>
      </c>
      <c r="BA137" s="55"/>
      <c r="BB137" s="32"/>
      <c r="BC137" s="32"/>
      <c r="BD137" s="55"/>
      <c r="BE137" s="32"/>
      <c r="BF137" s="54"/>
      <c r="BG137" s="21" t="str">
        <f>IFERROR(VLOOKUP(November[[#This Row],[Drug Name6]],'Data Options'!$R$1:$S$100,2,FALSE), " ")</f>
        <v xml:space="preserve"> </v>
      </c>
      <c r="BH137" s="55"/>
      <c r="BI137" s="32"/>
      <c r="BJ137" s="32"/>
      <c r="BK137" s="55"/>
      <c r="BL137" s="32"/>
      <c r="BM137" s="32"/>
      <c r="BN137" s="32"/>
      <c r="BO137" s="32"/>
      <c r="BP137" s="32"/>
      <c r="BQ137" s="31"/>
      <c r="BR137" s="31"/>
      <c r="BS137" s="54"/>
      <c r="BT137" s="21" t="str">
        <f>IFERROR(VLOOKUP(November[[#This Row],[Drug Name7]],'Data Options'!$R$1:$S$100,2,FALSE), " ")</f>
        <v xml:space="preserve"> </v>
      </c>
      <c r="BU137" s="55"/>
      <c r="BV137" s="32"/>
      <c r="BW137" s="32"/>
      <c r="BX137" s="55"/>
      <c r="BY137" s="32"/>
      <c r="BZ137" s="54"/>
      <c r="CA137" s="21" t="str">
        <f>IFERROR(VLOOKUP(November[[#This Row],[Drug Name8]],'Data Options'!$R$1:$S$100,2,FALSE), " ")</f>
        <v xml:space="preserve"> </v>
      </c>
      <c r="CB137" s="55"/>
      <c r="CC137" s="32"/>
      <c r="CD137" s="32"/>
      <c r="CE137" s="55"/>
      <c r="CF137" s="32"/>
      <c r="CG137" s="54"/>
      <c r="CH137" s="21" t="str">
        <f>IFERROR(VLOOKUP(November[[#This Row],[Drug Name9]],'Data Options'!$R$1:$S$100,2,FALSE), " ")</f>
        <v xml:space="preserve"> </v>
      </c>
      <c r="CI137" s="55"/>
      <c r="CJ137" s="32"/>
      <c r="CK137" s="32"/>
      <c r="CL137" s="55"/>
      <c r="CM137" s="32"/>
    </row>
    <row r="138" spans="1:91">
      <c r="A138" s="5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1"/>
      <c r="P138" s="31"/>
      <c r="Q138" s="54"/>
      <c r="R138" s="21" t="str">
        <f>IFERROR(VLOOKUP(November[[#This Row],[Drug Name]],'Data Options'!$R$1:$S$100,2,FALSE), " ")</f>
        <v xml:space="preserve"> </v>
      </c>
      <c r="S138" s="55"/>
      <c r="T138" s="32"/>
      <c r="U138" s="32"/>
      <c r="V138" s="55"/>
      <c r="W138" s="32"/>
      <c r="X138" s="54"/>
      <c r="Y138" s="21" t="str">
        <f>IFERROR(VLOOKUP(November[[#This Row],[Drug Name2]],'Data Options'!$R$1:$S$100,2,FALSE), " ")</f>
        <v xml:space="preserve"> </v>
      </c>
      <c r="Z138" s="55"/>
      <c r="AA138" s="32"/>
      <c r="AB138" s="32"/>
      <c r="AC138" s="55"/>
      <c r="AD138" s="32"/>
      <c r="AE138" s="54"/>
      <c r="AF138" s="21" t="str">
        <f>IFERROR(VLOOKUP(November[[#This Row],[Drug Name3]],'Data Options'!$R$1:$S$100,2,FALSE), " ")</f>
        <v xml:space="preserve"> </v>
      </c>
      <c r="AG138" s="55"/>
      <c r="AH138" s="32"/>
      <c r="AI138" s="32"/>
      <c r="AJ138" s="55"/>
      <c r="AK138" s="32"/>
      <c r="AL138" s="32"/>
      <c r="AM138" s="32"/>
      <c r="AN138" s="32"/>
      <c r="AO138" s="32"/>
      <c r="AP138" s="31"/>
      <c r="AQ138" s="31"/>
      <c r="AR138" s="54"/>
      <c r="AS138" s="21" t="str">
        <f>IFERROR(VLOOKUP(November[[#This Row],[Drug Name4]],'Data Options'!$R$1:$S$100,2,FALSE), " ")</f>
        <v xml:space="preserve"> </v>
      </c>
      <c r="AT138" s="55"/>
      <c r="AU138" s="32"/>
      <c r="AV138" s="32"/>
      <c r="AW138" s="55"/>
      <c r="AX138" s="32"/>
      <c r="AY138" s="54"/>
      <c r="AZ138" s="21" t="str">
        <f>IFERROR(VLOOKUP(November[[#This Row],[Drug Name5]],'Data Options'!$R$1:$S$100,2,FALSE), " ")</f>
        <v xml:space="preserve"> </v>
      </c>
      <c r="BA138" s="55"/>
      <c r="BB138" s="32"/>
      <c r="BC138" s="32"/>
      <c r="BD138" s="55"/>
      <c r="BE138" s="32"/>
      <c r="BF138" s="54"/>
      <c r="BG138" s="21" t="str">
        <f>IFERROR(VLOOKUP(November[[#This Row],[Drug Name6]],'Data Options'!$R$1:$S$100,2,FALSE), " ")</f>
        <v xml:space="preserve"> </v>
      </c>
      <c r="BH138" s="55"/>
      <c r="BI138" s="32"/>
      <c r="BJ138" s="32"/>
      <c r="BK138" s="55"/>
      <c r="BL138" s="32"/>
      <c r="BM138" s="32"/>
      <c r="BN138" s="32"/>
      <c r="BO138" s="32"/>
      <c r="BP138" s="32"/>
      <c r="BQ138" s="31"/>
      <c r="BR138" s="31"/>
      <c r="BS138" s="54"/>
      <c r="BT138" s="21" t="str">
        <f>IFERROR(VLOOKUP(November[[#This Row],[Drug Name7]],'Data Options'!$R$1:$S$100,2,FALSE), " ")</f>
        <v xml:space="preserve"> </v>
      </c>
      <c r="BU138" s="55"/>
      <c r="BV138" s="32"/>
      <c r="BW138" s="32"/>
      <c r="BX138" s="55"/>
      <c r="BY138" s="32"/>
      <c r="BZ138" s="54"/>
      <c r="CA138" s="21" t="str">
        <f>IFERROR(VLOOKUP(November[[#This Row],[Drug Name8]],'Data Options'!$R$1:$S$100,2,FALSE), " ")</f>
        <v xml:space="preserve"> </v>
      </c>
      <c r="CB138" s="55"/>
      <c r="CC138" s="32"/>
      <c r="CD138" s="32"/>
      <c r="CE138" s="55"/>
      <c r="CF138" s="32"/>
      <c r="CG138" s="54"/>
      <c r="CH138" s="21" t="str">
        <f>IFERROR(VLOOKUP(November[[#This Row],[Drug Name9]],'Data Options'!$R$1:$S$100,2,FALSE), " ")</f>
        <v xml:space="preserve"> </v>
      </c>
      <c r="CI138" s="55"/>
      <c r="CJ138" s="32"/>
      <c r="CK138" s="32"/>
      <c r="CL138" s="55"/>
      <c r="CM138" s="32"/>
    </row>
    <row r="139" spans="1:91">
      <c r="A139" s="5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1"/>
      <c r="P139" s="31"/>
      <c r="Q139" s="54"/>
      <c r="R139" s="21" t="str">
        <f>IFERROR(VLOOKUP(November[[#This Row],[Drug Name]],'Data Options'!$R$1:$S$100,2,FALSE), " ")</f>
        <v xml:space="preserve"> </v>
      </c>
      <c r="S139" s="55"/>
      <c r="T139" s="32"/>
      <c r="U139" s="32"/>
      <c r="V139" s="55"/>
      <c r="W139" s="32"/>
      <c r="X139" s="54"/>
      <c r="Y139" s="21" t="str">
        <f>IFERROR(VLOOKUP(November[[#This Row],[Drug Name2]],'Data Options'!$R$1:$S$100,2,FALSE), " ")</f>
        <v xml:space="preserve"> </v>
      </c>
      <c r="Z139" s="55"/>
      <c r="AA139" s="32"/>
      <c r="AB139" s="32"/>
      <c r="AC139" s="55"/>
      <c r="AD139" s="32"/>
      <c r="AE139" s="54"/>
      <c r="AF139" s="21" t="str">
        <f>IFERROR(VLOOKUP(November[[#This Row],[Drug Name3]],'Data Options'!$R$1:$S$100,2,FALSE), " ")</f>
        <v xml:space="preserve"> </v>
      </c>
      <c r="AG139" s="55"/>
      <c r="AH139" s="32"/>
      <c r="AI139" s="32"/>
      <c r="AJ139" s="55"/>
      <c r="AK139" s="32"/>
      <c r="AL139" s="32"/>
      <c r="AM139" s="32"/>
      <c r="AN139" s="32"/>
      <c r="AO139" s="32"/>
      <c r="AP139" s="31"/>
      <c r="AQ139" s="31"/>
      <c r="AR139" s="54"/>
      <c r="AS139" s="21" t="str">
        <f>IFERROR(VLOOKUP(November[[#This Row],[Drug Name4]],'Data Options'!$R$1:$S$100,2,FALSE), " ")</f>
        <v xml:space="preserve"> </v>
      </c>
      <c r="AT139" s="55"/>
      <c r="AU139" s="32"/>
      <c r="AV139" s="32"/>
      <c r="AW139" s="55"/>
      <c r="AX139" s="32"/>
      <c r="AY139" s="54"/>
      <c r="AZ139" s="21" t="str">
        <f>IFERROR(VLOOKUP(November[[#This Row],[Drug Name5]],'Data Options'!$R$1:$S$100,2,FALSE), " ")</f>
        <v xml:space="preserve"> </v>
      </c>
      <c r="BA139" s="55"/>
      <c r="BB139" s="32"/>
      <c r="BC139" s="32"/>
      <c r="BD139" s="55"/>
      <c r="BE139" s="32"/>
      <c r="BF139" s="54"/>
      <c r="BG139" s="21" t="str">
        <f>IFERROR(VLOOKUP(November[[#This Row],[Drug Name6]],'Data Options'!$R$1:$S$100,2,FALSE), " ")</f>
        <v xml:space="preserve"> </v>
      </c>
      <c r="BH139" s="55"/>
      <c r="BI139" s="32"/>
      <c r="BJ139" s="32"/>
      <c r="BK139" s="55"/>
      <c r="BL139" s="32"/>
      <c r="BM139" s="32"/>
      <c r="BN139" s="32"/>
      <c r="BO139" s="32"/>
      <c r="BP139" s="32"/>
      <c r="BQ139" s="31"/>
      <c r="BR139" s="31"/>
      <c r="BS139" s="54"/>
      <c r="BT139" s="21" t="str">
        <f>IFERROR(VLOOKUP(November[[#This Row],[Drug Name7]],'Data Options'!$R$1:$S$100,2,FALSE), " ")</f>
        <v xml:space="preserve"> </v>
      </c>
      <c r="BU139" s="55"/>
      <c r="BV139" s="32"/>
      <c r="BW139" s="32"/>
      <c r="BX139" s="55"/>
      <c r="BY139" s="32"/>
      <c r="BZ139" s="54"/>
      <c r="CA139" s="21" t="str">
        <f>IFERROR(VLOOKUP(November[[#This Row],[Drug Name8]],'Data Options'!$R$1:$S$100,2,FALSE), " ")</f>
        <v xml:space="preserve"> </v>
      </c>
      <c r="CB139" s="55"/>
      <c r="CC139" s="32"/>
      <c r="CD139" s="32"/>
      <c r="CE139" s="55"/>
      <c r="CF139" s="32"/>
      <c r="CG139" s="54"/>
      <c r="CH139" s="21" t="str">
        <f>IFERROR(VLOOKUP(November[[#This Row],[Drug Name9]],'Data Options'!$R$1:$S$100,2,FALSE), " ")</f>
        <v xml:space="preserve"> </v>
      </c>
      <c r="CI139" s="55"/>
      <c r="CJ139" s="32"/>
      <c r="CK139" s="32"/>
      <c r="CL139" s="55"/>
      <c r="CM139" s="32"/>
    </row>
    <row r="140" spans="1:91">
      <c r="A140" s="5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1"/>
      <c r="P140" s="31"/>
      <c r="Q140" s="54"/>
      <c r="R140" s="21" t="str">
        <f>IFERROR(VLOOKUP(November[[#This Row],[Drug Name]],'Data Options'!$R$1:$S$100,2,FALSE), " ")</f>
        <v xml:space="preserve"> </v>
      </c>
      <c r="S140" s="55"/>
      <c r="T140" s="32"/>
      <c r="U140" s="32"/>
      <c r="V140" s="55"/>
      <c r="W140" s="32"/>
      <c r="X140" s="54"/>
      <c r="Y140" s="21" t="str">
        <f>IFERROR(VLOOKUP(November[[#This Row],[Drug Name2]],'Data Options'!$R$1:$S$100,2,FALSE), " ")</f>
        <v xml:space="preserve"> </v>
      </c>
      <c r="Z140" s="55"/>
      <c r="AA140" s="32"/>
      <c r="AB140" s="32"/>
      <c r="AC140" s="55"/>
      <c r="AD140" s="32"/>
      <c r="AE140" s="54"/>
      <c r="AF140" s="21" t="str">
        <f>IFERROR(VLOOKUP(November[[#This Row],[Drug Name3]],'Data Options'!$R$1:$S$100,2,FALSE), " ")</f>
        <v xml:space="preserve"> </v>
      </c>
      <c r="AG140" s="55"/>
      <c r="AH140" s="32"/>
      <c r="AI140" s="32"/>
      <c r="AJ140" s="55"/>
      <c r="AK140" s="32"/>
      <c r="AL140" s="32"/>
      <c r="AM140" s="32"/>
      <c r="AN140" s="32"/>
      <c r="AO140" s="32"/>
      <c r="AP140" s="31"/>
      <c r="AQ140" s="31"/>
      <c r="AR140" s="54"/>
      <c r="AS140" s="21" t="str">
        <f>IFERROR(VLOOKUP(November[[#This Row],[Drug Name4]],'Data Options'!$R$1:$S$100,2,FALSE), " ")</f>
        <v xml:space="preserve"> </v>
      </c>
      <c r="AT140" s="55"/>
      <c r="AU140" s="32"/>
      <c r="AV140" s="32"/>
      <c r="AW140" s="55"/>
      <c r="AX140" s="32"/>
      <c r="AY140" s="54"/>
      <c r="AZ140" s="21" t="str">
        <f>IFERROR(VLOOKUP(November[[#This Row],[Drug Name5]],'Data Options'!$R$1:$S$100,2,FALSE), " ")</f>
        <v xml:space="preserve"> </v>
      </c>
      <c r="BA140" s="55"/>
      <c r="BB140" s="32"/>
      <c r="BC140" s="32"/>
      <c r="BD140" s="55"/>
      <c r="BE140" s="32"/>
      <c r="BF140" s="54"/>
      <c r="BG140" s="21" t="str">
        <f>IFERROR(VLOOKUP(November[[#This Row],[Drug Name6]],'Data Options'!$R$1:$S$100,2,FALSE), " ")</f>
        <v xml:space="preserve"> </v>
      </c>
      <c r="BH140" s="55"/>
      <c r="BI140" s="32"/>
      <c r="BJ140" s="32"/>
      <c r="BK140" s="55"/>
      <c r="BL140" s="32"/>
      <c r="BM140" s="32"/>
      <c r="BN140" s="32"/>
      <c r="BO140" s="32"/>
      <c r="BP140" s="32"/>
      <c r="BQ140" s="31"/>
      <c r="BR140" s="31"/>
      <c r="BS140" s="54"/>
      <c r="BT140" s="21" t="str">
        <f>IFERROR(VLOOKUP(November[[#This Row],[Drug Name7]],'Data Options'!$R$1:$S$100,2,FALSE), " ")</f>
        <v xml:space="preserve"> </v>
      </c>
      <c r="BU140" s="55"/>
      <c r="BV140" s="32"/>
      <c r="BW140" s="32"/>
      <c r="BX140" s="55"/>
      <c r="BY140" s="32"/>
      <c r="BZ140" s="54"/>
      <c r="CA140" s="21" t="str">
        <f>IFERROR(VLOOKUP(November[[#This Row],[Drug Name8]],'Data Options'!$R$1:$S$100,2,FALSE), " ")</f>
        <v xml:space="preserve"> </v>
      </c>
      <c r="CB140" s="55"/>
      <c r="CC140" s="32"/>
      <c r="CD140" s="32"/>
      <c r="CE140" s="55"/>
      <c r="CF140" s="32"/>
      <c r="CG140" s="54"/>
      <c r="CH140" s="21" t="str">
        <f>IFERROR(VLOOKUP(November[[#This Row],[Drug Name9]],'Data Options'!$R$1:$S$100,2,FALSE), " ")</f>
        <v xml:space="preserve"> </v>
      </c>
      <c r="CI140" s="55"/>
      <c r="CJ140" s="32"/>
      <c r="CK140" s="32"/>
      <c r="CL140" s="55"/>
      <c r="CM140" s="32"/>
    </row>
    <row r="141" spans="1:91">
      <c r="A141" s="5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1"/>
      <c r="Q141" s="54"/>
      <c r="R141" s="21" t="str">
        <f>IFERROR(VLOOKUP(November[[#This Row],[Drug Name]],'Data Options'!$R$1:$S$100,2,FALSE), " ")</f>
        <v xml:space="preserve"> </v>
      </c>
      <c r="S141" s="55"/>
      <c r="T141" s="32"/>
      <c r="U141" s="32"/>
      <c r="V141" s="55"/>
      <c r="W141" s="32"/>
      <c r="X141" s="54"/>
      <c r="Y141" s="21" t="str">
        <f>IFERROR(VLOOKUP(November[[#This Row],[Drug Name2]],'Data Options'!$R$1:$S$100,2,FALSE), " ")</f>
        <v xml:space="preserve"> </v>
      </c>
      <c r="Z141" s="55"/>
      <c r="AA141" s="32"/>
      <c r="AB141" s="32"/>
      <c r="AC141" s="55"/>
      <c r="AD141" s="32"/>
      <c r="AE141" s="54"/>
      <c r="AF141" s="21" t="str">
        <f>IFERROR(VLOOKUP(November[[#This Row],[Drug Name3]],'Data Options'!$R$1:$S$100,2,FALSE), " ")</f>
        <v xml:space="preserve"> </v>
      </c>
      <c r="AG141" s="55"/>
      <c r="AH141" s="32"/>
      <c r="AI141" s="32"/>
      <c r="AJ141" s="55"/>
      <c r="AK141" s="32"/>
      <c r="AL141" s="32"/>
      <c r="AM141" s="32"/>
      <c r="AN141" s="32"/>
      <c r="AO141" s="32"/>
      <c r="AP141" s="31"/>
      <c r="AQ141" s="31"/>
      <c r="AR141" s="54"/>
      <c r="AS141" s="21" t="str">
        <f>IFERROR(VLOOKUP(November[[#This Row],[Drug Name4]],'Data Options'!$R$1:$S$100,2,FALSE), " ")</f>
        <v xml:space="preserve"> </v>
      </c>
      <c r="AT141" s="55"/>
      <c r="AU141" s="32"/>
      <c r="AV141" s="32"/>
      <c r="AW141" s="55"/>
      <c r="AX141" s="32"/>
      <c r="AY141" s="54"/>
      <c r="AZ141" s="21" t="str">
        <f>IFERROR(VLOOKUP(November[[#This Row],[Drug Name5]],'Data Options'!$R$1:$S$100,2,FALSE), " ")</f>
        <v xml:space="preserve"> </v>
      </c>
      <c r="BA141" s="55"/>
      <c r="BB141" s="32"/>
      <c r="BC141" s="32"/>
      <c r="BD141" s="55"/>
      <c r="BE141" s="32"/>
      <c r="BF141" s="54"/>
      <c r="BG141" s="21" t="str">
        <f>IFERROR(VLOOKUP(November[[#This Row],[Drug Name6]],'Data Options'!$R$1:$S$100,2,FALSE), " ")</f>
        <v xml:space="preserve"> </v>
      </c>
      <c r="BH141" s="55"/>
      <c r="BI141" s="32"/>
      <c r="BJ141" s="32"/>
      <c r="BK141" s="55"/>
      <c r="BL141" s="32"/>
      <c r="BM141" s="32"/>
      <c r="BN141" s="32"/>
      <c r="BO141" s="32"/>
      <c r="BP141" s="32"/>
      <c r="BQ141" s="31"/>
      <c r="BR141" s="31"/>
      <c r="BS141" s="54"/>
      <c r="BT141" s="21" t="str">
        <f>IFERROR(VLOOKUP(November[[#This Row],[Drug Name7]],'Data Options'!$R$1:$S$100,2,FALSE), " ")</f>
        <v xml:space="preserve"> </v>
      </c>
      <c r="BU141" s="55"/>
      <c r="BV141" s="32"/>
      <c r="BW141" s="32"/>
      <c r="BX141" s="55"/>
      <c r="BY141" s="32"/>
      <c r="BZ141" s="54"/>
      <c r="CA141" s="21" t="str">
        <f>IFERROR(VLOOKUP(November[[#This Row],[Drug Name8]],'Data Options'!$R$1:$S$100,2,FALSE), " ")</f>
        <v xml:space="preserve"> </v>
      </c>
      <c r="CB141" s="55"/>
      <c r="CC141" s="32"/>
      <c r="CD141" s="32"/>
      <c r="CE141" s="55"/>
      <c r="CF141" s="32"/>
      <c r="CG141" s="54"/>
      <c r="CH141" s="21" t="str">
        <f>IFERROR(VLOOKUP(November[[#This Row],[Drug Name9]],'Data Options'!$R$1:$S$100,2,FALSE), " ")</f>
        <v xml:space="preserve"> </v>
      </c>
      <c r="CI141" s="55"/>
      <c r="CJ141" s="32"/>
      <c r="CK141" s="32"/>
      <c r="CL141" s="55"/>
      <c r="CM141" s="32"/>
    </row>
    <row r="142" spans="1:91">
      <c r="A142" s="5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1"/>
      <c r="P142" s="31"/>
      <c r="Q142" s="54"/>
      <c r="R142" s="21" t="str">
        <f>IFERROR(VLOOKUP(November[[#This Row],[Drug Name]],'Data Options'!$R$1:$S$100,2,FALSE), " ")</f>
        <v xml:space="preserve"> </v>
      </c>
      <c r="S142" s="55"/>
      <c r="T142" s="32"/>
      <c r="U142" s="32"/>
      <c r="V142" s="55"/>
      <c r="W142" s="32"/>
      <c r="X142" s="54"/>
      <c r="Y142" s="21" t="str">
        <f>IFERROR(VLOOKUP(November[[#This Row],[Drug Name2]],'Data Options'!$R$1:$S$100,2,FALSE), " ")</f>
        <v xml:space="preserve"> </v>
      </c>
      <c r="Z142" s="55"/>
      <c r="AA142" s="32"/>
      <c r="AB142" s="32"/>
      <c r="AC142" s="55"/>
      <c r="AD142" s="32"/>
      <c r="AE142" s="54"/>
      <c r="AF142" s="21" t="str">
        <f>IFERROR(VLOOKUP(November[[#This Row],[Drug Name3]],'Data Options'!$R$1:$S$100,2,FALSE), " ")</f>
        <v xml:space="preserve"> </v>
      </c>
      <c r="AG142" s="55"/>
      <c r="AH142" s="32"/>
      <c r="AI142" s="32"/>
      <c r="AJ142" s="55"/>
      <c r="AK142" s="32"/>
      <c r="AL142" s="32"/>
      <c r="AM142" s="32"/>
      <c r="AN142" s="32"/>
      <c r="AO142" s="32"/>
      <c r="AP142" s="31"/>
      <c r="AQ142" s="31"/>
      <c r="AR142" s="54"/>
      <c r="AS142" s="21" t="str">
        <f>IFERROR(VLOOKUP(November[[#This Row],[Drug Name4]],'Data Options'!$R$1:$S$100,2,FALSE), " ")</f>
        <v xml:space="preserve"> </v>
      </c>
      <c r="AT142" s="55"/>
      <c r="AU142" s="32"/>
      <c r="AV142" s="32"/>
      <c r="AW142" s="55"/>
      <c r="AX142" s="32"/>
      <c r="AY142" s="54"/>
      <c r="AZ142" s="21" t="str">
        <f>IFERROR(VLOOKUP(November[[#This Row],[Drug Name5]],'Data Options'!$R$1:$S$100,2,FALSE), " ")</f>
        <v xml:space="preserve"> </v>
      </c>
      <c r="BA142" s="55"/>
      <c r="BB142" s="32"/>
      <c r="BC142" s="32"/>
      <c r="BD142" s="55"/>
      <c r="BE142" s="32"/>
      <c r="BF142" s="54"/>
      <c r="BG142" s="21" t="str">
        <f>IFERROR(VLOOKUP(November[[#This Row],[Drug Name6]],'Data Options'!$R$1:$S$100,2,FALSE), " ")</f>
        <v xml:space="preserve"> </v>
      </c>
      <c r="BH142" s="55"/>
      <c r="BI142" s="32"/>
      <c r="BJ142" s="32"/>
      <c r="BK142" s="55"/>
      <c r="BL142" s="32"/>
      <c r="BM142" s="32"/>
      <c r="BN142" s="32"/>
      <c r="BO142" s="32"/>
      <c r="BP142" s="32"/>
      <c r="BQ142" s="31"/>
      <c r="BR142" s="31"/>
      <c r="BS142" s="54"/>
      <c r="BT142" s="21" t="str">
        <f>IFERROR(VLOOKUP(November[[#This Row],[Drug Name7]],'Data Options'!$R$1:$S$100,2,FALSE), " ")</f>
        <v xml:space="preserve"> </v>
      </c>
      <c r="BU142" s="55"/>
      <c r="BV142" s="32"/>
      <c r="BW142" s="32"/>
      <c r="BX142" s="55"/>
      <c r="BY142" s="32"/>
      <c r="BZ142" s="54"/>
      <c r="CA142" s="21" t="str">
        <f>IFERROR(VLOOKUP(November[[#This Row],[Drug Name8]],'Data Options'!$R$1:$S$100,2,FALSE), " ")</f>
        <v xml:space="preserve"> </v>
      </c>
      <c r="CB142" s="55"/>
      <c r="CC142" s="32"/>
      <c r="CD142" s="32"/>
      <c r="CE142" s="55"/>
      <c r="CF142" s="32"/>
      <c r="CG142" s="54"/>
      <c r="CH142" s="21" t="str">
        <f>IFERROR(VLOOKUP(November[[#This Row],[Drug Name9]],'Data Options'!$R$1:$S$100,2,FALSE), " ")</f>
        <v xml:space="preserve"> </v>
      </c>
      <c r="CI142" s="55"/>
      <c r="CJ142" s="32"/>
      <c r="CK142" s="32"/>
      <c r="CL142" s="55"/>
      <c r="CM142" s="32"/>
    </row>
    <row r="143" spans="1:91">
      <c r="A143" s="5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1"/>
      <c r="P143" s="31"/>
      <c r="Q143" s="54"/>
      <c r="R143" s="21" t="str">
        <f>IFERROR(VLOOKUP(November[[#This Row],[Drug Name]],'Data Options'!$R$1:$S$100,2,FALSE), " ")</f>
        <v xml:space="preserve"> </v>
      </c>
      <c r="S143" s="55"/>
      <c r="T143" s="32"/>
      <c r="U143" s="32"/>
      <c r="V143" s="55"/>
      <c r="W143" s="32"/>
      <c r="X143" s="54"/>
      <c r="Y143" s="21" t="str">
        <f>IFERROR(VLOOKUP(November[[#This Row],[Drug Name2]],'Data Options'!$R$1:$S$100,2,FALSE), " ")</f>
        <v xml:space="preserve"> </v>
      </c>
      <c r="Z143" s="55"/>
      <c r="AA143" s="32"/>
      <c r="AB143" s="32"/>
      <c r="AC143" s="55"/>
      <c r="AD143" s="32"/>
      <c r="AE143" s="54"/>
      <c r="AF143" s="21" t="str">
        <f>IFERROR(VLOOKUP(November[[#This Row],[Drug Name3]],'Data Options'!$R$1:$S$100,2,FALSE), " ")</f>
        <v xml:space="preserve"> </v>
      </c>
      <c r="AG143" s="55"/>
      <c r="AH143" s="32"/>
      <c r="AI143" s="32"/>
      <c r="AJ143" s="55"/>
      <c r="AK143" s="32"/>
      <c r="AL143" s="32"/>
      <c r="AM143" s="32"/>
      <c r="AN143" s="32"/>
      <c r="AO143" s="32"/>
      <c r="AP143" s="31"/>
      <c r="AQ143" s="31"/>
      <c r="AR143" s="54"/>
      <c r="AS143" s="21" t="str">
        <f>IFERROR(VLOOKUP(November[[#This Row],[Drug Name4]],'Data Options'!$R$1:$S$100,2,FALSE), " ")</f>
        <v xml:space="preserve"> </v>
      </c>
      <c r="AT143" s="55"/>
      <c r="AU143" s="32"/>
      <c r="AV143" s="32"/>
      <c r="AW143" s="55"/>
      <c r="AX143" s="32"/>
      <c r="AY143" s="54"/>
      <c r="AZ143" s="21" t="str">
        <f>IFERROR(VLOOKUP(November[[#This Row],[Drug Name5]],'Data Options'!$R$1:$S$100,2,FALSE), " ")</f>
        <v xml:space="preserve"> </v>
      </c>
      <c r="BA143" s="55"/>
      <c r="BB143" s="32"/>
      <c r="BC143" s="32"/>
      <c r="BD143" s="55"/>
      <c r="BE143" s="32"/>
      <c r="BF143" s="54"/>
      <c r="BG143" s="21" t="str">
        <f>IFERROR(VLOOKUP(November[[#This Row],[Drug Name6]],'Data Options'!$R$1:$S$100,2,FALSE), " ")</f>
        <v xml:space="preserve"> </v>
      </c>
      <c r="BH143" s="55"/>
      <c r="BI143" s="32"/>
      <c r="BJ143" s="32"/>
      <c r="BK143" s="55"/>
      <c r="BL143" s="32"/>
      <c r="BM143" s="32"/>
      <c r="BN143" s="32"/>
      <c r="BO143" s="32"/>
      <c r="BP143" s="32"/>
      <c r="BQ143" s="31"/>
      <c r="BR143" s="31"/>
      <c r="BS143" s="54"/>
      <c r="BT143" s="21" t="str">
        <f>IFERROR(VLOOKUP(November[[#This Row],[Drug Name7]],'Data Options'!$R$1:$S$100,2,FALSE), " ")</f>
        <v xml:space="preserve"> </v>
      </c>
      <c r="BU143" s="55"/>
      <c r="BV143" s="32"/>
      <c r="BW143" s="32"/>
      <c r="BX143" s="55"/>
      <c r="BY143" s="32"/>
      <c r="BZ143" s="54"/>
      <c r="CA143" s="21" t="str">
        <f>IFERROR(VLOOKUP(November[[#This Row],[Drug Name8]],'Data Options'!$R$1:$S$100,2,FALSE), " ")</f>
        <v xml:space="preserve"> </v>
      </c>
      <c r="CB143" s="55"/>
      <c r="CC143" s="32"/>
      <c r="CD143" s="32"/>
      <c r="CE143" s="55"/>
      <c r="CF143" s="32"/>
      <c r="CG143" s="54"/>
      <c r="CH143" s="21" t="str">
        <f>IFERROR(VLOOKUP(November[[#This Row],[Drug Name9]],'Data Options'!$R$1:$S$100,2,FALSE), " ")</f>
        <v xml:space="preserve"> </v>
      </c>
      <c r="CI143" s="55"/>
      <c r="CJ143" s="32"/>
      <c r="CK143" s="32"/>
      <c r="CL143" s="55"/>
      <c r="CM143" s="32"/>
    </row>
    <row r="144" spans="1:91">
      <c r="A144" s="5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1"/>
      <c r="P144" s="31"/>
      <c r="Q144" s="54"/>
      <c r="R144" s="21" t="str">
        <f>IFERROR(VLOOKUP(November[[#This Row],[Drug Name]],'Data Options'!$R$1:$S$100,2,FALSE), " ")</f>
        <v xml:space="preserve"> </v>
      </c>
      <c r="S144" s="55"/>
      <c r="T144" s="32"/>
      <c r="U144" s="32"/>
      <c r="V144" s="55"/>
      <c r="W144" s="32"/>
      <c r="X144" s="54"/>
      <c r="Y144" s="21" t="str">
        <f>IFERROR(VLOOKUP(November[[#This Row],[Drug Name2]],'Data Options'!$R$1:$S$100,2,FALSE), " ")</f>
        <v xml:space="preserve"> </v>
      </c>
      <c r="Z144" s="55"/>
      <c r="AA144" s="32"/>
      <c r="AB144" s="32"/>
      <c r="AC144" s="55"/>
      <c r="AD144" s="32"/>
      <c r="AE144" s="54"/>
      <c r="AF144" s="21" t="str">
        <f>IFERROR(VLOOKUP(November[[#This Row],[Drug Name3]],'Data Options'!$R$1:$S$100,2,FALSE), " ")</f>
        <v xml:space="preserve"> </v>
      </c>
      <c r="AG144" s="55"/>
      <c r="AH144" s="32"/>
      <c r="AI144" s="32"/>
      <c r="AJ144" s="55"/>
      <c r="AK144" s="32"/>
      <c r="AL144" s="32"/>
      <c r="AM144" s="32"/>
      <c r="AN144" s="32"/>
      <c r="AO144" s="32"/>
      <c r="AP144" s="31"/>
      <c r="AQ144" s="31"/>
      <c r="AR144" s="54"/>
      <c r="AS144" s="21" t="str">
        <f>IFERROR(VLOOKUP(November[[#This Row],[Drug Name4]],'Data Options'!$R$1:$S$100,2,FALSE), " ")</f>
        <v xml:space="preserve"> </v>
      </c>
      <c r="AT144" s="55"/>
      <c r="AU144" s="32"/>
      <c r="AV144" s="32"/>
      <c r="AW144" s="55"/>
      <c r="AX144" s="32"/>
      <c r="AY144" s="54"/>
      <c r="AZ144" s="21" t="str">
        <f>IFERROR(VLOOKUP(November[[#This Row],[Drug Name5]],'Data Options'!$R$1:$S$100,2,FALSE), " ")</f>
        <v xml:space="preserve"> </v>
      </c>
      <c r="BA144" s="55"/>
      <c r="BB144" s="32"/>
      <c r="BC144" s="32"/>
      <c r="BD144" s="55"/>
      <c r="BE144" s="32"/>
      <c r="BF144" s="54"/>
      <c r="BG144" s="21" t="str">
        <f>IFERROR(VLOOKUP(November[[#This Row],[Drug Name6]],'Data Options'!$R$1:$S$100,2,FALSE), " ")</f>
        <v xml:space="preserve"> </v>
      </c>
      <c r="BH144" s="55"/>
      <c r="BI144" s="32"/>
      <c r="BJ144" s="32"/>
      <c r="BK144" s="55"/>
      <c r="BL144" s="32"/>
      <c r="BM144" s="32"/>
      <c r="BN144" s="32"/>
      <c r="BO144" s="32"/>
      <c r="BP144" s="32"/>
      <c r="BQ144" s="31"/>
      <c r="BR144" s="31"/>
      <c r="BS144" s="54"/>
      <c r="BT144" s="21" t="str">
        <f>IFERROR(VLOOKUP(November[[#This Row],[Drug Name7]],'Data Options'!$R$1:$S$100,2,FALSE), " ")</f>
        <v xml:space="preserve"> </v>
      </c>
      <c r="BU144" s="55"/>
      <c r="BV144" s="32"/>
      <c r="BW144" s="32"/>
      <c r="BX144" s="55"/>
      <c r="BY144" s="32"/>
      <c r="BZ144" s="54"/>
      <c r="CA144" s="21" t="str">
        <f>IFERROR(VLOOKUP(November[[#This Row],[Drug Name8]],'Data Options'!$R$1:$S$100,2,FALSE), " ")</f>
        <v xml:space="preserve"> </v>
      </c>
      <c r="CB144" s="55"/>
      <c r="CC144" s="32"/>
      <c r="CD144" s="32"/>
      <c r="CE144" s="55"/>
      <c r="CF144" s="32"/>
      <c r="CG144" s="54"/>
      <c r="CH144" s="21" t="str">
        <f>IFERROR(VLOOKUP(November[[#This Row],[Drug Name9]],'Data Options'!$R$1:$S$100,2,FALSE), " ")</f>
        <v xml:space="preserve"> </v>
      </c>
      <c r="CI144" s="55"/>
      <c r="CJ144" s="32"/>
      <c r="CK144" s="32"/>
      <c r="CL144" s="55"/>
      <c r="CM144" s="32"/>
    </row>
    <row r="145" spans="1:91">
      <c r="A145" s="5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1"/>
      <c r="P145" s="31"/>
      <c r="Q145" s="54"/>
      <c r="R145" s="21" t="str">
        <f>IFERROR(VLOOKUP(November[[#This Row],[Drug Name]],'Data Options'!$R$1:$S$100,2,FALSE), " ")</f>
        <v xml:space="preserve"> </v>
      </c>
      <c r="S145" s="55"/>
      <c r="T145" s="32"/>
      <c r="U145" s="32"/>
      <c r="V145" s="55"/>
      <c r="W145" s="32"/>
      <c r="X145" s="54"/>
      <c r="Y145" s="21" t="str">
        <f>IFERROR(VLOOKUP(November[[#This Row],[Drug Name2]],'Data Options'!$R$1:$S$100,2,FALSE), " ")</f>
        <v xml:space="preserve"> </v>
      </c>
      <c r="Z145" s="55"/>
      <c r="AA145" s="32"/>
      <c r="AB145" s="32"/>
      <c r="AC145" s="55"/>
      <c r="AD145" s="32"/>
      <c r="AE145" s="54"/>
      <c r="AF145" s="21" t="str">
        <f>IFERROR(VLOOKUP(November[[#This Row],[Drug Name3]],'Data Options'!$R$1:$S$100,2,FALSE), " ")</f>
        <v xml:space="preserve"> </v>
      </c>
      <c r="AG145" s="55"/>
      <c r="AH145" s="32"/>
      <c r="AI145" s="32"/>
      <c r="AJ145" s="55"/>
      <c r="AK145" s="32"/>
      <c r="AL145" s="32"/>
      <c r="AM145" s="32"/>
      <c r="AN145" s="32"/>
      <c r="AO145" s="32"/>
      <c r="AP145" s="31"/>
      <c r="AQ145" s="31"/>
      <c r="AR145" s="54"/>
      <c r="AS145" s="21" t="str">
        <f>IFERROR(VLOOKUP(November[[#This Row],[Drug Name4]],'Data Options'!$R$1:$S$100,2,FALSE), " ")</f>
        <v xml:space="preserve"> </v>
      </c>
      <c r="AT145" s="55"/>
      <c r="AU145" s="32"/>
      <c r="AV145" s="32"/>
      <c r="AW145" s="55"/>
      <c r="AX145" s="32"/>
      <c r="AY145" s="54"/>
      <c r="AZ145" s="21" t="str">
        <f>IFERROR(VLOOKUP(November[[#This Row],[Drug Name5]],'Data Options'!$R$1:$S$100,2,FALSE), " ")</f>
        <v xml:space="preserve"> </v>
      </c>
      <c r="BA145" s="55"/>
      <c r="BB145" s="32"/>
      <c r="BC145" s="32"/>
      <c r="BD145" s="55"/>
      <c r="BE145" s="32"/>
      <c r="BF145" s="54"/>
      <c r="BG145" s="21" t="str">
        <f>IFERROR(VLOOKUP(November[[#This Row],[Drug Name6]],'Data Options'!$R$1:$S$100,2,FALSE), " ")</f>
        <v xml:space="preserve"> </v>
      </c>
      <c r="BH145" s="55"/>
      <c r="BI145" s="32"/>
      <c r="BJ145" s="32"/>
      <c r="BK145" s="55"/>
      <c r="BL145" s="32"/>
      <c r="BM145" s="32"/>
      <c r="BN145" s="32"/>
      <c r="BO145" s="32"/>
      <c r="BP145" s="32"/>
      <c r="BQ145" s="31"/>
      <c r="BR145" s="31"/>
      <c r="BS145" s="54"/>
      <c r="BT145" s="21" t="str">
        <f>IFERROR(VLOOKUP(November[[#This Row],[Drug Name7]],'Data Options'!$R$1:$S$100,2,FALSE), " ")</f>
        <v xml:space="preserve"> </v>
      </c>
      <c r="BU145" s="55"/>
      <c r="BV145" s="32"/>
      <c r="BW145" s="32"/>
      <c r="BX145" s="55"/>
      <c r="BY145" s="32"/>
      <c r="BZ145" s="54"/>
      <c r="CA145" s="21" t="str">
        <f>IFERROR(VLOOKUP(November[[#This Row],[Drug Name8]],'Data Options'!$R$1:$S$100,2,FALSE), " ")</f>
        <v xml:space="preserve"> </v>
      </c>
      <c r="CB145" s="55"/>
      <c r="CC145" s="32"/>
      <c r="CD145" s="32"/>
      <c r="CE145" s="55"/>
      <c r="CF145" s="32"/>
      <c r="CG145" s="54"/>
      <c r="CH145" s="21" t="str">
        <f>IFERROR(VLOOKUP(November[[#This Row],[Drug Name9]],'Data Options'!$R$1:$S$100,2,FALSE), " ")</f>
        <v xml:space="preserve"> </v>
      </c>
      <c r="CI145" s="55"/>
      <c r="CJ145" s="32"/>
      <c r="CK145" s="32"/>
      <c r="CL145" s="55"/>
      <c r="CM145" s="32"/>
    </row>
    <row r="146" spans="1:91">
      <c r="A146" s="5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1"/>
      <c r="P146" s="31"/>
      <c r="Q146" s="54"/>
      <c r="R146" s="21" t="str">
        <f>IFERROR(VLOOKUP(November[[#This Row],[Drug Name]],'Data Options'!$R$1:$S$100,2,FALSE), " ")</f>
        <v xml:space="preserve"> </v>
      </c>
      <c r="S146" s="55"/>
      <c r="T146" s="32"/>
      <c r="U146" s="32"/>
      <c r="V146" s="55"/>
      <c r="W146" s="32"/>
      <c r="X146" s="54"/>
      <c r="Y146" s="21" t="str">
        <f>IFERROR(VLOOKUP(November[[#This Row],[Drug Name2]],'Data Options'!$R$1:$S$100,2,FALSE), " ")</f>
        <v xml:space="preserve"> </v>
      </c>
      <c r="Z146" s="55"/>
      <c r="AA146" s="32"/>
      <c r="AB146" s="32"/>
      <c r="AC146" s="55"/>
      <c r="AD146" s="32"/>
      <c r="AE146" s="54"/>
      <c r="AF146" s="21" t="str">
        <f>IFERROR(VLOOKUP(November[[#This Row],[Drug Name3]],'Data Options'!$R$1:$S$100,2,FALSE), " ")</f>
        <v xml:space="preserve"> </v>
      </c>
      <c r="AG146" s="55"/>
      <c r="AH146" s="32"/>
      <c r="AI146" s="32"/>
      <c r="AJ146" s="55"/>
      <c r="AK146" s="32"/>
      <c r="AL146" s="32"/>
      <c r="AM146" s="32"/>
      <c r="AN146" s="32"/>
      <c r="AO146" s="32"/>
      <c r="AP146" s="31"/>
      <c r="AQ146" s="31"/>
      <c r="AR146" s="54"/>
      <c r="AS146" s="21" t="str">
        <f>IFERROR(VLOOKUP(November[[#This Row],[Drug Name4]],'Data Options'!$R$1:$S$100,2,FALSE), " ")</f>
        <v xml:space="preserve"> </v>
      </c>
      <c r="AT146" s="55"/>
      <c r="AU146" s="32"/>
      <c r="AV146" s="32"/>
      <c r="AW146" s="55"/>
      <c r="AX146" s="32"/>
      <c r="AY146" s="54"/>
      <c r="AZ146" s="21" t="str">
        <f>IFERROR(VLOOKUP(November[[#This Row],[Drug Name5]],'Data Options'!$R$1:$S$100,2,FALSE), " ")</f>
        <v xml:space="preserve"> </v>
      </c>
      <c r="BA146" s="55"/>
      <c r="BB146" s="32"/>
      <c r="BC146" s="32"/>
      <c r="BD146" s="55"/>
      <c r="BE146" s="32"/>
      <c r="BF146" s="54"/>
      <c r="BG146" s="21" t="str">
        <f>IFERROR(VLOOKUP(November[[#This Row],[Drug Name6]],'Data Options'!$R$1:$S$100,2,FALSE), " ")</f>
        <v xml:space="preserve"> </v>
      </c>
      <c r="BH146" s="55"/>
      <c r="BI146" s="32"/>
      <c r="BJ146" s="32"/>
      <c r="BK146" s="55"/>
      <c r="BL146" s="32"/>
      <c r="BM146" s="32"/>
      <c r="BN146" s="32"/>
      <c r="BO146" s="32"/>
      <c r="BP146" s="32"/>
      <c r="BQ146" s="31"/>
      <c r="BR146" s="31"/>
      <c r="BS146" s="54"/>
      <c r="BT146" s="21" t="str">
        <f>IFERROR(VLOOKUP(November[[#This Row],[Drug Name7]],'Data Options'!$R$1:$S$100,2,FALSE), " ")</f>
        <v xml:space="preserve"> </v>
      </c>
      <c r="BU146" s="55"/>
      <c r="BV146" s="32"/>
      <c r="BW146" s="32"/>
      <c r="BX146" s="55"/>
      <c r="BY146" s="32"/>
      <c r="BZ146" s="54"/>
      <c r="CA146" s="21" t="str">
        <f>IFERROR(VLOOKUP(November[[#This Row],[Drug Name8]],'Data Options'!$R$1:$S$100,2,FALSE), " ")</f>
        <v xml:space="preserve"> </v>
      </c>
      <c r="CB146" s="55"/>
      <c r="CC146" s="32"/>
      <c r="CD146" s="32"/>
      <c r="CE146" s="55"/>
      <c r="CF146" s="32"/>
      <c r="CG146" s="54"/>
      <c r="CH146" s="21" t="str">
        <f>IFERROR(VLOOKUP(November[[#This Row],[Drug Name9]],'Data Options'!$R$1:$S$100,2,FALSE), " ")</f>
        <v xml:space="preserve"> </v>
      </c>
      <c r="CI146" s="55"/>
      <c r="CJ146" s="32"/>
      <c r="CK146" s="32"/>
      <c r="CL146" s="55"/>
      <c r="CM146" s="32"/>
    </row>
    <row r="147" spans="1:91">
      <c r="A147" s="5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1"/>
      <c r="P147" s="31"/>
      <c r="Q147" s="54"/>
      <c r="R147" s="21" t="str">
        <f>IFERROR(VLOOKUP(November[[#This Row],[Drug Name]],'Data Options'!$R$1:$S$100,2,FALSE), " ")</f>
        <v xml:space="preserve"> </v>
      </c>
      <c r="S147" s="55"/>
      <c r="T147" s="32"/>
      <c r="U147" s="32"/>
      <c r="V147" s="55"/>
      <c r="W147" s="32"/>
      <c r="X147" s="54"/>
      <c r="Y147" s="21" t="str">
        <f>IFERROR(VLOOKUP(November[[#This Row],[Drug Name2]],'Data Options'!$R$1:$S$100,2,FALSE), " ")</f>
        <v xml:space="preserve"> </v>
      </c>
      <c r="Z147" s="55"/>
      <c r="AA147" s="32"/>
      <c r="AB147" s="32"/>
      <c r="AC147" s="55"/>
      <c r="AD147" s="32"/>
      <c r="AE147" s="54"/>
      <c r="AF147" s="21" t="str">
        <f>IFERROR(VLOOKUP(November[[#This Row],[Drug Name3]],'Data Options'!$R$1:$S$100,2,FALSE), " ")</f>
        <v xml:space="preserve"> </v>
      </c>
      <c r="AG147" s="55"/>
      <c r="AH147" s="32"/>
      <c r="AI147" s="32"/>
      <c r="AJ147" s="55"/>
      <c r="AK147" s="32"/>
      <c r="AL147" s="32"/>
      <c r="AM147" s="32"/>
      <c r="AN147" s="32"/>
      <c r="AO147" s="32"/>
      <c r="AP147" s="31"/>
      <c r="AQ147" s="31"/>
      <c r="AR147" s="54"/>
      <c r="AS147" s="21" t="str">
        <f>IFERROR(VLOOKUP(November[[#This Row],[Drug Name4]],'Data Options'!$R$1:$S$100,2,FALSE), " ")</f>
        <v xml:space="preserve"> </v>
      </c>
      <c r="AT147" s="55"/>
      <c r="AU147" s="32"/>
      <c r="AV147" s="32"/>
      <c r="AW147" s="55"/>
      <c r="AX147" s="32"/>
      <c r="AY147" s="54"/>
      <c r="AZ147" s="21" t="str">
        <f>IFERROR(VLOOKUP(November[[#This Row],[Drug Name5]],'Data Options'!$R$1:$S$100,2,FALSE), " ")</f>
        <v xml:space="preserve"> </v>
      </c>
      <c r="BA147" s="55"/>
      <c r="BB147" s="32"/>
      <c r="BC147" s="32"/>
      <c r="BD147" s="55"/>
      <c r="BE147" s="32"/>
      <c r="BF147" s="54"/>
      <c r="BG147" s="21" t="str">
        <f>IFERROR(VLOOKUP(November[[#This Row],[Drug Name6]],'Data Options'!$R$1:$S$100,2,FALSE), " ")</f>
        <v xml:space="preserve"> </v>
      </c>
      <c r="BH147" s="55"/>
      <c r="BI147" s="32"/>
      <c r="BJ147" s="32"/>
      <c r="BK147" s="55"/>
      <c r="BL147" s="32"/>
      <c r="BM147" s="32"/>
      <c r="BN147" s="32"/>
      <c r="BO147" s="32"/>
      <c r="BP147" s="32"/>
      <c r="BQ147" s="31"/>
      <c r="BR147" s="31"/>
      <c r="BS147" s="54"/>
      <c r="BT147" s="21" t="str">
        <f>IFERROR(VLOOKUP(November[[#This Row],[Drug Name7]],'Data Options'!$R$1:$S$100,2,FALSE), " ")</f>
        <v xml:space="preserve"> </v>
      </c>
      <c r="BU147" s="55"/>
      <c r="BV147" s="32"/>
      <c r="BW147" s="32"/>
      <c r="BX147" s="55"/>
      <c r="BY147" s="32"/>
      <c r="BZ147" s="54"/>
      <c r="CA147" s="21" t="str">
        <f>IFERROR(VLOOKUP(November[[#This Row],[Drug Name8]],'Data Options'!$R$1:$S$100,2,FALSE), " ")</f>
        <v xml:space="preserve"> </v>
      </c>
      <c r="CB147" s="55"/>
      <c r="CC147" s="32"/>
      <c r="CD147" s="32"/>
      <c r="CE147" s="55"/>
      <c r="CF147" s="32"/>
      <c r="CG147" s="54"/>
      <c r="CH147" s="21" t="str">
        <f>IFERROR(VLOOKUP(November[[#This Row],[Drug Name9]],'Data Options'!$R$1:$S$100,2,FALSE), " ")</f>
        <v xml:space="preserve"> </v>
      </c>
      <c r="CI147" s="55"/>
      <c r="CJ147" s="32"/>
      <c r="CK147" s="32"/>
      <c r="CL147" s="55"/>
      <c r="CM147" s="32"/>
    </row>
    <row r="148" spans="1:91">
      <c r="A148" s="5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1"/>
      <c r="P148" s="31"/>
      <c r="Q148" s="54"/>
      <c r="R148" s="21" t="str">
        <f>IFERROR(VLOOKUP(November[[#This Row],[Drug Name]],'Data Options'!$R$1:$S$100,2,FALSE), " ")</f>
        <v xml:space="preserve"> </v>
      </c>
      <c r="S148" s="55"/>
      <c r="T148" s="32"/>
      <c r="U148" s="32"/>
      <c r="V148" s="55"/>
      <c r="W148" s="32"/>
      <c r="X148" s="54"/>
      <c r="Y148" s="21" t="str">
        <f>IFERROR(VLOOKUP(November[[#This Row],[Drug Name2]],'Data Options'!$R$1:$S$100,2,FALSE), " ")</f>
        <v xml:space="preserve"> </v>
      </c>
      <c r="Z148" s="55"/>
      <c r="AA148" s="32"/>
      <c r="AB148" s="32"/>
      <c r="AC148" s="55"/>
      <c r="AD148" s="32"/>
      <c r="AE148" s="54"/>
      <c r="AF148" s="21" t="str">
        <f>IFERROR(VLOOKUP(November[[#This Row],[Drug Name3]],'Data Options'!$R$1:$S$100,2,FALSE), " ")</f>
        <v xml:space="preserve"> </v>
      </c>
      <c r="AG148" s="55"/>
      <c r="AH148" s="32"/>
      <c r="AI148" s="32"/>
      <c r="AJ148" s="55"/>
      <c r="AK148" s="32"/>
      <c r="AL148" s="32"/>
      <c r="AM148" s="32"/>
      <c r="AN148" s="32"/>
      <c r="AO148" s="32"/>
      <c r="AP148" s="31"/>
      <c r="AQ148" s="31"/>
      <c r="AR148" s="54"/>
      <c r="AS148" s="21" t="str">
        <f>IFERROR(VLOOKUP(November[[#This Row],[Drug Name4]],'Data Options'!$R$1:$S$100,2,FALSE), " ")</f>
        <v xml:space="preserve"> </v>
      </c>
      <c r="AT148" s="55"/>
      <c r="AU148" s="32"/>
      <c r="AV148" s="32"/>
      <c r="AW148" s="55"/>
      <c r="AX148" s="32"/>
      <c r="AY148" s="54"/>
      <c r="AZ148" s="21" t="str">
        <f>IFERROR(VLOOKUP(November[[#This Row],[Drug Name5]],'Data Options'!$R$1:$S$100,2,FALSE), " ")</f>
        <v xml:space="preserve"> </v>
      </c>
      <c r="BA148" s="55"/>
      <c r="BB148" s="32"/>
      <c r="BC148" s="32"/>
      <c r="BD148" s="55"/>
      <c r="BE148" s="32"/>
      <c r="BF148" s="54"/>
      <c r="BG148" s="21" t="str">
        <f>IFERROR(VLOOKUP(November[[#This Row],[Drug Name6]],'Data Options'!$R$1:$S$100,2,FALSE), " ")</f>
        <v xml:space="preserve"> </v>
      </c>
      <c r="BH148" s="55"/>
      <c r="BI148" s="32"/>
      <c r="BJ148" s="32"/>
      <c r="BK148" s="55"/>
      <c r="BL148" s="32"/>
      <c r="BM148" s="32"/>
      <c r="BN148" s="32"/>
      <c r="BO148" s="32"/>
      <c r="BP148" s="32"/>
      <c r="BQ148" s="31"/>
      <c r="BR148" s="31"/>
      <c r="BS148" s="54"/>
      <c r="BT148" s="21" t="str">
        <f>IFERROR(VLOOKUP(November[[#This Row],[Drug Name7]],'Data Options'!$R$1:$S$100,2,FALSE), " ")</f>
        <v xml:space="preserve"> </v>
      </c>
      <c r="BU148" s="55"/>
      <c r="BV148" s="32"/>
      <c r="BW148" s="32"/>
      <c r="BX148" s="55"/>
      <c r="BY148" s="32"/>
      <c r="BZ148" s="54"/>
      <c r="CA148" s="21" t="str">
        <f>IFERROR(VLOOKUP(November[[#This Row],[Drug Name8]],'Data Options'!$R$1:$S$100,2,FALSE), " ")</f>
        <v xml:space="preserve"> </v>
      </c>
      <c r="CB148" s="55"/>
      <c r="CC148" s="32"/>
      <c r="CD148" s="32"/>
      <c r="CE148" s="55"/>
      <c r="CF148" s="32"/>
      <c r="CG148" s="54"/>
      <c r="CH148" s="21" t="str">
        <f>IFERROR(VLOOKUP(November[[#This Row],[Drug Name9]],'Data Options'!$R$1:$S$100,2,FALSE), " ")</f>
        <v xml:space="preserve"> </v>
      </c>
      <c r="CI148" s="55"/>
      <c r="CJ148" s="32"/>
      <c r="CK148" s="32"/>
      <c r="CL148" s="55"/>
      <c r="CM148" s="32"/>
    </row>
    <row r="149" spans="1:91">
      <c r="A149" s="5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1"/>
      <c r="P149" s="31"/>
      <c r="Q149" s="54"/>
      <c r="R149" s="21" t="str">
        <f>IFERROR(VLOOKUP(November[[#This Row],[Drug Name]],'Data Options'!$R$1:$S$100,2,FALSE), " ")</f>
        <v xml:space="preserve"> </v>
      </c>
      <c r="S149" s="55"/>
      <c r="T149" s="32"/>
      <c r="U149" s="32"/>
      <c r="V149" s="55"/>
      <c r="W149" s="32"/>
      <c r="X149" s="54"/>
      <c r="Y149" s="21" t="str">
        <f>IFERROR(VLOOKUP(November[[#This Row],[Drug Name2]],'Data Options'!$R$1:$S$100,2,FALSE), " ")</f>
        <v xml:space="preserve"> </v>
      </c>
      <c r="Z149" s="55"/>
      <c r="AA149" s="32"/>
      <c r="AB149" s="32"/>
      <c r="AC149" s="55"/>
      <c r="AD149" s="32"/>
      <c r="AE149" s="54"/>
      <c r="AF149" s="21" t="str">
        <f>IFERROR(VLOOKUP(November[[#This Row],[Drug Name3]],'Data Options'!$R$1:$S$100,2,FALSE), " ")</f>
        <v xml:space="preserve"> </v>
      </c>
      <c r="AG149" s="55"/>
      <c r="AH149" s="32"/>
      <c r="AI149" s="32"/>
      <c r="AJ149" s="55"/>
      <c r="AK149" s="32"/>
      <c r="AL149" s="32"/>
      <c r="AM149" s="32"/>
      <c r="AN149" s="32"/>
      <c r="AO149" s="32"/>
      <c r="AP149" s="31"/>
      <c r="AQ149" s="31"/>
      <c r="AR149" s="54"/>
      <c r="AS149" s="21" t="str">
        <f>IFERROR(VLOOKUP(November[[#This Row],[Drug Name4]],'Data Options'!$R$1:$S$100,2,FALSE), " ")</f>
        <v xml:space="preserve"> </v>
      </c>
      <c r="AT149" s="55"/>
      <c r="AU149" s="32"/>
      <c r="AV149" s="32"/>
      <c r="AW149" s="55"/>
      <c r="AX149" s="32"/>
      <c r="AY149" s="54"/>
      <c r="AZ149" s="21" t="str">
        <f>IFERROR(VLOOKUP(November[[#This Row],[Drug Name5]],'Data Options'!$R$1:$S$100,2,FALSE), " ")</f>
        <v xml:space="preserve"> </v>
      </c>
      <c r="BA149" s="55"/>
      <c r="BB149" s="32"/>
      <c r="BC149" s="32"/>
      <c r="BD149" s="55"/>
      <c r="BE149" s="32"/>
      <c r="BF149" s="54"/>
      <c r="BG149" s="21" t="str">
        <f>IFERROR(VLOOKUP(November[[#This Row],[Drug Name6]],'Data Options'!$R$1:$S$100,2,FALSE), " ")</f>
        <v xml:space="preserve"> </v>
      </c>
      <c r="BH149" s="55"/>
      <c r="BI149" s="32"/>
      <c r="BJ149" s="32"/>
      <c r="BK149" s="55"/>
      <c r="BL149" s="32"/>
      <c r="BM149" s="32"/>
      <c r="BN149" s="32"/>
      <c r="BO149" s="32"/>
      <c r="BP149" s="32"/>
      <c r="BQ149" s="31"/>
      <c r="BR149" s="31"/>
      <c r="BS149" s="54"/>
      <c r="BT149" s="21" t="str">
        <f>IFERROR(VLOOKUP(November[[#This Row],[Drug Name7]],'Data Options'!$R$1:$S$100,2,FALSE), " ")</f>
        <v xml:space="preserve"> </v>
      </c>
      <c r="BU149" s="55"/>
      <c r="BV149" s="32"/>
      <c r="BW149" s="32"/>
      <c r="BX149" s="55"/>
      <c r="BY149" s="32"/>
      <c r="BZ149" s="54"/>
      <c r="CA149" s="21" t="str">
        <f>IFERROR(VLOOKUP(November[[#This Row],[Drug Name8]],'Data Options'!$R$1:$S$100,2,FALSE), " ")</f>
        <v xml:space="preserve"> </v>
      </c>
      <c r="CB149" s="55"/>
      <c r="CC149" s="32"/>
      <c r="CD149" s="32"/>
      <c r="CE149" s="55"/>
      <c r="CF149" s="32"/>
      <c r="CG149" s="54"/>
      <c r="CH149" s="21" t="str">
        <f>IFERROR(VLOOKUP(November[[#This Row],[Drug Name9]],'Data Options'!$R$1:$S$100,2,FALSE), " ")</f>
        <v xml:space="preserve"> </v>
      </c>
      <c r="CI149" s="55"/>
      <c r="CJ149" s="32"/>
      <c r="CK149" s="32"/>
      <c r="CL149" s="55"/>
      <c r="CM149" s="32"/>
    </row>
    <row r="150" spans="1:91">
      <c r="A150" s="5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1"/>
      <c r="P150" s="31"/>
      <c r="Q150" s="54"/>
      <c r="R150" s="21" t="str">
        <f>IFERROR(VLOOKUP(November[[#This Row],[Drug Name]],'Data Options'!$R$1:$S$100,2,FALSE), " ")</f>
        <v xml:space="preserve"> </v>
      </c>
      <c r="S150" s="55"/>
      <c r="T150" s="32"/>
      <c r="U150" s="32"/>
      <c r="V150" s="55"/>
      <c r="W150" s="32"/>
      <c r="X150" s="54"/>
      <c r="Y150" s="21" t="str">
        <f>IFERROR(VLOOKUP(November[[#This Row],[Drug Name2]],'Data Options'!$R$1:$S$100,2,FALSE), " ")</f>
        <v xml:space="preserve"> </v>
      </c>
      <c r="Z150" s="55"/>
      <c r="AA150" s="32"/>
      <c r="AB150" s="32"/>
      <c r="AC150" s="55"/>
      <c r="AD150" s="32"/>
      <c r="AE150" s="54"/>
      <c r="AF150" s="21" t="str">
        <f>IFERROR(VLOOKUP(November[[#This Row],[Drug Name3]],'Data Options'!$R$1:$S$100,2,FALSE), " ")</f>
        <v xml:space="preserve"> </v>
      </c>
      <c r="AG150" s="55"/>
      <c r="AH150" s="32"/>
      <c r="AI150" s="32"/>
      <c r="AJ150" s="55"/>
      <c r="AK150" s="32"/>
      <c r="AL150" s="32"/>
      <c r="AM150" s="32"/>
      <c r="AN150" s="32"/>
      <c r="AO150" s="32"/>
      <c r="AP150" s="31"/>
      <c r="AQ150" s="31"/>
      <c r="AR150" s="54"/>
      <c r="AS150" s="21" t="str">
        <f>IFERROR(VLOOKUP(November[[#This Row],[Drug Name4]],'Data Options'!$R$1:$S$100,2,FALSE), " ")</f>
        <v xml:space="preserve"> </v>
      </c>
      <c r="AT150" s="55"/>
      <c r="AU150" s="32"/>
      <c r="AV150" s="32"/>
      <c r="AW150" s="55"/>
      <c r="AX150" s="32"/>
      <c r="AY150" s="54"/>
      <c r="AZ150" s="21" t="str">
        <f>IFERROR(VLOOKUP(November[[#This Row],[Drug Name5]],'Data Options'!$R$1:$S$100,2,FALSE), " ")</f>
        <v xml:space="preserve"> </v>
      </c>
      <c r="BA150" s="55"/>
      <c r="BB150" s="32"/>
      <c r="BC150" s="32"/>
      <c r="BD150" s="55"/>
      <c r="BE150" s="32"/>
      <c r="BF150" s="54"/>
      <c r="BG150" s="21" t="str">
        <f>IFERROR(VLOOKUP(November[[#This Row],[Drug Name6]],'Data Options'!$R$1:$S$100,2,FALSE), " ")</f>
        <v xml:space="preserve"> </v>
      </c>
      <c r="BH150" s="55"/>
      <c r="BI150" s="32"/>
      <c r="BJ150" s="32"/>
      <c r="BK150" s="55"/>
      <c r="BL150" s="32"/>
      <c r="BM150" s="32"/>
      <c r="BN150" s="32"/>
      <c r="BO150" s="32"/>
      <c r="BP150" s="32"/>
      <c r="BQ150" s="31"/>
      <c r="BR150" s="31"/>
      <c r="BS150" s="54"/>
      <c r="BT150" s="21" t="str">
        <f>IFERROR(VLOOKUP(November[[#This Row],[Drug Name7]],'Data Options'!$R$1:$S$100,2,FALSE), " ")</f>
        <v xml:space="preserve"> </v>
      </c>
      <c r="BU150" s="55"/>
      <c r="BV150" s="32"/>
      <c r="BW150" s="32"/>
      <c r="BX150" s="55"/>
      <c r="BY150" s="32"/>
      <c r="BZ150" s="54"/>
      <c r="CA150" s="21" t="str">
        <f>IFERROR(VLOOKUP(November[[#This Row],[Drug Name8]],'Data Options'!$R$1:$S$100,2,FALSE), " ")</f>
        <v xml:space="preserve"> </v>
      </c>
      <c r="CB150" s="55"/>
      <c r="CC150" s="32"/>
      <c r="CD150" s="32"/>
      <c r="CE150" s="55"/>
      <c r="CF150" s="32"/>
      <c r="CG150" s="54"/>
      <c r="CH150" s="21" t="str">
        <f>IFERROR(VLOOKUP(November[[#This Row],[Drug Name9]],'Data Options'!$R$1:$S$100,2,FALSE), " ")</f>
        <v xml:space="preserve"> </v>
      </c>
      <c r="CI150" s="55"/>
      <c r="CJ150" s="32"/>
      <c r="CK150" s="32"/>
      <c r="CL150" s="55"/>
      <c r="CM150" s="32"/>
    </row>
    <row r="151" spans="1:91">
      <c r="A151" s="5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1"/>
      <c r="P151" s="31"/>
      <c r="Q151" s="54"/>
      <c r="R151" s="21" t="str">
        <f>IFERROR(VLOOKUP(November[[#This Row],[Drug Name]],'Data Options'!$R$1:$S$100,2,FALSE), " ")</f>
        <v xml:space="preserve"> </v>
      </c>
      <c r="S151" s="55"/>
      <c r="T151" s="32"/>
      <c r="U151" s="32"/>
      <c r="V151" s="55"/>
      <c r="W151" s="32"/>
      <c r="X151" s="54"/>
      <c r="Y151" s="21" t="str">
        <f>IFERROR(VLOOKUP(November[[#This Row],[Drug Name2]],'Data Options'!$R$1:$S$100,2,FALSE), " ")</f>
        <v xml:space="preserve"> </v>
      </c>
      <c r="Z151" s="55"/>
      <c r="AA151" s="32"/>
      <c r="AB151" s="32"/>
      <c r="AC151" s="55"/>
      <c r="AD151" s="32"/>
      <c r="AE151" s="54"/>
      <c r="AF151" s="21" t="str">
        <f>IFERROR(VLOOKUP(November[[#This Row],[Drug Name3]],'Data Options'!$R$1:$S$100,2,FALSE), " ")</f>
        <v xml:space="preserve"> </v>
      </c>
      <c r="AG151" s="55"/>
      <c r="AH151" s="32"/>
      <c r="AI151" s="32"/>
      <c r="AJ151" s="55"/>
      <c r="AK151" s="32"/>
      <c r="AL151" s="32"/>
      <c r="AM151" s="32"/>
      <c r="AN151" s="32"/>
      <c r="AO151" s="32"/>
      <c r="AP151" s="31"/>
      <c r="AQ151" s="31"/>
      <c r="AR151" s="54"/>
      <c r="AS151" s="21" t="str">
        <f>IFERROR(VLOOKUP(November[[#This Row],[Drug Name4]],'Data Options'!$R$1:$S$100,2,FALSE), " ")</f>
        <v xml:space="preserve"> </v>
      </c>
      <c r="AT151" s="55"/>
      <c r="AU151" s="32"/>
      <c r="AV151" s="32"/>
      <c r="AW151" s="55"/>
      <c r="AX151" s="32"/>
      <c r="AY151" s="54"/>
      <c r="AZ151" s="21" t="str">
        <f>IFERROR(VLOOKUP(November[[#This Row],[Drug Name5]],'Data Options'!$R$1:$S$100,2,FALSE), " ")</f>
        <v xml:space="preserve"> </v>
      </c>
      <c r="BA151" s="55"/>
      <c r="BB151" s="32"/>
      <c r="BC151" s="32"/>
      <c r="BD151" s="55"/>
      <c r="BE151" s="32"/>
      <c r="BF151" s="54"/>
      <c r="BG151" s="21" t="str">
        <f>IFERROR(VLOOKUP(November[[#This Row],[Drug Name6]],'Data Options'!$R$1:$S$100,2,FALSE), " ")</f>
        <v xml:space="preserve"> </v>
      </c>
      <c r="BH151" s="55"/>
      <c r="BI151" s="32"/>
      <c r="BJ151" s="32"/>
      <c r="BK151" s="55"/>
      <c r="BL151" s="32"/>
      <c r="BM151" s="32"/>
      <c r="BN151" s="32"/>
      <c r="BO151" s="32"/>
      <c r="BP151" s="32"/>
      <c r="BQ151" s="31"/>
      <c r="BR151" s="31"/>
      <c r="BS151" s="54"/>
      <c r="BT151" s="21" t="str">
        <f>IFERROR(VLOOKUP(November[[#This Row],[Drug Name7]],'Data Options'!$R$1:$S$100,2,FALSE), " ")</f>
        <v xml:space="preserve"> </v>
      </c>
      <c r="BU151" s="55"/>
      <c r="BV151" s="32"/>
      <c r="BW151" s="32"/>
      <c r="BX151" s="55"/>
      <c r="BY151" s="32"/>
      <c r="BZ151" s="54"/>
      <c r="CA151" s="21" t="str">
        <f>IFERROR(VLOOKUP(November[[#This Row],[Drug Name8]],'Data Options'!$R$1:$S$100,2,FALSE), " ")</f>
        <v xml:space="preserve"> </v>
      </c>
      <c r="CB151" s="55"/>
      <c r="CC151" s="32"/>
      <c r="CD151" s="32"/>
      <c r="CE151" s="55"/>
      <c r="CF151" s="32"/>
      <c r="CG151" s="54"/>
      <c r="CH151" s="21" t="str">
        <f>IFERROR(VLOOKUP(November[[#This Row],[Drug Name9]],'Data Options'!$R$1:$S$100,2,FALSE), " ")</f>
        <v xml:space="preserve"> </v>
      </c>
      <c r="CI151" s="55"/>
      <c r="CJ151" s="32"/>
      <c r="CK151" s="32"/>
      <c r="CL151" s="55"/>
      <c r="CM151" s="32"/>
    </row>
    <row r="152" spans="1:91">
      <c r="A152" s="5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1"/>
      <c r="P152" s="31"/>
      <c r="Q152" s="54"/>
      <c r="R152" s="21" t="str">
        <f>IFERROR(VLOOKUP(November[[#This Row],[Drug Name]],'Data Options'!$R$1:$S$100,2,FALSE), " ")</f>
        <v xml:space="preserve"> </v>
      </c>
      <c r="S152" s="55"/>
      <c r="T152" s="32"/>
      <c r="U152" s="32"/>
      <c r="V152" s="55"/>
      <c r="W152" s="32"/>
      <c r="X152" s="54"/>
      <c r="Y152" s="21" t="str">
        <f>IFERROR(VLOOKUP(November[[#This Row],[Drug Name2]],'Data Options'!$R$1:$S$100,2,FALSE), " ")</f>
        <v xml:space="preserve"> </v>
      </c>
      <c r="Z152" s="55"/>
      <c r="AA152" s="32"/>
      <c r="AB152" s="32"/>
      <c r="AC152" s="55"/>
      <c r="AD152" s="32"/>
      <c r="AE152" s="54"/>
      <c r="AF152" s="21" t="str">
        <f>IFERROR(VLOOKUP(November[[#This Row],[Drug Name3]],'Data Options'!$R$1:$S$100,2,FALSE), " ")</f>
        <v xml:space="preserve"> </v>
      </c>
      <c r="AG152" s="55"/>
      <c r="AH152" s="32"/>
      <c r="AI152" s="32"/>
      <c r="AJ152" s="55"/>
      <c r="AK152" s="32"/>
      <c r="AL152" s="32"/>
      <c r="AM152" s="32"/>
      <c r="AN152" s="32"/>
      <c r="AO152" s="32"/>
      <c r="AP152" s="31"/>
      <c r="AQ152" s="31"/>
      <c r="AR152" s="54"/>
      <c r="AS152" s="21" t="str">
        <f>IFERROR(VLOOKUP(November[[#This Row],[Drug Name4]],'Data Options'!$R$1:$S$100,2,FALSE), " ")</f>
        <v xml:space="preserve"> </v>
      </c>
      <c r="AT152" s="55"/>
      <c r="AU152" s="32"/>
      <c r="AV152" s="32"/>
      <c r="AW152" s="55"/>
      <c r="AX152" s="32"/>
      <c r="AY152" s="54"/>
      <c r="AZ152" s="21" t="str">
        <f>IFERROR(VLOOKUP(November[[#This Row],[Drug Name5]],'Data Options'!$R$1:$S$100,2,FALSE), " ")</f>
        <v xml:space="preserve"> </v>
      </c>
      <c r="BA152" s="55"/>
      <c r="BB152" s="32"/>
      <c r="BC152" s="32"/>
      <c r="BD152" s="55"/>
      <c r="BE152" s="32"/>
      <c r="BF152" s="54"/>
      <c r="BG152" s="21" t="str">
        <f>IFERROR(VLOOKUP(November[[#This Row],[Drug Name6]],'Data Options'!$R$1:$S$100,2,FALSE), " ")</f>
        <v xml:space="preserve"> </v>
      </c>
      <c r="BH152" s="55"/>
      <c r="BI152" s="32"/>
      <c r="BJ152" s="32"/>
      <c r="BK152" s="55"/>
      <c r="BL152" s="32"/>
      <c r="BM152" s="32"/>
      <c r="BN152" s="32"/>
      <c r="BO152" s="32"/>
      <c r="BP152" s="32"/>
      <c r="BQ152" s="31"/>
      <c r="BR152" s="31"/>
      <c r="BS152" s="54"/>
      <c r="BT152" s="21" t="str">
        <f>IFERROR(VLOOKUP(November[[#This Row],[Drug Name7]],'Data Options'!$R$1:$S$100,2,FALSE), " ")</f>
        <v xml:space="preserve"> </v>
      </c>
      <c r="BU152" s="55"/>
      <c r="BV152" s="32"/>
      <c r="BW152" s="32"/>
      <c r="BX152" s="55"/>
      <c r="BY152" s="32"/>
      <c r="BZ152" s="54"/>
      <c r="CA152" s="21" t="str">
        <f>IFERROR(VLOOKUP(November[[#This Row],[Drug Name8]],'Data Options'!$R$1:$S$100,2,FALSE), " ")</f>
        <v xml:space="preserve"> </v>
      </c>
      <c r="CB152" s="55"/>
      <c r="CC152" s="32"/>
      <c r="CD152" s="32"/>
      <c r="CE152" s="55"/>
      <c r="CF152" s="32"/>
      <c r="CG152" s="54"/>
      <c r="CH152" s="21" t="str">
        <f>IFERROR(VLOOKUP(November[[#This Row],[Drug Name9]],'Data Options'!$R$1:$S$100,2,FALSE), " ")</f>
        <v xml:space="preserve"> </v>
      </c>
      <c r="CI152" s="55"/>
      <c r="CJ152" s="32"/>
      <c r="CK152" s="32"/>
      <c r="CL152" s="55"/>
      <c r="CM152" s="32"/>
    </row>
    <row r="153" spans="1:91">
      <c r="A153" s="5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1"/>
      <c r="P153" s="31"/>
      <c r="Q153" s="54"/>
      <c r="R153" s="21" t="str">
        <f>IFERROR(VLOOKUP(November[[#This Row],[Drug Name]],'Data Options'!$R$1:$S$100,2,FALSE), " ")</f>
        <v xml:space="preserve"> </v>
      </c>
      <c r="S153" s="55"/>
      <c r="T153" s="32"/>
      <c r="U153" s="32"/>
      <c r="V153" s="55"/>
      <c r="W153" s="32"/>
      <c r="X153" s="54"/>
      <c r="Y153" s="21" t="str">
        <f>IFERROR(VLOOKUP(November[[#This Row],[Drug Name2]],'Data Options'!$R$1:$S$100,2,FALSE), " ")</f>
        <v xml:space="preserve"> </v>
      </c>
      <c r="Z153" s="55"/>
      <c r="AA153" s="32"/>
      <c r="AB153" s="32"/>
      <c r="AC153" s="55"/>
      <c r="AD153" s="32"/>
      <c r="AE153" s="54"/>
      <c r="AF153" s="21" t="str">
        <f>IFERROR(VLOOKUP(November[[#This Row],[Drug Name3]],'Data Options'!$R$1:$S$100,2,FALSE), " ")</f>
        <v xml:space="preserve"> </v>
      </c>
      <c r="AG153" s="55"/>
      <c r="AH153" s="32"/>
      <c r="AI153" s="32"/>
      <c r="AJ153" s="55"/>
      <c r="AK153" s="32"/>
      <c r="AL153" s="32"/>
      <c r="AM153" s="32"/>
      <c r="AN153" s="32"/>
      <c r="AO153" s="32"/>
      <c r="AP153" s="31"/>
      <c r="AQ153" s="31"/>
      <c r="AR153" s="54"/>
      <c r="AS153" s="21" t="str">
        <f>IFERROR(VLOOKUP(November[[#This Row],[Drug Name4]],'Data Options'!$R$1:$S$100,2,FALSE), " ")</f>
        <v xml:space="preserve"> </v>
      </c>
      <c r="AT153" s="55"/>
      <c r="AU153" s="32"/>
      <c r="AV153" s="32"/>
      <c r="AW153" s="55"/>
      <c r="AX153" s="32"/>
      <c r="AY153" s="54"/>
      <c r="AZ153" s="21" t="str">
        <f>IFERROR(VLOOKUP(November[[#This Row],[Drug Name5]],'Data Options'!$R$1:$S$100,2,FALSE), " ")</f>
        <v xml:space="preserve"> </v>
      </c>
      <c r="BA153" s="55"/>
      <c r="BB153" s="32"/>
      <c r="BC153" s="32"/>
      <c r="BD153" s="55"/>
      <c r="BE153" s="32"/>
      <c r="BF153" s="54"/>
      <c r="BG153" s="21" t="str">
        <f>IFERROR(VLOOKUP(November[[#This Row],[Drug Name6]],'Data Options'!$R$1:$S$100,2,FALSE), " ")</f>
        <v xml:space="preserve"> </v>
      </c>
      <c r="BH153" s="55"/>
      <c r="BI153" s="32"/>
      <c r="BJ153" s="32"/>
      <c r="BK153" s="55"/>
      <c r="BL153" s="32"/>
      <c r="BM153" s="32"/>
      <c r="BN153" s="32"/>
      <c r="BO153" s="32"/>
      <c r="BP153" s="32"/>
      <c r="BQ153" s="31"/>
      <c r="BR153" s="31"/>
      <c r="BS153" s="54"/>
      <c r="BT153" s="21" t="str">
        <f>IFERROR(VLOOKUP(November[[#This Row],[Drug Name7]],'Data Options'!$R$1:$S$100,2,FALSE), " ")</f>
        <v xml:space="preserve"> </v>
      </c>
      <c r="BU153" s="55"/>
      <c r="BV153" s="32"/>
      <c r="BW153" s="32"/>
      <c r="BX153" s="55"/>
      <c r="BY153" s="32"/>
      <c r="BZ153" s="54"/>
      <c r="CA153" s="21" t="str">
        <f>IFERROR(VLOOKUP(November[[#This Row],[Drug Name8]],'Data Options'!$R$1:$S$100,2,FALSE), " ")</f>
        <v xml:space="preserve"> </v>
      </c>
      <c r="CB153" s="55"/>
      <c r="CC153" s="32"/>
      <c r="CD153" s="32"/>
      <c r="CE153" s="55"/>
      <c r="CF153" s="32"/>
      <c r="CG153" s="54"/>
      <c r="CH153" s="21" t="str">
        <f>IFERROR(VLOOKUP(November[[#This Row],[Drug Name9]],'Data Options'!$R$1:$S$100,2,FALSE), " ")</f>
        <v xml:space="preserve"> </v>
      </c>
      <c r="CI153" s="55"/>
      <c r="CJ153" s="32"/>
      <c r="CK153" s="32"/>
      <c r="CL153" s="55"/>
      <c r="CM153" s="32"/>
    </row>
    <row r="154" spans="1:91">
      <c r="A154" s="5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1"/>
      <c r="P154" s="31"/>
      <c r="Q154" s="54"/>
      <c r="R154" s="21" t="str">
        <f>IFERROR(VLOOKUP(November[[#This Row],[Drug Name]],'Data Options'!$R$1:$S$100,2,FALSE), " ")</f>
        <v xml:space="preserve"> </v>
      </c>
      <c r="S154" s="55"/>
      <c r="T154" s="32"/>
      <c r="U154" s="32"/>
      <c r="V154" s="55"/>
      <c r="W154" s="32"/>
      <c r="X154" s="54"/>
      <c r="Y154" s="21" t="str">
        <f>IFERROR(VLOOKUP(November[[#This Row],[Drug Name2]],'Data Options'!$R$1:$S$100,2,FALSE), " ")</f>
        <v xml:space="preserve"> </v>
      </c>
      <c r="Z154" s="55"/>
      <c r="AA154" s="32"/>
      <c r="AB154" s="32"/>
      <c r="AC154" s="55"/>
      <c r="AD154" s="32"/>
      <c r="AE154" s="54"/>
      <c r="AF154" s="21" t="str">
        <f>IFERROR(VLOOKUP(November[[#This Row],[Drug Name3]],'Data Options'!$R$1:$S$100,2,FALSE), " ")</f>
        <v xml:space="preserve"> </v>
      </c>
      <c r="AG154" s="55"/>
      <c r="AH154" s="32"/>
      <c r="AI154" s="32"/>
      <c r="AJ154" s="55"/>
      <c r="AK154" s="32"/>
      <c r="AL154" s="32"/>
      <c r="AM154" s="32"/>
      <c r="AN154" s="32"/>
      <c r="AO154" s="32"/>
      <c r="AP154" s="31"/>
      <c r="AQ154" s="31"/>
      <c r="AR154" s="54"/>
      <c r="AS154" s="21" t="str">
        <f>IFERROR(VLOOKUP(November[[#This Row],[Drug Name4]],'Data Options'!$R$1:$S$100,2,FALSE), " ")</f>
        <v xml:space="preserve"> </v>
      </c>
      <c r="AT154" s="55"/>
      <c r="AU154" s="32"/>
      <c r="AV154" s="32"/>
      <c r="AW154" s="55"/>
      <c r="AX154" s="32"/>
      <c r="AY154" s="54"/>
      <c r="AZ154" s="21" t="str">
        <f>IFERROR(VLOOKUP(November[[#This Row],[Drug Name5]],'Data Options'!$R$1:$S$100,2,FALSE), " ")</f>
        <v xml:space="preserve"> </v>
      </c>
      <c r="BA154" s="55"/>
      <c r="BB154" s="32"/>
      <c r="BC154" s="32"/>
      <c r="BD154" s="55"/>
      <c r="BE154" s="32"/>
      <c r="BF154" s="54"/>
      <c r="BG154" s="21" t="str">
        <f>IFERROR(VLOOKUP(November[[#This Row],[Drug Name6]],'Data Options'!$R$1:$S$100,2,FALSE), " ")</f>
        <v xml:space="preserve"> </v>
      </c>
      <c r="BH154" s="55"/>
      <c r="BI154" s="32"/>
      <c r="BJ154" s="32"/>
      <c r="BK154" s="55"/>
      <c r="BL154" s="32"/>
      <c r="BM154" s="32"/>
      <c r="BN154" s="32"/>
      <c r="BO154" s="32"/>
      <c r="BP154" s="32"/>
      <c r="BQ154" s="31"/>
      <c r="BR154" s="31"/>
      <c r="BS154" s="54"/>
      <c r="BT154" s="21" t="str">
        <f>IFERROR(VLOOKUP(November[[#This Row],[Drug Name7]],'Data Options'!$R$1:$S$100,2,FALSE), " ")</f>
        <v xml:space="preserve"> </v>
      </c>
      <c r="BU154" s="55"/>
      <c r="BV154" s="32"/>
      <c r="BW154" s="32"/>
      <c r="BX154" s="55"/>
      <c r="BY154" s="32"/>
      <c r="BZ154" s="54"/>
      <c r="CA154" s="21" t="str">
        <f>IFERROR(VLOOKUP(November[[#This Row],[Drug Name8]],'Data Options'!$R$1:$S$100,2,FALSE), " ")</f>
        <v xml:space="preserve"> </v>
      </c>
      <c r="CB154" s="55"/>
      <c r="CC154" s="32"/>
      <c r="CD154" s="32"/>
      <c r="CE154" s="55"/>
      <c r="CF154" s="32"/>
      <c r="CG154" s="54"/>
      <c r="CH154" s="21" t="str">
        <f>IFERROR(VLOOKUP(November[[#This Row],[Drug Name9]],'Data Options'!$R$1:$S$100,2,FALSE), " ")</f>
        <v xml:space="preserve"> </v>
      </c>
      <c r="CI154" s="55"/>
      <c r="CJ154" s="32"/>
      <c r="CK154" s="32"/>
      <c r="CL154" s="55"/>
      <c r="CM154" s="32"/>
    </row>
    <row r="155" spans="1:91">
      <c r="A155" s="5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54"/>
      <c r="R155" s="21" t="str">
        <f>IFERROR(VLOOKUP(November[[#This Row],[Drug Name]],'Data Options'!$R$1:$S$100,2,FALSE), " ")</f>
        <v xml:space="preserve"> </v>
      </c>
      <c r="S155" s="55"/>
      <c r="T155" s="32"/>
      <c r="U155" s="32"/>
      <c r="V155" s="55"/>
      <c r="W155" s="32"/>
      <c r="X155" s="54"/>
      <c r="Y155" s="21" t="str">
        <f>IFERROR(VLOOKUP(November[[#This Row],[Drug Name2]],'Data Options'!$R$1:$S$100,2,FALSE), " ")</f>
        <v xml:space="preserve"> </v>
      </c>
      <c r="Z155" s="55"/>
      <c r="AA155" s="32"/>
      <c r="AB155" s="32"/>
      <c r="AC155" s="55"/>
      <c r="AD155" s="32"/>
      <c r="AE155" s="54"/>
      <c r="AF155" s="21" t="str">
        <f>IFERROR(VLOOKUP(November[[#This Row],[Drug Name3]],'Data Options'!$R$1:$S$100,2,FALSE), " ")</f>
        <v xml:space="preserve"> </v>
      </c>
      <c r="AG155" s="55"/>
      <c r="AH155" s="32"/>
      <c r="AI155" s="32"/>
      <c r="AJ155" s="55"/>
      <c r="AK155" s="32"/>
      <c r="AL155" s="32"/>
      <c r="AM155" s="32"/>
      <c r="AN155" s="32"/>
      <c r="AO155" s="32"/>
      <c r="AP155" s="31"/>
      <c r="AQ155" s="31"/>
      <c r="AR155" s="54"/>
      <c r="AS155" s="21" t="str">
        <f>IFERROR(VLOOKUP(November[[#This Row],[Drug Name4]],'Data Options'!$R$1:$S$100,2,FALSE), " ")</f>
        <v xml:space="preserve"> </v>
      </c>
      <c r="AT155" s="55"/>
      <c r="AU155" s="32"/>
      <c r="AV155" s="32"/>
      <c r="AW155" s="55"/>
      <c r="AX155" s="32"/>
      <c r="AY155" s="54"/>
      <c r="AZ155" s="21" t="str">
        <f>IFERROR(VLOOKUP(November[[#This Row],[Drug Name5]],'Data Options'!$R$1:$S$100,2,FALSE), " ")</f>
        <v xml:space="preserve"> </v>
      </c>
      <c r="BA155" s="55"/>
      <c r="BB155" s="32"/>
      <c r="BC155" s="32"/>
      <c r="BD155" s="55"/>
      <c r="BE155" s="32"/>
      <c r="BF155" s="54"/>
      <c r="BG155" s="21" t="str">
        <f>IFERROR(VLOOKUP(November[[#This Row],[Drug Name6]],'Data Options'!$R$1:$S$100,2,FALSE), " ")</f>
        <v xml:space="preserve"> </v>
      </c>
      <c r="BH155" s="55"/>
      <c r="BI155" s="32"/>
      <c r="BJ155" s="32"/>
      <c r="BK155" s="55"/>
      <c r="BL155" s="32"/>
      <c r="BM155" s="32"/>
      <c r="BN155" s="32"/>
      <c r="BO155" s="32"/>
      <c r="BP155" s="32"/>
      <c r="BQ155" s="31"/>
      <c r="BR155" s="31"/>
      <c r="BS155" s="54"/>
      <c r="BT155" s="21" t="str">
        <f>IFERROR(VLOOKUP(November[[#This Row],[Drug Name7]],'Data Options'!$R$1:$S$100,2,FALSE), " ")</f>
        <v xml:space="preserve"> </v>
      </c>
      <c r="BU155" s="55"/>
      <c r="BV155" s="32"/>
      <c r="BW155" s="32"/>
      <c r="BX155" s="55"/>
      <c r="BY155" s="32"/>
      <c r="BZ155" s="54"/>
      <c r="CA155" s="21" t="str">
        <f>IFERROR(VLOOKUP(November[[#This Row],[Drug Name8]],'Data Options'!$R$1:$S$100,2,FALSE), " ")</f>
        <v xml:space="preserve"> </v>
      </c>
      <c r="CB155" s="55"/>
      <c r="CC155" s="32"/>
      <c r="CD155" s="32"/>
      <c r="CE155" s="55"/>
      <c r="CF155" s="32"/>
      <c r="CG155" s="54"/>
      <c r="CH155" s="21" t="str">
        <f>IFERROR(VLOOKUP(November[[#This Row],[Drug Name9]],'Data Options'!$R$1:$S$100,2,FALSE), " ")</f>
        <v xml:space="preserve"> </v>
      </c>
      <c r="CI155" s="55"/>
      <c r="CJ155" s="32"/>
      <c r="CK155" s="32"/>
      <c r="CL155" s="55"/>
      <c r="CM155" s="32"/>
    </row>
    <row r="156" spans="1:91">
      <c r="A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1"/>
      <c r="P156" s="31"/>
      <c r="Q156" s="54"/>
      <c r="R156" s="21" t="str">
        <f>IFERROR(VLOOKUP(November[[#This Row],[Drug Name]],'Data Options'!$R$1:$S$100,2,FALSE), " ")</f>
        <v xml:space="preserve"> </v>
      </c>
      <c r="S156" s="55"/>
      <c r="T156" s="32"/>
      <c r="U156" s="32"/>
      <c r="V156" s="55"/>
      <c r="W156" s="32"/>
      <c r="X156" s="54"/>
      <c r="Y156" s="21" t="str">
        <f>IFERROR(VLOOKUP(November[[#This Row],[Drug Name2]],'Data Options'!$R$1:$S$100,2,FALSE), " ")</f>
        <v xml:space="preserve"> </v>
      </c>
      <c r="Z156" s="55"/>
      <c r="AA156" s="32"/>
      <c r="AB156" s="32"/>
      <c r="AC156" s="55"/>
      <c r="AD156" s="32"/>
      <c r="AE156" s="54"/>
      <c r="AF156" s="21" t="str">
        <f>IFERROR(VLOOKUP(November[[#This Row],[Drug Name3]],'Data Options'!$R$1:$S$100,2,FALSE), " ")</f>
        <v xml:space="preserve"> </v>
      </c>
      <c r="AG156" s="55"/>
      <c r="AH156" s="32"/>
      <c r="AI156" s="32"/>
      <c r="AJ156" s="55"/>
      <c r="AK156" s="32"/>
      <c r="AL156" s="32"/>
      <c r="AM156" s="32"/>
      <c r="AN156" s="32"/>
      <c r="AO156" s="32"/>
      <c r="AP156" s="31"/>
      <c r="AQ156" s="31"/>
      <c r="AR156" s="54"/>
      <c r="AS156" s="21" t="str">
        <f>IFERROR(VLOOKUP(November[[#This Row],[Drug Name4]],'Data Options'!$R$1:$S$100,2,FALSE), " ")</f>
        <v xml:space="preserve"> </v>
      </c>
      <c r="AT156" s="55"/>
      <c r="AU156" s="32"/>
      <c r="AV156" s="32"/>
      <c r="AW156" s="55"/>
      <c r="AX156" s="32"/>
      <c r="AY156" s="54"/>
      <c r="AZ156" s="21" t="str">
        <f>IFERROR(VLOOKUP(November[[#This Row],[Drug Name5]],'Data Options'!$R$1:$S$100,2,FALSE), " ")</f>
        <v xml:space="preserve"> </v>
      </c>
      <c r="BA156" s="55"/>
      <c r="BB156" s="32"/>
      <c r="BC156" s="32"/>
      <c r="BD156" s="55"/>
      <c r="BE156" s="32"/>
      <c r="BF156" s="54"/>
      <c r="BG156" s="21" t="str">
        <f>IFERROR(VLOOKUP(November[[#This Row],[Drug Name6]],'Data Options'!$R$1:$S$100,2,FALSE), " ")</f>
        <v xml:space="preserve"> </v>
      </c>
      <c r="BH156" s="55"/>
      <c r="BI156" s="32"/>
      <c r="BJ156" s="32"/>
      <c r="BK156" s="55"/>
      <c r="BL156" s="32"/>
      <c r="BM156" s="32"/>
      <c r="BN156" s="32"/>
      <c r="BO156" s="32"/>
      <c r="BP156" s="32"/>
      <c r="BQ156" s="31"/>
      <c r="BR156" s="31"/>
      <c r="BS156" s="54"/>
      <c r="BT156" s="21" t="str">
        <f>IFERROR(VLOOKUP(November[[#This Row],[Drug Name7]],'Data Options'!$R$1:$S$100,2,FALSE), " ")</f>
        <v xml:space="preserve"> </v>
      </c>
      <c r="BU156" s="55"/>
      <c r="BV156" s="32"/>
      <c r="BW156" s="32"/>
      <c r="BX156" s="55"/>
      <c r="BY156" s="32"/>
      <c r="BZ156" s="54"/>
      <c r="CA156" s="21" t="str">
        <f>IFERROR(VLOOKUP(November[[#This Row],[Drug Name8]],'Data Options'!$R$1:$S$100,2,FALSE), " ")</f>
        <v xml:space="preserve"> </v>
      </c>
      <c r="CB156" s="55"/>
      <c r="CC156" s="32"/>
      <c r="CD156" s="32"/>
      <c r="CE156" s="55"/>
      <c r="CF156" s="32"/>
      <c r="CG156" s="54"/>
      <c r="CH156" s="21" t="str">
        <f>IFERROR(VLOOKUP(November[[#This Row],[Drug Name9]],'Data Options'!$R$1:$S$100,2,FALSE), " ")</f>
        <v xml:space="preserve"> </v>
      </c>
      <c r="CI156" s="55"/>
      <c r="CJ156" s="32"/>
      <c r="CK156" s="32"/>
      <c r="CL156" s="55"/>
      <c r="CM156" s="32"/>
    </row>
    <row r="157" spans="1:91">
      <c r="A157" s="5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1"/>
      <c r="P157" s="31"/>
      <c r="Q157" s="54"/>
      <c r="R157" s="21" t="str">
        <f>IFERROR(VLOOKUP(November[[#This Row],[Drug Name]],'Data Options'!$R$1:$S$100,2,FALSE), " ")</f>
        <v xml:space="preserve"> </v>
      </c>
      <c r="S157" s="55"/>
      <c r="T157" s="32"/>
      <c r="U157" s="32"/>
      <c r="V157" s="55"/>
      <c r="W157" s="32"/>
      <c r="X157" s="54"/>
      <c r="Y157" s="21" t="str">
        <f>IFERROR(VLOOKUP(November[[#This Row],[Drug Name2]],'Data Options'!$R$1:$S$100,2,FALSE), " ")</f>
        <v xml:space="preserve"> </v>
      </c>
      <c r="Z157" s="55"/>
      <c r="AA157" s="32"/>
      <c r="AB157" s="32"/>
      <c r="AC157" s="55"/>
      <c r="AD157" s="32"/>
      <c r="AE157" s="54"/>
      <c r="AF157" s="21" t="str">
        <f>IFERROR(VLOOKUP(November[[#This Row],[Drug Name3]],'Data Options'!$R$1:$S$100,2,FALSE), " ")</f>
        <v xml:space="preserve"> </v>
      </c>
      <c r="AG157" s="55"/>
      <c r="AH157" s="32"/>
      <c r="AI157" s="32"/>
      <c r="AJ157" s="55"/>
      <c r="AK157" s="32"/>
      <c r="AL157" s="32"/>
      <c r="AM157" s="32"/>
      <c r="AN157" s="32"/>
      <c r="AO157" s="32"/>
      <c r="AP157" s="31"/>
      <c r="AQ157" s="31"/>
      <c r="AR157" s="54"/>
      <c r="AS157" s="21" t="str">
        <f>IFERROR(VLOOKUP(November[[#This Row],[Drug Name4]],'Data Options'!$R$1:$S$100,2,FALSE), " ")</f>
        <v xml:space="preserve"> </v>
      </c>
      <c r="AT157" s="55"/>
      <c r="AU157" s="32"/>
      <c r="AV157" s="32"/>
      <c r="AW157" s="55"/>
      <c r="AX157" s="32"/>
      <c r="AY157" s="54"/>
      <c r="AZ157" s="21" t="str">
        <f>IFERROR(VLOOKUP(November[[#This Row],[Drug Name5]],'Data Options'!$R$1:$S$100,2,FALSE), " ")</f>
        <v xml:space="preserve"> </v>
      </c>
      <c r="BA157" s="55"/>
      <c r="BB157" s="32"/>
      <c r="BC157" s="32"/>
      <c r="BD157" s="55"/>
      <c r="BE157" s="32"/>
      <c r="BF157" s="54"/>
      <c r="BG157" s="21" t="str">
        <f>IFERROR(VLOOKUP(November[[#This Row],[Drug Name6]],'Data Options'!$R$1:$S$100,2,FALSE), " ")</f>
        <v xml:space="preserve"> </v>
      </c>
      <c r="BH157" s="55"/>
      <c r="BI157" s="32"/>
      <c r="BJ157" s="32"/>
      <c r="BK157" s="55"/>
      <c r="BL157" s="32"/>
      <c r="BM157" s="32"/>
      <c r="BN157" s="32"/>
      <c r="BO157" s="32"/>
      <c r="BP157" s="32"/>
      <c r="BQ157" s="31"/>
      <c r="BR157" s="31"/>
      <c r="BS157" s="54"/>
      <c r="BT157" s="21" t="str">
        <f>IFERROR(VLOOKUP(November[[#This Row],[Drug Name7]],'Data Options'!$R$1:$S$100,2,FALSE), " ")</f>
        <v xml:space="preserve"> </v>
      </c>
      <c r="BU157" s="55"/>
      <c r="BV157" s="32"/>
      <c r="BW157" s="32"/>
      <c r="BX157" s="55"/>
      <c r="BY157" s="32"/>
      <c r="BZ157" s="54"/>
      <c r="CA157" s="21" t="str">
        <f>IFERROR(VLOOKUP(November[[#This Row],[Drug Name8]],'Data Options'!$R$1:$S$100,2,FALSE), " ")</f>
        <v xml:space="preserve"> </v>
      </c>
      <c r="CB157" s="55"/>
      <c r="CC157" s="32"/>
      <c r="CD157" s="32"/>
      <c r="CE157" s="55"/>
      <c r="CF157" s="32"/>
      <c r="CG157" s="54"/>
      <c r="CH157" s="21" t="str">
        <f>IFERROR(VLOOKUP(November[[#This Row],[Drug Name9]],'Data Options'!$R$1:$S$100,2,FALSE), " ")</f>
        <v xml:space="preserve"> </v>
      </c>
      <c r="CI157" s="55"/>
      <c r="CJ157" s="32"/>
      <c r="CK157" s="32"/>
      <c r="CL157" s="55"/>
      <c r="CM157" s="32"/>
    </row>
    <row r="158" spans="1:91">
      <c r="A158" s="5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1"/>
      <c r="P158" s="31"/>
      <c r="Q158" s="54"/>
      <c r="R158" s="21" t="str">
        <f>IFERROR(VLOOKUP(November[[#This Row],[Drug Name]],'Data Options'!$R$1:$S$100,2,FALSE), " ")</f>
        <v xml:space="preserve"> </v>
      </c>
      <c r="S158" s="55"/>
      <c r="T158" s="32"/>
      <c r="U158" s="32"/>
      <c r="V158" s="55"/>
      <c r="W158" s="32"/>
      <c r="X158" s="54"/>
      <c r="Y158" s="21" t="str">
        <f>IFERROR(VLOOKUP(November[[#This Row],[Drug Name2]],'Data Options'!$R$1:$S$100,2,FALSE), " ")</f>
        <v xml:space="preserve"> </v>
      </c>
      <c r="Z158" s="55"/>
      <c r="AA158" s="32"/>
      <c r="AB158" s="32"/>
      <c r="AC158" s="55"/>
      <c r="AD158" s="32"/>
      <c r="AE158" s="54"/>
      <c r="AF158" s="21" t="str">
        <f>IFERROR(VLOOKUP(November[[#This Row],[Drug Name3]],'Data Options'!$R$1:$S$100,2,FALSE), " ")</f>
        <v xml:space="preserve"> </v>
      </c>
      <c r="AG158" s="55"/>
      <c r="AH158" s="32"/>
      <c r="AI158" s="32"/>
      <c r="AJ158" s="55"/>
      <c r="AK158" s="32"/>
      <c r="AL158" s="32"/>
      <c r="AM158" s="32"/>
      <c r="AN158" s="32"/>
      <c r="AO158" s="32"/>
      <c r="AP158" s="31"/>
      <c r="AQ158" s="31"/>
      <c r="AR158" s="54"/>
      <c r="AS158" s="21" t="str">
        <f>IFERROR(VLOOKUP(November[[#This Row],[Drug Name4]],'Data Options'!$R$1:$S$100,2,FALSE), " ")</f>
        <v xml:space="preserve"> </v>
      </c>
      <c r="AT158" s="55"/>
      <c r="AU158" s="32"/>
      <c r="AV158" s="32"/>
      <c r="AW158" s="55"/>
      <c r="AX158" s="32"/>
      <c r="AY158" s="54"/>
      <c r="AZ158" s="21" t="str">
        <f>IFERROR(VLOOKUP(November[[#This Row],[Drug Name5]],'Data Options'!$R$1:$S$100,2,FALSE), " ")</f>
        <v xml:space="preserve"> </v>
      </c>
      <c r="BA158" s="55"/>
      <c r="BB158" s="32"/>
      <c r="BC158" s="32"/>
      <c r="BD158" s="55"/>
      <c r="BE158" s="32"/>
      <c r="BF158" s="54"/>
      <c r="BG158" s="21" t="str">
        <f>IFERROR(VLOOKUP(November[[#This Row],[Drug Name6]],'Data Options'!$R$1:$S$100,2,FALSE), " ")</f>
        <v xml:space="preserve"> </v>
      </c>
      <c r="BH158" s="55"/>
      <c r="BI158" s="32"/>
      <c r="BJ158" s="32"/>
      <c r="BK158" s="55"/>
      <c r="BL158" s="32"/>
      <c r="BM158" s="32"/>
      <c r="BN158" s="32"/>
      <c r="BO158" s="32"/>
      <c r="BP158" s="32"/>
      <c r="BQ158" s="31"/>
      <c r="BR158" s="31"/>
      <c r="BS158" s="54"/>
      <c r="BT158" s="21" t="str">
        <f>IFERROR(VLOOKUP(November[[#This Row],[Drug Name7]],'Data Options'!$R$1:$S$100,2,FALSE), " ")</f>
        <v xml:space="preserve"> </v>
      </c>
      <c r="BU158" s="55"/>
      <c r="BV158" s="32"/>
      <c r="BW158" s="32"/>
      <c r="BX158" s="55"/>
      <c r="BY158" s="32"/>
      <c r="BZ158" s="54"/>
      <c r="CA158" s="21" t="str">
        <f>IFERROR(VLOOKUP(November[[#This Row],[Drug Name8]],'Data Options'!$R$1:$S$100,2,FALSE), " ")</f>
        <v xml:space="preserve"> </v>
      </c>
      <c r="CB158" s="55"/>
      <c r="CC158" s="32"/>
      <c r="CD158" s="32"/>
      <c r="CE158" s="55"/>
      <c r="CF158" s="32"/>
      <c r="CG158" s="54"/>
      <c r="CH158" s="21" t="str">
        <f>IFERROR(VLOOKUP(November[[#This Row],[Drug Name9]],'Data Options'!$R$1:$S$100,2,FALSE), " ")</f>
        <v xml:space="preserve"> </v>
      </c>
      <c r="CI158" s="55"/>
      <c r="CJ158" s="32"/>
      <c r="CK158" s="32"/>
      <c r="CL158" s="55"/>
      <c r="CM158" s="32"/>
    </row>
    <row r="159" spans="1:91">
      <c r="A159" s="5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1"/>
      <c r="P159" s="31"/>
      <c r="Q159" s="54"/>
      <c r="R159" s="21" t="str">
        <f>IFERROR(VLOOKUP(November[[#This Row],[Drug Name]],'Data Options'!$R$1:$S$100,2,FALSE), " ")</f>
        <v xml:space="preserve"> </v>
      </c>
      <c r="S159" s="55"/>
      <c r="T159" s="32"/>
      <c r="U159" s="32"/>
      <c r="V159" s="55"/>
      <c r="W159" s="32"/>
      <c r="X159" s="54"/>
      <c r="Y159" s="21" t="str">
        <f>IFERROR(VLOOKUP(November[[#This Row],[Drug Name2]],'Data Options'!$R$1:$S$100,2,FALSE), " ")</f>
        <v xml:space="preserve"> </v>
      </c>
      <c r="Z159" s="55"/>
      <c r="AA159" s="32"/>
      <c r="AB159" s="32"/>
      <c r="AC159" s="55"/>
      <c r="AD159" s="32"/>
      <c r="AE159" s="54"/>
      <c r="AF159" s="21" t="str">
        <f>IFERROR(VLOOKUP(November[[#This Row],[Drug Name3]],'Data Options'!$R$1:$S$100,2,FALSE), " ")</f>
        <v xml:space="preserve"> </v>
      </c>
      <c r="AG159" s="55"/>
      <c r="AH159" s="32"/>
      <c r="AI159" s="32"/>
      <c r="AJ159" s="55"/>
      <c r="AK159" s="32"/>
      <c r="AL159" s="32"/>
      <c r="AM159" s="32"/>
      <c r="AN159" s="32"/>
      <c r="AO159" s="32"/>
      <c r="AP159" s="31"/>
      <c r="AQ159" s="31"/>
      <c r="AR159" s="54"/>
      <c r="AS159" s="21" t="str">
        <f>IFERROR(VLOOKUP(November[[#This Row],[Drug Name4]],'Data Options'!$R$1:$S$100,2,FALSE), " ")</f>
        <v xml:space="preserve"> </v>
      </c>
      <c r="AT159" s="55"/>
      <c r="AU159" s="32"/>
      <c r="AV159" s="32"/>
      <c r="AW159" s="55"/>
      <c r="AX159" s="32"/>
      <c r="AY159" s="54"/>
      <c r="AZ159" s="21" t="str">
        <f>IFERROR(VLOOKUP(November[[#This Row],[Drug Name5]],'Data Options'!$R$1:$S$100,2,FALSE), " ")</f>
        <v xml:space="preserve"> </v>
      </c>
      <c r="BA159" s="55"/>
      <c r="BB159" s="32"/>
      <c r="BC159" s="32"/>
      <c r="BD159" s="55"/>
      <c r="BE159" s="32"/>
      <c r="BF159" s="54"/>
      <c r="BG159" s="21" t="str">
        <f>IFERROR(VLOOKUP(November[[#This Row],[Drug Name6]],'Data Options'!$R$1:$S$100,2,FALSE), " ")</f>
        <v xml:space="preserve"> </v>
      </c>
      <c r="BH159" s="55"/>
      <c r="BI159" s="32"/>
      <c r="BJ159" s="32"/>
      <c r="BK159" s="55"/>
      <c r="BL159" s="32"/>
      <c r="BM159" s="32"/>
      <c r="BN159" s="32"/>
      <c r="BO159" s="32"/>
      <c r="BP159" s="32"/>
      <c r="BQ159" s="31"/>
      <c r="BR159" s="31"/>
      <c r="BS159" s="54"/>
      <c r="BT159" s="21" t="str">
        <f>IFERROR(VLOOKUP(November[[#This Row],[Drug Name7]],'Data Options'!$R$1:$S$100,2,FALSE), " ")</f>
        <v xml:space="preserve"> </v>
      </c>
      <c r="BU159" s="55"/>
      <c r="BV159" s="32"/>
      <c r="BW159" s="32"/>
      <c r="BX159" s="55"/>
      <c r="BY159" s="32"/>
      <c r="BZ159" s="54"/>
      <c r="CA159" s="21" t="str">
        <f>IFERROR(VLOOKUP(November[[#This Row],[Drug Name8]],'Data Options'!$R$1:$S$100,2,FALSE), " ")</f>
        <v xml:space="preserve"> </v>
      </c>
      <c r="CB159" s="55"/>
      <c r="CC159" s="32"/>
      <c r="CD159" s="32"/>
      <c r="CE159" s="55"/>
      <c r="CF159" s="32"/>
      <c r="CG159" s="54"/>
      <c r="CH159" s="21" t="str">
        <f>IFERROR(VLOOKUP(November[[#This Row],[Drug Name9]],'Data Options'!$R$1:$S$100,2,FALSE), " ")</f>
        <v xml:space="preserve"> </v>
      </c>
      <c r="CI159" s="55"/>
      <c r="CJ159" s="32"/>
      <c r="CK159" s="32"/>
      <c r="CL159" s="55"/>
      <c r="CM159" s="32"/>
    </row>
    <row r="160" spans="1:91">
      <c r="A160" s="5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1"/>
      <c r="P160" s="31"/>
      <c r="Q160" s="54"/>
      <c r="R160" s="21" t="str">
        <f>IFERROR(VLOOKUP(November[[#This Row],[Drug Name]],'Data Options'!$R$1:$S$100,2,FALSE), " ")</f>
        <v xml:space="preserve"> </v>
      </c>
      <c r="S160" s="55"/>
      <c r="T160" s="32"/>
      <c r="U160" s="32"/>
      <c r="V160" s="55"/>
      <c r="W160" s="32"/>
      <c r="X160" s="54"/>
      <c r="Y160" s="21" t="str">
        <f>IFERROR(VLOOKUP(November[[#This Row],[Drug Name2]],'Data Options'!$R$1:$S$100,2,FALSE), " ")</f>
        <v xml:space="preserve"> </v>
      </c>
      <c r="Z160" s="55"/>
      <c r="AA160" s="32"/>
      <c r="AB160" s="32"/>
      <c r="AC160" s="55"/>
      <c r="AD160" s="32"/>
      <c r="AE160" s="54"/>
      <c r="AF160" s="21" t="str">
        <f>IFERROR(VLOOKUP(November[[#This Row],[Drug Name3]],'Data Options'!$R$1:$S$100,2,FALSE), " ")</f>
        <v xml:space="preserve"> </v>
      </c>
      <c r="AG160" s="55"/>
      <c r="AH160" s="32"/>
      <c r="AI160" s="32"/>
      <c r="AJ160" s="55"/>
      <c r="AK160" s="32"/>
      <c r="AL160" s="32"/>
      <c r="AM160" s="32"/>
      <c r="AN160" s="32"/>
      <c r="AO160" s="32"/>
      <c r="AP160" s="31"/>
      <c r="AQ160" s="31"/>
      <c r="AR160" s="54"/>
      <c r="AS160" s="21" t="str">
        <f>IFERROR(VLOOKUP(November[[#This Row],[Drug Name4]],'Data Options'!$R$1:$S$100,2,FALSE), " ")</f>
        <v xml:space="preserve"> </v>
      </c>
      <c r="AT160" s="55"/>
      <c r="AU160" s="32"/>
      <c r="AV160" s="32"/>
      <c r="AW160" s="55"/>
      <c r="AX160" s="32"/>
      <c r="AY160" s="54"/>
      <c r="AZ160" s="21" t="str">
        <f>IFERROR(VLOOKUP(November[[#This Row],[Drug Name5]],'Data Options'!$R$1:$S$100,2,FALSE), " ")</f>
        <v xml:space="preserve"> </v>
      </c>
      <c r="BA160" s="55"/>
      <c r="BB160" s="32"/>
      <c r="BC160" s="32"/>
      <c r="BD160" s="55"/>
      <c r="BE160" s="32"/>
      <c r="BF160" s="54"/>
      <c r="BG160" s="21" t="str">
        <f>IFERROR(VLOOKUP(November[[#This Row],[Drug Name6]],'Data Options'!$R$1:$S$100,2,FALSE), " ")</f>
        <v xml:space="preserve"> </v>
      </c>
      <c r="BH160" s="55"/>
      <c r="BI160" s="32"/>
      <c r="BJ160" s="32"/>
      <c r="BK160" s="55"/>
      <c r="BL160" s="32"/>
      <c r="BM160" s="32"/>
      <c r="BN160" s="32"/>
      <c r="BO160" s="32"/>
      <c r="BP160" s="32"/>
      <c r="BQ160" s="31"/>
      <c r="BR160" s="31"/>
      <c r="BS160" s="54"/>
      <c r="BT160" s="21" t="str">
        <f>IFERROR(VLOOKUP(November[[#This Row],[Drug Name7]],'Data Options'!$R$1:$S$100,2,FALSE), " ")</f>
        <v xml:space="preserve"> </v>
      </c>
      <c r="BU160" s="55"/>
      <c r="BV160" s="32"/>
      <c r="BW160" s="32"/>
      <c r="BX160" s="55"/>
      <c r="BY160" s="32"/>
      <c r="BZ160" s="54"/>
      <c r="CA160" s="21" t="str">
        <f>IFERROR(VLOOKUP(November[[#This Row],[Drug Name8]],'Data Options'!$R$1:$S$100,2,FALSE), " ")</f>
        <v xml:space="preserve"> </v>
      </c>
      <c r="CB160" s="55"/>
      <c r="CC160" s="32"/>
      <c r="CD160" s="32"/>
      <c r="CE160" s="55"/>
      <c r="CF160" s="32"/>
      <c r="CG160" s="54"/>
      <c r="CH160" s="21" t="str">
        <f>IFERROR(VLOOKUP(November[[#This Row],[Drug Name9]],'Data Options'!$R$1:$S$100,2,FALSE), " ")</f>
        <v xml:space="preserve"> </v>
      </c>
      <c r="CI160" s="55"/>
      <c r="CJ160" s="32"/>
      <c r="CK160" s="32"/>
      <c r="CL160" s="55"/>
      <c r="CM160" s="32"/>
    </row>
    <row r="161" spans="1:91">
      <c r="A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1"/>
      <c r="P161" s="31"/>
      <c r="Q161" s="54"/>
      <c r="R161" s="21" t="str">
        <f>IFERROR(VLOOKUP(November[[#This Row],[Drug Name]],'Data Options'!$R$1:$S$100,2,FALSE), " ")</f>
        <v xml:space="preserve"> </v>
      </c>
      <c r="S161" s="55"/>
      <c r="T161" s="32"/>
      <c r="U161" s="32"/>
      <c r="V161" s="55"/>
      <c r="W161" s="32"/>
      <c r="X161" s="54"/>
      <c r="Y161" s="21" t="str">
        <f>IFERROR(VLOOKUP(November[[#This Row],[Drug Name2]],'Data Options'!$R$1:$S$100,2,FALSE), " ")</f>
        <v xml:space="preserve"> </v>
      </c>
      <c r="Z161" s="55"/>
      <c r="AA161" s="32"/>
      <c r="AB161" s="32"/>
      <c r="AC161" s="55"/>
      <c r="AD161" s="32"/>
      <c r="AE161" s="54"/>
      <c r="AF161" s="21" t="str">
        <f>IFERROR(VLOOKUP(November[[#This Row],[Drug Name3]],'Data Options'!$R$1:$S$100,2,FALSE), " ")</f>
        <v xml:space="preserve"> </v>
      </c>
      <c r="AG161" s="55"/>
      <c r="AH161" s="32"/>
      <c r="AI161" s="32"/>
      <c r="AJ161" s="55"/>
      <c r="AK161" s="32"/>
      <c r="AL161" s="32"/>
      <c r="AM161" s="32"/>
      <c r="AN161" s="32"/>
      <c r="AO161" s="32"/>
      <c r="AP161" s="31"/>
      <c r="AQ161" s="31"/>
      <c r="AR161" s="54"/>
      <c r="AS161" s="21" t="str">
        <f>IFERROR(VLOOKUP(November[[#This Row],[Drug Name4]],'Data Options'!$R$1:$S$100,2,FALSE), " ")</f>
        <v xml:space="preserve"> </v>
      </c>
      <c r="AT161" s="55"/>
      <c r="AU161" s="32"/>
      <c r="AV161" s="32"/>
      <c r="AW161" s="55"/>
      <c r="AX161" s="32"/>
      <c r="AY161" s="54"/>
      <c r="AZ161" s="21" t="str">
        <f>IFERROR(VLOOKUP(November[[#This Row],[Drug Name5]],'Data Options'!$R$1:$S$100,2,FALSE), " ")</f>
        <v xml:space="preserve"> </v>
      </c>
      <c r="BA161" s="55"/>
      <c r="BB161" s="32"/>
      <c r="BC161" s="32"/>
      <c r="BD161" s="55"/>
      <c r="BE161" s="32"/>
      <c r="BF161" s="54"/>
      <c r="BG161" s="21" t="str">
        <f>IFERROR(VLOOKUP(November[[#This Row],[Drug Name6]],'Data Options'!$R$1:$S$100,2,FALSE), " ")</f>
        <v xml:space="preserve"> </v>
      </c>
      <c r="BH161" s="55"/>
      <c r="BI161" s="32"/>
      <c r="BJ161" s="32"/>
      <c r="BK161" s="55"/>
      <c r="BL161" s="32"/>
      <c r="BM161" s="32"/>
      <c r="BN161" s="32"/>
      <c r="BO161" s="32"/>
      <c r="BP161" s="32"/>
      <c r="BQ161" s="31"/>
      <c r="BR161" s="31"/>
      <c r="BS161" s="54"/>
      <c r="BT161" s="21" t="str">
        <f>IFERROR(VLOOKUP(November[[#This Row],[Drug Name7]],'Data Options'!$R$1:$S$100,2,FALSE), " ")</f>
        <v xml:space="preserve"> </v>
      </c>
      <c r="BU161" s="55"/>
      <c r="BV161" s="32"/>
      <c r="BW161" s="32"/>
      <c r="BX161" s="55"/>
      <c r="BY161" s="32"/>
      <c r="BZ161" s="54"/>
      <c r="CA161" s="21" t="str">
        <f>IFERROR(VLOOKUP(November[[#This Row],[Drug Name8]],'Data Options'!$R$1:$S$100,2,FALSE), " ")</f>
        <v xml:space="preserve"> </v>
      </c>
      <c r="CB161" s="55"/>
      <c r="CC161" s="32"/>
      <c r="CD161" s="32"/>
      <c r="CE161" s="55"/>
      <c r="CF161" s="32"/>
      <c r="CG161" s="54"/>
      <c r="CH161" s="21" t="str">
        <f>IFERROR(VLOOKUP(November[[#This Row],[Drug Name9]],'Data Options'!$R$1:$S$100,2,FALSE), " ")</f>
        <v xml:space="preserve"> </v>
      </c>
      <c r="CI161" s="55"/>
      <c r="CJ161" s="32"/>
      <c r="CK161" s="32"/>
      <c r="CL161" s="55"/>
      <c r="CM161" s="32"/>
    </row>
    <row r="162" spans="1:91">
      <c r="A162" s="5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1"/>
      <c r="P162" s="31"/>
      <c r="Q162" s="54"/>
      <c r="R162" s="21" t="str">
        <f>IFERROR(VLOOKUP(November[[#This Row],[Drug Name]],'Data Options'!$R$1:$S$100,2,FALSE), " ")</f>
        <v xml:space="preserve"> </v>
      </c>
      <c r="S162" s="55"/>
      <c r="T162" s="32"/>
      <c r="U162" s="32"/>
      <c r="V162" s="55"/>
      <c r="W162" s="32"/>
      <c r="X162" s="54"/>
      <c r="Y162" s="21" t="str">
        <f>IFERROR(VLOOKUP(November[[#This Row],[Drug Name2]],'Data Options'!$R$1:$S$100,2,FALSE), " ")</f>
        <v xml:space="preserve"> </v>
      </c>
      <c r="Z162" s="55"/>
      <c r="AA162" s="32"/>
      <c r="AB162" s="32"/>
      <c r="AC162" s="55"/>
      <c r="AD162" s="32"/>
      <c r="AE162" s="54"/>
      <c r="AF162" s="21" t="str">
        <f>IFERROR(VLOOKUP(November[[#This Row],[Drug Name3]],'Data Options'!$R$1:$S$100,2,FALSE), " ")</f>
        <v xml:space="preserve"> </v>
      </c>
      <c r="AG162" s="55"/>
      <c r="AH162" s="32"/>
      <c r="AI162" s="32"/>
      <c r="AJ162" s="55"/>
      <c r="AK162" s="32"/>
      <c r="AL162" s="32"/>
      <c r="AM162" s="32"/>
      <c r="AN162" s="32"/>
      <c r="AO162" s="32"/>
      <c r="AP162" s="31"/>
      <c r="AQ162" s="31"/>
      <c r="AR162" s="54"/>
      <c r="AS162" s="21" t="str">
        <f>IFERROR(VLOOKUP(November[[#This Row],[Drug Name4]],'Data Options'!$R$1:$S$100,2,FALSE), " ")</f>
        <v xml:space="preserve"> </v>
      </c>
      <c r="AT162" s="55"/>
      <c r="AU162" s="32"/>
      <c r="AV162" s="32"/>
      <c r="AW162" s="55"/>
      <c r="AX162" s="32"/>
      <c r="AY162" s="54"/>
      <c r="AZ162" s="21" t="str">
        <f>IFERROR(VLOOKUP(November[[#This Row],[Drug Name5]],'Data Options'!$R$1:$S$100,2,FALSE), " ")</f>
        <v xml:space="preserve"> </v>
      </c>
      <c r="BA162" s="55"/>
      <c r="BB162" s="32"/>
      <c r="BC162" s="32"/>
      <c r="BD162" s="55"/>
      <c r="BE162" s="32"/>
      <c r="BF162" s="54"/>
      <c r="BG162" s="21" t="str">
        <f>IFERROR(VLOOKUP(November[[#This Row],[Drug Name6]],'Data Options'!$R$1:$S$100,2,FALSE), " ")</f>
        <v xml:space="preserve"> </v>
      </c>
      <c r="BH162" s="55"/>
      <c r="BI162" s="32"/>
      <c r="BJ162" s="32"/>
      <c r="BK162" s="55"/>
      <c r="BL162" s="32"/>
      <c r="BM162" s="32"/>
      <c r="BN162" s="32"/>
      <c r="BO162" s="32"/>
      <c r="BP162" s="32"/>
      <c r="BQ162" s="31"/>
      <c r="BR162" s="31"/>
      <c r="BS162" s="54"/>
      <c r="BT162" s="21" t="str">
        <f>IFERROR(VLOOKUP(November[[#This Row],[Drug Name7]],'Data Options'!$R$1:$S$100,2,FALSE), " ")</f>
        <v xml:space="preserve"> </v>
      </c>
      <c r="BU162" s="55"/>
      <c r="BV162" s="32"/>
      <c r="BW162" s="32"/>
      <c r="BX162" s="55"/>
      <c r="BY162" s="32"/>
      <c r="BZ162" s="54"/>
      <c r="CA162" s="21" t="str">
        <f>IFERROR(VLOOKUP(November[[#This Row],[Drug Name8]],'Data Options'!$R$1:$S$100,2,FALSE), " ")</f>
        <v xml:space="preserve"> </v>
      </c>
      <c r="CB162" s="55"/>
      <c r="CC162" s="32"/>
      <c r="CD162" s="32"/>
      <c r="CE162" s="55"/>
      <c r="CF162" s="32"/>
      <c r="CG162" s="54"/>
      <c r="CH162" s="21" t="str">
        <f>IFERROR(VLOOKUP(November[[#This Row],[Drug Name9]],'Data Options'!$R$1:$S$100,2,FALSE), " ")</f>
        <v xml:space="preserve"> </v>
      </c>
      <c r="CI162" s="55"/>
      <c r="CJ162" s="32"/>
      <c r="CK162" s="32"/>
      <c r="CL162" s="55"/>
      <c r="CM162" s="32"/>
    </row>
    <row r="163" spans="1:91">
      <c r="A163" s="5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1"/>
      <c r="P163" s="31"/>
      <c r="Q163" s="54"/>
      <c r="R163" s="21" t="str">
        <f>IFERROR(VLOOKUP(November[[#This Row],[Drug Name]],'Data Options'!$R$1:$S$100,2,FALSE), " ")</f>
        <v xml:space="preserve"> </v>
      </c>
      <c r="S163" s="55"/>
      <c r="T163" s="32"/>
      <c r="U163" s="32"/>
      <c r="V163" s="55"/>
      <c r="W163" s="32"/>
      <c r="X163" s="54"/>
      <c r="Y163" s="21" t="str">
        <f>IFERROR(VLOOKUP(November[[#This Row],[Drug Name2]],'Data Options'!$R$1:$S$100,2,FALSE), " ")</f>
        <v xml:space="preserve"> </v>
      </c>
      <c r="Z163" s="55"/>
      <c r="AA163" s="32"/>
      <c r="AB163" s="32"/>
      <c r="AC163" s="55"/>
      <c r="AD163" s="32"/>
      <c r="AE163" s="54"/>
      <c r="AF163" s="21" t="str">
        <f>IFERROR(VLOOKUP(November[[#This Row],[Drug Name3]],'Data Options'!$R$1:$S$100,2,FALSE), " ")</f>
        <v xml:space="preserve"> </v>
      </c>
      <c r="AG163" s="55"/>
      <c r="AH163" s="32"/>
      <c r="AI163" s="32"/>
      <c r="AJ163" s="55"/>
      <c r="AK163" s="32"/>
      <c r="AL163" s="32"/>
      <c r="AM163" s="32"/>
      <c r="AN163" s="32"/>
      <c r="AO163" s="32"/>
      <c r="AP163" s="31"/>
      <c r="AQ163" s="31"/>
      <c r="AR163" s="54"/>
      <c r="AS163" s="21" t="str">
        <f>IFERROR(VLOOKUP(November[[#This Row],[Drug Name4]],'Data Options'!$R$1:$S$100,2,FALSE), " ")</f>
        <v xml:space="preserve"> </v>
      </c>
      <c r="AT163" s="55"/>
      <c r="AU163" s="32"/>
      <c r="AV163" s="32"/>
      <c r="AW163" s="55"/>
      <c r="AX163" s="32"/>
      <c r="AY163" s="54"/>
      <c r="AZ163" s="21" t="str">
        <f>IFERROR(VLOOKUP(November[[#This Row],[Drug Name5]],'Data Options'!$R$1:$S$100,2,FALSE), " ")</f>
        <v xml:space="preserve"> </v>
      </c>
      <c r="BA163" s="55"/>
      <c r="BB163" s="32"/>
      <c r="BC163" s="32"/>
      <c r="BD163" s="55"/>
      <c r="BE163" s="32"/>
      <c r="BF163" s="54"/>
      <c r="BG163" s="21" t="str">
        <f>IFERROR(VLOOKUP(November[[#This Row],[Drug Name6]],'Data Options'!$R$1:$S$100,2,FALSE), " ")</f>
        <v xml:space="preserve"> </v>
      </c>
      <c r="BH163" s="55"/>
      <c r="BI163" s="32"/>
      <c r="BJ163" s="32"/>
      <c r="BK163" s="55"/>
      <c r="BL163" s="32"/>
      <c r="BM163" s="32"/>
      <c r="BN163" s="32"/>
      <c r="BO163" s="32"/>
      <c r="BP163" s="32"/>
      <c r="BQ163" s="31"/>
      <c r="BR163" s="31"/>
      <c r="BS163" s="54"/>
      <c r="BT163" s="21" t="str">
        <f>IFERROR(VLOOKUP(November[[#This Row],[Drug Name7]],'Data Options'!$R$1:$S$100,2,FALSE), " ")</f>
        <v xml:space="preserve"> </v>
      </c>
      <c r="BU163" s="55"/>
      <c r="BV163" s="32"/>
      <c r="BW163" s="32"/>
      <c r="BX163" s="55"/>
      <c r="BY163" s="32"/>
      <c r="BZ163" s="54"/>
      <c r="CA163" s="21" t="str">
        <f>IFERROR(VLOOKUP(November[[#This Row],[Drug Name8]],'Data Options'!$R$1:$S$100,2,FALSE), " ")</f>
        <v xml:space="preserve"> </v>
      </c>
      <c r="CB163" s="55"/>
      <c r="CC163" s="32"/>
      <c r="CD163" s="32"/>
      <c r="CE163" s="55"/>
      <c r="CF163" s="32"/>
      <c r="CG163" s="54"/>
      <c r="CH163" s="21" t="str">
        <f>IFERROR(VLOOKUP(November[[#This Row],[Drug Name9]],'Data Options'!$R$1:$S$100,2,FALSE), " ")</f>
        <v xml:space="preserve"> </v>
      </c>
      <c r="CI163" s="55"/>
      <c r="CJ163" s="32"/>
      <c r="CK163" s="32"/>
      <c r="CL163" s="55"/>
      <c r="CM163" s="32"/>
    </row>
    <row r="164" spans="1:91">
      <c r="A164" s="5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1"/>
      <c r="P164" s="31"/>
      <c r="Q164" s="54"/>
      <c r="R164" s="21" t="str">
        <f>IFERROR(VLOOKUP(November[[#This Row],[Drug Name]],'Data Options'!$R$1:$S$100,2,FALSE), " ")</f>
        <v xml:space="preserve"> </v>
      </c>
      <c r="S164" s="55"/>
      <c r="T164" s="32"/>
      <c r="U164" s="32"/>
      <c r="V164" s="55"/>
      <c r="W164" s="32"/>
      <c r="X164" s="54"/>
      <c r="Y164" s="21" t="str">
        <f>IFERROR(VLOOKUP(November[[#This Row],[Drug Name2]],'Data Options'!$R$1:$S$100,2,FALSE), " ")</f>
        <v xml:space="preserve"> </v>
      </c>
      <c r="Z164" s="55"/>
      <c r="AA164" s="32"/>
      <c r="AB164" s="32"/>
      <c r="AC164" s="55"/>
      <c r="AD164" s="32"/>
      <c r="AE164" s="54"/>
      <c r="AF164" s="21" t="str">
        <f>IFERROR(VLOOKUP(November[[#This Row],[Drug Name3]],'Data Options'!$R$1:$S$100,2,FALSE), " ")</f>
        <v xml:space="preserve"> </v>
      </c>
      <c r="AG164" s="55"/>
      <c r="AH164" s="32"/>
      <c r="AI164" s="32"/>
      <c r="AJ164" s="55"/>
      <c r="AK164" s="32"/>
      <c r="AL164" s="32"/>
      <c r="AM164" s="32"/>
      <c r="AN164" s="32"/>
      <c r="AO164" s="32"/>
      <c r="AP164" s="31"/>
      <c r="AQ164" s="31"/>
      <c r="AR164" s="54"/>
      <c r="AS164" s="21" t="str">
        <f>IFERROR(VLOOKUP(November[[#This Row],[Drug Name4]],'Data Options'!$R$1:$S$100,2,FALSE), " ")</f>
        <v xml:space="preserve"> </v>
      </c>
      <c r="AT164" s="55"/>
      <c r="AU164" s="32"/>
      <c r="AV164" s="32"/>
      <c r="AW164" s="55"/>
      <c r="AX164" s="32"/>
      <c r="AY164" s="54"/>
      <c r="AZ164" s="21" t="str">
        <f>IFERROR(VLOOKUP(November[[#This Row],[Drug Name5]],'Data Options'!$R$1:$S$100,2,FALSE), " ")</f>
        <v xml:space="preserve"> </v>
      </c>
      <c r="BA164" s="55"/>
      <c r="BB164" s="32"/>
      <c r="BC164" s="32"/>
      <c r="BD164" s="55"/>
      <c r="BE164" s="32"/>
      <c r="BF164" s="54"/>
      <c r="BG164" s="21" t="str">
        <f>IFERROR(VLOOKUP(November[[#This Row],[Drug Name6]],'Data Options'!$R$1:$S$100,2,FALSE), " ")</f>
        <v xml:space="preserve"> </v>
      </c>
      <c r="BH164" s="55"/>
      <c r="BI164" s="32"/>
      <c r="BJ164" s="32"/>
      <c r="BK164" s="55"/>
      <c r="BL164" s="32"/>
      <c r="BM164" s="32"/>
      <c r="BN164" s="32"/>
      <c r="BO164" s="32"/>
      <c r="BP164" s="32"/>
      <c r="BQ164" s="31"/>
      <c r="BR164" s="31"/>
      <c r="BS164" s="54"/>
      <c r="BT164" s="21" t="str">
        <f>IFERROR(VLOOKUP(November[[#This Row],[Drug Name7]],'Data Options'!$R$1:$S$100,2,FALSE), " ")</f>
        <v xml:space="preserve"> </v>
      </c>
      <c r="BU164" s="55"/>
      <c r="BV164" s="32"/>
      <c r="BW164" s="32"/>
      <c r="BX164" s="55"/>
      <c r="BY164" s="32"/>
      <c r="BZ164" s="54"/>
      <c r="CA164" s="21" t="str">
        <f>IFERROR(VLOOKUP(November[[#This Row],[Drug Name8]],'Data Options'!$R$1:$S$100,2,FALSE), " ")</f>
        <v xml:space="preserve"> </v>
      </c>
      <c r="CB164" s="55"/>
      <c r="CC164" s="32"/>
      <c r="CD164" s="32"/>
      <c r="CE164" s="55"/>
      <c r="CF164" s="32"/>
      <c r="CG164" s="54"/>
      <c r="CH164" s="21" t="str">
        <f>IFERROR(VLOOKUP(November[[#This Row],[Drug Name9]],'Data Options'!$R$1:$S$100,2,FALSE), " ")</f>
        <v xml:space="preserve"> </v>
      </c>
      <c r="CI164" s="55"/>
      <c r="CJ164" s="32"/>
      <c r="CK164" s="32"/>
      <c r="CL164" s="55"/>
      <c r="CM164" s="32"/>
    </row>
    <row r="165" spans="1:91">
      <c r="A165" s="5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1"/>
      <c r="P165" s="31"/>
      <c r="Q165" s="54"/>
      <c r="R165" s="21" t="str">
        <f>IFERROR(VLOOKUP(November[[#This Row],[Drug Name]],'Data Options'!$R$1:$S$100,2,FALSE), " ")</f>
        <v xml:space="preserve"> </v>
      </c>
      <c r="S165" s="55"/>
      <c r="T165" s="32"/>
      <c r="U165" s="32"/>
      <c r="V165" s="55"/>
      <c r="W165" s="32"/>
      <c r="X165" s="54"/>
      <c r="Y165" s="21" t="str">
        <f>IFERROR(VLOOKUP(November[[#This Row],[Drug Name2]],'Data Options'!$R$1:$S$100,2,FALSE), " ")</f>
        <v xml:space="preserve"> </v>
      </c>
      <c r="Z165" s="55"/>
      <c r="AA165" s="32"/>
      <c r="AB165" s="32"/>
      <c r="AC165" s="55"/>
      <c r="AD165" s="32"/>
      <c r="AE165" s="54"/>
      <c r="AF165" s="21" t="str">
        <f>IFERROR(VLOOKUP(November[[#This Row],[Drug Name3]],'Data Options'!$R$1:$S$100,2,FALSE), " ")</f>
        <v xml:space="preserve"> </v>
      </c>
      <c r="AG165" s="55"/>
      <c r="AH165" s="32"/>
      <c r="AI165" s="32"/>
      <c r="AJ165" s="55"/>
      <c r="AK165" s="32"/>
      <c r="AL165" s="32"/>
      <c r="AM165" s="32"/>
      <c r="AN165" s="32"/>
      <c r="AO165" s="32"/>
      <c r="AP165" s="31"/>
      <c r="AQ165" s="31"/>
      <c r="AR165" s="54"/>
      <c r="AS165" s="21" t="str">
        <f>IFERROR(VLOOKUP(November[[#This Row],[Drug Name4]],'Data Options'!$R$1:$S$100,2,FALSE), " ")</f>
        <v xml:space="preserve"> </v>
      </c>
      <c r="AT165" s="55"/>
      <c r="AU165" s="32"/>
      <c r="AV165" s="32"/>
      <c r="AW165" s="55"/>
      <c r="AX165" s="32"/>
      <c r="AY165" s="54"/>
      <c r="AZ165" s="21" t="str">
        <f>IFERROR(VLOOKUP(November[[#This Row],[Drug Name5]],'Data Options'!$R$1:$S$100,2,FALSE), " ")</f>
        <v xml:space="preserve"> </v>
      </c>
      <c r="BA165" s="55"/>
      <c r="BB165" s="32"/>
      <c r="BC165" s="32"/>
      <c r="BD165" s="55"/>
      <c r="BE165" s="32"/>
      <c r="BF165" s="54"/>
      <c r="BG165" s="21" t="str">
        <f>IFERROR(VLOOKUP(November[[#This Row],[Drug Name6]],'Data Options'!$R$1:$S$100,2,FALSE), " ")</f>
        <v xml:space="preserve"> </v>
      </c>
      <c r="BH165" s="55"/>
      <c r="BI165" s="32"/>
      <c r="BJ165" s="32"/>
      <c r="BK165" s="55"/>
      <c r="BL165" s="32"/>
      <c r="BM165" s="32"/>
      <c r="BN165" s="32"/>
      <c r="BO165" s="32"/>
      <c r="BP165" s="32"/>
      <c r="BQ165" s="31"/>
      <c r="BR165" s="31"/>
      <c r="BS165" s="54"/>
      <c r="BT165" s="21" t="str">
        <f>IFERROR(VLOOKUP(November[[#This Row],[Drug Name7]],'Data Options'!$R$1:$S$100,2,FALSE), " ")</f>
        <v xml:space="preserve"> </v>
      </c>
      <c r="BU165" s="55"/>
      <c r="BV165" s="32"/>
      <c r="BW165" s="32"/>
      <c r="BX165" s="55"/>
      <c r="BY165" s="32"/>
      <c r="BZ165" s="54"/>
      <c r="CA165" s="21" t="str">
        <f>IFERROR(VLOOKUP(November[[#This Row],[Drug Name8]],'Data Options'!$R$1:$S$100,2,FALSE), " ")</f>
        <v xml:space="preserve"> </v>
      </c>
      <c r="CB165" s="55"/>
      <c r="CC165" s="32"/>
      <c r="CD165" s="32"/>
      <c r="CE165" s="55"/>
      <c r="CF165" s="32"/>
      <c r="CG165" s="54"/>
      <c r="CH165" s="21" t="str">
        <f>IFERROR(VLOOKUP(November[[#This Row],[Drug Name9]],'Data Options'!$R$1:$S$100,2,FALSE), " ")</f>
        <v xml:space="preserve"> </v>
      </c>
      <c r="CI165" s="55"/>
      <c r="CJ165" s="32"/>
      <c r="CK165" s="32"/>
      <c r="CL165" s="55"/>
      <c r="CM165" s="32"/>
    </row>
    <row r="166" spans="1:91">
      <c r="A166" s="5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1"/>
      <c r="P166" s="31"/>
      <c r="Q166" s="54"/>
      <c r="R166" s="21" t="str">
        <f>IFERROR(VLOOKUP(November[[#This Row],[Drug Name]],'Data Options'!$R$1:$S$100,2,FALSE), " ")</f>
        <v xml:space="preserve"> </v>
      </c>
      <c r="S166" s="55"/>
      <c r="T166" s="32"/>
      <c r="U166" s="32"/>
      <c r="V166" s="55"/>
      <c r="W166" s="32"/>
      <c r="X166" s="54"/>
      <c r="Y166" s="21" t="str">
        <f>IFERROR(VLOOKUP(November[[#This Row],[Drug Name2]],'Data Options'!$R$1:$S$100,2,FALSE), " ")</f>
        <v xml:space="preserve"> </v>
      </c>
      <c r="Z166" s="55"/>
      <c r="AA166" s="32"/>
      <c r="AB166" s="32"/>
      <c r="AC166" s="55"/>
      <c r="AD166" s="32"/>
      <c r="AE166" s="54"/>
      <c r="AF166" s="21" t="str">
        <f>IFERROR(VLOOKUP(November[[#This Row],[Drug Name3]],'Data Options'!$R$1:$S$100,2,FALSE), " ")</f>
        <v xml:space="preserve"> </v>
      </c>
      <c r="AG166" s="55"/>
      <c r="AH166" s="32"/>
      <c r="AI166" s="32"/>
      <c r="AJ166" s="55"/>
      <c r="AK166" s="32"/>
      <c r="AL166" s="32"/>
      <c r="AM166" s="32"/>
      <c r="AN166" s="32"/>
      <c r="AO166" s="32"/>
      <c r="AP166" s="31"/>
      <c r="AQ166" s="31"/>
      <c r="AR166" s="54"/>
      <c r="AS166" s="21" t="str">
        <f>IFERROR(VLOOKUP(November[[#This Row],[Drug Name4]],'Data Options'!$R$1:$S$100,2,FALSE), " ")</f>
        <v xml:space="preserve"> </v>
      </c>
      <c r="AT166" s="55"/>
      <c r="AU166" s="32"/>
      <c r="AV166" s="32"/>
      <c r="AW166" s="55"/>
      <c r="AX166" s="32"/>
      <c r="AY166" s="54"/>
      <c r="AZ166" s="21" t="str">
        <f>IFERROR(VLOOKUP(November[[#This Row],[Drug Name5]],'Data Options'!$R$1:$S$100,2,FALSE), " ")</f>
        <v xml:space="preserve"> </v>
      </c>
      <c r="BA166" s="55"/>
      <c r="BB166" s="32"/>
      <c r="BC166" s="32"/>
      <c r="BD166" s="55"/>
      <c r="BE166" s="32"/>
      <c r="BF166" s="54"/>
      <c r="BG166" s="21" t="str">
        <f>IFERROR(VLOOKUP(November[[#This Row],[Drug Name6]],'Data Options'!$R$1:$S$100,2,FALSE), " ")</f>
        <v xml:space="preserve"> </v>
      </c>
      <c r="BH166" s="55"/>
      <c r="BI166" s="32"/>
      <c r="BJ166" s="32"/>
      <c r="BK166" s="55"/>
      <c r="BL166" s="32"/>
      <c r="BM166" s="32"/>
      <c r="BN166" s="32"/>
      <c r="BO166" s="32"/>
      <c r="BP166" s="32"/>
      <c r="BQ166" s="31"/>
      <c r="BR166" s="31"/>
      <c r="BS166" s="54"/>
      <c r="BT166" s="21" t="str">
        <f>IFERROR(VLOOKUP(November[[#This Row],[Drug Name7]],'Data Options'!$R$1:$S$100,2,FALSE), " ")</f>
        <v xml:space="preserve"> </v>
      </c>
      <c r="BU166" s="55"/>
      <c r="BV166" s="32"/>
      <c r="BW166" s="32"/>
      <c r="BX166" s="55"/>
      <c r="BY166" s="32"/>
      <c r="BZ166" s="54"/>
      <c r="CA166" s="21" t="str">
        <f>IFERROR(VLOOKUP(November[[#This Row],[Drug Name8]],'Data Options'!$R$1:$S$100,2,FALSE), " ")</f>
        <v xml:space="preserve"> </v>
      </c>
      <c r="CB166" s="55"/>
      <c r="CC166" s="32"/>
      <c r="CD166" s="32"/>
      <c r="CE166" s="55"/>
      <c r="CF166" s="32"/>
      <c r="CG166" s="54"/>
      <c r="CH166" s="21" t="str">
        <f>IFERROR(VLOOKUP(November[[#This Row],[Drug Name9]],'Data Options'!$R$1:$S$100,2,FALSE), " ")</f>
        <v xml:space="preserve"> </v>
      </c>
      <c r="CI166" s="55"/>
      <c r="CJ166" s="32"/>
      <c r="CK166" s="32"/>
      <c r="CL166" s="55"/>
      <c r="CM166" s="32"/>
    </row>
    <row r="167" spans="1:91">
      <c r="A167" s="5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1"/>
      <c r="P167" s="31"/>
      <c r="Q167" s="54"/>
      <c r="R167" s="21" t="str">
        <f>IFERROR(VLOOKUP(November[[#This Row],[Drug Name]],'Data Options'!$R$1:$S$100,2,FALSE), " ")</f>
        <v xml:space="preserve"> </v>
      </c>
      <c r="S167" s="55"/>
      <c r="T167" s="32"/>
      <c r="U167" s="32"/>
      <c r="V167" s="55"/>
      <c r="W167" s="32"/>
      <c r="X167" s="54"/>
      <c r="Y167" s="21" t="str">
        <f>IFERROR(VLOOKUP(November[[#This Row],[Drug Name2]],'Data Options'!$R$1:$S$100,2,FALSE), " ")</f>
        <v xml:space="preserve"> </v>
      </c>
      <c r="Z167" s="55"/>
      <c r="AA167" s="32"/>
      <c r="AB167" s="32"/>
      <c r="AC167" s="55"/>
      <c r="AD167" s="32"/>
      <c r="AE167" s="54"/>
      <c r="AF167" s="21" t="str">
        <f>IFERROR(VLOOKUP(November[[#This Row],[Drug Name3]],'Data Options'!$R$1:$S$100,2,FALSE), " ")</f>
        <v xml:space="preserve"> </v>
      </c>
      <c r="AG167" s="55"/>
      <c r="AH167" s="32"/>
      <c r="AI167" s="32"/>
      <c r="AJ167" s="55"/>
      <c r="AK167" s="32"/>
      <c r="AL167" s="32"/>
      <c r="AM167" s="32"/>
      <c r="AN167" s="32"/>
      <c r="AO167" s="32"/>
      <c r="AP167" s="31"/>
      <c r="AQ167" s="31"/>
      <c r="AR167" s="54"/>
      <c r="AS167" s="21" t="str">
        <f>IFERROR(VLOOKUP(November[[#This Row],[Drug Name4]],'Data Options'!$R$1:$S$100,2,FALSE), " ")</f>
        <v xml:space="preserve"> </v>
      </c>
      <c r="AT167" s="55"/>
      <c r="AU167" s="32"/>
      <c r="AV167" s="32"/>
      <c r="AW167" s="55"/>
      <c r="AX167" s="32"/>
      <c r="AY167" s="54"/>
      <c r="AZ167" s="21" t="str">
        <f>IFERROR(VLOOKUP(November[[#This Row],[Drug Name5]],'Data Options'!$R$1:$S$100,2,FALSE), " ")</f>
        <v xml:space="preserve"> </v>
      </c>
      <c r="BA167" s="55"/>
      <c r="BB167" s="32"/>
      <c r="BC167" s="32"/>
      <c r="BD167" s="55"/>
      <c r="BE167" s="32"/>
      <c r="BF167" s="54"/>
      <c r="BG167" s="21" t="str">
        <f>IFERROR(VLOOKUP(November[[#This Row],[Drug Name6]],'Data Options'!$R$1:$S$100,2,FALSE), " ")</f>
        <v xml:space="preserve"> </v>
      </c>
      <c r="BH167" s="55"/>
      <c r="BI167" s="32"/>
      <c r="BJ167" s="32"/>
      <c r="BK167" s="55"/>
      <c r="BL167" s="32"/>
      <c r="BM167" s="32"/>
      <c r="BN167" s="32"/>
      <c r="BO167" s="32"/>
      <c r="BP167" s="32"/>
      <c r="BQ167" s="31"/>
      <c r="BR167" s="31"/>
      <c r="BS167" s="54"/>
      <c r="BT167" s="21" t="str">
        <f>IFERROR(VLOOKUP(November[[#This Row],[Drug Name7]],'Data Options'!$R$1:$S$100,2,FALSE), " ")</f>
        <v xml:space="preserve"> </v>
      </c>
      <c r="BU167" s="55"/>
      <c r="BV167" s="32"/>
      <c r="BW167" s="32"/>
      <c r="BX167" s="55"/>
      <c r="BY167" s="32"/>
      <c r="BZ167" s="54"/>
      <c r="CA167" s="21" t="str">
        <f>IFERROR(VLOOKUP(November[[#This Row],[Drug Name8]],'Data Options'!$R$1:$S$100,2,FALSE), " ")</f>
        <v xml:space="preserve"> </v>
      </c>
      <c r="CB167" s="55"/>
      <c r="CC167" s="32"/>
      <c r="CD167" s="32"/>
      <c r="CE167" s="55"/>
      <c r="CF167" s="32"/>
      <c r="CG167" s="54"/>
      <c r="CH167" s="21" t="str">
        <f>IFERROR(VLOOKUP(November[[#This Row],[Drug Name9]],'Data Options'!$R$1:$S$100,2,FALSE), " ")</f>
        <v xml:space="preserve"> </v>
      </c>
      <c r="CI167" s="55"/>
      <c r="CJ167" s="32"/>
      <c r="CK167" s="32"/>
      <c r="CL167" s="55"/>
      <c r="CM167" s="32"/>
    </row>
    <row r="168" spans="1:91">
      <c r="A168" s="5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1"/>
      <c r="P168" s="31"/>
      <c r="Q168" s="54"/>
      <c r="R168" s="21" t="str">
        <f>IFERROR(VLOOKUP(November[[#This Row],[Drug Name]],'Data Options'!$R$1:$S$100,2,FALSE), " ")</f>
        <v xml:space="preserve"> </v>
      </c>
      <c r="S168" s="55"/>
      <c r="T168" s="32"/>
      <c r="U168" s="32"/>
      <c r="V168" s="55"/>
      <c r="W168" s="32"/>
      <c r="X168" s="54"/>
      <c r="Y168" s="21" t="str">
        <f>IFERROR(VLOOKUP(November[[#This Row],[Drug Name2]],'Data Options'!$R$1:$S$100,2,FALSE), " ")</f>
        <v xml:space="preserve"> </v>
      </c>
      <c r="Z168" s="55"/>
      <c r="AA168" s="32"/>
      <c r="AB168" s="32"/>
      <c r="AC168" s="55"/>
      <c r="AD168" s="32"/>
      <c r="AE168" s="54"/>
      <c r="AF168" s="21" t="str">
        <f>IFERROR(VLOOKUP(November[[#This Row],[Drug Name3]],'Data Options'!$R$1:$S$100,2,FALSE), " ")</f>
        <v xml:space="preserve"> </v>
      </c>
      <c r="AG168" s="55"/>
      <c r="AH168" s="32"/>
      <c r="AI168" s="32"/>
      <c r="AJ168" s="55"/>
      <c r="AK168" s="32"/>
      <c r="AL168" s="32"/>
      <c r="AM168" s="32"/>
      <c r="AN168" s="32"/>
      <c r="AO168" s="32"/>
      <c r="AP168" s="31"/>
      <c r="AQ168" s="31"/>
      <c r="AR168" s="54"/>
      <c r="AS168" s="21" t="str">
        <f>IFERROR(VLOOKUP(November[[#This Row],[Drug Name4]],'Data Options'!$R$1:$S$100,2,FALSE), " ")</f>
        <v xml:space="preserve"> </v>
      </c>
      <c r="AT168" s="55"/>
      <c r="AU168" s="32"/>
      <c r="AV168" s="32"/>
      <c r="AW168" s="55"/>
      <c r="AX168" s="32"/>
      <c r="AY168" s="54"/>
      <c r="AZ168" s="21" t="str">
        <f>IFERROR(VLOOKUP(November[[#This Row],[Drug Name5]],'Data Options'!$R$1:$S$100,2,FALSE), " ")</f>
        <v xml:space="preserve"> </v>
      </c>
      <c r="BA168" s="55"/>
      <c r="BB168" s="32"/>
      <c r="BC168" s="32"/>
      <c r="BD168" s="55"/>
      <c r="BE168" s="32"/>
      <c r="BF168" s="54"/>
      <c r="BG168" s="21" t="str">
        <f>IFERROR(VLOOKUP(November[[#This Row],[Drug Name6]],'Data Options'!$R$1:$S$100,2,FALSE), " ")</f>
        <v xml:space="preserve"> </v>
      </c>
      <c r="BH168" s="55"/>
      <c r="BI168" s="32"/>
      <c r="BJ168" s="32"/>
      <c r="BK168" s="55"/>
      <c r="BL168" s="32"/>
      <c r="BM168" s="32"/>
      <c r="BN168" s="32"/>
      <c r="BO168" s="32"/>
      <c r="BP168" s="32"/>
      <c r="BQ168" s="31"/>
      <c r="BR168" s="31"/>
      <c r="BS168" s="54"/>
      <c r="BT168" s="21" t="str">
        <f>IFERROR(VLOOKUP(November[[#This Row],[Drug Name7]],'Data Options'!$R$1:$S$100,2,FALSE), " ")</f>
        <v xml:space="preserve"> </v>
      </c>
      <c r="BU168" s="55"/>
      <c r="BV168" s="32"/>
      <c r="BW168" s="32"/>
      <c r="BX168" s="55"/>
      <c r="BY168" s="32"/>
      <c r="BZ168" s="54"/>
      <c r="CA168" s="21" t="str">
        <f>IFERROR(VLOOKUP(November[[#This Row],[Drug Name8]],'Data Options'!$R$1:$S$100,2,FALSE), " ")</f>
        <v xml:space="preserve"> </v>
      </c>
      <c r="CB168" s="55"/>
      <c r="CC168" s="32"/>
      <c r="CD168" s="32"/>
      <c r="CE168" s="55"/>
      <c r="CF168" s="32"/>
      <c r="CG168" s="54"/>
      <c r="CH168" s="21" t="str">
        <f>IFERROR(VLOOKUP(November[[#This Row],[Drug Name9]],'Data Options'!$R$1:$S$100,2,FALSE), " ")</f>
        <v xml:space="preserve"> </v>
      </c>
      <c r="CI168" s="55"/>
      <c r="CJ168" s="32"/>
      <c r="CK168" s="32"/>
      <c r="CL168" s="55"/>
      <c r="CM168" s="32"/>
    </row>
    <row r="169" spans="1:91">
      <c r="A169" s="5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1"/>
      <c r="P169" s="31"/>
      <c r="Q169" s="54"/>
      <c r="R169" s="21" t="str">
        <f>IFERROR(VLOOKUP(November[[#This Row],[Drug Name]],'Data Options'!$R$1:$S$100,2,FALSE), " ")</f>
        <v xml:space="preserve"> </v>
      </c>
      <c r="S169" s="55"/>
      <c r="T169" s="32"/>
      <c r="U169" s="32"/>
      <c r="V169" s="55"/>
      <c r="W169" s="32"/>
      <c r="X169" s="54"/>
      <c r="Y169" s="21" t="str">
        <f>IFERROR(VLOOKUP(November[[#This Row],[Drug Name2]],'Data Options'!$R$1:$S$100,2,FALSE), " ")</f>
        <v xml:space="preserve"> </v>
      </c>
      <c r="Z169" s="55"/>
      <c r="AA169" s="32"/>
      <c r="AB169" s="32"/>
      <c r="AC169" s="55"/>
      <c r="AD169" s="32"/>
      <c r="AE169" s="54"/>
      <c r="AF169" s="21" t="str">
        <f>IFERROR(VLOOKUP(November[[#This Row],[Drug Name3]],'Data Options'!$R$1:$S$100,2,FALSE), " ")</f>
        <v xml:space="preserve"> </v>
      </c>
      <c r="AG169" s="55"/>
      <c r="AH169" s="32"/>
      <c r="AI169" s="32"/>
      <c r="AJ169" s="55"/>
      <c r="AK169" s="32"/>
      <c r="AL169" s="32"/>
      <c r="AM169" s="32"/>
      <c r="AN169" s="32"/>
      <c r="AO169" s="32"/>
      <c r="AP169" s="31"/>
      <c r="AQ169" s="31"/>
      <c r="AR169" s="54"/>
      <c r="AS169" s="21" t="str">
        <f>IFERROR(VLOOKUP(November[[#This Row],[Drug Name4]],'Data Options'!$R$1:$S$100,2,FALSE), " ")</f>
        <v xml:space="preserve"> </v>
      </c>
      <c r="AT169" s="55"/>
      <c r="AU169" s="32"/>
      <c r="AV169" s="32"/>
      <c r="AW169" s="55"/>
      <c r="AX169" s="32"/>
      <c r="AY169" s="54"/>
      <c r="AZ169" s="21" t="str">
        <f>IFERROR(VLOOKUP(November[[#This Row],[Drug Name5]],'Data Options'!$R$1:$S$100,2,FALSE), " ")</f>
        <v xml:space="preserve"> </v>
      </c>
      <c r="BA169" s="55"/>
      <c r="BB169" s="32"/>
      <c r="BC169" s="32"/>
      <c r="BD169" s="55"/>
      <c r="BE169" s="32"/>
      <c r="BF169" s="54"/>
      <c r="BG169" s="21" t="str">
        <f>IFERROR(VLOOKUP(November[[#This Row],[Drug Name6]],'Data Options'!$R$1:$S$100,2,FALSE), " ")</f>
        <v xml:space="preserve"> </v>
      </c>
      <c r="BH169" s="55"/>
      <c r="BI169" s="32"/>
      <c r="BJ169" s="32"/>
      <c r="BK169" s="55"/>
      <c r="BL169" s="32"/>
      <c r="BM169" s="32"/>
      <c r="BN169" s="32"/>
      <c r="BO169" s="32"/>
      <c r="BP169" s="32"/>
      <c r="BQ169" s="31"/>
      <c r="BR169" s="31"/>
      <c r="BS169" s="54"/>
      <c r="BT169" s="21" t="str">
        <f>IFERROR(VLOOKUP(November[[#This Row],[Drug Name7]],'Data Options'!$R$1:$S$100,2,FALSE), " ")</f>
        <v xml:space="preserve"> </v>
      </c>
      <c r="BU169" s="55"/>
      <c r="BV169" s="32"/>
      <c r="BW169" s="32"/>
      <c r="BX169" s="55"/>
      <c r="BY169" s="32"/>
      <c r="BZ169" s="54"/>
      <c r="CA169" s="21" t="str">
        <f>IFERROR(VLOOKUP(November[[#This Row],[Drug Name8]],'Data Options'!$R$1:$S$100,2,FALSE), " ")</f>
        <v xml:space="preserve"> </v>
      </c>
      <c r="CB169" s="55"/>
      <c r="CC169" s="32"/>
      <c r="CD169" s="32"/>
      <c r="CE169" s="55"/>
      <c r="CF169" s="32"/>
      <c r="CG169" s="54"/>
      <c r="CH169" s="21" t="str">
        <f>IFERROR(VLOOKUP(November[[#This Row],[Drug Name9]],'Data Options'!$R$1:$S$100,2,FALSE), " ")</f>
        <v xml:space="preserve"> </v>
      </c>
      <c r="CI169" s="55"/>
      <c r="CJ169" s="32"/>
      <c r="CK169" s="32"/>
      <c r="CL169" s="55"/>
      <c r="CM169" s="32"/>
    </row>
    <row r="170" spans="1:91">
      <c r="A170" s="5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1"/>
      <c r="P170" s="31"/>
      <c r="Q170" s="54"/>
      <c r="R170" s="21" t="str">
        <f>IFERROR(VLOOKUP(November[[#This Row],[Drug Name]],'Data Options'!$R$1:$S$100,2,FALSE), " ")</f>
        <v xml:space="preserve"> </v>
      </c>
      <c r="S170" s="55"/>
      <c r="T170" s="32"/>
      <c r="U170" s="32"/>
      <c r="V170" s="55"/>
      <c r="W170" s="32"/>
      <c r="X170" s="54"/>
      <c r="Y170" s="21" t="str">
        <f>IFERROR(VLOOKUP(November[[#This Row],[Drug Name2]],'Data Options'!$R$1:$S$100,2,FALSE), " ")</f>
        <v xml:space="preserve"> </v>
      </c>
      <c r="Z170" s="55"/>
      <c r="AA170" s="32"/>
      <c r="AB170" s="32"/>
      <c r="AC170" s="55"/>
      <c r="AD170" s="32"/>
      <c r="AE170" s="54"/>
      <c r="AF170" s="21" t="str">
        <f>IFERROR(VLOOKUP(November[[#This Row],[Drug Name3]],'Data Options'!$R$1:$S$100,2,FALSE), " ")</f>
        <v xml:space="preserve"> </v>
      </c>
      <c r="AG170" s="55"/>
      <c r="AH170" s="32"/>
      <c r="AI170" s="32"/>
      <c r="AJ170" s="55"/>
      <c r="AK170" s="32"/>
      <c r="AL170" s="32"/>
      <c r="AM170" s="32"/>
      <c r="AN170" s="32"/>
      <c r="AO170" s="32"/>
      <c r="AP170" s="31"/>
      <c r="AQ170" s="31"/>
      <c r="AR170" s="54"/>
      <c r="AS170" s="21" t="str">
        <f>IFERROR(VLOOKUP(November[[#This Row],[Drug Name4]],'Data Options'!$R$1:$S$100,2,FALSE), " ")</f>
        <v xml:space="preserve"> </v>
      </c>
      <c r="AT170" s="55"/>
      <c r="AU170" s="32"/>
      <c r="AV170" s="32"/>
      <c r="AW170" s="55"/>
      <c r="AX170" s="32"/>
      <c r="AY170" s="54"/>
      <c r="AZ170" s="21" t="str">
        <f>IFERROR(VLOOKUP(November[[#This Row],[Drug Name5]],'Data Options'!$R$1:$S$100,2,FALSE), " ")</f>
        <v xml:space="preserve"> </v>
      </c>
      <c r="BA170" s="55"/>
      <c r="BB170" s="32"/>
      <c r="BC170" s="32"/>
      <c r="BD170" s="55"/>
      <c r="BE170" s="32"/>
      <c r="BF170" s="54"/>
      <c r="BG170" s="21" t="str">
        <f>IFERROR(VLOOKUP(November[[#This Row],[Drug Name6]],'Data Options'!$R$1:$S$100,2,FALSE), " ")</f>
        <v xml:space="preserve"> </v>
      </c>
      <c r="BH170" s="55"/>
      <c r="BI170" s="32"/>
      <c r="BJ170" s="32"/>
      <c r="BK170" s="55"/>
      <c r="BL170" s="32"/>
      <c r="BM170" s="32"/>
      <c r="BN170" s="32"/>
      <c r="BO170" s="32"/>
      <c r="BP170" s="32"/>
      <c r="BQ170" s="31"/>
      <c r="BR170" s="31"/>
      <c r="BS170" s="54"/>
      <c r="BT170" s="21" t="str">
        <f>IFERROR(VLOOKUP(November[[#This Row],[Drug Name7]],'Data Options'!$R$1:$S$100,2,FALSE), " ")</f>
        <v xml:space="preserve"> </v>
      </c>
      <c r="BU170" s="55"/>
      <c r="BV170" s="32"/>
      <c r="BW170" s="32"/>
      <c r="BX170" s="55"/>
      <c r="BY170" s="32"/>
      <c r="BZ170" s="54"/>
      <c r="CA170" s="21" t="str">
        <f>IFERROR(VLOOKUP(November[[#This Row],[Drug Name8]],'Data Options'!$R$1:$S$100,2,FALSE), " ")</f>
        <v xml:space="preserve"> </v>
      </c>
      <c r="CB170" s="55"/>
      <c r="CC170" s="32"/>
      <c r="CD170" s="32"/>
      <c r="CE170" s="55"/>
      <c r="CF170" s="32"/>
      <c r="CG170" s="54"/>
      <c r="CH170" s="21" t="str">
        <f>IFERROR(VLOOKUP(November[[#This Row],[Drug Name9]],'Data Options'!$R$1:$S$100,2,FALSE), " ")</f>
        <v xml:space="preserve"> </v>
      </c>
      <c r="CI170" s="55"/>
      <c r="CJ170" s="32"/>
      <c r="CK170" s="32"/>
      <c r="CL170" s="55"/>
      <c r="CM170" s="32"/>
    </row>
    <row r="171" spans="1:91">
      <c r="A171" s="5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1"/>
      <c r="P171" s="31"/>
      <c r="Q171" s="54"/>
      <c r="R171" s="21" t="str">
        <f>IFERROR(VLOOKUP(November[[#This Row],[Drug Name]],'Data Options'!$R$1:$S$100,2,FALSE), " ")</f>
        <v xml:space="preserve"> </v>
      </c>
      <c r="S171" s="55"/>
      <c r="T171" s="32"/>
      <c r="U171" s="32"/>
      <c r="V171" s="55"/>
      <c r="W171" s="32"/>
      <c r="X171" s="54"/>
      <c r="Y171" s="21" t="str">
        <f>IFERROR(VLOOKUP(November[[#This Row],[Drug Name2]],'Data Options'!$R$1:$S$100,2,FALSE), " ")</f>
        <v xml:space="preserve"> </v>
      </c>
      <c r="Z171" s="55"/>
      <c r="AA171" s="32"/>
      <c r="AB171" s="32"/>
      <c r="AC171" s="55"/>
      <c r="AD171" s="32"/>
      <c r="AE171" s="54"/>
      <c r="AF171" s="21" t="str">
        <f>IFERROR(VLOOKUP(November[[#This Row],[Drug Name3]],'Data Options'!$R$1:$S$100,2,FALSE), " ")</f>
        <v xml:space="preserve"> </v>
      </c>
      <c r="AG171" s="55"/>
      <c r="AH171" s="32"/>
      <c r="AI171" s="32"/>
      <c r="AJ171" s="55"/>
      <c r="AK171" s="32"/>
      <c r="AL171" s="32"/>
      <c r="AM171" s="32"/>
      <c r="AN171" s="32"/>
      <c r="AO171" s="32"/>
      <c r="AP171" s="31"/>
      <c r="AQ171" s="31"/>
      <c r="AR171" s="54"/>
      <c r="AS171" s="21" t="str">
        <f>IFERROR(VLOOKUP(November[[#This Row],[Drug Name4]],'Data Options'!$R$1:$S$100,2,FALSE), " ")</f>
        <v xml:space="preserve"> </v>
      </c>
      <c r="AT171" s="55"/>
      <c r="AU171" s="32"/>
      <c r="AV171" s="32"/>
      <c r="AW171" s="55"/>
      <c r="AX171" s="32"/>
      <c r="AY171" s="54"/>
      <c r="AZ171" s="21" t="str">
        <f>IFERROR(VLOOKUP(November[[#This Row],[Drug Name5]],'Data Options'!$R$1:$S$100,2,FALSE), " ")</f>
        <v xml:space="preserve"> </v>
      </c>
      <c r="BA171" s="55"/>
      <c r="BB171" s="32"/>
      <c r="BC171" s="32"/>
      <c r="BD171" s="55"/>
      <c r="BE171" s="32"/>
      <c r="BF171" s="54"/>
      <c r="BG171" s="21" t="str">
        <f>IFERROR(VLOOKUP(November[[#This Row],[Drug Name6]],'Data Options'!$R$1:$S$100,2,FALSE), " ")</f>
        <v xml:space="preserve"> </v>
      </c>
      <c r="BH171" s="55"/>
      <c r="BI171" s="32"/>
      <c r="BJ171" s="32"/>
      <c r="BK171" s="55"/>
      <c r="BL171" s="32"/>
      <c r="BM171" s="32"/>
      <c r="BN171" s="32"/>
      <c r="BO171" s="32"/>
      <c r="BP171" s="32"/>
      <c r="BQ171" s="31"/>
      <c r="BR171" s="31"/>
      <c r="BS171" s="54"/>
      <c r="BT171" s="21" t="str">
        <f>IFERROR(VLOOKUP(November[[#This Row],[Drug Name7]],'Data Options'!$R$1:$S$100,2,FALSE), " ")</f>
        <v xml:space="preserve"> </v>
      </c>
      <c r="BU171" s="55"/>
      <c r="BV171" s="32"/>
      <c r="BW171" s="32"/>
      <c r="BX171" s="55"/>
      <c r="BY171" s="32"/>
      <c r="BZ171" s="54"/>
      <c r="CA171" s="21" t="str">
        <f>IFERROR(VLOOKUP(November[[#This Row],[Drug Name8]],'Data Options'!$R$1:$S$100,2,FALSE), " ")</f>
        <v xml:space="preserve"> </v>
      </c>
      <c r="CB171" s="55"/>
      <c r="CC171" s="32"/>
      <c r="CD171" s="32"/>
      <c r="CE171" s="55"/>
      <c r="CF171" s="32"/>
      <c r="CG171" s="54"/>
      <c r="CH171" s="21" t="str">
        <f>IFERROR(VLOOKUP(November[[#This Row],[Drug Name9]],'Data Options'!$R$1:$S$100,2,FALSE), " ")</f>
        <v xml:space="preserve"> </v>
      </c>
      <c r="CI171" s="55"/>
      <c r="CJ171" s="32"/>
      <c r="CK171" s="32"/>
      <c r="CL171" s="55"/>
      <c r="CM171" s="32"/>
    </row>
    <row r="172" spans="1:91">
      <c r="A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1"/>
      <c r="P172" s="31"/>
      <c r="Q172" s="54"/>
      <c r="R172" s="21" t="str">
        <f>IFERROR(VLOOKUP(November[[#This Row],[Drug Name]],'Data Options'!$R$1:$S$100,2,FALSE), " ")</f>
        <v xml:space="preserve"> </v>
      </c>
      <c r="S172" s="55"/>
      <c r="T172" s="32"/>
      <c r="U172" s="32"/>
      <c r="V172" s="55"/>
      <c r="W172" s="32"/>
      <c r="X172" s="54"/>
      <c r="Y172" s="21" t="str">
        <f>IFERROR(VLOOKUP(November[[#This Row],[Drug Name2]],'Data Options'!$R$1:$S$100,2,FALSE), " ")</f>
        <v xml:space="preserve"> </v>
      </c>
      <c r="Z172" s="55"/>
      <c r="AA172" s="32"/>
      <c r="AB172" s="32"/>
      <c r="AC172" s="55"/>
      <c r="AD172" s="32"/>
      <c r="AE172" s="54"/>
      <c r="AF172" s="21" t="str">
        <f>IFERROR(VLOOKUP(November[[#This Row],[Drug Name3]],'Data Options'!$R$1:$S$100,2,FALSE), " ")</f>
        <v xml:space="preserve"> </v>
      </c>
      <c r="AG172" s="55"/>
      <c r="AH172" s="32"/>
      <c r="AI172" s="32"/>
      <c r="AJ172" s="55"/>
      <c r="AK172" s="32"/>
      <c r="AL172" s="32"/>
      <c r="AM172" s="32"/>
      <c r="AN172" s="32"/>
      <c r="AO172" s="32"/>
      <c r="AP172" s="31"/>
      <c r="AQ172" s="31"/>
      <c r="AR172" s="54"/>
      <c r="AS172" s="21" t="str">
        <f>IFERROR(VLOOKUP(November[[#This Row],[Drug Name4]],'Data Options'!$R$1:$S$100,2,FALSE), " ")</f>
        <v xml:space="preserve"> </v>
      </c>
      <c r="AT172" s="55"/>
      <c r="AU172" s="32"/>
      <c r="AV172" s="32"/>
      <c r="AW172" s="55"/>
      <c r="AX172" s="32"/>
      <c r="AY172" s="54"/>
      <c r="AZ172" s="21" t="str">
        <f>IFERROR(VLOOKUP(November[[#This Row],[Drug Name5]],'Data Options'!$R$1:$S$100,2,FALSE), " ")</f>
        <v xml:space="preserve"> </v>
      </c>
      <c r="BA172" s="55"/>
      <c r="BB172" s="32"/>
      <c r="BC172" s="32"/>
      <c r="BD172" s="55"/>
      <c r="BE172" s="32"/>
      <c r="BF172" s="54"/>
      <c r="BG172" s="21" t="str">
        <f>IFERROR(VLOOKUP(November[[#This Row],[Drug Name6]],'Data Options'!$R$1:$S$100,2,FALSE), " ")</f>
        <v xml:space="preserve"> </v>
      </c>
      <c r="BH172" s="55"/>
      <c r="BI172" s="32"/>
      <c r="BJ172" s="32"/>
      <c r="BK172" s="55"/>
      <c r="BL172" s="32"/>
      <c r="BM172" s="32"/>
      <c r="BN172" s="32"/>
      <c r="BO172" s="32"/>
      <c r="BP172" s="32"/>
      <c r="BQ172" s="31"/>
      <c r="BR172" s="31"/>
      <c r="BS172" s="54"/>
      <c r="BT172" s="21" t="str">
        <f>IFERROR(VLOOKUP(November[[#This Row],[Drug Name7]],'Data Options'!$R$1:$S$100,2,FALSE), " ")</f>
        <v xml:space="preserve"> </v>
      </c>
      <c r="BU172" s="55"/>
      <c r="BV172" s="32"/>
      <c r="BW172" s="32"/>
      <c r="BX172" s="55"/>
      <c r="BY172" s="32"/>
      <c r="BZ172" s="54"/>
      <c r="CA172" s="21" t="str">
        <f>IFERROR(VLOOKUP(November[[#This Row],[Drug Name8]],'Data Options'!$R$1:$S$100,2,FALSE), " ")</f>
        <v xml:space="preserve"> </v>
      </c>
      <c r="CB172" s="55"/>
      <c r="CC172" s="32"/>
      <c r="CD172" s="32"/>
      <c r="CE172" s="55"/>
      <c r="CF172" s="32"/>
      <c r="CG172" s="54"/>
      <c r="CH172" s="21" t="str">
        <f>IFERROR(VLOOKUP(November[[#This Row],[Drug Name9]],'Data Options'!$R$1:$S$100,2,FALSE), " ")</f>
        <v xml:space="preserve"> </v>
      </c>
      <c r="CI172" s="55"/>
      <c r="CJ172" s="32"/>
      <c r="CK172" s="32"/>
      <c r="CL172" s="55"/>
      <c r="CM172" s="32"/>
    </row>
    <row r="173" spans="1:91">
      <c r="A173" s="5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1"/>
      <c r="P173" s="31"/>
      <c r="Q173" s="54"/>
      <c r="R173" s="21" t="str">
        <f>IFERROR(VLOOKUP(November[[#This Row],[Drug Name]],'Data Options'!$R$1:$S$100,2,FALSE), " ")</f>
        <v xml:space="preserve"> </v>
      </c>
      <c r="S173" s="55"/>
      <c r="T173" s="32"/>
      <c r="U173" s="32"/>
      <c r="V173" s="55"/>
      <c r="W173" s="32"/>
      <c r="X173" s="54"/>
      <c r="Y173" s="21" t="str">
        <f>IFERROR(VLOOKUP(November[[#This Row],[Drug Name2]],'Data Options'!$R$1:$S$100,2,FALSE), " ")</f>
        <v xml:space="preserve"> </v>
      </c>
      <c r="Z173" s="55"/>
      <c r="AA173" s="32"/>
      <c r="AB173" s="32"/>
      <c r="AC173" s="55"/>
      <c r="AD173" s="32"/>
      <c r="AE173" s="54"/>
      <c r="AF173" s="21" t="str">
        <f>IFERROR(VLOOKUP(November[[#This Row],[Drug Name3]],'Data Options'!$R$1:$S$100,2,FALSE), " ")</f>
        <v xml:space="preserve"> </v>
      </c>
      <c r="AG173" s="55"/>
      <c r="AH173" s="32"/>
      <c r="AI173" s="32"/>
      <c r="AJ173" s="55"/>
      <c r="AK173" s="32"/>
      <c r="AL173" s="32"/>
      <c r="AM173" s="32"/>
      <c r="AN173" s="32"/>
      <c r="AO173" s="32"/>
      <c r="AP173" s="31"/>
      <c r="AQ173" s="31"/>
      <c r="AR173" s="54"/>
      <c r="AS173" s="21" t="str">
        <f>IFERROR(VLOOKUP(November[[#This Row],[Drug Name4]],'Data Options'!$R$1:$S$100,2,FALSE), " ")</f>
        <v xml:space="preserve"> </v>
      </c>
      <c r="AT173" s="55"/>
      <c r="AU173" s="32"/>
      <c r="AV173" s="32"/>
      <c r="AW173" s="55"/>
      <c r="AX173" s="32"/>
      <c r="AY173" s="54"/>
      <c r="AZ173" s="21" t="str">
        <f>IFERROR(VLOOKUP(November[[#This Row],[Drug Name5]],'Data Options'!$R$1:$S$100,2,FALSE), " ")</f>
        <v xml:space="preserve"> </v>
      </c>
      <c r="BA173" s="55"/>
      <c r="BB173" s="32"/>
      <c r="BC173" s="32"/>
      <c r="BD173" s="55"/>
      <c r="BE173" s="32"/>
      <c r="BF173" s="54"/>
      <c r="BG173" s="21" t="str">
        <f>IFERROR(VLOOKUP(November[[#This Row],[Drug Name6]],'Data Options'!$R$1:$S$100,2,FALSE), " ")</f>
        <v xml:space="preserve"> </v>
      </c>
      <c r="BH173" s="55"/>
      <c r="BI173" s="32"/>
      <c r="BJ173" s="32"/>
      <c r="BK173" s="55"/>
      <c r="BL173" s="32"/>
      <c r="BM173" s="32"/>
      <c r="BN173" s="32"/>
      <c r="BO173" s="32"/>
      <c r="BP173" s="32"/>
      <c r="BQ173" s="31"/>
      <c r="BR173" s="31"/>
      <c r="BS173" s="54"/>
      <c r="BT173" s="21" t="str">
        <f>IFERROR(VLOOKUP(November[[#This Row],[Drug Name7]],'Data Options'!$R$1:$S$100,2,FALSE), " ")</f>
        <v xml:space="preserve"> </v>
      </c>
      <c r="BU173" s="55"/>
      <c r="BV173" s="32"/>
      <c r="BW173" s="32"/>
      <c r="BX173" s="55"/>
      <c r="BY173" s="32"/>
      <c r="BZ173" s="54"/>
      <c r="CA173" s="21" t="str">
        <f>IFERROR(VLOOKUP(November[[#This Row],[Drug Name8]],'Data Options'!$R$1:$S$100,2,FALSE), " ")</f>
        <v xml:space="preserve"> </v>
      </c>
      <c r="CB173" s="55"/>
      <c r="CC173" s="32"/>
      <c r="CD173" s="32"/>
      <c r="CE173" s="55"/>
      <c r="CF173" s="32"/>
      <c r="CG173" s="54"/>
      <c r="CH173" s="21" t="str">
        <f>IFERROR(VLOOKUP(November[[#This Row],[Drug Name9]],'Data Options'!$R$1:$S$100,2,FALSE), " ")</f>
        <v xml:space="preserve"> </v>
      </c>
      <c r="CI173" s="55"/>
      <c r="CJ173" s="32"/>
      <c r="CK173" s="32"/>
      <c r="CL173" s="55"/>
      <c r="CM173" s="32"/>
    </row>
    <row r="174" spans="1:91">
      <c r="A174" s="5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1"/>
      <c r="P174" s="31"/>
      <c r="Q174" s="54"/>
      <c r="R174" s="21" t="str">
        <f>IFERROR(VLOOKUP(November[[#This Row],[Drug Name]],'Data Options'!$R$1:$S$100,2,FALSE), " ")</f>
        <v xml:space="preserve"> </v>
      </c>
      <c r="S174" s="55"/>
      <c r="T174" s="32"/>
      <c r="U174" s="32"/>
      <c r="V174" s="55"/>
      <c r="W174" s="32"/>
      <c r="X174" s="54"/>
      <c r="Y174" s="21" t="str">
        <f>IFERROR(VLOOKUP(November[[#This Row],[Drug Name2]],'Data Options'!$R$1:$S$100,2,FALSE), " ")</f>
        <v xml:space="preserve"> </v>
      </c>
      <c r="Z174" s="55"/>
      <c r="AA174" s="32"/>
      <c r="AB174" s="32"/>
      <c r="AC174" s="55"/>
      <c r="AD174" s="32"/>
      <c r="AE174" s="54"/>
      <c r="AF174" s="21" t="str">
        <f>IFERROR(VLOOKUP(November[[#This Row],[Drug Name3]],'Data Options'!$R$1:$S$100,2,FALSE), " ")</f>
        <v xml:space="preserve"> </v>
      </c>
      <c r="AG174" s="55"/>
      <c r="AH174" s="32"/>
      <c r="AI174" s="32"/>
      <c r="AJ174" s="55"/>
      <c r="AK174" s="32"/>
      <c r="AL174" s="32"/>
      <c r="AM174" s="32"/>
      <c r="AN174" s="32"/>
      <c r="AO174" s="32"/>
      <c r="AP174" s="31"/>
      <c r="AQ174" s="31"/>
      <c r="AR174" s="54"/>
      <c r="AS174" s="21" t="str">
        <f>IFERROR(VLOOKUP(November[[#This Row],[Drug Name4]],'Data Options'!$R$1:$S$100,2,FALSE), " ")</f>
        <v xml:space="preserve"> </v>
      </c>
      <c r="AT174" s="55"/>
      <c r="AU174" s="32"/>
      <c r="AV174" s="32"/>
      <c r="AW174" s="55"/>
      <c r="AX174" s="32"/>
      <c r="AY174" s="54"/>
      <c r="AZ174" s="21" t="str">
        <f>IFERROR(VLOOKUP(November[[#This Row],[Drug Name5]],'Data Options'!$R$1:$S$100,2,FALSE), " ")</f>
        <v xml:space="preserve"> </v>
      </c>
      <c r="BA174" s="55"/>
      <c r="BB174" s="32"/>
      <c r="BC174" s="32"/>
      <c r="BD174" s="55"/>
      <c r="BE174" s="32"/>
      <c r="BF174" s="54"/>
      <c r="BG174" s="21" t="str">
        <f>IFERROR(VLOOKUP(November[[#This Row],[Drug Name6]],'Data Options'!$R$1:$S$100,2,FALSE), " ")</f>
        <v xml:space="preserve"> </v>
      </c>
      <c r="BH174" s="55"/>
      <c r="BI174" s="32"/>
      <c r="BJ174" s="32"/>
      <c r="BK174" s="55"/>
      <c r="BL174" s="32"/>
      <c r="BM174" s="32"/>
      <c r="BN174" s="32"/>
      <c r="BO174" s="32"/>
      <c r="BP174" s="32"/>
      <c r="BQ174" s="31"/>
      <c r="BR174" s="31"/>
      <c r="BS174" s="54"/>
      <c r="BT174" s="21" t="str">
        <f>IFERROR(VLOOKUP(November[[#This Row],[Drug Name7]],'Data Options'!$R$1:$S$100,2,FALSE), " ")</f>
        <v xml:space="preserve"> </v>
      </c>
      <c r="BU174" s="55"/>
      <c r="BV174" s="32"/>
      <c r="BW174" s="32"/>
      <c r="BX174" s="55"/>
      <c r="BY174" s="32"/>
      <c r="BZ174" s="54"/>
      <c r="CA174" s="21" t="str">
        <f>IFERROR(VLOOKUP(November[[#This Row],[Drug Name8]],'Data Options'!$R$1:$S$100,2,FALSE), " ")</f>
        <v xml:space="preserve"> </v>
      </c>
      <c r="CB174" s="55"/>
      <c r="CC174" s="32"/>
      <c r="CD174" s="32"/>
      <c r="CE174" s="55"/>
      <c r="CF174" s="32"/>
      <c r="CG174" s="54"/>
      <c r="CH174" s="21" t="str">
        <f>IFERROR(VLOOKUP(November[[#This Row],[Drug Name9]],'Data Options'!$R$1:$S$100,2,FALSE), " ")</f>
        <v xml:space="preserve"> </v>
      </c>
      <c r="CI174" s="55"/>
      <c r="CJ174" s="32"/>
      <c r="CK174" s="32"/>
      <c r="CL174" s="55"/>
      <c r="CM174" s="32"/>
    </row>
    <row r="175" spans="1:91">
      <c r="A175" s="5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1"/>
      <c r="P175" s="31"/>
      <c r="Q175" s="54"/>
      <c r="R175" s="21" t="str">
        <f>IFERROR(VLOOKUP(November[[#This Row],[Drug Name]],'Data Options'!$R$1:$S$100,2,FALSE), " ")</f>
        <v xml:space="preserve"> </v>
      </c>
      <c r="S175" s="55"/>
      <c r="T175" s="32"/>
      <c r="U175" s="32"/>
      <c r="V175" s="55"/>
      <c r="W175" s="32"/>
      <c r="X175" s="54"/>
      <c r="Y175" s="21" t="str">
        <f>IFERROR(VLOOKUP(November[[#This Row],[Drug Name2]],'Data Options'!$R$1:$S$100,2,FALSE), " ")</f>
        <v xml:space="preserve"> </v>
      </c>
      <c r="Z175" s="55"/>
      <c r="AA175" s="32"/>
      <c r="AB175" s="32"/>
      <c r="AC175" s="55"/>
      <c r="AD175" s="32"/>
      <c r="AE175" s="54"/>
      <c r="AF175" s="21" t="str">
        <f>IFERROR(VLOOKUP(November[[#This Row],[Drug Name3]],'Data Options'!$R$1:$S$100,2,FALSE), " ")</f>
        <v xml:space="preserve"> </v>
      </c>
      <c r="AG175" s="55"/>
      <c r="AH175" s="32"/>
      <c r="AI175" s="32"/>
      <c r="AJ175" s="55"/>
      <c r="AK175" s="32"/>
      <c r="AL175" s="32"/>
      <c r="AM175" s="32"/>
      <c r="AN175" s="32"/>
      <c r="AO175" s="32"/>
      <c r="AP175" s="31"/>
      <c r="AQ175" s="31"/>
      <c r="AR175" s="54"/>
      <c r="AS175" s="21" t="str">
        <f>IFERROR(VLOOKUP(November[[#This Row],[Drug Name4]],'Data Options'!$R$1:$S$100,2,FALSE), " ")</f>
        <v xml:space="preserve"> </v>
      </c>
      <c r="AT175" s="55"/>
      <c r="AU175" s="32"/>
      <c r="AV175" s="32"/>
      <c r="AW175" s="55"/>
      <c r="AX175" s="32"/>
      <c r="AY175" s="54"/>
      <c r="AZ175" s="21" t="str">
        <f>IFERROR(VLOOKUP(November[[#This Row],[Drug Name5]],'Data Options'!$R$1:$S$100,2,FALSE), " ")</f>
        <v xml:space="preserve"> </v>
      </c>
      <c r="BA175" s="55"/>
      <c r="BB175" s="32"/>
      <c r="BC175" s="32"/>
      <c r="BD175" s="55"/>
      <c r="BE175" s="32"/>
      <c r="BF175" s="54"/>
      <c r="BG175" s="21" t="str">
        <f>IFERROR(VLOOKUP(November[[#This Row],[Drug Name6]],'Data Options'!$R$1:$S$100,2,FALSE), " ")</f>
        <v xml:space="preserve"> </v>
      </c>
      <c r="BH175" s="55"/>
      <c r="BI175" s="32"/>
      <c r="BJ175" s="32"/>
      <c r="BK175" s="55"/>
      <c r="BL175" s="32"/>
      <c r="BM175" s="32"/>
      <c r="BN175" s="32"/>
      <c r="BO175" s="32"/>
      <c r="BP175" s="32"/>
      <c r="BQ175" s="31"/>
      <c r="BR175" s="31"/>
      <c r="BS175" s="54"/>
      <c r="BT175" s="21" t="str">
        <f>IFERROR(VLOOKUP(November[[#This Row],[Drug Name7]],'Data Options'!$R$1:$S$100,2,FALSE), " ")</f>
        <v xml:space="preserve"> </v>
      </c>
      <c r="BU175" s="55"/>
      <c r="BV175" s="32"/>
      <c r="BW175" s="32"/>
      <c r="BX175" s="55"/>
      <c r="BY175" s="32"/>
      <c r="BZ175" s="54"/>
      <c r="CA175" s="21" t="str">
        <f>IFERROR(VLOOKUP(November[[#This Row],[Drug Name8]],'Data Options'!$R$1:$S$100,2,FALSE), " ")</f>
        <v xml:space="preserve"> </v>
      </c>
      <c r="CB175" s="55"/>
      <c r="CC175" s="32"/>
      <c r="CD175" s="32"/>
      <c r="CE175" s="55"/>
      <c r="CF175" s="32"/>
      <c r="CG175" s="54"/>
      <c r="CH175" s="21" t="str">
        <f>IFERROR(VLOOKUP(November[[#This Row],[Drug Name9]],'Data Options'!$R$1:$S$100,2,FALSE), " ")</f>
        <v xml:space="preserve"> </v>
      </c>
      <c r="CI175" s="55"/>
      <c r="CJ175" s="32"/>
      <c r="CK175" s="32"/>
      <c r="CL175" s="55"/>
      <c r="CM175" s="32"/>
    </row>
    <row r="176" spans="1:91">
      <c r="A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1"/>
      <c r="P176" s="31"/>
      <c r="Q176" s="54"/>
      <c r="R176" s="21" t="str">
        <f>IFERROR(VLOOKUP(November[[#This Row],[Drug Name]],'Data Options'!$R$1:$S$100,2,FALSE), " ")</f>
        <v xml:space="preserve"> </v>
      </c>
      <c r="S176" s="55"/>
      <c r="T176" s="32"/>
      <c r="U176" s="32"/>
      <c r="V176" s="55"/>
      <c r="W176" s="32"/>
      <c r="X176" s="54"/>
      <c r="Y176" s="21" t="str">
        <f>IFERROR(VLOOKUP(November[[#This Row],[Drug Name2]],'Data Options'!$R$1:$S$100,2,FALSE), " ")</f>
        <v xml:space="preserve"> </v>
      </c>
      <c r="Z176" s="55"/>
      <c r="AA176" s="32"/>
      <c r="AB176" s="32"/>
      <c r="AC176" s="55"/>
      <c r="AD176" s="32"/>
      <c r="AE176" s="54"/>
      <c r="AF176" s="21" t="str">
        <f>IFERROR(VLOOKUP(November[[#This Row],[Drug Name3]],'Data Options'!$R$1:$S$100,2,FALSE), " ")</f>
        <v xml:space="preserve"> </v>
      </c>
      <c r="AG176" s="55"/>
      <c r="AH176" s="32"/>
      <c r="AI176" s="32"/>
      <c r="AJ176" s="55"/>
      <c r="AK176" s="32"/>
      <c r="AL176" s="32"/>
      <c r="AM176" s="32"/>
      <c r="AN176" s="32"/>
      <c r="AO176" s="32"/>
      <c r="AP176" s="31"/>
      <c r="AQ176" s="31"/>
      <c r="AR176" s="54"/>
      <c r="AS176" s="21" t="str">
        <f>IFERROR(VLOOKUP(November[[#This Row],[Drug Name4]],'Data Options'!$R$1:$S$100,2,FALSE), " ")</f>
        <v xml:space="preserve"> </v>
      </c>
      <c r="AT176" s="55"/>
      <c r="AU176" s="32"/>
      <c r="AV176" s="32"/>
      <c r="AW176" s="55"/>
      <c r="AX176" s="32"/>
      <c r="AY176" s="54"/>
      <c r="AZ176" s="21" t="str">
        <f>IFERROR(VLOOKUP(November[[#This Row],[Drug Name5]],'Data Options'!$R$1:$S$100,2,FALSE), " ")</f>
        <v xml:space="preserve"> </v>
      </c>
      <c r="BA176" s="55"/>
      <c r="BB176" s="32"/>
      <c r="BC176" s="32"/>
      <c r="BD176" s="55"/>
      <c r="BE176" s="32"/>
      <c r="BF176" s="54"/>
      <c r="BG176" s="21" t="str">
        <f>IFERROR(VLOOKUP(November[[#This Row],[Drug Name6]],'Data Options'!$R$1:$S$100,2,FALSE), " ")</f>
        <v xml:space="preserve"> </v>
      </c>
      <c r="BH176" s="55"/>
      <c r="BI176" s="32"/>
      <c r="BJ176" s="32"/>
      <c r="BK176" s="55"/>
      <c r="BL176" s="32"/>
      <c r="BM176" s="32"/>
      <c r="BN176" s="32"/>
      <c r="BO176" s="32"/>
      <c r="BP176" s="32"/>
      <c r="BQ176" s="31"/>
      <c r="BR176" s="31"/>
      <c r="BS176" s="54"/>
      <c r="BT176" s="21" t="str">
        <f>IFERROR(VLOOKUP(November[[#This Row],[Drug Name7]],'Data Options'!$R$1:$S$100,2,FALSE), " ")</f>
        <v xml:space="preserve"> </v>
      </c>
      <c r="BU176" s="55"/>
      <c r="BV176" s="32"/>
      <c r="BW176" s="32"/>
      <c r="BX176" s="55"/>
      <c r="BY176" s="32"/>
      <c r="BZ176" s="54"/>
      <c r="CA176" s="21" t="str">
        <f>IFERROR(VLOOKUP(November[[#This Row],[Drug Name8]],'Data Options'!$R$1:$S$100,2,FALSE), " ")</f>
        <v xml:space="preserve"> </v>
      </c>
      <c r="CB176" s="55"/>
      <c r="CC176" s="32"/>
      <c r="CD176" s="32"/>
      <c r="CE176" s="55"/>
      <c r="CF176" s="32"/>
      <c r="CG176" s="54"/>
      <c r="CH176" s="21" t="str">
        <f>IFERROR(VLOOKUP(November[[#This Row],[Drug Name9]],'Data Options'!$R$1:$S$100,2,FALSE), " ")</f>
        <v xml:space="preserve"> </v>
      </c>
      <c r="CI176" s="55"/>
      <c r="CJ176" s="32"/>
      <c r="CK176" s="32"/>
      <c r="CL176" s="55"/>
      <c r="CM176" s="32"/>
    </row>
    <row r="177" spans="1:91">
      <c r="A177" s="5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1"/>
      <c r="P177" s="31"/>
      <c r="Q177" s="54"/>
      <c r="R177" s="21" t="str">
        <f>IFERROR(VLOOKUP(November[[#This Row],[Drug Name]],'Data Options'!$R$1:$S$100,2,FALSE), " ")</f>
        <v xml:space="preserve"> </v>
      </c>
      <c r="S177" s="55"/>
      <c r="T177" s="32"/>
      <c r="U177" s="32"/>
      <c r="V177" s="55"/>
      <c r="W177" s="32"/>
      <c r="X177" s="54"/>
      <c r="Y177" s="21" t="str">
        <f>IFERROR(VLOOKUP(November[[#This Row],[Drug Name2]],'Data Options'!$R$1:$S$100,2,FALSE), " ")</f>
        <v xml:space="preserve"> </v>
      </c>
      <c r="Z177" s="55"/>
      <c r="AA177" s="32"/>
      <c r="AB177" s="32"/>
      <c r="AC177" s="55"/>
      <c r="AD177" s="32"/>
      <c r="AE177" s="54"/>
      <c r="AF177" s="21" t="str">
        <f>IFERROR(VLOOKUP(November[[#This Row],[Drug Name3]],'Data Options'!$R$1:$S$100,2,FALSE), " ")</f>
        <v xml:space="preserve"> </v>
      </c>
      <c r="AG177" s="55"/>
      <c r="AH177" s="32"/>
      <c r="AI177" s="32"/>
      <c r="AJ177" s="55"/>
      <c r="AK177" s="32"/>
      <c r="AL177" s="32"/>
      <c r="AM177" s="32"/>
      <c r="AN177" s="32"/>
      <c r="AO177" s="32"/>
      <c r="AP177" s="31"/>
      <c r="AQ177" s="31"/>
      <c r="AR177" s="54"/>
      <c r="AS177" s="21" t="str">
        <f>IFERROR(VLOOKUP(November[[#This Row],[Drug Name4]],'Data Options'!$R$1:$S$100,2,FALSE), " ")</f>
        <v xml:space="preserve"> </v>
      </c>
      <c r="AT177" s="55"/>
      <c r="AU177" s="32"/>
      <c r="AV177" s="32"/>
      <c r="AW177" s="55"/>
      <c r="AX177" s="32"/>
      <c r="AY177" s="54"/>
      <c r="AZ177" s="21" t="str">
        <f>IFERROR(VLOOKUP(November[[#This Row],[Drug Name5]],'Data Options'!$R$1:$S$100,2,FALSE), " ")</f>
        <v xml:space="preserve"> </v>
      </c>
      <c r="BA177" s="55"/>
      <c r="BB177" s="32"/>
      <c r="BC177" s="32"/>
      <c r="BD177" s="55"/>
      <c r="BE177" s="32"/>
      <c r="BF177" s="54"/>
      <c r="BG177" s="21" t="str">
        <f>IFERROR(VLOOKUP(November[[#This Row],[Drug Name6]],'Data Options'!$R$1:$S$100,2,FALSE), " ")</f>
        <v xml:space="preserve"> </v>
      </c>
      <c r="BH177" s="55"/>
      <c r="BI177" s="32"/>
      <c r="BJ177" s="32"/>
      <c r="BK177" s="55"/>
      <c r="BL177" s="32"/>
      <c r="BM177" s="32"/>
      <c r="BN177" s="32"/>
      <c r="BO177" s="32"/>
      <c r="BP177" s="32"/>
      <c r="BQ177" s="31"/>
      <c r="BR177" s="31"/>
      <c r="BS177" s="54"/>
      <c r="BT177" s="21" t="str">
        <f>IFERROR(VLOOKUP(November[[#This Row],[Drug Name7]],'Data Options'!$R$1:$S$100,2,FALSE), " ")</f>
        <v xml:space="preserve"> </v>
      </c>
      <c r="BU177" s="55"/>
      <c r="BV177" s="32"/>
      <c r="BW177" s="32"/>
      <c r="BX177" s="55"/>
      <c r="BY177" s="32"/>
      <c r="BZ177" s="54"/>
      <c r="CA177" s="21" t="str">
        <f>IFERROR(VLOOKUP(November[[#This Row],[Drug Name8]],'Data Options'!$R$1:$S$100,2,FALSE), " ")</f>
        <v xml:space="preserve"> </v>
      </c>
      <c r="CB177" s="55"/>
      <c r="CC177" s="32"/>
      <c r="CD177" s="32"/>
      <c r="CE177" s="55"/>
      <c r="CF177" s="32"/>
      <c r="CG177" s="54"/>
      <c r="CH177" s="21" t="str">
        <f>IFERROR(VLOOKUP(November[[#This Row],[Drug Name9]],'Data Options'!$R$1:$S$100,2,FALSE), " ")</f>
        <v xml:space="preserve"> </v>
      </c>
      <c r="CI177" s="55"/>
      <c r="CJ177" s="32"/>
      <c r="CK177" s="32"/>
      <c r="CL177" s="55"/>
      <c r="CM177" s="32"/>
    </row>
    <row r="178" spans="1:91">
      <c r="A178" s="5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1"/>
      <c r="P178" s="31"/>
      <c r="Q178" s="54"/>
      <c r="R178" s="21" t="str">
        <f>IFERROR(VLOOKUP(November[[#This Row],[Drug Name]],'Data Options'!$R$1:$S$100,2,FALSE), " ")</f>
        <v xml:space="preserve"> </v>
      </c>
      <c r="S178" s="55"/>
      <c r="T178" s="32"/>
      <c r="U178" s="32"/>
      <c r="V178" s="55"/>
      <c r="W178" s="32"/>
      <c r="X178" s="54"/>
      <c r="Y178" s="21" t="str">
        <f>IFERROR(VLOOKUP(November[[#This Row],[Drug Name2]],'Data Options'!$R$1:$S$100,2,FALSE), " ")</f>
        <v xml:space="preserve"> </v>
      </c>
      <c r="Z178" s="55"/>
      <c r="AA178" s="32"/>
      <c r="AB178" s="32"/>
      <c r="AC178" s="55"/>
      <c r="AD178" s="32"/>
      <c r="AE178" s="54"/>
      <c r="AF178" s="21" t="str">
        <f>IFERROR(VLOOKUP(November[[#This Row],[Drug Name3]],'Data Options'!$R$1:$S$100,2,FALSE), " ")</f>
        <v xml:space="preserve"> </v>
      </c>
      <c r="AG178" s="55"/>
      <c r="AH178" s="32"/>
      <c r="AI178" s="32"/>
      <c r="AJ178" s="55"/>
      <c r="AK178" s="32"/>
      <c r="AL178" s="32"/>
      <c r="AM178" s="32"/>
      <c r="AN178" s="32"/>
      <c r="AO178" s="32"/>
      <c r="AP178" s="31"/>
      <c r="AQ178" s="31"/>
      <c r="AR178" s="54"/>
      <c r="AS178" s="21" t="str">
        <f>IFERROR(VLOOKUP(November[[#This Row],[Drug Name4]],'Data Options'!$R$1:$S$100,2,FALSE), " ")</f>
        <v xml:space="preserve"> </v>
      </c>
      <c r="AT178" s="55"/>
      <c r="AU178" s="32"/>
      <c r="AV178" s="32"/>
      <c r="AW178" s="55"/>
      <c r="AX178" s="32"/>
      <c r="AY178" s="54"/>
      <c r="AZ178" s="21" t="str">
        <f>IFERROR(VLOOKUP(November[[#This Row],[Drug Name5]],'Data Options'!$R$1:$S$100,2,FALSE), " ")</f>
        <v xml:space="preserve"> </v>
      </c>
      <c r="BA178" s="55"/>
      <c r="BB178" s="32"/>
      <c r="BC178" s="32"/>
      <c r="BD178" s="55"/>
      <c r="BE178" s="32"/>
      <c r="BF178" s="54"/>
      <c r="BG178" s="21" t="str">
        <f>IFERROR(VLOOKUP(November[[#This Row],[Drug Name6]],'Data Options'!$R$1:$S$100,2,FALSE), " ")</f>
        <v xml:space="preserve"> </v>
      </c>
      <c r="BH178" s="55"/>
      <c r="BI178" s="32"/>
      <c r="BJ178" s="32"/>
      <c r="BK178" s="55"/>
      <c r="BL178" s="32"/>
      <c r="BM178" s="32"/>
      <c r="BN178" s="32"/>
      <c r="BO178" s="32"/>
      <c r="BP178" s="32"/>
      <c r="BQ178" s="31"/>
      <c r="BR178" s="31"/>
      <c r="BS178" s="54"/>
      <c r="BT178" s="21" t="str">
        <f>IFERROR(VLOOKUP(November[[#This Row],[Drug Name7]],'Data Options'!$R$1:$S$100,2,FALSE), " ")</f>
        <v xml:space="preserve"> </v>
      </c>
      <c r="BU178" s="55"/>
      <c r="BV178" s="32"/>
      <c r="BW178" s="32"/>
      <c r="BX178" s="55"/>
      <c r="BY178" s="32"/>
      <c r="BZ178" s="54"/>
      <c r="CA178" s="21" t="str">
        <f>IFERROR(VLOOKUP(November[[#This Row],[Drug Name8]],'Data Options'!$R$1:$S$100,2,FALSE), " ")</f>
        <v xml:space="preserve"> </v>
      </c>
      <c r="CB178" s="55"/>
      <c r="CC178" s="32"/>
      <c r="CD178" s="32"/>
      <c r="CE178" s="55"/>
      <c r="CF178" s="32"/>
      <c r="CG178" s="54"/>
      <c r="CH178" s="21" t="str">
        <f>IFERROR(VLOOKUP(November[[#This Row],[Drug Name9]],'Data Options'!$R$1:$S$100,2,FALSE), " ")</f>
        <v xml:space="preserve"> </v>
      </c>
      <c r="CI178" s="55"/>
      <c r="CJ178" s="32"/>
      <c r="CK178" s="32"/>
      <c r="CL178" s="55"/>
      <c r="CM178" s="32"/>
    </row>
    <row r="179" spans="1:91">
      <c r="A179" s="5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1"/>
      <c r="P179" s="31"/>
      <c r="Q179" s="54"/>
      <c r="R179" s="21" t="str">
        <f>IFERROR(VLOOKUP(November[[#This Row],[Drug Name]],'Data Options'!$R$1:$S$100,2,FALSE), " ")</f>
        <v xml:space="preserve"> </v>
      </c>
      <c r="S179" s="55"/>
      <c r="T179" s="32"/>
      <c r="U179" s="32"/>
      <c r="V179" s="55"/>
      <c r="W179" s="32"/>
      <c r="X179" s="54"/>
      <c r="Y179" s="21" t="str">
        <f>IFERROR(VLOOKUP(November[[#This Row],[Drug Name2]],'Data Options'!$R$1:$S$100,2,FALSE), " ")</f>
        <v xml:space="preserve"> </v>
      </c>
      <c r="Z179" s="55"/>
      <c r="AA179" s="32"/>
      <c r="AB179" s="32"/>
      <c r="AC179" s="55"/>
      <c r="AD179" s="32"/>
      <c r="AE179" s="54"/>
      <c r="AF179" s="21" t="str">
        <f>IFERROR(VLOOKUP(November[[#This Row],[Drug Name3]],'Data Options'!$R$1:$S$100,2,FALSE), " ")</f>
        <v xml:space="preserve"> </v>
      </c>
      <c r="AG179" s="55"/>
      <c r="AH179" s="32"/>
      <c r="AI179" s="32"/>
      <c r="AJ179" s="55"/>
      <c r="AK179" s="32"/>
      <c r="AL179" s="32"/>
      <c r="AM179" s="32"/>
      <c r="AN179" s="32"/>
      <c r="AO179" s="32"/>
      <c r="AP179" s="31"/>
      <c r="AQ179" s="31"/>
      <c r="AR179" s="54"/>
      <c r="AS179" s="21" t="str">
        <f>IFERROR(VLOOKUP(November[[#This Row],[Drug Name4]],'Data Options'!$R$1:$S$100,2,FALSE), " ")</f>
        <v xml:space="preserve"> </v>
      </c>
      <c r="AT179" s="55"/>
      <c r="AU179" s="32"/>
      <c r="AV179" s="32"/>
      <c r="AW179" s="55"/>
      <c r="AX179" s="32"/>
      <c r="AY179" s="54"/>
      <c r="AZ179" s="21" t="str">
        <f>IFERROR(VLOOKUP(November[[#This Row],[Drug Name5]],'Data Options'!$R$1:$S$100,2,FALSE), " ")</f>
        <v xml:space="preserve"> </v>
      </c>
      <c r="BA179" s="55"/>
      <c r="BB179" s="32"/>
      <c r="BC179" s="32"/>
      <c r="BD179" s="55"/>
      <c r="BE179" s="32"/>
      <c r="BF179" s="54"/>
      <c r="BG179" s="21" t="str">
        <f>IFERROR(VLOOKUP(November[[#This Row],[Drug Name6]],'Data Options'!$R$1:$S$100,2,FALSE), " ")</f>
        <v xml:space="preserve"> </v>
      </c>
      <c r="BH179" s="55"/>
      <c r="BI179" s="32"/>
      <c r="BJ179" s="32"/>
      <c r="BK179" s="55"/>
      <c r="BL179" s="32"/>
      <c r="BM179" s="32"/>
      <c r="BN179" s="32"/>
      <c r="BO179" s="32"/>
      <c r="BP179" s="32"/>
      <c r="BQ179" s="31"/>
      <c r="BR179" s="31"/>
      <c r="BS179" s="54"/>
      <c r="BT179" s="21" t="str">
        <f>IFERROR(VLOOKUP(November[[#This Row],[Drug Name7]],'Data Options'!$R$1:$S$100,2,FALSE), " ")</f>
        <v xml:space="preserve"> </v>
      </c>
      <c r="BU179" s="55"/>
      <c r="BV179" s="32"/>
      <c r="BW179" s="32"/>
      <c r="BX179" s="55"/>
      <c r="BY179" s="32"/>
      <c r="BZ179" s="54"/>
      <c r="CA179" s="21" t="str">
        <f>IFERROR(VLOOKUP(November[[#This Row],[Drug Name8]],'Data Options'!$R$1:$S$100,2,FALSE), " ")</f>
        <v xml:space="preserve"> </v>
      </c>
      <c r="CB179" s="55"/>
      <c r="CC179" s="32"/>
      <c r="CD179" s="32"/>
      <c r="CE179" s="55"/>
      <c r="CF179" s="32"/>
      <c r="CG179" s="54"/>
      <c r="CH179" s="21" t="str">
        <f>IFERROR(VLOOKUP(November[[#This Row],[Drug Name9]],'Data Options'!$R$1:$S$100,2,FALSE), " ")</f>
        <v xml:space="preserve"> </v>
      </c>
      <c r="CI179" s="55"/>
      <c r="CJ179" s="32"/>
      <c r="CK179" s="32"/>
      <c r="CL179" s="55"/>
      <c r="CM179" s="32"/>
    </row>
    <row r="180" spans="1:91">
      <c r="A180" s="5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1"/>
      <c r="P180" s="31"/>
      <c r="Q180" s="54"/>
      <c r="R180" s="21" t="str">
        <f>IFERROR(VLOOKUP(November[[#This Row],[Drug Name]],'Data Options'!$R$1:$S$100,2,FALSE), " ")</f>
        <v xml:space="preserve"> </v>
      </c>
      <c r="S180" s="55"/>
      <c r="T180" s="32"/>
      <c r="U180" s="32"/>
      <c r="V180" s="55"/>
      <c r="W180" s="32"/>
      <c r="X180" s="54"/>
      <c r="Y180" s="21" t="str">
        <f>IFERROR(VLOOKUP(November[[#This Row],[Drug Name2]],'Data Options'!$R$1:$S$100,2,FALSE), " ")</f>
        <v xml:space="preserve"> </v>
      </c>
      <c r="Z180" s="55"/>
      <c r="AA180" s="32"/>
      <c r="AB180" s="32"/>
      <c r="AC180" s="55"/>
      <c r="AD180" s="32"/>
      <c r="AE180" s="54"/>
      <c r="AF180" s="21" t="str">
        <f>IFERROR(VLOOKUP(November[[#This Row],[Drug Name3]],'Data Options'!$R$1:$S$100,2,FALSE), " ")</f>
        <v xml:space="preserve"> </v>
      </c>
      <c r="AG180" s="55"/>
      <c r="AH180" s="32"/>
      <c r="AI180" s="32"/>
      <c r="AJ180" s="55"/>
      <c r="AK180" s="32"/>
      <c r="AL180" s="32"/>
      <c r="AM180" s="32"/>
      <c r="AN180" s="32"/>
      <c r="AO180" s="32"/>
      <c r="AP180" s="31"/>
      <c r="AQ180" s="31"/>
      <c r="AR180" s="54"/>
      <c r="AS180" s="21" t="str">
        <f>IFERROR(VLOOKUP(November[[#This Row],[Drug Name4]],'Data Options'!$R$1:$S$100,2,FALSE), " ")</f>
        <v xml:space="preserve"> </v>
      </c>
      <c r="AT180" s="55"/>
      <c r="AU180" s="32"/>
      <c r="AV180" s="32"/>
      <c r="AW180" s="55"/>
      <c r="AX180" s="32"/>
      <c r="AY180" s="54"/>
      <c r="AZ180" s="21" t="str">
        <f>IFERROR(VLOOKUP(November[[#This Row],[Drug Name5]],'Data Options'!$R$1:$S$100,2,FALSE), " ")</f>
        <v xml:space="preserve"> </v>
      </c>
      <c r="BA180" s="55"/>
      <c r="BB180" s="32"/>
      <c r="BC180" s="32"/>
      <c r="BD180" s="55"/>
      <c r="BE180" s="32"/>
      <c r="BF180" s="54"/>
      <c r="BG180" s="21" t="str">
        <f>IFERROR(VLOOKUP(November[[#This Row],[Drug Name6]],'Data Options'!$R$1:$S$100,2,FALSE), " ")</f>
        <v xml:space="preserve"> </v>
      </c>
      <c r="BH180" s="55"/>
      <c r="BI180" s="32"/>
      <c r="BJ180" s="32"/>
      <c r="BK180" s="55"/>
      <c r="BL180" s="32"/>
      <c r="BM180" s="32"/>
      <c r="BN180" s="32"/>
      <c r="BO180" s="32"/>
      <c r="BP180" s="32"/>
      <c r="BQ180" s="31"/>
      <c r="BR180" s="31"/>
      <c r="BS180" s="54"/>
      <c r="BT180" s="21" t="str">
        <f>IFERROR(VLOOKUP(November[[#This Row],[Drug Name7]],'Data Options'!$R$1:$S$100,2,FALSE), " ")</f>
        <v xml:space="preserve"> </v>
      </c>
      <c r="BU180" s="55"/>
      <c r="BV180" s="32"/>
      <c r="BW180" s="32"/>
      <c r="BX180" s="55"/>
      <c r="BY180" s="32"/>
      <c r="BZ180" s="54"/>
      <c r="CA180" s="21" t="str">
        <f>IFERROR(VLOOKUP(November[[#This Row],[Drug Name8]],'Data Options'!$R$1:$S$100,2,FALSE), " ")</f>
        <v xml:space="preserve"> </v>
      </c>
      <c r="CB180" s="55"/>
      <c r="CC180" s="32"/>
      <c r="CD180" s="32"/>
      <c r="CE180" s="55"/>
      <c r="CF180" s="32"/>
      <c r="CG180" s="54"/>
      <c r="CH180" s="21" t="str">
        <f>IFERROR(VLOOKUP(November[[#This Row],[Drug Name9]],'Data Options'!$R$1:$S$100,2,FALSE), " ")</f>
        <v xml:space="preserve"> </v>
      </c>
      <c r="CI180" s="55"/>
      <c r="CJ180" s="32"/>
      <c r="CK180" s="32"/>
      <c r="CL180" s="55"/>
      <c r="CM180" s="32"/>
    </row>
    <row r="181" spans="1:91">
      <c r="A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1"/>
      <c r="P181" s="31"/>
      <c r="Q181" s="54"/>
      <c r="R181" s="21" t="str">
        <f>IFERROR(VLOOKUP(November[[#This Row],[Drug Name]],'Data Options'!$R$1:$S$100,2,FALSE), " ")</f>
        <v xml:space="preserve"> </v>
      </c>
      <c r="S181" s="55"/>
      <c r="T181" s="32"/>
      <c r="U181" s="32"/>
      <c r="V181" s="55"/>
      <c r="W181" s="32"/>
      <c r="X181" s="54"/>
      <c r="Y181" s="21" t="str">
        <f>IFERROR(VLOOKUP(November[[#This Row],[Drug Name2]],'Data Options'!$R$1:$S$100,2,FALSE), " ")</f>
        <v xml:space="preserve"> </v>
      </c>
      <c r="Z181" s="55"/>
      <c r="AA181" s="32"/>
      <c r="AB181" s="32"/>
      <c r="AC181" s="55"/>
      <c r="AD181" s="32"/>
      <c r="AE181" s="54"/>
      <c r="AF181" s="21" t="str">
        <f>IFERROR(VLOOKUP(November[[#This Row],[Drug Name3]],'Data Options'!$R$1:$S$100,2,FALSE), " ")</f>
        <v xml:space="preserve"> </v>
      </c>
      <c r="AG181" s="55"/>
      <c r="AH181" s="32"/>
      <c r="AI181" s="32"/>
      <c r="AJ181" s="55"/>
      <c r="AK181" s="32"/>
      <c r="AL181" s="32"/>
      <c r="AM181" s="32"/>
      <c r="AN181" s="32"/>
      <c r="AO181" s="32"/>
      <c r="AP181" s="31"/>
      <c r="AQ181" s="31"/>
      <c r="AR181" s="54"/>
      <c r="AS181" s="21" t="str">
        <f>IFERROR(VLOOKUP(November[[#This Row],[Drug Name4]],'Data Options'!$R$1:$S$100,2,FALSE), " ")</f>
        <v xml:space="preserve"> </v>
      </c>
      <c r="AT181" s="55"/>
      <c r="AU181" s="32"/>
      <c r="AV181" s="32"/>
      <c r="AW181" s="55"/>
      <c r="AX181" s="32"/>
      <c r="AY181" s="54"/>
      <c r="AZ181" s="21" t="str">
        <f>IFERROR(VLOOKUP(November[[#This Row],[Drug Name5]],'Data Options'!$R$1:$S$100,2,FALSE), " ")</f>
        <v xml:space="preserve"> </v>
      </c>
      <c r="BA181" s="55"/>
      <c r="BB181" s="32"/>
      <c r="BC181" s="32"/>
      <c r="BD181" s="55"/>
      <c r="BE181" s="32"/>
      <c r="BF181" s="54"/>
      <c r="BG181" s="21" t="str">
        <f>IFERROR(VLOOKUP(November[[#This Row],[Drug Name6]],'Data Options'!$R$1:$S$100,2,FALSE), " ")</f>
        <v xml:space="preserve"> </v>
      </c>
      <c r="BH181" s="55"/>
      <c r="BI181" s="32"/>
      <c r="BJ181" s="32"/>
      <c r="BK181" s="55"/>
      <c r="BL181" s="32"/>
      <c r="BM181" s="32"/>
      <c r="BN181" s="32"/>
      <c r="BO181" s="32"/>
      <c r="BP181" s="32"/>
      <c r="BQ181" s="31"/>
      <c r="BR181" s="31"/>
      <c r="BS181" s="54"/>
      <c r="BT181" s="21" t="str">
        <f>IFERROR(VLOOKUP(November[[#This Row],[Drug Name7]],'Data Options'!$R$1:$S$100,2,FALSE), " ")</f>
        <v xml:space="preserve"> </v>
      </c>
      <c r="BU181" s="55"/>
      <c r="BV181" s="32"/>
      <c r="BW181" s="32"/>
      <c r="BX181" s="55"/>
      <c r="BY181" s="32"/>
      <c r="BZ181" s="54"/>
      <c r="CA181" s="21" t="str">
        <f>IFERROR(VLOOKUP(November[[#This Row],[Drug Name8]],'Data Options'!$R$1:$S$100,2,FALSE), " ")</f>
        <v xml:space="preserve"> </v>
      </c>
      <c r="CB181" s="55"/>
      <c r="CC181" s="32"/>
      <c r="CD181" s="32"/>
      <c r="CE181" s="55"/>
      <c r="CF181" s="32"/>
      <c r="CG181" s="54"/>
      <c r="CH181" s="21" t="str">
        <f>IFERROR(VLOOKUP(November[[#This Row],[Drug Name9]],'Data Options'!$R$1:$S$100,2,FALSE), " ")</f>
        <v xml:space="preserve"> </v>
      </c>
      <c r="CI181" s="55"/>
      <c r="CJ181" s="32"/>
      <c r="CK181" s="32"/>
      <c r="CL181" s="55"/>
      <c r="CM181" s="32"/>
    </row>
    <row r="182" spans="1:91">
      <c r="A182" s="5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1"/>
      <c r="P182" s="31"/>
      <c r="Q182" s="54"/>
      <c r="R182" s="21" t="str">
        <f>IFERROR(VLOOKUP(November[[#This Row],[Drug Name]],'Data Options'!$R$1:$S$100,2,FALSE), " ")</f>
        <v xml:space="preserve"> </v>
      </c>
      <c r="S182" s="55"/>
      <c r="T182" s="32"/>
      <c r="U182" s="32"/>
      <c r="V182" s="55"/>
      <c r="W182" s="32"/>
      <c r="X182" s="54"/>
      <c r="Y182" s="21" t="str">
        <f>IFERROR(VLOOKUP(November[[#This Row],[Drug Name2]],'Data Options'!$R$1:$S$100,2,FALSE), " ")</f>
        <v xml:space="preserve"> </v>
      </c>
      <c r="Z182" s="55"/>
      <c r="AA182" s="32"/>
      <c r="AB182" s="32"/>
      <c r="AC182" s="55"/>
      <c r="AD182" s="32"/>
      <c r="AE182" s="54"/>
      <c r="AF182" s="21" t="str">
        <f>IFERROR(VLOOKUP(November[[#This Row],[Drug Name3]],'Data Options'!$R$1:$S$100,2,FALSE), " ")</f>
        <v xml:space="preserve"> </v>
      </c>
      <c r="AG182" s="55"/>
      <c r="AH182" s="32"/>
      <c r="AI182" s="32"/>
      <c r="AJ182" s="55"/>
      <c r="AK182" s="32"/>
      <c r="AL182" s="32"/>
      <c r="AM182" s="32"/>
      <c r="AN182" s="32"/>
      <c r="AO182" s="32"/>
      <c r="AP182" s="31"/>
      <c r="AQ182" s="31"/>
      <c r="AR182" s="54"/>
      <c r="AS182" s="21" t="str">
        <f>IFERROR(VLOOKUP(November[[#This Row],[Drug Name4]],'Data Options'!$R$1:$S$100,2,FALSE), " ")</f>
        <v xml:space="preserve"> </v>
      </c>
      <c r="AT182" s="55"/>
      <c r="AU182" s="32"/>
      <c r="AV182" s="32"/>
      <c r="AW182" s="55"/>
      <c r="AX182" s="32"/>
      <c r="AY182" s="54"/>
      <c r="AZ182" s="21" t="str">
        <f>IFERROR(VLOOKUP(November[[#This Row],[Drug Name5]],'Data Options'!$R$1:$S$100,2,FALSE), " ")</f>
        <v xml:space="preserve"> </v>
      </c>
      <c r="BA182" s="55"/>
      <c r="BB182" s="32"/>
      <c r="BC182" s="32"/>
      <c r="BD182" s="55"/>
      <c r="BE182" s="32"/>
      <c r="BF182" s="54"/>
      <c r="BG182" s="21" t="str">
        <f>IFERROR(VLOOKUP(November[[#This Row],[Drug Name6]],'Data Options'!$R$1:$S$100,2,FALSE), " ")</f>
        <v xml:space="preserve"> </v>
      </c>
      <c r="BH182" s="55"/>
      <c r="BI182" s="32"/>
      <c r="BJ182" s="32"/>
      <c r="BK182" s="55"/>
      <c r="BL182" s="32"/>
      <c r="BM182" s="32"/>
      <c r="BN182" s="32"/>
      <c r="BO182" s="32"/>
      <c r="BP182" s="32"/>
      <c r="BQ182" s="31"/>
      <c r="BR182" s="31"/>
      <c r="BS182" s="54"/>
      <c r="BT182" s="21" t="str">
        <f>IFERROR(VLOOKUP(November[[#This Row],[Drug Name7]],'Data Options'!$R$1:$S$100,2,FALSE), " ")</f>
        <v xml:space="preserve"> </v>
      </c>
      <c r="BU182" s="55"/>
      <c r="BV182" s="32"/>
      <c r="BW182" s="32"/>
      <c r="BX182" s="55"/>
      <c r="BY182" s="32"/>
      <c r="BZ182" s="54"/>
      <c r="CA182" s="21" t="str">
        <f>IFERROR(VLOOKUP(November[[#This Row],[Drug Name8]],'Data Options'!$R$1:$S$100,2,FALSE), " ")</f>
        <v xml:space="preserve"> </v>
      </c>
      <c r="CB182" s="55"/>
      <c r="CC182" s="32"/>
      <c r="CD182" s="32"/>
      <c r="CE182" s="55"/>
      <c r="CF182" s="32"/>
      <c r="CG182" s="54"/>
      <c r="CH182" s="21" t="str">
        <f>IFERROR(VLOOKUP(November[[#This Row],[Drug Name9]],'Data Options'!$R$1:$S$100,2,FALSE), " ")</f>
        <v xml:space="preserve"> </v>
      </c>
      <c r="CI182" s="55"/>
      <c r="CJ182" s="32"/>
      <c r="CK182" s="32"/>
      <c r="CL182" s="55"/>
      <c r="CM182" s="32"/>
    </row>
    <row r="183" spans="1:91">
      <c r="A183" s="5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1"/>
      <c r="P183" s="31"/>
      <c r="Q183" s="54"/>
      <c r="R183" s="21" t="str">
        <f>IFERROR(VLOOKUP(November[[#This Row],[Drug Name]],'Data Options'!$R$1:$S$100,2,FALSE), " ")</f>
        <v xml:space="preserve"> </v>
      </c>
      <c r="S183" s="55"/>
      <c r="T183" s="32"/>
      <c r="U183" s="32"/>
      <c r="V183" s="55"/>
      <c r="W183" s="32"/>
      <c r="X183" s="54"/>
      <c r="Y183" s="21" t="str">
        <f>IFERROR(VLOOKUP(November[[#This Row],[Drug Name2]],'Data Options'!$R$1:$S$100,2,FALSE), " ")</f>
        <v xml:space="preserve"> </v>
      </c>
      <c r="Z183" s="55"/>
      <c r="AA183" s="32"/>
      <c r="AB183" s="32"/>
      <c r="AC183" s="55"/>
      <c r="AD183" s="32"/>
      <c r="AE183" s="54"/>
      <c r="AF183" s="21" t="str">
        <f>IFERROR(VLOOKUP(November[[#This Row],[Drug Name3]],'Data Options'!$R$1:$S$100,2,FALSE), " ")</f>
        <v xml:space="preserve"> </v>
      </c>
      <c r="AG183" s="55"/>
      <c r="AH183" s="32"/>
      <c r="AI183" s="32"/>
      <c r="AJ183" s="55"/>
      <c r="AK183" s="32"/>
      <c r="AL183" s="32"/>
      <c r="AM183" s="32"/>
      <c r="AN183" s="32"/>
      <c r="AO183" s="32"/>
      <c r="AP183" s="31"/>
      <c r="AQ183" s="31"/>
      <c r="AR183" s="54"/>
      <c r="AS183" s="21" t="str">
        <f>IFERROR(VLOOKUP(November[[#This Row],[Drug Name4]],'Data Options'!$R$1:$S$100,2,FALSE), " ")</f>
        <v xml:space="preserve"> </v>
      </c>
      <c r="AT183" s="55"/>
      <c r="AU183" s="32"/>
      <c r="AV183" s="32"/>
      <c r="AW183" s="55"/>
      <c r="AX183" s="32"/>
      <c r="AY183" s="54"/>
      <c r="AZ183" s="21" t="str">
        <f>IFERROR(VLOOKUP(November[[#This Row],[Drug Name5]],'Data Options'!$R$1:$S$100,2,FALSE), " ")</f>
        <v xml:space="preserve"> </v>
      </c>
      <c r="BA183" s="55"/>
      <c r="BB183" s="32"/>
      <c r="BC183" s="32"/>
      <c r="BD183" s="55"/>
      <c r="BE183" s="32"/>
      <c r="BF183" s="54"/>
      <c r="BG183" s="21" t="str">
        <f>IFERROR(VLOOKUP(November[[#This Row],[Drug Name6]],'Data Options'!$R$1:$S$100,2,FALSE), " ")</f>
        <v xml:space="preserve"> </v>
      </c>
      <c r="BH183" s="55"/>
      <c r="BI183" s="32"/>
      <c r="BJ183" s="32"/>
      <c r="BK183" s="55"/>
      <c r="BL183" s="32"/>
      <c r="BM183" s="32"/>
      <c r="BN183" s="32"/>
      <c r="BO183" s="32"/>
      <c r="BP183" s="32"/>
      <c r="BQ183" s="31"/>
      <c r="BR183" s="31"/>
      <c r="BS183" s="54"/>
      <c r="BT183" s="21" t="str">
        <f>IFERROR(VLOOKUP(November[[#This Row],[Drug Name7]],'Data Options'!$R$1:$S$100,2,FALSE), " ")</f>
        <v xml:space="preserve"> </v>
      </c>
      <c r="BU183" s="55"/>
      <c r="BV183" s="32"/>
      <c r="BW183" s="32"/>
      <c r="BX183" s="55"/>
      <c r="BY183" s="32"/>
      <c r="BZ183" s="54"/>
      <c r="CA183" s="21" t="str">
        <f>IFERROR(VLOOKUP(November[[#This Row],[Drug Name8]],'Data Options'!$R$1:$S$100,2,FALSE), " ")</f>
        <v xml:space="preserve"> </v>
      </c>
      <c r="CB183" s="55"/>
      <c r="CC183" s="32"/>
      <c r="CD183" s="32"/>
      <c r="CE183" s="55"/>
      <c r="CF183" s="32"/>
      <c r="CG183" s="54"/>
      <c r="CH183" s="21" t="str">
        <f>IFERROR(VLOOKUP(November[[#This Row],[Drug Name9]],'Data Options'!$R$1:$S$100,2,FALSE), " ")</f>
        <v xml:space="preserve"> </v>
      </c>
      <c r="CI183" s="55"/>
      <c r="CJ183" s="32"/>
      <c r="CK183" s="32"/>
      <c r="CL183" s="55"/>
      <c r="CM183" s="32"/>
    </row>
    <row r="184" spans="1:91">
      <c r="A184" s="5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1"/>
      <c r="P184" s="31"/>
      <c r="Q184" s="54"/>
      <c r="R184" s="21" t="str">
        <f>IFERROR(VLOOKUP(November[[#This Row],[Drug Name]],'Data Options'!$R$1:$S$100,2,FALSE), " ")</f>
        <v xml:space="preserve"> </v>
      </c>
      <c r="S184" s="55"/>
      <c r="T184" s="32"/>
      <c r="U184" s="32"/>
      <c r="V184" s="55"/>
      <c r="W184" s="32"/>
      <c r="X184" s="54"/>
      <c r="Y184" s="21" t="str">
        <f>IFERROR(VLOOKUP(November[[#This Row],[Drug Name2]],'Data Options'!$R$1:$S$100,2,FALSE), " ")</f>
        <v xml:space="preserve"> </v>
      </c>
      <c r="Z184" s="55"/>
      <c r="AA184" s="32"/>
      <c r="AB184" s="32"/>
      <c r="AC184" s="55"/>
      <c r="AD184" s="32"/>
      <c r="AE184" s="54"/>
      <c r="AF184" s="21" t="str">
        <f>IFERROR(VLOOKUP(November[[#This Row],[Drug Name3]],'Data Options'!$R$1:$S$100,2,FALSE), " ")</f>
        <v xml:space="preserve"> </v>
      </c>
      <c r="AG184" s="55"/>
      <c r="AH184" s="32"/>
      <c r="AI184" s="32"/>
      <c r="AJ184" s="55"/>
      <c r="AK184" s="32"/>
      <c r="AL184" s="32"/>
      <c r="AM184" s="32"/>
      <c r="AN184" s="32"/>
      <c r="AO184" s="32"/>
      <c r="AP184" s="31"/>
      <c r="AQ184" s="31"/>
      <c r="AR184" s="54"/>
      <c r="AS184" s="21" t="str">
        <f>IFERROR(VLOOKUP(November[[#This Row],[Drug Name4]],'Data Options'!$R$1:$S$100,2,FALSE), " ")</f>
        <v xml:space="preserve"> </v>
      </c>
      <c r="AT184" s="55"/>
      <c r="AU184" s="32"/>
      <c r="AV184" s="32"/>
      <c r="AW184" s="55"/>
      <c r="AX184" s="32"/>
      <c r="AY184" s="54"/>
      <c r="AZ184" s="21" t="str">
        <f>IFERROR(VLOOKUP(November[[#This Row],[Drug Name5]],'Data Options'!$R$1:$S$100,2,FALSE), " ")</f>
        <v xml:space="preserve"> </v>
      </c>
      <c r="BA184" s="55"/>
      <c r="BB184" s="32"/>
      <c r="BC184" s="32"/>
      <c r="BD184" s="55"/>
      <c r="BE184" s="32"/>
      <c r="BF184" s="54"/>
      <c r="BG184" s="21" t="str">
        <f>IFERROR(VLOOKUP(November[[#This Row],[Drug Name6]],'Data Options'!$R$1:$S$100,2,FALSE), " ")</f>
        <v xml:space="preserve"> </v>
      </c>
      <c r="BH184" s="55"/>
      <c r="BI184" s="32"/>
      <c r="BJ184" s="32"/>
      <c r="BK184" s="55"/>
      <c r="BL184" s="32"/>
      <c r="BM184" s="32"/>
      <c r="BN184" s="32"/>
      <c r="BO184" s="32"/>
      <c r="BP184" s="32"/>
      <c r="BQ184" s="31"/>
      <c r="BR184" s="31"/>
      <c r="BS184" s="54"/>
      <c r="BT184" s="21" t="str">
        <f>IFERROR(VLOOKUP(November[[#This Row],[Drug Name7]],'Data Options'!$R$1:$S$100,2,FALSE), " ")</f>
        <v xml:space="preserve"> </v>
      </c>
      <c r="BU184" s="55"/>
      <c r="BV184" s="32"/>
      <c r="BW184" s="32"/>
      <c r="BX184" s="55"/>
      <c r="BY184" s="32"/>
      <c r="BZ184" s="54"/>
      <c r="CA184" s="21" t="str">
        <f>IFERROR(VLOOKUP(November[[#This Row],[Drug Name8]],'Data Options'!$R$1:$S$100,2,FALSE), " ")</f>
        <v xml:space="preserve"> </v>
      </c>
      <c r="CB184" s="55"/>
      <c r="CC184" s="32"/>
      <c r="CD184" s="32"/>
      <c r="CE184" s="55"/>
      <c r="CF184" s="32"/>
      <c r="CG184" s="54"/>
      <c r="CH184" s="21" t="str">
        <f>IFERROR(VLOOKUP(November[[#This Row],[Drug Name9]],'Data Options'!$R$1:$S$100,2,FALSE), " ")</f>
        <v xml:space="preserve"> </v>
      </c>
      <c r="CI184" s="55"/>
      <c r="CJ184" s="32"/>
      <c r="CK184" s="32"/>
      <c r="CL184" s="55"/>
      <c r="CM184" s="32"/>
    </row>
    <row r="185" spans="1:91">
      <c r="A185" s="5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1"/>
      <c r="P185" s="31"/>
      <c r="Q185" s="54"/>
      <c r="R185" s="21" t="str">
        <f>IFERROR(VLOOKUP(November[[#This Row],[Drug Name]],'Data Options'!$R$1:$S$100,2,FALSE), " ")</f>
        <v xml:space="preserve"> </v>
      </c>
      <c r="S185" s="55"/>
      <c r="T185" s="32"/>
      <c r="U185" s="32"/>
      <c r="V185" s="55"/>
      <c r="W185" s="32"/>
      <c r="X185" s="54"/>
      <c r="Y185" s="21" t="str">
        <f>IFERROR(VLOOKUP(November[[#This Row],[Drug Name2]],'Data Options'!$R$1:$S$100,2,FALSE), " ")</f>
        <v xml:space="preserve"> </v>
      </c>
      <c r="Z185" s="55"/>
      <c r="AA185" s="32"/>
      <c r="AB185" s="32"/>
      <c r="AC185" s="55"/>
      <c r="AD185" s="32"/>
      <c r="AE185" s="54"/>
      <c r="AF185" s="21" t="str">
        <f>IFERROR(VLOOKUP(November[[#This Row],[Drug Name3]],'Data Options'!$R$1:$S$100,2,FALSE), " ")</f>
        <v xml:space="preserve"> </v>
      </c>
      <c r="AG185" s="55"/>
      <c r="AH185" s="32"/>
      <c r="AI185" s="32"/>
      <c r="AJ185" s="55"/>
      <c r="AK185" s="32"/>
      <c r="AL185" s="32"/>
      <c r="AM185" s="32"/>
      <c r="AN185" s="32"/>
      <c r="AO185" s="32"/>
      <c r="AP185" s="31"/>
      <c r="AQ185" s="31"/>
      <c r="AR185" s="54"/>
      <c r="AS185" s="21" t="str">
        <f>IFERROR(VLOOKUP(November[[#This Row],[Drug Name4]],'Data Options'!$R$1:$S$100,2,FALSE), " ")</f>
        <v xml:space="preserve"> </v>
      </c>
      <c r="AT185" s="55"/>
      <c r="AU185" s="32"/>
      <c r="AV185" s="32"/>
      <c r="AW185" s="55"/>
      <c r="AX185" s="32"/>
      <c r="AY185" s="54"/>
      <c r="AZ185" s="21" t="str">
        <f>IFERROR(VLOOKUP(November[[#This Row],[Drug Name5]],'Data Options'!$R$1:$S$100,2,FALSE), " ")</f>
        <v xml:space="preserve"> </v>
      </c>
      <c r="BA185" s="55"/>
      <c r="BB185" s="32"/>
      <c r="BC185" s="32"/>
      <c r="BD185" s="55"/>
      <c r="BE185" s="32"/>
      <c r="BF185" s="54"/>
      <c r="BG185" s="21" t="str">
        <f>IFERROR(VLOOKUP(November[[#This Row],[Drug Name6]],'Data Options'!$R$1:$S$100,2,FALSE), " ")</f>
        <v xml:space="preserve"> </v>
      </c>
      <c r="BH185" s="55"/>
      <c r="BI185" s="32"/>
      <c r="BJ185" s="32"/>
      <c r="BK185" s="55"/>
      <c r="BL185" s="32"/>
      <c r="BM185" s="32"/>
      <c r="BN185" s="32"/>
      <c r="BO185" s="32"/>
      <c r="BP185" s="32"/>
      <c r="BQ185" s="31"/>
      <c r="BR185" s="31"/>
      <c r="BS185" s="54"/>
      <c r="BT185" s="21" t="str">
        <f>IFERROR(VLOOKUP(November[[#This Row],[Drug Name7]],'Data Options'!$R$1:$S$100,2,FALSE), " ")</f>
        <v xml:space="preserve"> </v>
      </c>
      <c r="BU185" s="55"/>
      <c r="BV185" s="32"/>
      <c r="BW185" s="32"/>
      <c r="BX185" s="55"/>
      <c r="BY185" s="32"/>
      <c r="BZ185" s="54"/>
      <c r="CA185" s="21" t="str">
        <f>IFERROR(VLOOKUP(November[[#This Row],[Drug Name8]],'Data Options'!$R$1:$S$100,2,FALSE), " ")</f>
        <v xml:space="preserve"> </v>
      </c>
      <c r="CB185" s="55"/>
      <c r="CC185" s="32"/>
      <c r="CD185" s="32"/>
      <c r="CE185" s="55"/>
      <c r="CF185" s="32"/>
      <c r="CG185" s="54"/>
      <c r="CH185" s="21" t="str">
        <f>IFERROR(VLOOKUP(November[[#This Row],[Drug Name9]],'Data Options'!$R$1:$S$100,2,FALSE), " ")</f>
        <v xml:space="preserve"> </v>
      </c>
      <c r="CI185" s="55"/>
      <c r="CJ185" s="32"/>
      <c r="CK185" s="32"/>
      <c r="CL185" s="55"/>
      <c r="CM185" s="32"/>
    </row>
    <row r="186" spans="1:91">
      <c r="A186" s="5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1"/>
      <c r="P186" s="31"/>
      <c r="Q186" s="54"/>
      <c r="R186" s="21" t="str">
        <f>IFERROR(VLOOKUP(November[[#This Row],[Drug Name]],'Data Options'!$R$1:$S$100,2,FALSE), " ")</f>
        <v xml:space="preserve"> </v>
      </c>
      <c r="S186" s="55"/>
      <c r="T186" s="32"/>
      <c r="U186" s="32"/>
      <c r="V186" s="55"/>
      <c r="W186" s="32"/>
      <c r="X186" s="54"/>
      <c r="Y186" s="21" t="str">
        <f>IFERROR(VLOOKUP(November[[#This Row],[Drug Name2]],'Data Options'!$R$1:$S$100,2,FALSE), " ")</f>
        <v xml:space="preserve"> </v>
      </c>
      <c r="Z186" s="55"/>
      <c r="AA186" s="32"/>
      <c r="AB186" s="32"/>
      <c r="AC186" s="55"/>
      <c r="AD186" s="32"/>
      <c r="AE186" s="54"/>
      <c r="AF186" s="21" t="str">
        <f>IFERROR(VLOOKUP(November[[#This Row],[Drug Name3]],'Data Options'!$R$1:$S$100,2,FALSE), " ")</f>
        <v xml:space="preserve"> </v>
      </c>
      <c r="AG186" s="55"/>
      <c r="AH186" s="32"/>
      <c r="AI186" s="32"/>
      <c r="AJ186" s="55"/>
      <c r="AK186" s="32"/>
      <c r="AL186" s="32"/>
      <c r="AM186" s="32"/>
      <c r="AN186" s="32"/>
      <c r="AO186" s="32"/>
      <c r="AP186" s="31"/>
      <c r="AQ186" s="31"/>
      <c r="AR186" s="54"/>
      <c r="AS186" s="21" t="str">
        <f>IFERROR(VLOOKUP(November[[#This Row],[Drug Name4]],'Data Options'!$R$1:$S$100,2,FALSE), " ")</f>
        <v xml:space="preserve"> </v>
      </c>
      <c r="AT186" s="55"/>
      <c r="AU186" s="32"/>
      <c r="AV186" s="32"/>
      <c r="AW186" s="55"/>
      <c r="AX186" s="32"/>
      <c r="AY186" s="54"/>
      <c r="AZ186" s="21" t="str">
        <f>IFERROR(VLOOKUP(November[[#This Row],[Drug Name5]],'Data Options'!$R$1:$S$100,2,FALSE), " ")</f>
        <v xml:space="preserve"> </v>
      </c>
      <c r="BA186" s="55"/>
      <c r="BB186" s="32"/>
      <c r="BC186" s="32"/>
      <c r="BD186" s="55"/>
      <c r="BE186" s="32"/>
      <c r="BF186" s="54"/>
      <c r="BG186" s="21" t="str">
        <f>IFERROR(VLOOKUP(November[[#This Row],[Drug Name6]],'Data Options'!$R$1:$S$100,2,FALSE), " ")</f>
        <v xml:space="preserve"> </v>
      </c>
      <c r="BH186" s="55"/>
      <c r="BI186" s="32"/>
      <c r="BJ186" s="32"/>
      <c r="BK186" s="55"/>
      <c r="BL186" s="32"/>
      <c r="BM186" s="32"/>
      <c r="BN186" s="32"/>
      <c r="BO186" s="32"/>
      <c r="BP186" s="32"/>
      <c r="BQ186" s="31"/>
      <c r="BR186" s="31"/>
      <c r="BS186" s="54"/>
      <c r="BT186" s="21" t="str">
        <f>IFERROR(VLOOKUP(November[[#This Row],[Drug Name7]],'Data Options'!$R$1:$S$100,2,FALSE), " ")</f>
        <v xml:space="preserve"> </v>
      </c>
      <c r="BU186" s="55"/>
      <c r="BV186" s="32"/>
      <c r="BW186" s="32"/>
      <c r="BX186" s="55"/>
      <c r="BY186" s="32"/>
      <c r="BZ186" s="54"/>
      <c r="CA186" s="21" t="str">
        <f>IFERROR(VLOOKUP(November[[#This Row],[Drug Name8]],'Data Options'!$R$1:$S$100,2,FALSE), " ")</f>
        <v xml:space="preserve"> </v>
      </c>
      <c r="CB186" s="55"/>
      <c r="CC186" s="32"/>
      <c r="CD186" s="32"/>
      <c r="CE186" s="55"/>
      <c r="CF186" s="32"/>
      <c r="CG186" s="54"/>
      <c r="CH186" s="21" t="str">
        <f>IFERROR(VLOOKUP(November[[#This Row],[Drug Name9]],'Data Options'!$R$1:$S$100,2,FALSE), " ")</f>
        <v xml:space="preserve"> </v>
      </c>
      <c r="CI186" s="55"/>
      <c r="CJ186" s="32"/>
      <c r="CK186" s="32"/>
      <c r="CL186" s="55"/>
      <c r="CM186" s="32"/>
    </row>
    <row r="187" spans="1:91">
      <c r="A187" s="5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1"/>
      <c r="P187" s="31"/>
      <c r="Q187" s="54"/>
      <c r="R187" s="21" t="str">
        <f>IFERROR(VLOOKUP(November[[#This Row],[Drug Name]],'Data Options'!$R$1:$S$100,2,FALSE), " ")</f>
        <v xml:space="preserve"> </v>
      </c>
      <c r="S187" s="55"/>
      <c r="T187" s="32"/>
      <c r="U187" s="32"/>
      <c r="V187" s="55"/>
      <c r="W187" s="32"/>
      <c r="X187" s="54"/>
      <c r="Y187" s="21" t="str">
        <f>IFERROR(VLOOKUP(November[[#This Row],[Drug Name2]],'Data Options'!$R$1:$S$100,2,FALSE), " ")</f>
        <v xml:space="preserve"> </v>
      </c>
      <c r="Z187" s="55"/>
      <c r="AA187" s="32"/>
      <c r="AB187" s="32"/>
      <c r="AC187" s="55"/>
      <c r="AD187" s="32"/>
      <c r="AE187" s="54"/>
      <c r="AF187" s="21" t="str">
        <f>IFERROR(VLOOKUP(November[[#This Row],[Drug Name3]],'Data Options'!$R$1:$S$100,2,FALSE), " ")</f>
        <v xml:space="preserve"> </v>
      </c>
      <c r="AG187" s="55"/>
      <c r="AH187" s="32"/>
      <c r="AI187" s="32"/>
      <c r="AJ187" s="55"/>
      <c r="AK187" s="32"/>
      <c r="AL187" s="32"/>
      <c r="AM187" s="32"/>
      <c r="AN187" s="32"/>
      <c r="AO187" s="32"/>
      <c r="AP187" s="31"/>
      <c r="AQ187" s="31"/>
      <c r="AR187" s="54"/>
      <c r="AS187" s="21" t="str">
        <f>IFERROR(VLOOKUP(November[[#This Row],[Drug Name4]],'Data Options'!$R$1:$S$100,2,FALSE), " ")</f>
        <v xml:space="preserve"> </v>
      </c>
      <c r="AT187" s="55"/>
      <c r="AU187" s="32"/>
      <c r="AV187" s="32"/>
      <c r="AW187" s="55"/>
      <c r="AX187" s="32"/>
      <c r="AY187" s="54"/>
      <c r="AZ187" s="21" t="str">
        <f>IFERROR(VLOOKUP(November[[#This Row],[Drug Name5]],'Data Options'!$R$1:$S$100,2,FALSE), " ")</f>
        <v xml:space="preserve"> </v>
      </c>
      <c r="BA187" s="55"/>
      <c r="BB187" s="32"/>
      <c r="BC187" s="32"/>
      <c r="BD187" s="55"/>
      <c r="BE187" s="32"/>
      <c r="BF187" s="54"/>
      <c r="BG187" s="21" t="str">
        <f>IFERROR(VLOOKUP(November[[#This Row],[Drug Name6]],'Data Options'!$R$1:$S$100,2,FALSE), " ")</f>
        <v xml:space="preserve"> </v>
      </c>
      <c r="BH187" s="55"/>
      <c r="BI187" s="32"/>
      <c r="BJ187" s="32"/>
      <c r="BK187" s="55"/>
      <c r="BL187" s="32"/>
      <c r="BM187" s="32"/>
      <c r="BN187" s="32"/>
      <c r="BO187" s="32"/>
      <c r="BP187" s="32"/>
      <c r="BQ187" s="31"/>
      <c r="BR187" s="31"/>
      <c r="BS187" s="54"/>
      <c r="BT187" s="21" t="str">
        <f>IFERROR(VLOOKUP(November[[#This Row],[Drug Name7]],'Data Options'!$R$1:$S$100,2,FALSE), " ")</f>
        <v xml:space="preserve"> </v>
      </c>
      <c r="BU187" s="55"/>
      <c r="BV187" s="32"/>
      <c r="BW187" s="32"/>
      <c r="BX187" s="55"/>
      <c r="BY187" s="32"/>
      <c r="BZ187" s="54"/>
      <c r="CA187" s="21" t="str">
        <f>IFERROR(VLOOKUP(November[[#This Row],[Drug Name8]],'Data Options'!$R$1:$S$100,2,FALSE), " ")</f>
        <v xml:space="preserve"> </v>
      </c>
      <c r="CB187" s="55"/>
      <c r="CC187" s="32"/>
      <c r="CD187" s="32"/>
      <c r="CE187" s="55"/>
      <c r="CF187" s="32"/>
      <c r="CG187" s="54"/>
      <c r="CH187" s="21" t="str">
        <f>IFERROR(VLOOKUP(November[[#This Row],[Drug Name9]],'Data Options'!$R$1:$S$100,2,FALSE), " ")</f>
        <v xml:space="preserve"> </v>
      </c>
      <c r="CI187" s="55"/>
      <c r="CJ187" s="32"/>
      <c r="CK187" s="32"/>
      <c r="CL187" s="55"/>
      <c r="CM187" s="32"/>
    </row>
    <row r="188" spans="1:91">
      <c r="A188" s="5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1"/>
      <c r="P188" s="31"/>
      <c r="Q188" s="54"/>
      <c r="R188" s="21" t="str">
        <f>IFERROR(VLOOKUP(November[[#This Row],[Drug Name]],'Data Options'!$R$1:$S$100,2,FALSE), " ")</f>
        <v xml:space="preserve"> </v>
      </c>
      <c r="S188" s="55"/>
      <c r="T188" s="32"/>
      <c r="U188" s="32"/>
      <c r="V188" s="55"/>
      <c r="W188" s="32"/>
      <c r="X188" s="54"/>
      <c r="Y188" s="21" t="str">
        <f>IFERROR(VLOOKUP(November[[#This Row],[Drug Name2]],'Data Options'!$R$1:$S$100,2,FALSE), " ")</f>
        <v xml:space="preserve"> </v>
      </c>
      <c r="Z188" s="55"/>
      <c r="AA188" s="32"/>
      <c r="AB188" s="32"/>
      <c r="AC188" s="55"/>
      <c r="AD188" s="32"/>
      <c r="AE188" s="54"/>
      <c r="AF188" s="21" t="str">
        <f>IFERROR(VLOOKUP(November[[#This Row],[Drug Name3]],'Data Options'!$R$1:$S$100,2,FALSE), " ")</f>
        <v xml:space="preserve"> </v>
      </c>
      <c r="AG188" s="55"/>
      <c r="AH188" s="32"/>
      <c r="AI188" s="32"/>
      <c r="AJ188" s="55"/>
      <c r="AK188" s="32"/>
      <c r="AL188" s="32"/>
      <c r="AM188" s="32"/>
      <c r="AN188" s="32"/>
      <c r="AO188" s="32"/>
      <c r="AP188" s="31"/>
      <c r="AQ188" s="31"/>
      <c r="AR188" s="54"/>
      <c r="AS188" s="21" t="str">
        <f>IFERROR(VLOOKUP(November[[#This Row],[Drug Name4]],'Data Options'!$R$1:$S$100,2,FALSE), " ")</f>
        <v xml:space="preserve"> </v>
      </c>
      <c r="AT188" s="55"/>
      <c r="AU188" s="32"/>
      <c r="AV188" s="32"/>
      <c r="AW188" s="55"/>
      <c r="AX188" s="32"/>
      <c r="AY188" s="54"/>
      <c r="AZ188" s="21" t="str">
        <f>IFERROR(VLOOKUP(November[[#This Row],[Drug Name5]],'Data Options'!$R$1:$S$100,2,FALSE), " ")</f>
        <v xml:space="preserve"> </v>
      </c>
      <c r="BA188" s="55"/>
      <c r="BB188" s="32"/>
      <c r="BC188" s="32"/>
      <c r="BD188" s="55"/>
      <c r="BE188" s="32"/>
      <c r="BF188" s="54"/>
      <c r="BG188" s="21" t="str">
        <f>IFERROR(VLOOKUP(November[[#This Row],[Drug Name6]],'Data Options'!$R$1:$S$100,2,FALSE), " ")</f>
        <v xml:space="preserve"> </v>
      </c>
      <c r="BH188" s="55"/>
      <c r="BI188" s="32"/>
      <c r="BJ188" s="32"/>
      <c r="BK188" s="55"/>
      <c r="BL188" s="32"/>
      <c r="BM188" s="32"/>
      <c r="BN188" s="32"/>
      <c r="BO188" s="32"/>
      <c r="BP188" s="32"/>
      <c r="BQ188" s="31"/>
      <c r="BR188" s="31"/>
      <c r="BS188" s="54"/>
      <c r="BT188" s="21" t="str">
        <f>IFERROR(VLOOKUP(November[[#This Row],[Drug Name7]],'Data Options'!$R$1:$S$100,2,FALSE), " ")</f>
        <v xml:space="preserve"> </v>
      </c>
      <c r="BU188" s="55"/>
      <c r="BV188" s="32"/>
      <c r="BW188" s="32"/>
      <c r="BX188" s="55"/>
      <c r="BY188" s="32"/>
      <c r="BZ188" s="54"/>
      <c r="CA188" s="21" t="str">
        <f>IFERROR(VLOOKUP(November[[#This Row],[Drug Name8]],'Data Options'!$R$1:$S$100,2,FALSE), " ")</f>
        <v xml:space="preserve"> </v>
      </c>
      <c r="CB188" s="55"/>
      <c r="CC188" s="32"/>
      <c r="CD188" s="32"/>
      <c r="CE188" s="55"/>
      <c r="CF188" s="32"/>
      <c r="CG188" s="54"/>
      <c r="CH188" s="21" t="str">
        <f>IFERROR(VLOOKUP(November[[#This Row],[Drug Name9]],'Data Options'!$R$1:$S$100,2,FALSE), " ")</f>
        <v xml:space="preserve"> </v>
      </c>
      <c r="CI188" s="55"/>
      <c r="CJ188" s="32"/>
      <c r="CK188" s="32"/>
      <c r="CL188" s="55"/>
      <c r="CM188" s="32"/>
    </row>
    <row r="189" spans="1:91">
      <c r="A189" s="5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/>
      <c r="P189" s="31"/>
      <c r="Q189" s="54"/>
      <c r="R189" s="21" t="str">
        <f>IFERROR(VLOOKUP(November[[#This Row],[Drug Name]],'Data Options'!$R$1:$S$100,2,FALSE), " ")</f>
        <v xml:space="preserve"> </v>
      </c>
      <c r="S189" s="55"/>
      <c r="T189" s="32"/>
      <c r="U189" s="32"/>
      <c r="V189" s="55"/>
      <c r="W189" s="32"/>
      <c r="X189" s="54"/>
      <c r="Y189" s="21" t="str">
        <f>IFERROR(VLOOKUP(November[[#This Row],[Drug Name2]],'Data Options'!$R$1:$S$100,2,FALSE), " ")</f>
        <v xml:space="preserve"> </v>
      </c>
      <c r="Z189" s="55"/>
      <c r="AA189" s="32"/>
      <c r="AB189" s="32"/>
      <c r="AC189" s="55"/>
      <c r="AD189" s="32"/>
      <c r="AE189" s="54"/>
      <c r="AF189" s="21" t="str">
        <f>IFERROR(VLOOKUP(November[[#This Row],[Drug Name3]],'Data Options'!$R$1:$S$100,2,FALSE), " ")</f>
        <v xml:space="preserve"> </v>
      </c>
      <c r="AG189" s="55"/>
      <c r="AH189" s="32"/>
      <c r="AI189" s="32"/>
      <c r="AJ189" s="55"/>
      <c r="AK189" s="32"/>
      <c r="AL189" s="32"/>
      <c r="AM189" s="32"/>
      <c r="AN189" s="32"/>
      <c r="AO189" s="32"/>
      <c r="AP189" s="31"/>
      <c r="AQ189" s="31"/>
      <c r="AR189" s="54"/>
      <c r="AS189" s="21" t="str">
        <f>IFERROR(VLOOKUP(November[[#This Row],[Drug Name4]],'Data Options'!$R$1:$S$100,2,FALSE), " ")</f>
        <v xml:space="preserve"> </v>
      </c>
      <c r="AT189" s="55"/>
      <c r="AU189" s="32"/>
      <c r="AV189" s="32"/>
      <c r="AW189" s="55"/>
      <c r="AX189" s="32"/>
      <c r="AY189" s="54"/>
      <c r="AZ189" s="21" t="str">
        <f>IFERROR(VLOOKUP(November[[#This Row],[Drug Name5]],'Data Options'!$R$1:$S$100,2,FALSE), " ")</f>
        <v xml:space="preserve"> </v>
      </c>
      <c r="BA189" s="55"/>
      <c r="BB189" s="32"/>
      <c r="BC189" s="32"/>
      <c r="BD189" s="55"/>
      <c r="BE189" s="32"/>
      <c r="BF189" s="54"/>
      <c r="BG189" s="21" t="str">
        <f>IFERROR(VLOOKUP(November[[#This Row],[Drug Name6]],'Data Options'!$R$1:$S$100,2,FALSE), " ")</f>
        <v xml:space="preserve"> </v>
      </c>
      <c r="BH189" s="55"/>
      <c r="BI189" s="32"/>
      <c r="BJ189" s="32"/>
      <c r="BK189" s="55"/>
      <c r="BL189" s="32"/>
      <c r="BM189" s="32"/>
      <c r="BN189" s="32"/>
      <c r="BO189" s="32"/>
      <c r="BP189" s="32"/>
      <c r="BQ189" s="31"/>
      <c r="BR189" s="31"/>
      <c r="BS189" s="54"/>
      <c r="BT189" s="21" t="str">
        <f>IFERROR(VLOOKUP(November[[#This Row],[Drug Name7]],'Data Options'!$R$1:$S$100,2,FALSE), " ")</f>
        <v xml:space="preserve"> </v>
      </c>
      <c r="BU189" s="55"/>
      <c r="BV189" s="32"/>
      <c r="BW189" s="32"/>
      <c r="BX189" s="55"/>
      <c r="BY189" s="32"/>
      <c r="BZ189" s="54"/>
      <c r="CA189" s="21" t="str">
        <f>IFERROR(VLOOKUP(November[[#This Row],[Drug Name8]],'Data Options'!$R$1:$S$100,2,FALSE), " ")</f>
        <v xml:space="preserve"> </v>
      </c>
      <c r="CB189" s="55"/>
      <c r="CC189" s="32"/>
      <c r="CD189" s="32"/>
      <c r="CE189" s="55"/>
      <c r="CF189" s="32"/>
      <c r="CG189" s="54"/>
      <c r="CH189" s="21" t="str">
        <f>IFERROR(VLOOKUP(November[[#This Row],[Drug Name9]],'Data Options'!$R$1:$S$100,2,FALSE), " ")</f>
        <v xml:space="preserve"> </v>
      </c>
      <c r="CI189" s="55"/>
      <c r="CJ189" s="32"/>
      <c r="CK189" s="32"/>
      <c r="CL189" s="55"/>
      <c r="CM189" s="32"/>
    </row>
    <row r="190" spans="1:91">
      <c r="A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54"/>
      <c r="R190" s="21" t="str">
        <f>IFERROR(VLOOKUP(November[[#This Row],[Drug Name]],'Data Options'!$R$1:$S$100,2,FALSE), " ")</f>
        <v xml:space="preserve"> </v>
      </c>
      <c r="S190" s="55"/>
      <c r="T190" s="32"/>
      <c r="U190" s="32"/>
      <c r="V190" s="55"/>
      <c r="W190" s="32"/>
      <c r="X190" s="54"/>
      <c r="Y190" s="21" t="str">
        <f>IFERROR(VLOOKUP(November[[#This Row],[Drug Name2]],'Data Options'!$R$1:$S$100,2,FALSE), " ")</f>
        <v xml:space="preserve"> </v>
      </c>
      <c r="Z190" s="55"/>
      <c r="AA190" s="32"/>
      <c r="AB190" s="32"/>
      <c r="AC190" s="55"/>
      <c r="AD190" s="32"/>
      <c r="AE190" s="54"/>
      <c r="AF190" s="21" t="str">
        <f>IFERROR(VLOOKUP(November[[#This Row],[Drug Name3]],'Data Options'!$R$1:$S$100,2,FALSE), " ")</f>
        <v xml:space="preserve"> </v>
      </c>
      <c r="AG190" s="55"/>
      <c r="AH190" s="32"/>
      <c r="AI190" s="32"/>
      <c r="AJ190" s="55"/>
      <c r="AK190" s="32"/>
      <c r="AL190" s="32"/>
      <c r="AM190" s="32"/>
      <c r="AN190" s="32"/>
      <c r="AO190" s="32"/>
      <c r="AP190" s="31"/>
      <c r="AQ190" s="31"/>
      <c r="AR190" s="54"/>
      <c r="AS190" s="21" t="str">
        <f>IFERROR(VLOOKUP(November[[#This Row],[Drug Name4]],'Data Options'!$R$1:$S$100,2,FALSE), " ")</f>
        <v xml:space="preserve"> </v>
      </c>
      <c r="AT190" s="55"/>
      <c r="AU190" s="32"/>
      <c r="AV190" s="32"/>
      <c r="AW190" s="55"/>
      <c r="AX190" s="32"/>
      <c r="AY190" s="54"/>
      <c r="AZ190" s="21" t="str">
        <f>IFERROR(VLOOKUP(November[[#This Row],[Drug Name5]],'Data Options'!$R$1:$S$100,2,FALSE), " ")</f>
        <v xml:space="preserve"> </v>
      </c>
      <c r="BA190" s="55"/>
      <c r="BB190" s="32"/>
      <c r="BC190" s="32"/>
      <c r="BD190" s="55"/>
      <c r="BE190" s="32"/>
      <c r="BF190" s="54"/>
      <c r="BG190" s="21" t="str">
        <f>IFERROR(VLOOKUP(November[[#This Row],[Drug Name6]],'Data Options'!$R$1:$S$100,2,FALSE), " ")</f>
        <v xml:space="preserve"> </v>
      </c>
      <c r="BH190" s="55"/>
      <c r="BI190" s="32"/>
      <c r="BJ190" s="32"/>
      <c r="BK190" s="55"/>
      <c r="BL190" s="32"/>
      <c r="BM190" s="32"/>
      <c r="BN190" s="32"/>
      <c r="BO190" s="32"/>
      <c r="BP190" s="32"/>
      <c r="BQ190" s="31"/>
      <c r="BR190" s="31"/>
      <c r="BS190" s="54"/>
      <c r="BT190" s="21" t="str">
        <f>IFERROR(VLOOKUP(November[[#This Row],[Drug Name7]],'Data Options'!$R$1:$S$100,2,FALSE), " ")</f>
        <v xml:space="preserve"> </v>
      </c>
      <c r="BU190" s="55"/>
      <c r="BV190" s="32"/>
      <c r="BW190" s="32"/>
      <c r="BX190" s="55"/>
      <c r="BY190" s="32"/>
      <c r="BZ190" s="54"/>
      <c r="CA190" s="21" t="str">
        <f>IFERROR(VLOOKUP(November[[#This Row],[Drug Name8]],'Data Options'!$R$1:$S$100,2,FALSE), " ")</f>
        <v xml:space="preserve"> </v>
      </c>
      <c r="CB190" s="55"/>
      <c r="CC190" s="32"/>
      <c r="CD190" s="32"/>
      <c r="CE190" s="55"/>
      <c r="CF190" s="32"/>
      <c r="CG190" s="54"/>
      <c r="CH190" s="21" t="str">
        <f>IFERROR(VLOOKUP(November[[#This Row],[Drug Name9]],'Data Options'!$R$1:$S$100,2,FALSE), " ")</f>
        <v xml:space="preserve"> </v>
      </c>
      <c r="CI190" s="55"/>
      <c r="CJ190" s="32"/>
      <c r="CK190" s="32"/>
      <c r="CL190" s="55"/>
      <c r="CM190" s="32"/>
    </row>
    <row r="191" spans="1:91">
      <c r="A191" s="5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1"/>
      <c r="P191" s="31"/>
      <c r="Q191" s="54"/>
      <c r="R191" s="21" t="str">
        <f>IFERROR(VLOOKUP(November[[#This Row],[Drug Name]],'Data Options'!$R$1:$S$100,2,FALSE), " ")</f>
        <v xml:space="preserve"> </v>
      </c>
      <c r="S191" s="55"/>
      <c r="T191" s="32"/>
      <c r="U191" s="32"/>
      <c r="V191" s="55"/>
      <c r="W191" s="32"/>
      <c r="X191" s="54"/>
      <c r="Y191" s="21" t="str">
        <f>IFERROR(VLOOKUP(November[[#This Row],[Drug Name2]],'Data Options'!$R$1:$S$100,2,FALSE), " ")</f>
        <v xml:space="preserve"> </v>
      </c>
      <c r="Z191" s="55"/>
      <c r="AA191" s="32"/>
      <c r="AB191" s="32"/>
      <c r="AC191" s="55"/>
      <c r="AD191" s="32"/>
      <c r="AE191" s="54"/>
      <c r="AF191" s="21" t="str">
        <f>IFERROR(VLOOKUP(November[[#This Row],[Drug Name3]],'Data Options'!$R$1:$S$100,2,FALSE), " ")</f>
        <v xml:space="preserve"> </v>
      </c>
      <c r="AG191" s="55"/>
      <c r="AH191" s="32"/>
      <c r="AI191" s="32"/>
      <c r="AJ191" s="55"/>
      <c r="AK191" s="32"/>
      <c r="AL191" s="32"/>
      <c r="AM191" s="32"/>
      <c r="AN191" s="32"/>
      <c r="AO191" s="32"/>
      <c r="AP191" s="31"/>
      <c r="AQ191" s="31"/>
      <c r="AR191" s="54"/>
      <c r="AS191" s="21" t="str">
        <f>IFERROR(VLOOKUP(November[[#This Row],[Drug Name4]],'Data Options'!$R$1:$S$100,2,FALSE), " ")</f>
        <v xml:space="preserve"> </v>
      </c>
      <c r="AT191" s="55"/>
      <c r="AU191" s="32"/>
      <c r="AV191" s="32"/>
      <c r="AW191" s="55"/>
      <c r="AX191" s="32"/>
      <c r="AY191" s="54"/>
      <c r="AZ191" s="21" t="str">
        <f>IFERROR(VLOOKUP(November[[#This Row],[Drug Name5]],'Data Options'!$R$1:$S$100,2,FALSE), " ")</f>
        <v xml:space="preserve"> </v>
      </c>
      <c r="BA191" s="55"/>
      <c r="BB191" s="32"/>
      <c r="BC191" s="32"/>
      <c r="BD191" s="55"/>
      <c r="BE191" s="32"/>
      <c r="BF191" s="54"/>
      <c r="BG191" s="21" t="str">
        <f>IFERROR(VLOOKUP(November[[#This Row],[Drug Name6]],'Data Options'!$R$1:$S$100,2,FALSE), " ")</f>
        <v xml:space="preserve"> </v>
      </c>
      <c r="BH191" s="55"/>
      <c r="BI191" s="32"/>
      <c r="BJ191" s="32"/>
      <c r="BK191" s="55"/>
      <c r="BL191" s="32"/>
      <c r="BM191" s="32"/>
      <c r="BN191" s="32"/>
      <c r="BO191" s="32"/>
      <c r="BP191" s="32"/>
      <c r="BQ191" s="31"/>
      <c r="BR191" s="31"/>
      <c r="BS191" s="54"/>
      <c r="BT191" s="21" t="str">
        <f>IFERROR(VLOOKUP(November[[#This Row],[Drug Name7]],'Data Options'!$R$1:$S$100,2,FALSE), " ")</f>
        <v xml:space="preserve"> </v>
      </c>
      <c r="BU191" s="55"/>
      <c r="BV191" s="32"/>
      <c r="BW191" s="32"/>
      <c r="BX191" s="55"/>
      <c r="BY191" s="32"/>
      <c r="BZ191" s="54"/>
      <c r="CA191" s="21" t="str">
        <f>IFERROR(VLOOKUP(November[[#This Row],[Drug Name8]],'Data Options'!$R$1:$S$100,2,FALSE), " ")</f>
        <v xml:space="preserve"> </v>
      </c>
      <c r="CB191" s="55"/>
      <c r="CC191" s="32"/>
      <c r="CD191" s="32"/>
      <c r="CE191" s="55"/>
      <c r="CF191" s="32"/>
      <c r="CG191" s="54"/>
      <c r="CH191" s="21" t="str">
        <f>IFERROR(VLOOKUP(November[[#This Row],[Drug Name9]],'Data Options'!$R$1:$S$100,2,FALSE), " ")</f>
        <v xml:space="preserve"> </v>
      </c>
      <c r="CI191" s="55"/>
      <c r="CJ191" s="32"/>
      <c r="CK191" s="32"/>
      <c r="CL191" s="55"/>
      <c r="CM191" s="32"/>
    </row>
    <row r="192" spans="1:91">
      <c r="A192" s="5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1"/>
      <c r="P192" s="31"/>
      <c r="Q192" s="54"/>
      <c r="R192" s="21" t="str">
        <f>IFERROR(VLOOKUP(November[[#This Row],[Drug Name]],'Data Options'!$R$1:$S$100,2,FALSE), " ")</f>
        <v xml:space="preserve"> </v>
      </c>
      <c r="S192" s="55"/>
      <c r="T192" s="32"/>
      <c r="U192" s="32"/>
      <c r="V192" s="55"/>
      <c r="W192" s="32"/>
      <c r="X192" s="54"/>
      <c r="Y192" s="21" t="str">
        <f>IFERROR(VLOOKUP(November[[#This Row],[Drug Name2]],'Data Options'!$R$1:$S$100,2,FALSE), " ")</f>
        <v xml:space="preserve"> </v>
      </c>
      <c r="Z192" s="55"/>
      <c r="AA192" s="32"/>
      <c r="AB192" s="32"/>
      <c r="AC192" s="55"/>
      <c r="AD192" s="32"/>
      <c r="AE192" s="54"/>
      <c r="AF192" s="21" t="str">
        <f>IFERROR(VLOOKUP(November[[#This Row],[Drug Name3]],'Data Options'!$R$1:$S$100,2,FALSE), " ")</f>
        <v xml:space="preserve"> </v>
      </c>
      <c r="AG192" s="55"/>
      <c r="AH192" s="32"/>
      <c r="AI192" s="32"/>
      <c r="AJ192" s="55"/>
      <c r="AK192" s="32"/>
      <c r="AL192" s="32"/>
      <c r="AM192" s="32"/>
      <c r="AN192" s="32"/>
      <c r="AO192" s="32"/>
      <c r="AP192" s="31"/>
      <c r="AQ192" s="31"/>
      <c r="AR192" s="54"/>
      <c r="AS192" s="21" t="str">
        <f>IFERROR(VLOOKUP(November[[#This Row],[Drug Name4]],'Data Options'!$R$1:$S$100,2,FALSE), " ")</f>
        <v xml:space="preserve"> </v>
      </c>
      <c r="AT192" s="55"/>
      <c r="AU192" s="32"/>
      <c r="AV192" s="32"/>
      <c r="AW192" s="55"/>
      <c r="AX192" s="32"/>
      <c r="AY192" s="54"/>
      <c r="AZ192" s="21" t="str">
        <f>IFERROR(VLOOKUP(November[[#This Row],[Drug Name5]],'Data Options'!$R$1:$S$100,2,FALSE), " ")</f>
        <v xml:space="preserve"> </v>
      </c>
      <c r="BA192" s="55"/>
      <c r="BB192" s="32"/>
      <c r="BC192" s="32"/>
      <c r="BD192" s="55"/>
      <c r="BE192" s="32"/>
      <c r="BF192" s="54"/>
      <c r="BG192" s="21" t="str">
        <f>IFERROR(VLOOKUP(November[[#This Row],[Drug Name6]],'Data Options'!$R$1:$S$100,2,FALSE), " ")</f>
        <v xml:space="preserve"> </v>
      </c>
      <c r="BH192" s="55"/>
      <c r="BI192" s="32"/>
      <c r="BJ192" s="32"/>
      <c r="BK192" s="55"/>
      <c r="BL192" s="32"/>
      <c r="BM192" s="32"/>
      <c r="BN192" s="32"/>
      <c r="BO192" s="32"/>
      <c r="BP192" s="32"/>
      <c r="BQ192" s="31"/>
      <c r="BR192" s="31"/>
      <c r="BS192" s="54"/>
      <c r="BT192" s="21" t="str">
        <f>IFERROR(VLOOKUP(November[[#This Row],[Drug Name7]],'Data Options'!$R$1:$S$100,2,FALSE), " ")</f>
        <v xml:space="preserve"> </v>
      </c>
      <c r="BU192" s="55"/>
      <c r="BV192" s="32"/>
      <c r="BW192" s="32"/>
      <c r="BX192" s="55"/>
      <c r="BY192" s="32"/>
      <c r="BZ192" s="54"/>
      <c r="CA192" s="21" t="str">
        <f>IFERROR(VLOOKUP(November[[#This Row],[Drug Name8]],'Data Options'!$R$1:$S$100,2,FALSE), " ")</f>
        <v xml:space="preserve"> </v>
      </c>
      <c r="CB192" s="55"/>
      <c r="CC192" s="32"/>
      <c r="CD192" s="32"/>
      <c r="CE192" s="55"/>
      <c r="CF192" s="32"/>
      <c r="CG192" s="54"/>
      <c r="CH192" s="21" t="str">
        <f>IFERROR(VLOOKUP(November[[#This Row],[Drug Name9]],'Data Options'!$R$1:$S$100,2,FALSE), " ")</f>
        <v xml:space="preserve"> </v>
      </c>
      <c r="CI192" s="55"/>
      <c r="CJ192" s="32"/>
      <c r="CK192" s="32"/>
      <c r="CL192" s="55"/>
      <c r="CM192" s="32"/>
    </row>
    <row r="193" spans="1:91">
      <c r="A193" s="5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1"/>
      <c r="P193" s="31"/>
      <c r="Q193" s="54"/>
      <c r="R193" s="21" t="str">
        <f>IFERROR(VLOOKUP(November[[#This Row],[Drug Name]],'Data Options'!$R$1:$S$100,2,FALSE), " ")</f>
        <v xml:space="preserve"> </v>
      </c>
      <c r="S193" s="55"/>
      <c r="T193" s="32"/>
      <c r="U193" s="32"/>
      <c r="V193" s="55"/>
      <c r="W193" s="32"/>
      <c r="X193" s="54"/>
      <c r="Y193" s="21" t="str">
        <f>IFERROR(VLOOKUP(November[[#This Row],[Drug Name2]],'Data Options'!$R$1:$S$100,2,FALSE), " ")</f>
        <v xml:space="preserve"> </v>
      </c>
      <c r="Z193" s="55"/>
      <c r="AA193" s="32"/>
      <c r="AB193" s="32"/>
      <c r="AC193" s="55"/>
      <c r="AD193" s="32"/>
      <c r="AE193" s="54"/>
      <c r="AF193" s="21" t="str">
        <f>IFERROR(VLOOKUP(November[[#This Row],[Drug Name3]],'Data Options'!$R$1:$S$100,2,FALSE), " ")</f>
        <v xml:space="preserve"> </v>
      </c>
      <c r="AG193" s="55"/>
      <c r="AH193" s="32"/>
      <c r="AI193" s="32"/>
      <c r="AJ193" s="55"/>
      <c r="AK193" s="32"/>
      <c r="AL193" s="32"/>
      <c r="AM193" s="32"/>
      <c r="AN193" s="32"/>
      <c r="AO193" s="32"/>
      <c r="AP193" s="31"/>
      <c r="AQ193" s="31"/>
      <c r="AR193" s="54"/>
      <c r="AS193" s="21" t="str">
        <f>IFERROR(VLOOKUP(November[[#This Row],[Drug Name4]],'Data Options'!$R$1:$S$100,2,FALSE), " ")</f>
        <v xml:space="preserve"> </v>
      </c>
      <c r="AT193" s="55"/>
      <c r="AU193" s="32"/>
      <c r="AV193" s="32"/>
      <c r="AW193" s="55"/>
      <c r="AX193" s="32"/>
      <c r="AY193" s="54"/>
      <c r="AZ193" s="21" t="str">
        <f>IFERROR(VLOOKUP(November[[#This Row],[Drug Name5]],'Data Options'!$R$1:$S$100,2,FALSE), " ")</f>
        <v xml:space="preserve"> </v>
      </c>
      <c r="BA193" s="55"/>
      <c r="BB193" s="32"/>
      <c r="BC193" s="32"/>
      <c r="BD193" s="55"/>
      <c r="BE193" s="32"/>
      <c r="BF193" s="54"/>
      <c r="BG193" s="21" t="str">
        <f>IFERROR(VLOOKUP(November[[#This Row],[Drug Name6]],'Data Options'!$R$1:$S$100,2,FALSE), " ")</f>
        <v xml:space="preserve"> </v>
      </c>
      <c r="BH193" s="55"/>
      <c r="BI193" s="32"/>
      <c r="BJ193" s="32"/>
      <c r="BK193" s="55"/>
      <c r="BL193" s="32"/>
      <c r="BM193" s="32"/>
      <c r="BN193" s="32"/>
      <c r="BO193" s="32"/>
      <c r="BP193" s="32"/>
      <c r="BQ193" s="31"/>
      <c r="BR193" s="31"/>
      <c r="BS193" s="54"/>
      <c r="BT193" s="21" t="str">
        <f>IFERROR(VLOOKUP(November[[#This Row],[Drug Name7]],'Data Options'!$R$1:$S$100,2,FALSE), " ")</f>
        <v xml:space="preserve"> </v>
      </c>
      <c r="BU193" s="55"/>
      <c r="BV193" s="32"/>
      <c r="BW193" s="32"/>
      <c r="BX193" s="55"/>
      <c r="BY193" s="32"/>
      <c r="BZ193" s="54"/>
      <c r="CA193" s="21" t="str">
        <f>IFERROR(VLOOKUP(November[[#This Row],[Drug Name8]],'Data Options'!$R$1:$S$100,2,FALSE), " ")</f>
        <v xml:space="preserve"> </v>
      </c>
      <c r="CB193" s="55"/>
      <c r="CC193" s="32"/>
      <c r="CD193" s="32"/>
      <c r="CE193" s="55"/>
      <c r="CF193" s="32"/>
      <c r="CG193" s="54"/>
      <c r="CH193" s="21" t="str">
        <f>IFERROR(VLOOKUP(November[[#This Row],[Drug Name9]],'Data Options'!$R$1:$S$100,2,FALSE), " ")</f>
        <v xml:space="preserve"> </v>
      </c>
      <c r="CI193" s="55"/>
      <c r="CJ193" s="32"/>
      <c r="CK193" s="32"/>
      <c r="CL193" s="55"/>
      <c r="CM193" s="32"/>
    </row>
    <row r="194" spans="1:91">
      <c r="A194" s="5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1"/>
      <c r="P194" s="31"/>
      <c r="Q194" s="54"/>
      <c r="R194" s="21" t="str">
        <f>IFERROR(VLOOKUP(November[[#This Row],[Drug Name]],'Data Options'!$R$1:$S$100,2,FALSE), " ")</f>
        <v xml:space="preserve"> </v>
      </c>
      <c r="S194" s="55"/>
      <c r="T194" s="32"/>
      <c r="U194" s="32"/>
      <c r="V194" s="55"/>
      <c r="W194" s="32"/>
      <c r="X194" s="54"/>
      <c r="Y194" s="21" t="str">
        <f>IFERROR(VLOOKUP(November[[#This Row],[Drug Name2]],'Data Options'!$R$1:$S$100,2,FALSE), " ")</f>
        <v xml:space="preserve"> </v>
      </c>
      <c r="Z194" s="55"/>
      <c r="AA194" s="32"/>
      <c r="AB194" s="32"/>
      <c r="AC194" s="55"/>
      <c r="AD194" s="32"/>
      <c r="AE194" s="54"/>
      <c r="AF194" s="21" t="str">
        <f>IFERROR(VLOOKUP(November[[#This Row],[Drug Name3]],'Data Options'!$R$1:$S$100,2,FALSE), " ")</f>
        <v xml:space="preserve"> </v>
      </c>
      <c r="AG194" s="55"/>
      <c r="AH194" s="32"/>
      <c r="AI194" s="32"/>
      <c r="AJ194" s="55"/>
      <c r="AK194" s="32"/>
      <c r="AL194" s="32"/>
      <c r="AM194" s="32"/>
      <c r="AN194" s="32"/>
      <c r="AO194" s="32"/>
      <c r="AP194" s="31"/>
      <c r="AQ194" s="31"/>
      <c r="AR194" s="54"/>
      <c r="AS194" s="21" t="str">
        <f>IFERROR(VLOOKUP(November[[#This Row],[Drug Name4]],'Data Options'!$R$1:$S$100,2,FALSE), " ")</f>
        <v xml:space="preserve"> </v>
      </c>
      <c r="AT194" s="55"/>
      <c r="AU194" s="32"/>
      <c r="AV194" s="32"/>
      <c r="AW194" s="55"/>
      <c r="AX194" s="32"/>
      <c r="AY194" s="54"/>
      <c r="AZ194" s="21" t="str">
        <f>IFERROR(VLOOKUP(November[[#This Row],[Drug Name5]],'Data Options'!$R$1:$S$100,2,FALSE), " ")</f>
        <v xml:space="preserve"> </v>
      </c>
      <c r="BA194" s="55"/>
      <c r="BB194" s="32"/>
      <c r="BC194" s="32"/>
      <c r="BD194" s="55"/>
      <c r="BE194" s="32"/>
      <c r="BF194" s="54"/>
      <c r="BG194" s="21" t="str">
        <f>IFERROR(VLOOKUP(November[[#This Row],[Drug Name6]],'Data Options'!$R$1:$S$100,2,FALSE), " ")</f>
        <v xml:space="preserve"> </v>
      </c>
      <c r="BH194" s="55"/>
      <c r="BI194" s="32"/>
      <c r="BJ194" s="32"/>
      <c r="BK194" s="55"/>
      <c r="BL194" s="32"/>
      <c r="BM194" s="32"/>
      <c r="BN194" s="32"/>
      <c r="BO194" s="32"/>
      <c r="BP194" s="32"/>
      <c r="BQ194" s="31"/>
      <c r="BR194" s="31"/>
      <c r="BS194" s="54"/>
      <c r="BT194" s="21" t="str">
        <f>IFERROR(VLOOKUP(November[[#This Row],[Drug Name7]],'Data Options'!$R$1:$S$100,2,FALSE), " ")</f>
        <v xml:space="preserve"> </v>
      </c>
      <c r="BU194" s="55"/>
      <c r="BV194" s="32"/>
      <c r="BW194" s="32"/>
      <c r="BX194" s="55"/>
      <c r="BY194" s="32"/>
      <c r="BZ194" s="54"/>
      <c r="CA194" s="21" t="str">
        <f>IFERROR(VLOOKUP(November[[#This Row],[Drug Name8]],'Data Options'!$R$1:$S$100,2,FALSE), " ")</f>
        <v xml:space="preserve"> </v>
      </c>
      <c r="CB194" s="55"/>
      <c r="CC194" s="32"/>
      <c r="CD194" s="32"/>
      <c r="CE194" s="55"/>
      <c r="CF194" s="32"/>
      <c r="CG194" s="54"/>
      <c r="CH194" s="21" t="str">
        <f>IFERROR(VLOOKUP(November[[#This Row],[Drug Name9]],'Data Options'!$R$1:$S$100,2,FALSE), " ")</f>
        <v xml:space="preserve"> </v>
      </c>
      <c r="CI194" s="55"/>
      <c r="CJ194" s="32"/>
      <c r="CK194" s="32"/>
      <c r="CL194" s="55"/>
      <c r="CM194" s="32"/>
    </row>
    <row r="195" spans="1:91">
      <c r="A195" s="5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1"/>
      <c r="P195" s="31"/>
      <c r="Q195" s="54"/>
      <c r="R195" s="21" t="str">
        <f>IFERROR(VLOOKUP(November[[#This Row],[Drug Name]],'Data Options'!$R$1:$S$100,2,FALSE), " ")</f>
        <v xml:space="preserve"> </v>
      </c>
      <c r="S195" s="55"/>
      <c r="T195" s="32"/>
      <c r="U195" s="32"/>
      <c r="V195" s="55"/>
      <c r="W195" s="32"/>
      <c r="X195" s="54"/>
      <c r="Y195" s="21" t="str">
        <f>IFERROR(VLOOKUP(November[[#This Row],[Drug Name2]],'Data Options'!$R$1:$S$100,2,FALSE), " ")</f>
        <v xml:space="preserve"> </v>
      </c>
      <c r="Z195" s="55"/>
      <c r="AA195" s="32"/>
      <c r="AB195" s="32"/>
      <c r="AC195" s="55"/>
      <c r="AD195" s="32"/>
      <c r="AE195" s="54"/>
      <c r="AF195" s="21" t="str">
        <f>IFERROR(VLOOKUP(November[[#This Row],[Drug Name3]],'Data Options'!$R$1:$S$100,2,FALSE), " ")</f>
        <v xml:space="preserve"> </v>
      </c>
      <c r="AG195" s="55"/>
      <c r="AH195" s="32"/>
      <c r="AI195" s="32"/>
      <c r="AJ195" s="55"/>
      <c r="AK195" s="32"/>
      <c r="AL195" s="32"/>
      <c r="AM195" s="32"/>
      <c r="AN195" s="32"/>
      <c r="AO195" s="32"/>
      <c r="AP195" s="31"/>
      <c r="AQ195" s="31"/>
      <c r="AR195" s="54"/>
      <c r="AS195" s="21" t="str">
        <f>IFERROR(VLOOKUP(November[[#This Row],[Drug Name4]],'Data Options'!$R$1:$S$100,2,FALSE), " ")</f>
        <v xml:space="preserve"> </v>
      </c>
      <c r="AT195" s="55"/>
      <c r="AU195" s="32"/>
      <c r="AV195" s="32"/>
      <c r="AW195" s="55"/>
      <c r="AX195" s="32"/>
      <c r="AY195" s="54"/>
      <c r="AZ195" s="21" t="str">
        <f>IFERROR(VLOOKUP(November[[#This Row],[Drug Name5]],'Data Options'!$R$1:$S$100,2,FALSE), " ")</f>
        <v xml:space="preserve"> </v>
      </c>
      <c r="BA195" s="55"/>
      <c r="BB195" s="32"/>
      <c r="BC195" s="32"/>
      <c r="BD195" s="55"/>
      <c r="BE195" s="32"/>
      <c r="BF195" s="54"/>
      <c r="BG195" s="21" t="str">
        <f>IFERROR(VLOOKUP(November[[#This Row],[Drug Name6]],'Data Options'!$R$1:$S$100,2,FALSE), " ")</f>
        <v xml:space="preserve"> </v>
      </c>
      <c r="BH195" s="55"/>
      <c r="BI195" s="32"/>
      <c r="BJ195" s="32"/>
      <c r="BK195" s="55"/>
      <c r="BL195" s="32"/>
      <c r="BM195" s="32"/>
      <c r="BN195" s="32"/>
      <c r="BO195" s="32"/>
      <c r="BP195" s="32"/>
      <c r="BQ195" s="31"/>
      <c r="BR195" s="31"/>
      <c r="BS195" s="54"/>
      <c r="BT195" s="21" t="str">
        <f>IFERROR(VLOOKUP(November[[#This Row],[Drug Name7]],'Data Options'!$R$1:$S$100,2,FALSE), " ")</f>
        <v xml:space="preserve"> </v>
      </c>
      <c r="BU195" s="55"/>
      <c r="BV195" s="32"/>
      <c r="BW195" s="32"/>
      <c r="BX195" s="55"/>
      <c r="BY195" s="32"/>
      <c r="BZ195" s="54"/>
      <c r="CA195" s="21" t="str">
        <f>IFERROR(VLOOKUP(November[[#This Row],[Drug Name8]],'Data Options'!$R$1:$S$100,2,FALSE), " ")</f>
        <v xml:space="preserve"> </v>
      </c>
      <c r="CB195" s="55"/>
      <c r="CC195" s="32"/>
      <c r="CD195" s="32"/>
      <c r="CE195" s="55"/>
      <c r="CF195" s="32"/>
      <c r="CG195" s="54"/>
      <c r="CH195" s="21" t="str">
        <f>IFERROR(VLOOKUP(November[[#This Row],[Drug Name9]],'Data Options'!$R$1:$S$100,2,FALSE), " ")</f>
        <v xml:space="preserve"> </v>
      </c>
      <c r="CI195" s="55"/>
      <c r="CJ195" s="32"/>
      <c r="CK195" s="32"/>
      <c r="CL195" s="55"/>
      <c r="CM195" s="32"/>
    </row>
    <row r="196" spans="1:91">
      <c r="A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1"/>
      <c r="P196" s="31"/>
      <c r="Q196" s="54"/>
      <c r="R196" s="21" t="str">
        <f>IFERROR(VLOOKUP(November[[#This Row],[Drug Name]],'Data Options'!$R$1:$S$100,2,FALSE), " ")</f>
        <v xml:space="preserve"> </v>
      </c>
      <c r="S196" s="55"/>
      <c r="T196" s="32"/>
      <c r="U196" s="32"/>
      <c r="V196" s="55"/>
      <c r="W196" s="32"/>
      <c r="X196" s="54"/>
      <c r="Y196" s="21" t="str">
        <f>IFERROR(VLOOKUP(November[[#This Row],[Drug Name2]],'Data Options'!$R$1:$S$100,2,FALSE), " ")</f>
        <v xml:space="preserve"> </v>
      </c>
      <c r="Z196" s="55"/>
      <c r="AA196" s="32"/>
      <c r="AB196" s="32"/>
      <c r="AC196" s="55"/>
      <c r="AD196" s="32"/>
      <c r="AE196" s="54"/>
      <c r="AF196" s="21" t="str">
        <f>IFERROR(VLOOKUP(November[[#This Row],[Drug Name3]],'Data Options'!$R$1:$S$100,2,FALSE), " ")</f>
        <v xml:space="preserve"> </v>
      </c>
      <c r="AG196" s="55"/>
      <c r="AH196" s="32"/>
      <c r="AI196" s="32"/>
      <c r="AJ196" s="55"/>
      <c r="AK196" s="32"/>
      <c r="AL196" s="32"/>
      <c r="AM196" s="32"/>
      <c r="AN196" s="32"/>
      <c r="AO196" s="32"/>
      <c r="AP196" s="31"/>
      <c r="AQ196" s="31"/>
      <c r="AR196" s="54"/>
      <c r="AS196" s="21" t="str">
        <f>IFERROR(VLOOKUP(November[[#This Row],[Drug Name4]],'Data Options'!$R$1:$S$100,2,FALSE), " ")</f>
        <v xml:space="preserve"> </v>
      </c>
      <c r="AT196" s="55"/>
      <c r="AU196" s="32"/>
      <c r="AV196" s="32"/>
      <c r="AW196" s="55"/>
      <c r="AX196" s="32"/>
      <c r="AY196" s="54"/>
      <c r="AZ196" s="21" t="str">
        <f>IFERROR(VLOOKUP(November[[#This Row],[Drug Name5]],'Data Options'!$R$1:$S$100,2,FALSE), " ")</f>
        <v xml:space="preserve"> </v>
      </c>
      <c r="BA196" s="55"/>
      <c r="BB196" s="32"/>
      <c r="BC196" s="32"/>
      <c r="BD196" s="55"/>
      <c r="BE196" s="32"/>
      <c r="BF196" s="54"/>
      <c r="BG196" s="21" t="str">
        <f>IFERROR(VLOOKUP(November[[#This Row],[Drug Name6]],'Data Options'!$R$1:$S$100,2,FALSE), " ")</f>
        <v xml:space="preserve"> </v>
      </c>
      <c r="BH196" s="55"/>
      <c r="BI196" s="32"/>
      <c r="BJ196" s="32"/>
      <c r="BK196" s="55"/>
      <c r="BL196" s="32"/>
      <c r="BM196" s="32"/>
      <c r="BN196" s="32"/>
      <c r="BO196" s="32"/>
      <c r="BP196" s="32"/>
      <c r="BQ196" s="31"/>
      <c r="BR196" s="31"/>
      <c r="BS196" s="54"/>
      <c r="BT196" s="21" t="str">
        <f>IFERROR(VLOOKUP(November[[#This Row],[Drug Name7]],'Data Options'!$R$1:$S$100,2,FALSE), " ")</f>
        <v xml:space="preserve"> </v>
      </c>
      <c r="BU196" s="55"/>
      <c r="BV196" s="32"/>
      <c r="BW196" s="32"/>
      <c r="BX196" s="55"/>
      <c r="BY196" s="32"/>
      <c r="BZ196" s="54"/>
      <c r="CA196" s="21" t="str">
        <f>IFERROR(VLOOKUP(November[[#This Row],[Drug Name8]],'Data Options'!$R$1:$S$100,2,FALSE), " ")</f>
        <v xml:space="preserve"> </v>
      </c>
      <c r="CB196" s="55"/>
      <c r="CC196" s="32"/>
      <c r="CD196" s="32"/>
      <c r="CE196" s="55"/>
      <c r="CF196" s="32"/>
      <c r="CG196" s="54"/>
      <c r="CH196" s="21" t="str">
        <f>IFERROR(VLOOKUP(November[[#This Row],[Drug Name9]],'Data Options'!$R$1:$S$100,2,FALSE), " ")</f>
        <v xml:space="preserve"> </v>
      </c>
      <c r="CI196" s="55"/>
      <c r="CJ196" s="32"/>
      <c r="CK196" s="32"/>
      <c r="CL196" s="55"/>
      <c r="CM196" s="32"/>
    </row>
    <row r="197" spans="1:91">
      <c r="A197" s="5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1"/>
      <c r="P197" s="31"/>
      <c r="Q197" s="54"/>
      <c r="R197" s="21" t="str">
        <f>IFERROR(VLOOKUP(November[[#This Row],[Drug Name]],'Data Options'!$R$1:$S$100,2,FALSE), " ")</f>
        <v xml:space="preserve"> </v>
      </c>
      <c r="S197" s="55"/>
      <c r="T197" s="32"/>
      <c r="U197" s="32"/>
      <c r="V197" s="55"/>
      <c r="W197" s="32"/>
      <c r="X197" s="54"/>
      <c r="Y197" s="21" t="str">
        <f>IFERROR(VLOOKUP(November[[#This Row],[Drug Name2]],'Data Options'!$R$1:$S$100,2,FALSE), " ")</f>
        <v xml:space="preserve"> </v>
      </c>
      <c r="Z197" s="55"/>
      <c r="AA197" s="32"/>
      <c r="AB197" s="32"/>
      <c r="AC197" s="55"/>
      <c r="AD197" s="32"/>
      <c r="AE197" s="54"/>
      <c r="AF197" s="21" t="str">
        <f>IFERROR(VLOOKUP(November[[#This Row],[Drug Name3]],'Data Options'!$R$1:$S$100,2,FALSE), " ")</f>
        <v xml:space="preserve"> </v>
      </c>
      <c r="AG197" s="55"/>
      <c r="AH197" s="32"/>
      <c r="AI197" s="32"/>
      <c r="AJ197" s="55"/>
      <c r="AK197" s="32"/>
      <c r="AL197" s="32"/>
      <c r="AM197" s="32"/>
      <c r="AN197" s="32"/>
      <c r="AO197" s="32"/>
      <c r="AP197" s="31"/>
      <c r="AQ197" s="31"/>
      <c r="AR197" s="54"/>
      <c r="AS197" s="21" t="str">
        <f>IFERROR(VLOOKUP(November[[#This Row],[Drug Name4]],'Data Options'!$R$1:$S$100,2,FALSE), " ")</f>
        <v xml:space="preserve"> </v>
      </c>
      <c r="AT197" s="55"/>
      <c r="AU197" s="32"/>
      <c r="AV197" s="32"/>
      <c r="AW197" s="55"/>
      <c r="AX197" s="32"/>
      <c r="AY197" s="54"/>
      <c r="AZ197" s="21" t="str">
        <f>IFERROR(VLOOKUP(November[[#This Row],[Drug Name5]],'Data Options'!$R$1:$S$100,2,FALSE), " ")</f>
        <v xml:space="preserve"> </v>
      </c>
      <c r="BA197" s="55"/>
      <c r="BB197" s="32"/>
      <c r="BC197" s="32"/>
      <c r="BD197" s="55"/>
      <c r="BE197" s="32"/>
      <c r="BF197" s="54"/>
      <c r="BG197" s="21" t="str">
        <f>IFERROR(VLOOKUP(November[[#This Row],[Drug Name6]],'Data Options'!$R$1:$S$100,2,FALSE), " ")</f>
        <v xml:space="preserve"> </v>
      </c>
      <c r="BH197" s="55"/>
      <c r="BI197" s="32"/>
      <c r="BJ197" s="32"/>
      <c r="BK197" s="55"/>
      <c r="BL197" s="32"/>
      <c r="BM197" s="32"/>
      <c r="BN197" s="32"/>
      <c r="BO197" s="32"/>
      <c r="BP197" s="32"/>
      <c r="BQ197" s="31"/>
      <c r="BR197" s="31"/>
      <c r="BS197" s="54"/>
      <c r="BT197" s="21" t="str">
        <f>IFERROR(VLOOKUP(November[[#This Row],[Drug Name7]],'Data Options'!$R$1:$S$100,2,FALSE), " ")</f>
        <v xml:space="preserve"> </v>
      </c>
      <c r="BU197" s="55"/>
      <c r="BV197" s="32"/>
      <c r="BW197" s="32"/>
      <c r="BX197" s="55"/>
      <c r="BY197" s="32"/>
      <c r="BZ197" s="54"/>
      <c r="CA197" s="21" t="str">
        <f>IFERROR(VLOOKUP(November[[#This Row],[Drug Name8]],'Data Options'!$R$1:$S$100,2,FALSE), " ")</f>
        <v xml:space="preserve"> </v>
      </c>
      <c r="CB197" s="55"/>
      <c r="CC197" s="32"/>
      <c r="CD197" s="32"/>
      <c r="CE197" s="55"/>
      <c r="CF197" s="32"/>
      <c r="CG197" s="54"/>
      <c r="CH197" s="21" t="str">
        <f>IFERROR(VLOOKUP(November[[#This Row],[Drug Name9]],'Data Options'!$R$1:$S$100,2,FALSE), " ")</f>
        <v xml:space="preserve"> </v>
      </c>
      <c r="CI197" s="55"/>
      <c r="CJ197" s="32"/>
      <c r="CK197" s="32"/>
      <c r="CL197" s="55"/>
      <c r="CM197" s="32"/>
    </row>
    <row r="198" spans="1:91">
      <c r="A198" s="5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1"/>
      <c r="P198" s="31"/>
      <c r="Q198" s="54"/>
      <c r="R198" s="21" t="str">
        <f>IFERROR(VLOOKUP(November[[#This Row],[Drug Name]],'Data Options'!$R$1:$S$100,2,FALSE), " ")</f>
        <v xml:space="preserve"> </v>
      </c>
      <c r="S198" s="55"/>
      <c r="T198" s="32"/>
      <c r="U198" s="32"/>
      <c r="V198" s="55"/>
      <c r="W198" s="32"/>
      <c r="X198" s="54"/>
      <c r="Y198" s="21" t="str">
        <f>IFERROR(VLOOKUP(November[[#This Row],[Drug Name2]],'Data Options'!$R$1:$S$100,2,FALSE), " ")</f>
        <v xml:space="preserve"> </v>
      </c>
      <c r="Z198" s="55"/>
      <c r="AA198" s="32"/>
      <c r="AB198" s="32"/>
      <c r="AC198" s="55"/>
      <c r="AD198" s="32"/>
      <c r="AE198" s="54"/>
      <c r="AF198" s="21" t="str">
        <f>IFERROR(VLOOKUP(November[[#This Row],[Drug Name3]],'Data Options'!$R$1:$S$100,2,FALSE), " ")</f>
        <v xml:space="preserve"> </v>
      </c>
      <c r="AG198" s="55"/>
      <c r="AH198" s="32"/>
      <c r="AI198" s="32"/>
      <c r="AJ198" s="55"/>
      <c r="AK198" s="32"/>
      <c r="AL198" s="32"/>
      <c r="AM198" s="32"/>
      <c r="AN198" s="32"/>
      <c r="AO198" s="32"/>
      <c r="AP198" s="31"/>
      <c r="AQ198" s="31"/>
      <c r="AR198" s="54"/>
      <c r="AS198" s="21" t="str">
        <f>IFERROR(VLOOKUP(November[[#This Row],[Drug Name4]],'Data Options'!$R$1:$S$100,2,FALSE), " ")</f>
        <v xml:space="preserve"> </v>
      </c>
      <c r="AT198" s="55"/>
      <c r="AU198" s="32"/>
      <c r="AV198" s="32"/>
      <c r="AW198" s="55"/>
      <c r="AX198" s="32"/>
      <c r="AY198" s="54"/>
      <c r="AZ198" s="21" t="str">
        <f>IFERROR(VLOOKUP(November[[#This Row],[Drug Name5]],'Data Options'!$R$1:$S$100,2,FALSE), " ")</f>
        <v xml:space="preserve"> </v>
      </c>
      <c r="BA198" s="55"/>
      <c r="BB198" s="32"/>
      <c r="BC198" s="32"/>
      <c r="BD198" s="55"/>
      <c r="BE198" s="32"/>
      <c r="BF198" s="54"/>
      <c r="BG198" s="21" t="str">
        <f>IFERROR(VLOOKUP(November[[#This Row],[Drug Name6]],'Data Options'!$R$1:$S$100,2,FALSE), " ")</f>
        <v xml:space="preserve"> </v>
      </c>
      <c r="BH198" s="55"/>
      <c r="BI198" s="32"/>
      <c r="BJ198" s="32"/>
      <c r="BK198" s="55"/>
      <c r="BL198" s="32"/>
      <c r="BM198" s="32"/>
      <c r="BN198" s="32"/>
      <c r="BO198" s="32"/>
      <c r="BP198" s="32"/>
      <c r="BQ198" s="31"/>
      <c r="BR198" s="31"/>
      <c r="BS198" s="54"/>
      <c r="BT198" s="21" t="str">
        <f>IFERROR(VLOOKUP(November[[#This Row],[Drug Name7]],'Data Options'!$R$1:$S$100,2,FALSE), " ")</f>
        <v xml:space="preserve"> </v>
      </c>
      <c r="BU198" s="55"/>
      <c r="BV198" s="32"/>
      <c r="BW198" s="32"/>
      <c r="BX198" s="55"/>
      <c r="BY198" s="32"/>
      <c r="BZ198" s="54"/>
      <c r="CA198" s="21" t="str">
        <f>IFERROR(VLOOKUP(November[[#This Row],[Drug Name8]],'Data Options'!$R$1:$S$100,2,FALSE), " ")</f>
        <v xml:space="preserve"> </v>
      </c>
      <c r="CB198" s="55"/>
      <c r="CC198" s="32"/>
      <c r="CD198" s="32"/>
      <c r="CE198" s="55"/>
      <c r="CF198" s="32"/>
      <c r="CG198" s="54"/>
      <c r="CH198" s="21" t="str">
        <f>IFERROR(VLOOKUP(November[[#This Row],[Drug Name9]],'Data Options'!$R$1:$S$100,2,FALSE), " ")</f>
        <v xml:space="preserve"> </v>
      </c>
      <c r="CI198" s="55"/>
      <c r="CJ198" s="32"/>
      <c r="CK198" s="32"/>
      <c r="CL198" s="55"/>
      <c r="CM198" s="32"/>
    </row>
    <row r="199" spans="1:91">
      <c r="A199" s="5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1"/>
      <c r="P199" s="31"/>
      <c r="Q199" s="54"/>
      <c r="R199" s="21" t="str">
        <f>IFERROR(VLOOKUP(November[[#This Row],[Drug Name]],'Data Options'!$R$1:$S$100,2,FALSE), " ")</f>
        <v xml:space="preserve"> </v>
      </c>
      <c r="S199" s="55"/>
      <c r="T199" s="32"/>
      <c r="U199" s="32"/>
      <c r="V199" s="55"/>
      <c r="W199" s="32"/>
      <c r="X199" s="54"/>
      <c r="Y199" s="21" t="str">
        <f>IFERROR(VLOOKUP(November[[#This Row],[Drug Name2]],'Data Options'!$R$1:$S$100,2,FALSE), " ")</f>
        <v xml:space="preserve"> </v>
      </c>
      <c r="Z199" s="55"/>
      <c r="AA199" s="32"/>
      <c r="AB199" s="32"/>
      <c r="AC199" s="55"/>
      <c r="AD199" s="32"/>
      <c r="AE199" s="54"/>
      <c r="AF199" s="21" t="str">
        <f>IFERROR(VLOOKUP(November[[#This Row],[Drug Name3]],'Data Options'!$R$1:$S$100,2,FALSE), " ")</f>
        <v xml:space="preserve"> </v>
      </c>
      <c r="AG199" s="55"/>
      <c r="AH199" s="32"/>
      <c r="AI199" s="32"/>
      <c r="AJ199" s="55"/>
      <c r="AK199" s="32"/>
      <c r="AL199" s="32"/>
      <c r="AM199" s="32"/>
      <c r="AN199" s="32"/>
      <c r="AO199" s="32"/>
      <c r="AP199" s="31"/>
      <c r="AQ199" s="31"/>
      <c r="AR199" s="54"/>
      <c r="AS199" s="21" t="str">
        <f>IFERROR(VLOOKUP(November[[#This Row],[Drug Name4]],'Data Options'!$R$1:$S$100,2,FALSE), " ")</f>
        <v xml:space="preserve"> </v>
      </c>
      <c r="AT199" s="55"/>
      <c r="AU199" s="32"/>
      <c r="AV199" s="32"/>
      <c r="AW199" s="55"/>
      <c r="AX199" s="32"/>
      <c r="AY199" s="54"/>
      <c r="AZ199" s="21" t="str">
        <f>IFERROR(VLOOKUP(November[[#This Row],[Drug Name5]],'Data Options'!$R$1:$S$100,2,FALSE), " ")</f>
        <v xml:space="preserve"> </v>
      </c>
      <c r="BA199" s="55"/>
      <c r="BB199" s="32"/>
      <c r="BC199" s="32"/>
      <c r="BD199" s="55"/>
      <c r="BE199" s="32"/>
      <c r="BF199" s="54"/>
      <c r="BG199" s="21" t="str">
        <f>IFERROR(VLOOKUP(November[[#This Row],[Drug Name6]],'Data Options'!$R$1:$S$100,2,FALSE), " ")</f>
        <v xml:space="preserve"> </v>
      </c>
      <c r="BH199" s="55"/>
      <c r="BI199" s="32"/>
      <c r="BJ199" s="32"/>
      <c r="BK199" s="55"/>
      <c r="BL199" s="32"/>
      <c r="BM199" s="32"/>
      <c r="BN199" s="32"/>
      <c r="BO199" s="32"/>
      <c r="BP199" s="32"/>
      <c r="BQ199" s="31"/>
      <c r="BR199" s="31"/>
      <c r="BS199" s="54"/>
      <c r="BT199" s="21" t="str">
        <f>IFERROR(VLOOKUP(November[[#This Row],[Drug Name7]],'Data Options'!$R$1:$S$100,2,FALSE), " ")</f>
        <v xml:space="preserve"> </v>
      </c>
      <c r="BU199" s="55"/>
      <c r="BV199" s="32"/>
      <c r="BW199" s="32"/>
      <c r="BX199" s="55"/>
      <c r="BY199" s="32"/>
      <c r="BZ199" s="54"/>
      <c r="CA199" s="21" t="str">
        <f>IFERROR(VLOOKUP(November[[#This Row],[Drug Name8]],'Data Options'!$R$1:$S$100,2,FALSE), " ")</f>
        <v xml:space="preserve"> </v>
      </c>
      <c r="CB199" s="55"/>
      <c r="CC199" s="32"/>
      <c r="CD199" s="32"/>
      <c r="CE199" s="55"/>
      <c r="CF199" s="32"/>
      <c r="CG199" s="54"/>
      <c r="CH199" s="21" t="str">
        <f>IFERROR(VLOOKUP(November[[#This Row],[Drug Name9]],'Data Options'!$R$1:$S$100,2,FALSE), " ")</f>
        <v xml:space="preserve"> </v>
      </c>
      <c r="CI199" s="55"/>
      <c r="CJ199" s="32"/>
      <c r="CK199" s="32"/>
      <c r="CL199" s="55"/>
      <c r="CM199" s="32"/>
    </row>
    <row r="200" spans="1:91">
      <c r="A200" s="5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1"/>
      <c r="P200" s="31"/>
      <c r="Q200" s="54"/>
      <c r="R200" s="21" t="str">
        <f>IFERROR(VLOOKUP(November[[#This Row],[Drug Name]],'Data Options'!$R$1:$S$100,2,FALSE), " ")</f>
        <v xml:space="preserve"> </v>
      </c>
      <c r="S200" s="55"/>
      <c r="T200" s="32"/>
      <c r="U200" s="32"/>
      <c r="V200" s="55"/>
      <c r="W200" s="32"/>
      <c r="X200" s="54"/>
      <c r="Y200" s="21" t="str">
        <f>IFERROR(VLOOKUP(November[[#This Row],[Drug Name2]],'Data Options'!$R$1:$S$100,2,FALSE), " ")</f>
        <v xml:space="preserve"> </v>
      </c>
      <c r="Z200" s="55"/>
      <c r="AA200" s="32"/>
      <c r="AB200" s="32"/>
      <c r="AC200" s="55"/>
      <c r="AD200" s="32"/>
      <c r="AE200" s="54"/>
      <c r="AF200" s="21" t="str">
        <f>IFERROR(VLOOKUP(November[[#This Row],[Drug Name3]],'Data Options'!$R$1:$S$100,2,FALSE), " ")</f>
        <v xml:space="preserve"> </v>
      </c>
      <c r="AG200" s="55"/>
      <c r="AH200" s="32"/>
      <c r="AI200" s="32"/>
      <c r="AJ200" s="55"/>
      <c r="AK200" s="32"/>
      <c r="AL200" s="32"/>
      <c r="AM200" s="32"/>
      <c r="AN200" s="32"/>
      <c r="AO200" s="32"/>
      <c r="AP200" s="31"/>
      <c r="AQ200" s="31"/>
      <c r="AR200" s="54"/>
      <c r="AS200" s="21" t="str">
        <f>IFERROR(VLOOKUP(November[[#This Row],[Drug Name4]],'Data Options'!$R$1:$S$100,2,FALSE), " ")</f>
        <v xml:space="preserve"> </v>
      </c>
      <c r="AT200" s="55"/>
      <c r="AU200" s="32"/>
      <c r="AV200" s="32"/>
      <c r="AW200" s="55"/>
      <c r="AX200" s="32"/>
      <c r="AY200" s="54"/>
      <c r="AZ200" s="21" t="str">
        <f>IFERROR(VLOOKUP(November[[#This Row],[Drug Name5]],'Data Options'!$R$1:$S$100,2,FALSE), " ")</f>
        <v xml:space="preserve"> </v>
      </c>
      <c r="BA200" s="55"/>
      <c r="BB200" s="32"/>
      <c r="BC200" s="32"/>
      <c r="BD200" s="55"/>
      <c r="BE200" s="32"/>
      <c r="BF200" s="54"/>
      <c r="BG200" s="21" t="str">
        <f>IFERROR(VLOOKUP(November[[#This Row],[Drug Name6]],'Data Options'!$R$1:$S$100,2,FALSE), " ")</f>
        <v xml:space="preserve"> </v>
      </c>
      <c r="BH200" s="55"/>
      <c r="BI200" s="32"/>
      <c r="BJ200" s="32"/>
      <c r="BK200" s="55"/>
      <c r="BL200" s="32"/>
      <c r="BM200" s="32"/>
      <c r="BN200" s="32"/>
      <c r="BO200" s="32"/>
      <c r="BP200" s="32"/>
      <c r="BQ200" s="31"/>
      <c r="BR200" s="31"/>
      <c r="BS200" s="54"/>
      <c r="BT200" s="21" t="str">
        <f>IFERROR(VLOOKUP(November[[#This Row],[Drug Name7]],'Data Options'!$R$1:$S$100,2,FALSE), " ")</f>
        <v xml:space="preserve"> </v>
      </c>
      <c r="BU200" s="55"/>
      <c r="BV200" s="32"/>
      <c r="BW200" s="32"/>
      <c r="BX200" s="55"/>
      <c r="BY200" s="32"/>
      <c r="BZ200" s="54"/>
      <c r="CA200" s="21" t="str">
        <f>IFERROR(VLOOKUP(November[[#This Row],[Drug Name8]],'Data Options'!$R$1:$S$100,2,FALSE), " ")</f>
        <v xml:space="preserve"> </v>
      </c>
      <c r="CB200" s="55"/>
      <c r="CC200" s="32"/>
      <c r="CD200" s="32"/>
      <c r="CE200" s="55"/>
      <c r="CF200" s="32"/>
      <c r="CG200" s="54"/>
      <c r="CH200" s="21" t="str">
        <f>IFERROR(VLOOKUP(November[[#This Row],[Drug Name9]],'Data Options'!$R$1:$S$100,2,FALSE), " ")</f>
        <v xml:space="preserve"> </v>
      </c>
      <c r="CI200" s="55"/>
      <c r="CJ200" s="32"/>
      <c r="CK200" s="32"/>
      <c r="CL200" s="55"/>
      <c r="CM200" s="32"/>
    </row>
    <row r="201" spans="1:91">
      <c r="A201" s="5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1"/>
      <c r="P201" s="31"/>
      <c r="Q201" s="54"/>
      <c r="R201" s="21" t="str">
        <f>IFERROR(VLOOKUP(November[[#This Row],[Drug Name]],'Data Options'!$R$1:$S$100,2,FALSE), " ")</f>
        <v xml:space="preserve"> </v>
      </c>
      <c r="S201" s="55"/>
      <c r="T201" s="32"/>
      <c r="U201" s="32"/>
      <c r="V201" s="55"/>
      <c r="W201" s="32"/>
      <c r="X201" s="54"/>
      <c r="Y201" s="21" t="str">
        <f>IFERROR(VLOOKUP(November[[#This Row],[Drug Name2]],'Data Options'!$R$1:$S$100,2,FALSE), " ")</f>
        <v xml:space="preserve"> </v>
      </c>
      <c r="Z201" s="55"/>
      <c r="AA201" s="32"/>
      <c r="AB201" s="32"/>
      <c r="AC201" s="55"/>
      <c r="AD201" s="32"/>
      <c r="AE201" s="54"/>
      <c r="AF201" s="21" t="str">
        <f>IFERROR(VLOOKUP(November[[#This Row],[Drug Name3]],'Data Options'!$R$1:$S$100,2,FALSE), " ")</f>
        <v xml:space="preserve"> </v>
      </c>
      <c r="AG201" s="55"/>
      <c r="AH201" s="32"/>
      <c r="AI201" s="32"/>
      <c r="AJ201" s="55"/>
      <c r="AK201" s="32"/>
      <c r="AL201" s="32"/>
      <c r="AM201" s="32"/>
      <c r="AN201" s="32"/>
      <c r="AO201" s="32"/>
      <c r="AP201" s="31"/>
      <c r="AQ201" s="31"/>
      <c r="AR201" s="54"/>
      <c r="AS201" s="21" t="str">
        <f>IFERROR(VLOOKUP(November[[#This Row],[Drug Name4]],'Data Options'!$R$1:$S$100,2,FALSE), " ")</f>
        <v xml:space="preserve"> </v>
      </c>
      <c r="AT201" s="55"/>
      <c r="AU201" s="32"/>
      <c r="AV201" s="32"/>
      <c r="AW201" s="55"/>
      <c r="AX201" s="32"/>
      <c r="AY201" s="54"/>
      <c r="AZ201" s="21" t="str">
        <f>IFERROR(VLOOKUP(November[[#This Row],[Drug Name5]],'Data Options'!$R$1:$S$100,2,FALSE), " ")</f>
        <v xml:space="preserve"> </v>
      </c>
      <c r="BA201" s="55"/>
      <c r="BB201" s="32"/>
      <c r="BC201" s="32"/>
      <c r="BD201" s="55"/>
      <c r="BE201" s="32"/>
      <c r="BF201" s="54"/>
      <c r="BG201" s="21" t="str">
        <f>IFERROR(VLOOKUP(November[[#This Row],[Drug Name6]],'Data Options'!$R$1:$S$100,2,FALSE), " ")</f>
        <v xml:space="preserve"> </v>
      </c>
      <c r="BH201" s="55"/>
      <c r="BI201" s="32"/>
      <c r="BJ201" s="32"/>
      <c r="BK201" s="55"/>
      <c r="BL201" s="32"/>
      <c r="BM201" s="32"/>
      <c r="BN201" s="32"/>
      <c r="BO201" s="32"/>
      <c r="BP201" s="32"/>
      <c r="BQ201" s="31"/>
      <c r="BR201" s="31"/>
      <c r="BS201" s="54"/>
      <c r="BT201" s="21" t="str">
        <f>IFERROR(VLOOKUP(November[[#This Row],[Drug Name7]],'Data Options'!$R$1:$S$100,2,FALSE), " ")</f>
        <v xml:space="preserve"> </v>
      </c>
      <c r="BU201" s="55"/>
      <c r="BV201" s="32"/>
      <c r="BW201" s="32"/>
      <c r="BX201" s="55"/>
      <c r="BY201" s="32"/>
      <c r="BZ201" s="54"/>
      <c r="CA201" s="21" t="str">
        <f>IFERROR(VLOOKUP(November[[#This Row],[Drug Name8]],'Data Options'!$R$1:$S$100,2,FALSE), " ")</f>
        <v xml:space="preserve"> </v>
      </c>
      <c r="CB201" s="55"/>
      <c r="CC201" s="32"/>
      <c r="CD201" s="32"/>
      <c r="CE201" s="55"/>
      <c r="CF201" s="32"/>
      <c r="CG201" s="54"/>
      <c r="CH201" s="21" t="str">
        <f>IFERROR(VLOOKUP(November[[#This Row],[Drug Name9]],'Data Options'!$R$1:$S$100,2,FALSE), " ")</f>
        <v xml:space="preserve"> </v>
      </c>
      <c r="CI201" s="55"/>
      <c r="CJ201" s="32"/>
      <c r="CK201" s="32"/>
      <c r="CL201" s="55"/>
      <c r="CM201" s="32"/>
    </row>
    <row r="202" spans="1:91">
      <c r="A202" s="24" t="s">
        <v>239</v>
      </c>
      <c r="X202" s="54"/>
      <c r="Z202" s="32"/>
      <c r="AA202" s="32"/>
      <c r="AB202" s="32"/>
      <c r="AC202" s="32"/>
      <c r="AD202" s="32"/>
      <c r="AE202" s="54"/>
      <c r="AG202" s="32"/>
      <c r="AH202" s="32"/>
      <c r="AI202" s="32"/>
      <c r="AJ202" s="32"/>
      <c r="AK202" s="32"/>
      <c r="AL202" s="32"/>
      <c r="AN202" s="32"/>
      <c r="AO202" s="32"/>
      <c r="AP202" s="31"/>
      <c r="AQ202" s="31"/>
      <c r="AR202" s="54"/>
      <c r="AT202" s="32"/>
      <c r="AU202" s="32"/>
      <c r="AV202" s="32"/>
      <c r="AW202" s="32"/>
      <c r="AX202" s="32"/>
      <c r="AY202" s="54"/>
      <c r="BA202" s="32"/>
      <c r="BB202" s="32"/>
      <c r="BC202" s="32"/>
      <c r="BD202" s="32"/>
      <c r="BE202" s="32"/>
      <c r="BF202" s="54"/>
      <c r="BH202" s="32"/>
      <c r="BI202" s="32"/>
      <c r="BJ202" s="32"/>
      <c r="BK202" s="32"/>
      <c r="BL202" s="32"/>
      <c r="BM202" s="32"/>
      <c r="BO202" s="32"/>
      <c r="BP202" s="32"/>
      <c r="BQ202" s="31"/>
      <c r="BR202" s="31"/>
      <c r="BS202" s="54"/>
      <c r="BU202" s="32"/>
      <c r="BV202" s="32"/>
      <c r="BW202" s="32"/>
      <c r="BX202" s="32"/>
      <c r="BY202" s="32"/>
      <c r="BZ202" s="54"/>
      <c r="CB202" s="32"/>
      <c r="CC202" s="32"/>
      <c r="CD202" s="32"/>
      <c r="CE202" s="32"/>
      <c r="CF202" s="32"/>
      <c r="CG202" s="54"/>
      <c r="CI202" s="32"/>
      <c r="CJ202" s="32"/>
      <c r="CK202" s="32"/>
      <c r="CL202" s="32"/>
      <c r="CM202" s="40">
        <f>SUBTOTAL(103,November[Location Filled9])</f>
        <v>0</v>
      </c>
    </row>
  </sheetData>
  <sheetProtection algorithmName="SHA-512" hashValue="dAMwmKCniJ8A22LebIAGRb9SD0dzxI13biMyg7DfQ/Vkt3nYpYxwrcEi+zTbnxFT12vIe5Qbl0CD3Sh9+YmU/A==" saltValue="F7/ScUEodtPEZfRzN+x6sg==" spinCount="100000" sheet="1" objects="1" scenarios="1"/>
  <mergeCells count="13">
    <mergeCell ref="AR2:AX2"/>
    <mergeCell ref="BS2:BY2"/>
    <mergeCell ref="BZ2:CF2"/>
    <mergeCell ref="CG2:CM2"/>
    <mergeCell ref="AL1:AQ2"/>
    <mergeCell ref="BM1:BR2"/>
    <mergeCell ref="BF2:BL2"/>
    <mergeCell ref="A1:J2"/>
    <mergeCell ref="K1:AF1"/>
    <mergeCell ref="K2:P2"/>
    <mergeCell ref="Q2:V2"/>
    <mergeCell ref="X2:AD2"/>
    <mergeCell ref="AE2:AK2"/>
  </mergeCells>
  <dataValidations count="19">
    <dataValidation type="list" allowBlank="1" showInputMessage="1" showErrorMessage="1" sqref="D4:D201">
      <formula1>INDIRECT("Species")</formula1>
    </dataValidation>
    <dataValidation type="list" allowBlank="1" showInputMessage="1" showErrorMessage="1" sqref="E4:E201">
      <formula1>INDIRECT("Sex")</formula1>
    </dataValidation>
    <dataValidation type="list" allowBlank="1" showInputMessage="1" showErrorMessage="1" sqref="F4:F201">
      <formula1>INDIRECT("Age")</formula1>
    </dataValidation>
    <dataValidation type="list" allowBlank="1" showInputMessage="1" showErrorMessage="1" sqref="G4:G201">
      <formula1>INDIRECT("Visit_Reason")</formula1>
    </dataValidation>
    <dataValidation type="list" allowBlank="1" showInputMessage="1" showErrorMessage="1" sqref="I4:I201">
      <formula1>INDIRECT("ABX_YN")</formula1>
    </dataValidation>
    <dataValidation type="list" allowBlank="1" showInputMessage="1" showErrorMessage="1" sqref="K4:K201 AL4:AL201 BM4:BM201">
      <formula1>INDIRECT("Disease_Type")</formula1>
    </dataValidation>
    <dataValidation type="list" allowBlank="1" showInputMessage="1" showErrorMessage="1" sqref="M4:M201 AN4:AN201 BO4:BO201">
      <formula1>INDIRECT("Disease_Descrip")</formula1>
    </dataValidation>
    <dataValidation type="list" allowBlank="1" showInputMessage="1" showErrorMessage="1" sqref="N4:N201 AO4:AO201 BP4:BP201">
      <formula1>INDIRECT("Dz_Abx_Num")</formula1>
    </dataValidation>
    <dataValidation type="list" allowBlank="1" showInputMessage="1" showErrorMessage="1" sqref="O4:O201 AP4:AP201 BQ4:BQ201">
      <formula1>INDIRECT("Diagnostics_Offer_YN")</formula1>
    </dataValidation>
    <dataValidation type="list" allowBlank="1" showInputMessage="1" showErrorMessage="1" sqref="P4:P201 AQ4:AQ201 BR4:BR201">
      <formula1>INDIRECT("Diagnostics_Performed_YN")</formula1>
    </dataValidation>
    <dataValidation type="list" allowBlank="1" showInputMessage="1" showErrorMessage="1" sqref="Q4:Q201 X4:X201 AE4:AE201 AR4:AR201 AY4:AY201 BF4:BF201 BS4:BS201 BZ4:BZ201 CG4:CG201">
      <formula1>INDIRECT("Drug_Name")</formula1>
    </dataValidation>
    <dataValidation type="list" allowBlank="1" showInputMessage="1" showErrorMessage="1" sqref="T4:T201 AA4:AA201 AH4:AH201 AU4:AU201 BB4:BB201 BI4:BI201 BV4:BV201 CC4:CC201 CJ4:CJ201">
      <formula1>INDIRECT("Abx_Freq")</formula1>
    </dataValidation>
    <dataValidation type="list" allowBlank="1" showInputMessage="1" showErrorMessage="1" sqref="U4:U201 AB4:AB201 AI4:AI201 AV4:AV201 BC4:BC201 BJ4:BJ201 BW4:BW201 CD4:CD201 CK4:CK201">
      <formula1>INDIRECT("Abx_Route")</formula1>
    </dataValidation>
    <dataValidation type="list" allowBlank="1" showInputMessage="1" showErrorMessage="1" sqref="W4:W201 AD4:AD201 AK4:AK201 AX4:AX201 BE4:BE201 BL4:BL201 BY4:BY201 CF4:CF201 CM4:CM201">
      <formula1>INDIRECT("Prescription_Type")</formula1>
    </dataValidation>
    <dataValidation allowBlank="1" showInputMessage="1" showErrorMessage="1" prompt="Only type here IF Reason for Visit is Other " sqref="H5:H201"/>
    <dataValidation type="whole" allowBlank="1" showInputMessage="1" showErrorMessage="1" promptTitle="Total Number of Antibiotics" prompt="This should include ALL antibiotics prescribed to this patient during this visit for ALL conditions. " sqref="J4:J201">
      <formula1>0</formula1>
      <formula2>9</formula2>
    </dataValidation>
    <dataValidation allowBlank="1" showInputMessage="1" showErrorMessage="1" prompt="Only type in this column IF Disease/Infection Type is Other" sqref="L4:L201 AM4:AM201 BN4:BN201"/>
    <dataValidation allowBlank="1" showInputMessage="1" showErrorMessage="1" prompt="Only type in this column IF Reason for Visit is Other " sqref="H4"/>
    <dataValidation type="decimal" allowBlank="1" showInputMessage="1" showErrorMessage="1" sqref="S4:S201 Z4:Z201 V4:V201 AC4:AC201 AG4:AG201 AJ4:AJ201 CL4:CL201 AW4:AW201 BD4:BD201 BA4:BA201 BH4:BH201 BK4:BK201 BU4:BU201 BX4:BX201 CB4:CB201 CE4:CE201 CI4:CI201 AT4:AT201">
      <formula1>0</formula1>
      <formula2>5000</formula2>
    </dataValidation>
  </dataValidations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02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10.83203125" defaultRowHeight="15.5"/>
  <cols>
    <col min="1" max="16384" width="10.83203125" style="24"/>
  </cols>
  <sheetData>
    <row r="1" spans="1:91" ht="21">
      <c r="A1" s="60" t="s">
        <v>103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43"/>
      <c r="AH1" s="43"/>
      <c r="AI1" s="43"/>
      <c r="AJ1" s="43"/>
      <c r="AK1" s="43"/>
      <c r="AL1" s="70" t="s">
        <v>154</v>
      </c>
      <c r="AM1" s="70"/>
      <c r="AN1" s="70"/>
      <c r="AO1" s="70"/>
      <c r="AP1" s="70"/>
      <c r="AQ1" s="70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5"/>
      <c r="BI1" s="45"/>
      <c r="BJ1" s="45"/>
      <c r="BK1" s="45"/>
      <c r="BL1" s="45"/>
      <c r="BM1" s="71" t="s">
        <v>156</v>
      </c>
      <c r="BN1" s="71"/>
      <c r="BO1" s="71"/>
      <c r="BP1" s="71"/>
      <c r="BQ1" s="71"/>
      <c r="BR1" s="71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7"/>
      <c r="CJ1" s="47"/>
      <c r="CK1" s="47"/>
      <c r="CL1" s="47"/>
      <c r="CM1" s="47"/>
    </row>
    <row r="2" spans="1:91" ht="21">
      <c r="A2" s="60"/>
      <c r="B2" s="60"/>
      <c r="C2" s="60"/>
      <c r="D2" s="60"/>
      <c r="E2" s="60"/>
      <c r="F2" s="60"/>
      <c r="G2" s="60"/>
      <c r="H2" s="60"/>
      <c r="I2" s="60"/>
      <c r="J2" s="60"/>
      <c r="K2" s="62" t="s">
        <v>153</v>
      </c>
      <c r="L2" s="62"/>
      <c r="M2" s="62"/>
      <c r="N2" s="62"/>
      <c r="O2" s="62"/>
      <c r="P2" s="62"/>
      <c r="Q2" s="63" t="s">
        <v>104</v>
      </c>
      <c r="R2" s="63"/>
      <c r="S2" s="63"/>
      <c r="T2" s="63"/>
      <c r="U2" s="63"/>
      <c r="V2" s="63"/>
      <c r="W2" s="48"/>
      <c r="X2" s="64" t="s">
        <v>105</v>
      </c>
      <c r="Y2" s="64"/>
      <c r="Z2" s="64"/>
      <c r="AA2" s="64"/>
      <c r="AB2" s="64"/>
      <c r="AC2" s="64"/>
      <c r="AD2" s="64"/>
      <c r="AE2" s="65" t="s">
        <v>106</v>
      </c>
      <c r="AF2" s="65"/>
      <c r="AG2" s="65"/>
      <c r="AH2" s="65"/>
      <c r="AI2" s="65"/>
      <c r="AJ2" s="65"/>
      <c r="AK2" s="65"/>
      <c r="AL2" s="70"/>
      <c r="AM2" s="70"/>
      <c r="AN2" s="70"/>
      <c r="AO2" s="70"/>
      <c r="AP2" s="70"/>
      <c r="AQ2" s="70"/>
      <c r="AR2" s="66" t="s">
        <v>107</v>
      </c>
      <c r="AS2" s="66"/>
      <c r="AT2" s="66"/>
      <c r="AU2" s="66"/>
      <c r="AV2" s="66"/>
      <c r="AW2" s="66"/>
      <c r="AX2" s="66"/>
      <c r="AY2" s="49" t="s">
        <v>216</v>
      </c>
      <c r="AZ2" s="49"/>
      <c r="BA2" s="49"/>
      <c r="BB2" s="49"/>
      <c r="BC2" s="49"/>
      <c r="BD2" s="49"/>
      <c r="BE2" s="49"/>
      <c r="BF2" s="69" t="s">
        <v>155</v>
      </c>
      <c r="BG2" s="69"/>
      <c r="BH2" s="69"/>
      <c r="BI2" s="69"/>
      <c r="BJ2" s="69"/>
      <c r="BK2" s="69"/>
      <c r="BL2" s="69"/>
      <c r="BM2" s="71"/>
      <c r="BN2" s="71"/>
      <c r="BO2" s="71"/>
      <c r="BP2" s="71"/>
      <c r="BQ2" s="71"/>
      <c r="BR2" s="71"/>
      <c r="BS2" s="67" t="s">
        <v>109</v>
      </c>
      <c r="BT2" s="67"/>
      <c r="BU2" s="67"/>
      <c r="BV2" s="67"/>
      <c r="BW2" s="67"/>
      <c r="BX2" s="67"/>
      <c r="BY2" s="67"/>
      <c r="BZ2" s="68" t="s">
        <v>110</v>
      </c>
      <c r="CA2" s="68"/>
      <c r="CB2" s="68"/>
      <c r="CC2" s="68"/>
      <c r="CD2" s="68"/>
      <c r="CE2" s="68"/>
      <c r="CF2" s="68"/>
      <c r="CG2" s="69" t="s">
        <v>108</v>
      </c>
      <c r="CH2" s="69"/>
      <c r="CI2" s="69"/>
      <c r="CJ2" s="69"/>
      <c r="CK2" s="69"/>
      <c r="CL2" s="69"/>
      <c r="CM2" s="69"/>
    </row>
    <row r="3" spans="1:91" ht="93.5" thickBot="1">
      <c r="A3" s="50" t="s">
        <v>4</v>
      </c>
      <c r="B3" s="50" t="s">
        <v>217</v>
      </c>
      <c r="C3" s="50" t="s">
        <v>5</v>
      </c>
      <c r="D3" s="50" t="s">
        <v>6</v>
      </c>
      <c r="E3" s="50" t="s">
        <v>0</v>
      </c>
      <c r="F3" s="50" t="s">
        <v>111</v>
      </c>
      <c r="G3" s="50" t="s">
        <v>1</v>
      </c>
      <c r="H3" s="50" t="s">
        <v>150</v>
      </c>
      <c r="I3" s="50" t="s">
        <v>218</v>
      </c>
      <c r="J3" s="50" t="s">
        <v>214</v>
      </c>
      <c r="K3" s="50" t="s">
        <v>82</v>
      </c>
      <c r="L3" s="50" t="s">
        <v>215</v>
      </c>
      <c r="M3" s="50" t="s">
        <v>83</v>
      </c>
      <c r="N3" s="50" t="s">
        <v>211</v>
      </c>
      <c r="O3" s="50" t="s">
        <v>212</v>
      </c>
      <c r="P3" s="50" t="s">
        <v>213</v>
      </c>
      <c r="Q3" s="51" t="s">
        <v>8</v>
      </c>
      <c r="R3" s="51" t="s">
        <v>3</v>
      </c>
      <c r="S3" s="50" t="s">
        <v>84</v>
      </c>
      <c r="T3" s="50" t="s">
        <v>65</v>
      </c>
      <c r="U3" s="50" t="s">
        <v>85</v>
      </c>
      <c r="V3" s="50" t="s">
        <v>9</v>
      </c>
      <c r="W3" s="50" t="s">
        <v>219</v>
      </c>
      <c r="X3" s="51" t="s">
        <v>157</v>
      </c>
      <c r="Y3" s="51" t="s">
        <v>164</v>
      </c>
      <c r="Z3" s="50" t="s">
        <v>163</v>
      </c>
      <c r="AA3" s="50" t="s">
        <v>166</v>
      </c>
      <c r="AB3" s="50" t="s">
        <v>167</v>
      </c>
      <c r="AC3" s="50" t="s">
        <v>171</v>
      </c>
      <c r="AD3" s="50" t="s">
        <v>220</v>
      </c>
      <c r="AE3" s="51" t="s">
        <v>168</v>
      </c>
      <c r="AF3" s="51" t="s">
        <v>158</v>
      </c>
      <c r="AG3" s="50" t="s">
        <v>169</v>
      </c>
      <c r="AH3" s="50" t="s">
        <v>165</v>
      </c>
      <c r="AI3" s="50" t="s">
        <v>170</v>
      </c>
      <c r="AJ3" s="50" t="s">
        <v>172</v>
      </c>
      <c r="AK3" s="50" t="s">
        <v>221</v>
      </c>
      <c r="AL3" s="50" t="s">
        <v>173</v>
      </c>
      <c r="AM3" s="50" t="s">
        <v>222</v>
      </c>
      <c r="AN3" s="50" t="s">
        <v>174</v>
      </c>
      <c r="AO3" s="50" t="s">
        <v>175</v>
      </c>
      <c r="AP3" s="50" t="s">
        <v>223</v>
      </c>
      <c r="AQ3" s="50" t="s">
        <v>224</v>
      </c>
      <c r="AR3" s="51" t="s">
        <v>176</v>
      </c>
      <c r="AS3" s="51" t="s">
        <v>177</v>
      </c>
      <c r="AT3" s="50" t="s">
        <v>159</v>
      </c>
      <c r="AU3" s="50" t="s">
        <v>178</v>
      </c>
      <c r="AV3" s="50" t="s">
        <v>179</v>
      </c>
      <c r="AW3" s="50" t="s">
        <v>180</v>
      </c>
      <c r="AX3" s="50" t="s">
        <v>225</v>
      </c>
      <c r="AY3" s="51" t="s">
        <v>181</v>
      </c>
      <c r="AZ3" s="51" t="s">
        <v>182</v>
      </c>
      <c r="BA3" s="50" t="s">
        <v>183</v>
      </c>
      <c r="BB3" s="50" t="s">
        <v>160</v>
      </c>
      <c r="BC3" s="50" t="s">
        <v>184</v>
      </c>
      <c r="BD3" s="50" t="s">
        <v>185</v>
      </c>
      <c r="BE3" s="50" t="s">
        <v>226</v>
      </c>
      <c r="BF3" s="51" t="s">
        <v>186</v>
      </c>
      <c r="BG3" s="51" t="s">
        <v>187</v>
      </c>
      <c r="BH3" s="50" t="s">
        <v>188</v>
      </c>
      <c r="BI3" s="50" t="s">
        <v>189</v>
      </c>
      <c r="BJ3" s="50" t="s">
        <v>161</v>
      </c>
      <c r="BK3" s="50" t="s">
        <v>190</v>
      </c>
      <c r="BL3" s="50" t="s">
        <v>227</v>
      </c>
      <c r="BM3" s="50" t="s">
        <v>191</v>
      </c>
      <c r="BN3" s="50" t="s">
        <v>233</v>
      </c>
      <c r="BO3" s="50" t="s">
        <v>192</v>
      </c>
      <c r="BP3" s="50" t="s">
        <v>193</v>
      </c>
      <c r="BQ3" s="50" t="s">
        <v>228</v>
      </c>
      <c r="BR3" s="50" t="s">
        <v>229</v>
      </c>
      <c r="BS3" s="50" t="s">
        <v>194</v>
      </c>
      <c r="BT3" s="50" t="s">
        <v>195</v>
      </c>
      <c r="BU3" s="50" t="s">
        <v>196</v>
      </c>
      <c r="BV3" s="50" t="s">
        <v>197</v>
      </c>
      <c r="BW3" s="50" t="s">
        <v>198</v>
      </c>
      <c r="BX3" s="50" t="s">
        <v>162</v>
      </c>
      <c r="BY3" s="50" t="s">
        <v>230</v>
      </c>
      <c r="BZ3" s="50" t="s">
        <v>199</v>
      </c>
      <c r="CA3" s="50" t="s">
        <v>200</v>
      </c>
      <c r="CB3" s="50" t="s">
        <v>201</v>
      </c>
      <c r="CC3" s="50" t="s">
        <v>202</v>
      </c>
      <c r="CD3" s="50" t="s">
        <v>203</v>
      </c>
      <c r="CE3" s="50" t="s">
        <v>204</v>
      </c>
      <c r="CF3" s="50" t="s">
        <v>231</v>
      </c>
      <c r="CG3" s="50" t="s">
        <v>205</v>
      </c>
      <c r="CH3" s="50" t="s">
        <v>206</v>
      </c>
      <c r="CI3" s="50" t="s">
        <v>207</v>
      </c>
      <c r="CJ3" s="50" t="s">
        <v>208</v>
      </c>
      <c r="CK3" s="50" t="s">
        <v>209</v>
      </c>
      <c r="CL3" s="50" t="s">
        <v>210</v>
      </c>
      <c r="CM3" s="50" t="s">
        <v>232</v>
      </c>
    </row>
    <row r="4" spans="1:91">
      <c r="A4" s="52"/>
      <c r="B4" s="5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1"/>
      <c r="P4" s="31"/>
      <c r="Q4" s="54"/>
      <c r="R4" s="56" t="str">
        <f>IFERROR(VLOOKUP(December[[#This Row],[Drug Name]],'Data Options'!$R$1:$S$100,2,FALSE), " ")</f>
        <v xml:space="preserve"> </v>
      </c>
      <c r="S4" s="55"/>
      <c r="T4" s="32"/>
      <c r="U4" s="32"/>
      <c r="V4" s="55"/>
      <c r="W4" s="32"/>
      <c r="X4" s="54"/>
      <c r="Y4" s="56" t="str">
        <f>IFERROR(VLOOKUP(December[[#This Row],[Drug Name2]],'Data Options'!$R$1:$S$100,2,FALSE), " ")</f>
        <v xml:space="preserve"> </v>
      </c>
      <c r="Z4" s="55"/>
      <c r="AA4" s="32"/>
      <c r="AB4" s="32"/>
      <c r="AC4" s="55"/>
      <c r="AD4" s="32"/>
      <c r="AE4" s="54"/>
      <c r="AF4" s="56" t="str">
        <f>IFERROR(VLOOKUP(December[[#This Row],[Drug Name3]],'Data Options'!$R$1:$S$100,2,FALSE), " ")</f>
        <v xml:space="preserve"> </v>
      </c>
      <c r="AG4" s="55"/>
      <c r="AH4" s="32"/>
      <c r="AI4" s="32"/>
      <c r="AJ4" s="55"/>
      <c r="AK4" s="32"/>
      <c r="AL4" s="32"/>
      <c r="AM4" s="32"/>
      <c r="AN4" s="32"/>
      <c r="AO4" s="32"/>
      <c r="AP4" s="31"/>
      <c r="AQ4" s="31"/>
      <c r="AR4" s="54"/>
      <c r="AS4" s="56" t="str">
        <f>IFERROR(VLOOKUP(December[[#This Row],[Drug Name4]],'Data Options'!$R$1:$S$100,2,FALSE), " ")</f>
        <v xml:space="preserve"> </v>
      </c>
      <c r="AT4" s="55"/>
      <c r="AU4" s="32"/>
      <c r="AV4" s="32"/>
      <c r="AW4" s="55"/>
      <c r="AX4" s="32"/>
      <c r="AY4" s="54"/>
      <c r="AZ4" s="56" t="str">
        <f>IFERROR(VLOOKUP(December[[#This Row],[Drug Name5]],'Data Options'!$R$1:$S$100,2,FALSE), " ")</f>
        <v xml:space="preserve"> </v>
      </c>
      <c r="BA4" s="55"/>
      <c r="BB4" s="32"/>
      <c r="BC4" s="32"/>
      <c r="BD4" s="55"/>
      <c r="BE4" s="32"/>
      <c r="BF4" s="54"/>
      <c r="BG4" s="56" t="str">
        <f>IFERROR(VLOOKUP(December[[#This Row],[Drug Name6]],'Data Options'!$R$1:$S$100,2,FALSE), " ")</f>
        <v xml:space="preserve"> </v>
      </c>
      <c r="BH4" s="55"/>
      <c r="BI4" s="32"/>
      <c r="BJ4" s="32"/>
      <c r="BK4" s="55"/>
      <c r="BL4" s="32"/>
      <c r="BM4" s="32"/>
      <c r="BN4" s="32"/>
      <c r="BO4" s="32"/>
      <c r="BP4" s="32"/>
      <c r="BQ4" s="31"/>
      <c r="BR4" s="31"/>
      <c r="BS4" s="54"/>
      <c r="BT4" s="56" t="str">
        <f>IFERROR(VLOOKUP(December[[#This Row],[Drug Name7]],'Data Options'!$R$1:$S$100,2,FALSE), " ")</f>
        <v xml:space="preserve"> </v>
      </c>
      <c r="BU4" s="55"/>
      <c r="BV4" s="32"/>
      <c r="BW4" s="32"/>
      <c r="BX4" s="55"/>
      <c r="BY4" s="32"/>
      <c r="BZ4" s="54"/>
      <c r="CA4" s="56" t="str">
        <f>IFERROR(VLOOKUP(December[[#This Row],[Drug Name8]],'Data Options'!$R$1:$S$100,2,FALSE), " ")</f>
        <v xml:space="preserve"> </v>
      </c>
      <c r="CB4" s="55"/>
      <c r="CC4" s="32"/>
      <c r="CD4" s="32"/>
      <c r="CE4" s="55"/>
      <c r="CF4" s="32"/>
      <c r="CG4" s="54"/>
      <c r="CH4" s="56" t="str">
        <f>IFERROR(VLOOKUP(December[[#This Row],[Drug Name9]],'Data Options'!$R$1:$S$100,2,FALSE), " ")</f>
        <v xml:space="preserve"> </v>
      </c>
      <c r="CI4" s="55"/>
      <c r="CJ4" s="32"/>
      <c r="CK4" s="32"/>
      <c r="CL4" s="55"/>
      <c r="CM4" s="32"/>
    </row>
    <row r="5" spans="1:91">
      <c r="A5" s="5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1"/>
      <c r="P5" s="31"/>
      <c r="Q5" s="54"/>
      <c r="R5" s="56" t="str">
        <f>IFERROR(VLOOKUP(December[[#This Row],[Drug Name]],'Data Options'!$R$1:$S$100,2,FALSE), " ")</f>
        <v xml:space="preserve"> </v>
      </c>
      <c r="S5" s="55"/>
      <c r="T5" s="32"/>
      <c r="U5" s="32"/>
      <c r="V5" s="55"/>
      <c r="W5" s="32"/>
      <c r="X5" s="54"/>
      <c r="Y5" s="56" t="str">
        <f>IFERROR(VLOOKUP(December[[#This Row],[Drug Name2]],'Data Options'!$R$1:$S$100,2,FALSE), " ")</f>
        <v xml:space="preserve"> </v>
      </c>
      <c r="Z5" s="55"/>
      <c r="AA5" s="32"/>
      <c r="AB5" s="32"/>
      <c r="AC5" s="55"/>
      <c r="AD5" s="32"/>
      <c r="AE5" s="54"/>
      <c r="AF5" s="56" t="str">
        <f>IFERROR(VLOOKUP(December[[#This Row],[Drug Name3]],'Data Options'!$R$1:$S$100,2,FALSE), " ")</f>
        <v xml:space="preserve"> </v>
      </c>
      <c r="AG5" s="55"/>
      <c r="AH5" s="32"/>
      <c r="AI5" s="32"/>
      <c r="AJ5" s="55"/>
      <c r="AK5" s="32"/>
      <c r="AL5" s="32"/>
      <c r="AM5" s="32"/>
      <c r="AN5" s="32"/>
      <c r="AO5" s="32"/>
      <c r="AP5" s="31"/>
      <c r="AQ5" s="31"/>
      <c r="AR5" s="54"/>
      <c r="AS5" s="56" t="str">
        <f>IFERROR(VLOOKUP(December[[#This Row],[Drug Name4]],'Data Options'!$R$1:$S$100,2,FALSE), " ")</f>
        <v xml:space="preserve"> </v>
      </c>
      <c r="AT5" s="55"/>
      <c r="AU5" s="32"/>
      <c r="AV5" s="32"/>
      <c r="AW5" s="55"/>
      <c r="AX5" s="32"/>
      <c r="AY5" s="54"/>
      <c r="AZ5" s="56" t="str">
        <f>IFERROR(VLOOKUP(December[[#This Row],[Drug Name5]],'Data Options'!$R$1:$S$100,2,FALSE), " ")</f>
        <v xml:space="preserve"> </v>
      </c>
      <c r="BA5" s="55"/>
      <c r="BB5" s="32"/>
      <c r="BC5" s="32"/>
      <c r="BD5" s="55"/>
      <c r="BE5" s="32"/>
      <c r="BF5" s="54"/>
      <c r="BG5" s="56" t="str">
        <f>IFERROR(VLOOKUP(December[[#This Row],[Drug Name6]],'Data Options'!$R$1:$S$100,2,FALSE), " ")</f>
        <v xml:space="preserve"> </v>
      </c>
      <c r="BH5" s="55"/>
      <c r="BI5" s="32"/>
      <c r="BJ5" s="32"/>
      <c r="BK5" s="55"/>
      <c r="BL5" s="32"/>
      <c r="BM5" s="32"/>
      <c r="BN5" s="32"/>
      <c r="BO5" s="32"/>
      <c r="BP5" s="32"/>
      <c r="BQ5" s="31"/>
      <c r="BR5" s="31"/>
      <c r="BS5" s="54"/>
      <c r="BT5" s="56" t="str">
        <f>IFERROR(VLOOKUP(December[[#This Row],[Drug Name7]],'Data Options'!$R$1:$S$100,2,FALSE), " ")</f>
        <v xml:space="preserve"> </v>
      </c>
      <c r="BU5" s="55"/>
      <c r="BV5" s="32"/>
      <c r="BW5" s="32"/>
      <c r="BX5" s="55"/>
      <c r="BY5" s="32"/>
      <c r="BZ5" s="54"/>
      <c r="CA5" s="56" t="str">
        <f>IFERROR(VLOOKUP(December[[#This Row],[Drug Name8]],'Data Options'!$R$1:$S$100,2,FALSE), " ")</f>
        <v xml:space="preserve"> </v>
      </c>
      <c r="CB5" s="55"/>
      <c r="CC5" s="32"/>
      <c r="CD5" s="32"/>
      <c r="CE5" s="55"/>
      <c r="CF5" s="32"/>
      <c r="CG5" s="54"/>
      <c r="CH5" s="56" t="str">
        <f>IFERROR(VLOOKUP(December[[#This Row],[Drug Name9]],'Data Options'!$R$1:$S$100,2,FALSE), " ")</f>
        <v xml:space="preserve"> </v>
      </c>
      <c r="CI5" s="55"/>
      <c r="CJ5" s="32"/>
      <c r="CK5" s="32"/>
      <c r="CL5" s="55"/>
      <c r="CM5" s="32"/>
    </row>
    <row r="6" spans="1:91">
      <c r="A6" s="5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1"/>
      <c r="P6" s="31"/>
      <c r="Q6" s="54"/>
      <c r="R6" s="56" t="str">
        <f>IFERROR(VLOOKUP(December[[#This Row],[Drug Name]],'Data Options'!$R$1:$S$100,2,FALSE), " ")</f>
        <v xml:space="preserve"> </v>
      </c>
      <c r="S6" s="55"/>
      <c r="T6" s="32"/>
      <c r="U6" s="32"/>
      <c r="V6" s="55"/>
      <c r="W6" s="32"/>
      <c r="X6" s="54"/>
      <c r="Y6" s="56" t="str">
        <f>IFERROR(VLOOKUP(December[[#This Row],[Drug Name2]],'Data Options'!$R$1:$S$100,2,FALSE), " ")</f>
        <v xml:space="preserve"> </v>
      </c>
      <c r="Z6" s="55"/>
      <c r="AA6" s="32"/>
      <c r="AB6" s="32"/>
      <c r="AC6" s="55"/>
      <c r="AD6" s="32"/>
      <c r="AE6" s="54"/>
      <c r="AF6" s="56" t="str">
        <f>IFERROR(VLOOKUP(December[[#This Row],[Drug Name3]],'Data Options'!$R$1:$S$100,2,FALSE), " ")</f>
        <v xml:space="preserve"> </v>
      </c>
      <c r="AG6" s="55"/>
      <c r="AH6" s="32"/>
      <c r="AI6" s="32"/>
      <c r="AJ6" s="55"/>
      <c r="AK6" s="32"/>
      <c r="AL6" s="32"/>
      <c r="AM6" s="32"/>
      <c r="AN6" s="32"/>
      <c r="AO6" s="32"/>
      <c r="AP6" s="31"/>
      <c r="AQ6" s="31"/>
      <c r="AR6" s="54"/>
      <c r="AS6" s="56" t="str">
        <f>IFERROR(VLOOKUP(December[[#This Row],[Drug Name4]],'Data Options'!$R$1:$S$100,2,FALSE), " ")</f>
        <v xml:space="preserve"> </v>
      </c>
      <c r="AT6" s="55"/>
      <c r="AU6" s="32"/>
      <c r="AV6" s="32"/>
      <c r="AW6" s="55"/>
      <c r="AX6" s="32"/>
      <c r="AY6" s="54"/>
      <c r="AZ6" s="56" t="str">
        <f>IFERROR(VLOOKUP(December[[#This Row],[Drug Name5]],'Data Options'!$R$1:$S$100,2,FALSE), " ")</f>
        <v xml:space="preserve"> </v>
      </c>
      <c r="BA6" s="55"/>
      <c r="BB6" s="32"/>
      <c r="BC6" s="32"/>
      <c r="BD6" s="55"/>
      <c r="BE6" s="32"/>
      <c r="BF6" s="54"/>
      <c r="BG6" s="56" t="str">
        <f>IFERROR(VLOOKUP(December[[#This Row],[Drug Name6]],'Data Options'!$R$1:$S$100,2,FALSE), " ")</f>
        <v xml:space="preserve"> </v>
      </c>
      <c r="BH6" s="55"/>
      <c r="BI6" s="32"/>
      <c r="BJ6" s="32"/>
      <c r="BK6" s="55"/>
      <c r="BL6" s="32"/>
      <c r="BM6" s="32"/>
      <c r="BN6" s="32"/>
      <c r="BO6" s="32"/>
      <c r="BP6" s="32"/>
      <c r="BQ6" s="31"/>
      <c r="BR6" s="31"/>
      <c r="BS6" s="54"/>
      <c r="BT6" s="56" t="str">
        <f>IFERROR(VLOOKUP(December[[#This Row],[Drug Name7]],'Data Options'!$R$1:$S$100,2,FALSE), " ")</f>
        <v xml:space="preserve"> </v>
      </c>
      <c r="BU6" s="55"/>
      <c r="BV6" s="32"/>
      <c r="BW6" s="32"/>
      <c r="BX6" s="55"/>
      <c r="BY6" s="32"/>
      <c r="BZ6" s="54"/>
      <c r="CA6" s="56" t="str">
        <f>IFERROR(VLOOKUP(December[[#This Row],[Drug Name8]],'Data Options'!$R$1:$S$100,2,FALSE), " ")</f>
        <v xml:space="preserve"> </v>
      </c>
      <c r="CB6" s="55"/>
      <c r="CC6" s="32"/>
      <c r="CD6" s="32"/>
      <c r="CE6" s="55"/>
      <c r="CF6" s="32"/>
      <c r="CG6" s="54"/>
      <c r="CH6" s="56" t="str">
        <f>IFERROR(VLOOKUP(December[[#This Row],[Drug Name9]],'Data Options'!$R$1:$S$100,2,FALSE), " ")</f>
        <v xml:space="preserve"> </v>
      </c>
      <c r="CI6" s="55"/>
      <c r="CJ6" s="32"/>
      <c r="CK6" s="32"/>
      <c r="CL6" s="55"/>
      <c r="CM6" s="32"/>
    </row>
    <row r="7" spans="1:91">
      <c r="A7" s="5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1"/>
      <c r="P7" s="31"/>
      <c r="Q7" s="54"/>
      <c r="R7" s="56" t="str">
        <f>IFERROR(VLOOKUP(December[[#This Row],[Drug Name]],'Data Options'!$R$1:$S$100,2,FALSE), " ")</f>
        <v xml:space="preserve"> </v>
      </c>
      <c r="S7" s="55"/>
      <c r="T7" s="32"/>
      <c r="U7" s="32"/>
      <c r="V7" s="55"/>
      <c r="W7" s="32"/>
      <c r="X7" s="54"/>
      <c r="Y7" s="56" t="str">
        <f>IFERROR(VLOOKUP(December[[#This Row],[Drug Name2]],'Data Options'!$R$1:$S$100,2,FALSE), " ")</f>
        <v xml:space="preserve"> </v>
      </c>
      <c r="Z7" s="55"/>
      <c r="AA7" s="32"/>
      <c r="AB7" s="32"/>
      <c r="AC7" s="55"/>
      <c r="AD7" s="32"/>
      <c r="AE7" s="54"/>
      <c r="AF7" s="56" t="str">
        <f>IFERROR(VLOOKUP(December[[#This Row],[Drug Name3]],'Data Options'!$R$1:$S$100,2,FALSE), " ")</f>
        <v xml:space="preserve"> </v>
      </c>
      <c r="AG7" s="55"/>
      <c r="AH7" s="32"/>
      <c r="AI7" s="32"/>
      <c r="AJ7" s="55"/>
      <c r="AK7" s="32"/>
      <c r="AL7" s="32"/>
      <c r="AM7" s="32"/>
      <c r="AN7" s="32"/>
      <c r="AO7" s="32"/>
      <c r="AP7" s="31"/>
      <c r="AQ7" s="31"/>
      <c r="AR7" s="54"/>
      <c r="AS7" s="56" t="str">
        <f>IFERROR(VLOOKUP(December[[#This Row],[Drug Name4]],'Data Options'!$R$1:$S$100,2,FALSE), " ")</f>
        <v xml:space="preserve"> </v>
      </c>
      <c r="AT7" s="55"/>
      <c r="AU7" s="32"/>
      <c r="AV7" s="32"/>
      <c r="AW7" s="55"/>
      <c r="AX7" s="32"/>
      <c r="AY7" s="54"/>
      <c r="AZ7" s="56" t="str">
        <f>IFERROR(VLOOKUP(December[[#This Row],[Drug Name5]],'Data Options'!$R$1:$S$100,2,FALSE), " ")</f>
        <v xml:space="preserve"> </v>
      </c>
      <c r="BA7" s="55"/>
      <c r="BB7" s="32"/>
      <c r="BC7" s="32"/>
      <c r="BD7" s="55"/>
      <c r="BE7" s="32"/>
      <c r="BF7" s="54"/>
      <c r="BG7" s="56" t="str">
        <f>IFERROR(VLOOKUP(December[[#This Row],[Drug Name6]],'Data Options'!$R$1:$S$100,2,FALSE), " ")</f>
        <v xml:space="preserve"> </v>
      </c>
      <c r="BH7" s="55"/>
      <c r="BI7" s="32"/>
      <c r="BJ7" s="32"/>
      <c r="BK7" s="55"/>
      <c r="BL7" s="32"/>
      <c r="BM7" s="32"/>
      <c r="BN7" s="32"/>
      <c r="BO7" s="32"/>
      <c r="BP7" s="32"/>
      <c r="BQ7" s="31"/>
      <c r="BR7" s="31"/>
      <c r="BS7" s="54"/>
      <c r="BT7" s="56" t="str">
        <f>IFERROR(VLOOKUP(December[[#This Row],[Drug Name7]],'Data Options'!$R$1:$S$100,2,FALSE), " ")</f>
        <v xml:space="preserve"> </v>
      </c>
      <c r="BU7" s="55"/>
      <c r="BV7" s="32"/>
      <c r="BW7" s="32"/>
      <c r="BX7" s="55"/>
      <c r="BY7" s="32"/>
      <c r="BZ7" s="54"/>
      <c r="CA7" s="56" t="str">
        <f>IFERROR(VLOOKUP(December[[#This Row],[Drug Name8]],'Data Options'!$R$1:$S$100,2,FALSE), " ")</f>
        <v xml:space="preserve"> </v>
      </c>
      <c r="CB7" s="55"/>
      <c r="CC7" s="32"/>
      <c r="CD7" s="32"/>
      <c r="CE7" s="55"/>
      <c r="CF7" s="32"/>
      <c r="CG7" s="54"/>
      <c r="CH7" s="56" t="str">
        <f>IFERROR(VLOOKUP(December[[#This Row],[Drug Name9]],'Data Options'!$R$1:$S$100,2,FALSE), " ")</f>
        <v xml:space="preserve"> </v>
      </c>
      <c r="CI7" s="55"/>
      <c r="CJ7" s="32"/>
      <c r="CK7" s="32"/>
      <c r="CL7" s="55"/>
      <c r="CM7" s="32"/>
    </row>
    <row r="8" spans="1:91">
      <c r="A8" s="5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1"/>
      <c r="P8" s="31"/>
      <c r="Q8" s="54"/>
      <c r="R8" s="56" t="str">
        <f>IFERROR(VLOOKUP(December[[#This Row],[Drug Name]],'Data Options'!$R$1:$S$100,2,FALSE), " ")</f>
        <v xml:space="preserve"> </v>
      </c>
      <c r="S8" s="55"/>
      <c r="T8" s="32"/>
      <c r="U8" s="32"/>
      <c r="V8" s="55"/>
      <c r="W8" s="32"/>
      <c r="X8" s="54"/>
      <c r="Y8" s="56" t="str">
        <f>IFERROR(VLOOKUP(December[[#This Row],[Drug Name2]],'Data Options'!$R$1:$S$100,2,FALSE), " ")</f>
        <v xml:space="preserve"> </v>
      </c>
      <c r="Z8" s="55"/>
      <c r="AA8" s="32"/>
      <c r="AB8" s="32"/>
      <c r="AC8" s="55"/>
      <c r="AD8" s="32"/>
      <c r="AE8" s="54"/>
      <c r="AF8" s="56" t="str">
        <f>IFERROR(VLOOKUP(December[[#This Row],[Drug Name3]],'Data Options'!$R$1:$S$100,2,FALSE), " ")</f>
        <v xml:space="preserve"> </v>
      </c>
      <c r="AG8" s="55"/>
      <c r="AH8" s="32"/>
      <c r="AI8" s="32"/>
      <c r="AJ8" s="55"/>
      <c r="AK8" s="32"/>
      <c r="AL8" s="32"/>
      <c r="AM8" s="32"/>
      <c r="AN8" s="32"/>
      <c r="AO8" s="32"/>
      <c r="AP8" s="31"/>
      <c r="AQ8" s="31"/>
      <c r="AR8" s="54"/>
      <c r="AS8" s="56" t="str">
        <f>IFERROR(VLOOKUP(December[[#This Row],[Drug Name4]],'Data Options'!$R$1:$S$100,2,FALSE), " ")</f>
        <v xml:space="preserve"> </v>
      </c>
      <c r="AT8" s="55"/>
      <c r="AU8" s="32"/>
      <c r="AV8" s="32"/>
      <c r="AW8" s="55"/>
      <c r="AX8" s="32"/>
      <c r="AY8" s="54"/>
      <c r="AZ8" s="56" t="str">
        <f>IFERROR(VLOOKUP(December[[#This Row],[Drug Name5]],'Data Options'!$R$1:$S$100,2,FALSE), " ")</f>
        <v xml:space="preserve"> </v>
      </c>
      <c r="BA8" s="55"/>
      <c r="BB8" s="32"/>
      <c r="BC8" s="32"/>
      <c r="BD8" s="55"/>
      <c r="BE8" s="32"/>
      <c r="BF8" s="54"/>
      <c r="BG8" s="56" t="str">
        <f>IFERROR(VLOOKUP(December[[#This Row],[Drug Name6]],'Data Options'!$R$1:$S$100,2,FALSE), " ")</f>
        <v xml:space="preserve"> </v>
      </c>
      <c r="BH8" s="55"/>
      <c r="BI8" s="32"/>
      <c r="BJ8" s="32"/>
      <c r="BK8" s="55"/>
      <c r="BL8" s="32"/>
      <c r="BM8" s="32"/>
      <c r="BN8" s="32"/>
      <c r="BO8" s="32"/>
      <c r="BP8" s="32"/>
      <c r="BQ8" s="31"/>
      <c r="BR8" s="31"/>
      <c r="BS8" s="54"/>
      <c r="BT8" s="56" t="str">
        <f>IFERROR(VLOOKUP(December[[#This Row],[Drug Name7]],'Data Options'!$R$1:$S$100,2,FALSE), " ")</f>
        <v xml:space="preserve"> </v>
      </c>
      <c r="BU8" s="55"/>
      <c r="BV8" s="32"/>
      <c r="BW8" s="32"/>
      <c r="BX8" s="55"/>
      <c r="BY8" s="32"/>
      <c r="BZ8" s="54"/>
      <c r="CA8" s="56" t="str">
        <f>IFERROR(VLOOKUP(December[[#This Row],[Drug Name8]],'Data Options'!$R$1:$S$100,2,FALSE), " ")</f>
        <v xml:space="preserve"> </v>
      </c>
      <c r="CB8" s="55"/>
      <c r="CC8" s="32"/>
      <c r="CD8" s="32"/>
      <c r="CE8" s="55"/>
      <c r="CF8" s="32"/>
      <c r="CG8" s="54"/>
      <c r="CH8" s="56" t="str">
        <f>IFERROR(VLOOKUP(December[[#This Row],[Drug Name9]],'Data Options'!$R$1:$S$100,2,FALSE), " ")</f>
        <v xml:space="preserve"> </v>
      </c>
      <c r="CI8" s="55"/>
      <c r="CJ8" s="32"/>
      <c r="CK8" s="32"/>
      <c r="CL8" s="55"/>
      <c r="CM8" s="32"/>
    </row>
    <row r="9" spans="1:91">
      <c r="A9" s="5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1"/>
      <c r="P9" s="31"/>
      <c r="Q9" s="54"/>
      <c r="R9" s="56" t="str">
        <f>IFERROR(VLOOKUP(December[[#This Row],[Drug Name]],'Data Options'!$R$1:$S$100,2,FALSE), " ")</f>
        <v xml:space="preserve"> </v>
      </c>
      <c r="S9" s="55"/>
      <c r="T9" s="32"/>
      <c r="U9" s="32"/>
      <c r="V9" s="55"/>
      <c r="W9" s="32"/>
      <c r="X9" s="54"/>
      <c r="Y9" s="56" t="str">
        <f>IFERROR(VLOOKUP(December[[#This Row],[Drug Name2]],'Data Options'!$R$1:$S$100,2,FALSE), " ")</f>
        <v xml:space="preserve"> </v>
      </c>
      <c r="Z9" s="55"/>
      <c r="AA9" s="32"/>
      <c r="AB9" s="32"/>
      <c r="AC9" s="55"/>
      <c r="AD9" s="32"/>
      <c r="AE9" s="54"/>
      <c r="AF9" s="56" t="str">
        <f>IFERROR(VLOOKUP(December[[#This Row],[Drug Name3]],'Data Options'!$R$1:$S$100,2,FALSE), " ")</f>
        <v xml:space="preserve"> </v>
      </c>
      <c r="AG9" s="55"/>
      <c r="AH9" s="32"/>
      <c r="AI9" s="32"/>
      <c r="AJ9" s="55"/>
      <c r="AK9" s="32"/>
      <c r="AL9" s="32"/>
      <c r="AM9" s="32"/>
      <c r="AN9" s="32"/>
      <c r="AO9" s="32"/>
      <c r="AP9" s="31"/>
      <c r="AQ9" s="31"/>
      <c r="AR9" s="54"/>
      <c r="AS9" s="56" t="str">
        <f>IFERROR(VLOOKUP(December[[#This Row],[Drug Name4]],'Data Options'!$R$1:$S$100,2,FALSE), " ")</f>
        <v xml:space="preserve"> </v>
      </c>
      <c r="AT9" s="55"/>
      <c r="AU9" s="32"/>
      <c r="AV9" s="32"/>
      <c r="AW9" s="55"/>
      <c r="AX9" s="32"/>
      <c r="AY9" s="54"/>
      <c r="AZ9" s="56" t="str">
        <f>IFERROR(VLOOKUP(December[[#This Row],[Drug Name5]],'Data Options'!$R$1:$S$100,2,FALSE), " ")</f>
        <v xml:space="preserve"> </v>
      </c>
      <c r="BA9" s="55"/>
      <c r="BB9" s="32"/>
      <c r="BC9" s="32"/>
      <c r="BD9" s="55"/>
      <c r="BE9" s="32"/>
      <c r="BF9" s="54"/>
      <c r="BG9" s="56" t="str">
        <f>IFERROR(VLOOKUP(December[[#This Row],[Drug Name6]],'Data Options'!$R$1:$S$100,2,FALSE), " ")</f>
        <v xml:space="preserve"> </v>
      </c>
      <c r="BH9" s="55"/>
      <c r="BI9" s="32"/>
      <c r="BJ9" s="32"/>
      <c r="BK9" s="55"/>
      <c r="BL9" s="32"/>
      <c r="BM9" s="32"/>
      <c r="BN9" s="32"/>
      <c r="BO9" s="32"/>
      <c r="BP9" s="32"/>
      <c r="BQ9" s="31"/>
      <c r="BR9" s="31"/>
      <c r="BS9" s="54"/>
      <c r="BT9" s="56" t="str">
        <f>IFERROR(VLOOKUP(December[[#This Row],[Drug Name7]],'Data Options'!$R$1:$S$100,2,FALSE), " ")</f>
        <v xml:space="preserve"> </v>
      </c>
      <c r="BU9" s="55"/>
      <c r="BV9" s="32"/>
      <c r="BW9" s="32"/>
      <c r="BX9" s="55"/>
      <c r="BY9" s="32"/>
      <c r="BZ9" s="54"/>
      <c r="CA9" s="56" t="str">
        <f>IFERROR(VLOOKUP(December[[#This Row],[Drug Name8]],'Data Options'!$R$1:$S$100,2,FALSE), " ")</f>
        <v xml:space="preserve"> </v>
      </c>
      <c r="CB9" s="55"/>
      <c r="CC9" s="32"/>
      <c r="CD9" s="32"/>
      <c r="CE9" s="55"/>
      <c r="CF9" s="32"/>
      <c r="CG9" s="54"/>
      <c r="CH9" s="56" t="str">
        <f>IFERROR(VLOOKUP(December[[#This Row],[Drug Name9]],'Data Options'!$R$1:$S$100,2,FALSE), " ")</f>
        <v xml:space="preserve"> </v>
      </c>
      <c r="CI9" s="55"/>
      <c r="CJ9" s="32"/>
      <c r="CK9" s="32"/>
      <c r="CL9" s="55"/>
      <c r="CM9" s="32"/>
    </row>
    <row r="10" spans="1:91">
      <c r="A10" s="5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1"/>
      <c r="P10" s="31"/>
      <c r="Q10" s="54"/>
      <c r="R10" s="56" t="str">
        <f>IFERROR(VLOOKUP(December[[#This Row],[Drug Name]],'Data Options'!$R$1:$S$100,2,FALSE), " ")</f>
        <v xml:space="preserve"> </v>
      </c>
      <c r="S10" s="55"/>
      <c r="T10" s="32"/>
      <c r="U10" s="32"/>
      <c r="V10" s="55"/>
      <c r="W10" s="32"/>
      <c r="X10" s="54"/>
      <c r="Y10" s="56" t="str">
        <f>IFERROR(VLOOKUP(December[[#This Row],[Drug Name2]],'Data Options'!$R$1:$S$100,2,FALSE), " ")</f>
        <v xml:space="preserve"> </v>
      </c>
      <c r="Z10" s="55"/>
      <c r="AA10" s="32"/>
      <c r="AB10" s="32"/>
      <c r="AC10" s="55"/>
      <c r="AD10" s="32"/>
      <c r="AE10" s="54"/>
      <c r="AF10" s="56" t="str">
        <f>IFERROR(VLOOKUP(December[[#This Row],[Drug Name3]],'Data Options'!$R$1:$S$100,2,FALSE), " ")</f>
        <v xml:space="preserve"> </v>
      </c>
      <c r="AG10" s="55"/>
      <c r="AH10" s="32"/>
      <c r="AI10" s="32"/>
      <c r="AJ10" s="55"/>
      <c r="AK10" s="32"/>
      <c r="AL10" s="32"/>
      <c r="AM10" s="32"/>
      <c r="AN10" s="32"/>
      <c r="AO10" s="32"/>
      <c r="AP10" s="31"/>
      <c r="AQ10" s="31"/>
      <c r="AR10" s="54"/>
      <c r="AS10" s="56" t="str">
        <f>IFERROR(VLOOKUP(December[[#This Row],[Drug Name4]],'Data Options'!$R$1:$S$100,2,FALSE), " ")</f>
        <v xml:space="preserve"> </v>
      </c>
      <c r="AT10" s="55"/>
      <c r="AU10" s="32"/>
      <c r="AV10" s="32"/>
      <c r="AW10" s="55"/>
      <c r="AX10" s="32"/>
      <c r="AY10" s="54"/>
      <c r="AZ10" s="56" t="str">
        <f>IFERROR(VLOOKUP(December[[#This Row],[Drug Name5]],'Data Options'!$R$1:$S$100,2,FALSE), " ")</f>
        <v xml:space="preserve"> </v>
      </c>
      <c r="BA10" s="55"/>
      <c r="BB10" s="32"/>
      <c r="BC10" s="32"/>
      <c r="BD10" s="55"/>
      <c r="BE10" s="32"/>
      <c r="BF10" s="54"/>
      <c r="BG10" s="56" t="str">
        <f>IFERROR(VLOOKUP(December[[#This Row],[Drug Name6]],'Data Options'!$R$1:$S$100,2,FALSE), " ")</f>
        <v xml:space="preserve"> </v>
      </c>
      <c r="BH10" s="55"/>
      <c r="BI10" s="32"/>
      <c r="BJ10" s="32"/>
      <c r="BK10" s="55"/>
      <c r="BL10" s="32"/>
      <c r="BM10" s="32"/>
      <c r="BN10" s="32"/>
      <c r="BO10" s="32"/>
      <c r="BP10" s="32"/>
      <c r="BQ10" s="31"/>
      <c r="BR10" s="31"/>
      <c r="BS10" s="54"/>
      <c r="BT10" s="56" t="str">
        <f>IFERROR(VLOOKUP(December[[#This Row],[Drug Name7]],'Data Options'!$R$1:$S$100,2,FALSE), " ")</f>
        <v xml:space="preserve"> </v>
      </c>
      <c r="BU10" s="55"/>
      <c r="BV10" s="32"/>
      <c r="BW10" s="32"/>
      <c r="BX10" s="55"/>
      <c r="BY10" s="32"/>
      <c r="BZ10" s="54"/>
      <c r="CA10" s="56" t="str">
        <f>IFERROR(VLOOKUP(December[[#This Row],[Drug Name8]],'Data Options'!$R$1:$S$100,2,FALSE), " ")</f>
        <v xml:space="preserve"> </v>
      </c>
      <c r="CB10" s="55"/>
      <c r="CC10" s="32"/>
      <c r="CD10" s="32"/>
      <c r="CE10" s="55"/>
      <c r="CF10" s="32"/>
      <c r="CG10" s="54"/>
      <c r="CH10" s="56" t="str">
        <f>IFERROR(VLOOKUP(December[[#This Row],[Drug Name9]],'Data Options'!$R$1:$S$100,2,FALSE), " ")</f>
        <v xml:space="preserve"> </v>
      </c>
      <c r="CI10" s="55"/>
      <c r="CJ10" s="32"/>
      <c r="CK10" s="32"/>
      <c r="CL10" s="55"/>
      <c r="CM10" s="32"/>
    </row>
    <row r="11" spans="1:91">
      <c r="A11" s="5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1"/>
      <c r="P11" s="31"/>
      <c r="Q11" s="54"/>
      <c r="R11" s="56" t="str">
        <f>IFERROR(VLOOKUP(December[[#This Row],[Drug Name]],'Data Options'!$R$1:$S$100,2,FALSE), " ")</f>
        <v xml:space="preserve"> </v>
      </c>
      <c r="S11" s="55"/>
      <c r="T11" s="32"/>
      <c r="U11" s="32"/>
      <c r="V11" s="55"/>
      <c r="W11" s="32"/>
      <c r="X11" s="54"/>
      <c r="Y11" s="56" t="str">
        <f>IFERROR(VLOOKUP(December[[#This Row],[Drug Name2]],'Data Options'!$R$1:$S$100,2,FALSE), " ")</f>
        <v xml:space="preserve"> </v>
      </c>
      <c r="Z11" s="55"/>
      <c r="AA11" s="32"/>
      <c r="AB11" s="32"/>
      <c r="AC11" s="55"/>
      <c r="AD11" s="32"/>
      <c r="AE11" s="54"/>
      <c r="AF11" s="56" t="str">
        <f>IFERROR(VLOOKUP(December[[#This Row],[Drug Name3]],'Data Options'!$R$1:$S$100,2,FALSE), " ")</f>
        <v xml:space="preserve"> </v>
      </c>
      <c r="AG11" s="55"/>
      <c r="AH11" s="32"/>
      <c r="AI11" s="32"/>
      <c r="AJ11" s="55"/>
      <c r="AK11" s="32"/>
      <c r="AL11" s="32"/>
      <c r="AM11" s="32"/>
      <c r="AN11" s="32"/>
      <c r="AO11" s="32"/>
      <c r="AP11" s="31"/>
      <c r="AQ11" s="31"/>
      <c r="AR11" s="54"/>
      <c r="AS11" s="56" t="str">
        <f>IFERROR(VLOOKUP(December[[#This Row],[Drug Name4]],'Data Options'!$R$1:$S$100,2,FALSE), " ")</f>
        <v xml:space="preserve"> </v>
      </c>
      <c r="AT11" s="55"/>
      <c r="AU11" s="32"/>
      <c r="AV11" s="32"/>
      <c r="AW11" s="55"/>
      <c r="AX11" s="32"/>
      <c r="AY11" s="54"/>
      <c r="AZ11" s="56" t="str">
        <f>IFERROR(VLOOKUP(December[[#This Row],[Drug Name5]],'Data Options'!$R$1:$S$100,2,FALSE), " ")</f>
        <v xml:space="preserve"> </v>
      </c>
      <c r="BA11" s="55"/>
      <c r="BB11" s="32"/>
      <c r="BC11" s="32"/>
      <c r="BD11" s="55"/>
      <c r="BE11" s="32"/>
      <c r="BF11" s="54"/>
      <c r="BG11" s="56" t="str">
        <f>IFERROR(VLOOKUP(December[[#This Row],[Drug Name6]],'Data Options'!$R$1:$S$100,2,FALSE), " ")</f>
        <v xml:space="preserve"> </v>
      </c>
      <c r="BH11" s="55"/>
      <c r="BI11" s="32"/>
      <c r="BJ11" s="32"/>
      <c r="BK11" s="55"/>
      <c r="BL11" s="32"/>
      <c r="BM11" s="32"/>
      <c r="BN11" s="32"/>
      <c r="BO11" s="32"/>
      <c r="BP11" s="32"/>
      <c r="BQ11" s="31"/>
      <c r="BR11" s="31"/>
      <c r="BS11" s="54"/>
      <c r="BT11" s="56" t="str">
        <f>IFERROR(VLOOKUP(December[[#This Row],[Drug Name7]],'Data Options'!$R$1:$S$100,2,FALSE), " ")</f>
        <v xml:space="preserve"> </v>
      </c>
      <c r="BU11" s="55"/>
      <c r="BV11" s="32"/>
      <c r="BW11" s="32"/>
      <c r="BX11" s="55"/>
      <c r="BY11" s="32"/>
      <c r="BZ11" s="54"/>
      <c r="CA11" s="56" t="str">
        <f>IFERROR(VLOOKUP(December[[#This Row],[Drug Name8]],'Data Options'!$R$1:$S$100,2,FALSE), " ")</f>
        <v xml:space="preserve"> </v>
      </c>
      <c r="CB11" s="55"/>
      <c r="CC11" s="32"/>
      <c r="CD11" s="32"/>
      <c r="CE11" s="55"/>
      <c r="CF11" s="32"/>
      <c r="CG11" s="54"/>
      <c r="CH11" s="56" t="str">
        <f>IFERROR(VLOOKUP(December[[#This Row],[Drug Name9]],'Data Options'!$R$1:$S$100,2,FALSE), " ")</f>
        <v xml:space="preserve"> </v>
      </c>
      <c r="CI11" s="55"/>
      <c r="CJ11" s="32"/>
      <c r="CK11" s="32"/>
      <c r="CL11" s="55"/>
      <c r="CM11" s="32"/>
    </row>
    <row r="12" spans="1:91">
      <c r="A12" s="5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1"/>
      <c r="P12" s="31"/>
      <c r="Q12" s="54"/>
      <c r="R12" s="56" t="str">
        <f>IFERROR(VLOOKUP(December[[#This Row],[Drug Name]],'Data Options'!$R$1:$S$100,2,FALSE), " ")</f>
        <v xml:space="preserve"> </v>
      </c>
      <c r="S12" s="55"/>
      <c r="T12" s="32"/>
      <c r="U12" s="32"/>
      <c r="V12" s="55"/>
      <c r="W12" s="32"/>
      <c r="X12" s="54"/>
      <c r="Y12" s="56" t="str">
        <f>IFERROR(VLOOKUP(December[[#This Row],[Drug Name2]],'Data Options'!$R$1:$S$100,2,FALSE), " ")</f>
        <v xml:space="preserve"> </v>
      </c>
      <c r="Z12" s="55"/>
      <c r="AA12" s="32"/>
      <c r="AB12" s="32"/>
      <c r="AC12" s="55"/>
      <c r="AD12" s="32"/>
      <c r="AE12" s="54"/>
      <c r="AF12" s="56" t="str">
        <f>IFERROR(VLOOKUP(December[[#This Row],[Drug Name3]],'Data Options'!$R$1:$S$100,2,FALSE), " ")</f>
        <v xml:space="preserve"> </v>
      </c>
      <c r="AG12" s="55"/>
      <c r="AH12" s="32"/>
      <c r="AI12" s="32"/>
      <c r="AJ12" s="55"/>
      <c r="AK12" s="32"/>
      <c r="AL12" s="32"/>
      <c r="AM12" s="32"/>
      <c r="AN12" s="32"/>
      <c r="AO12" s="32"/>
      <c r="AP12" s="31"/>
      <c r="AQ12" s="31"/>
      <c r="AR12" s="54"/>
      <c r="AS12" s="56" t="str">
        <f>IFERROR(VLOOKUP(December[[#This Row],[Drug Name4]],'Data Options'!$R$1:$S$100,2,FALSE), " ")</f>
        <v xml:space="preserve"> </v>
      </c>
      <c r="AT12" s="55"/>
      <c r="AU12" s="32"/>
      <c r="AV12" s="32"/>
      <c r="AW12" s="55"/>
      <c r="AX12" s="32"/>
      <c r="AY12" s="54"/>
      <c r="AZ12" s="56" t="str">
        <f>IFERROR(VLOOKUP(December[[#This Row],[Drug Name5]],'Data Options'!$R$1:$S$100,2,FALSE), " ")</f>
        <v xml:space="preserve"> </v>
      </c>
      <c r="BA12" s="55"/>
      <c r="BB12" s="32"/>
      <c r="BC12" s="32"/>
      <c r="BD12" s="55"/>
      <c r="BE12" s="32"/>
      <c r="BF12" s="54"/>
      <c r="BG12" s="56" t="str">
        <f>IFERROR(VLOOKUP(December[[#This Row],[Drug Name6]],'Data Options'!$R$1:$S$100,2,FALSE), " ")</f>
        <v xml:space="preserve"> </v>
      </c>
      <c r="BH12" s="55"/>
      <c r="BI12" s="32"/>
      <c r="BJ12" s="32"/>
      <c r="BK12" s="55"/>
      <c r="BL12" s="32"/>
      <c r="BM12" s="32"/>
      <c r="BN12" s="32"/>
      <c r="BO12" s="32"/>
      <c r="BP12" s="32"/>
      <c r="BQ12" s="31"/>
      <c r="BR12" s="31"/>
      <c r="BS12" s="54"/>
      <c r="BT12" s="56" t="str">
        <f>IFERROR(VLOOKUP(December[[#This Row],[Drug Name7]],'Data Options'!$R$1:$S$100,2,FALSE), " ")</f>
        <v xml:space="preserve"> </v>
      </c>
      <c r="BU12" s="55"/>
      <c r="BV12" s="32"/>
      <c r="BW12" s="32"/>
      <c r="BX12" s="55"/>
      <c r="BY12" s="32"/>
      <c r="BZ12" s="54"/>
      <c r="CA12" s="56" t="str">
        <f>IFERROR(VLOOKUP(December[[#This Row],[Drug Name8]],'Data Options'!$R$1:$S$100,2,FALSE), " ")</f>
        <v xml:space="preserve"> </v>
      </c>
      <c r="CB12" s="55"/>
      <c r="CC12" s="32"/>
      <c r="CD12" s="32"/>
      <c r="CE12" s="55"/>
      <c r="CF12" s="32"/>
      <c r="CG12" s="54"/>
      <c r="CH12" s="56" t="str">
        <f>IFERROR(VLOOKUP(December[[#This Row],[Drug Name9]],'Data Options'!$R$1:$S$100,2,FALSE), " ")</f>
        <v xml:space="preserve"> </v>
      </c>
      <c r="CI12" s="55"/>
      <c r="CJ12" s="32"/>
      <c r="CK12" s="32"/>
      <c r="CL12" s="55"/>
      <c r="CM12" s="32"/>
    </row>
    <row r="13" spans="1:91">
      <c r="A13" s="5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1"/>
      <c r="P13" s="31"/>
      <c r="Q13" s="54"/>
      <c r="R13" s="56" t="str">
        <f>IFERROR(VLOOKUP(December[[#This Row],[Drug Name]],'Data Options'!$R$1:$S$100,2,FALSE), " ")</f>
        <v xml:space="preserve"> </v>
      </c>
      <c r="S13" s="55"/>
      <c r="T13" s="32"/>
      <c r="U13" s="32"/>
      <c r="V13" s="55"/>
      <c r="W13" s="32"/>
      <c r="X13" s="54"/>
      <c r="Y13" s="56" t="str">
        <f>IFERROR(VLOOKUP(December[[#This Row],[Drug Name2]],'Data Options'!$R$1:$S$100,2,FALSE), " ")</f>
        <v xml:space="preserve"> </v>
      </c>
      <c r="Z13" s="55"/>
      <c r="AA13" s="32"/>
      <c r="AB13" s="32"/>
      <c r="AC13" s="55"/>
      <c r="AD13" s="32"/>
      <c r="AE13" s="54"/>
      <c r="AF13" s="56" t="str">
        <f>IFERROR(VLOOKUP(December[[#This Row],[Drug Name3]],'Data Options'!$R$1:$S$100,2,FALSE), " ")</f>
        <v xml:space="preserve"> </v>
      </c>
      <c r="AG13" s="55"/>
      <c r="AH13" s="32"/>
      <c r="AI13" s="32"/>
      <c r="AJ13" s="55"/>
      <c r="AK13" s="32"/>
      <c r="AL13" s="32"/>
      <c r="AM13" s="32"/>
      <c r="AN13" s="32"/>
      <c r="AO13" s="32"/>
      <c r="AP13" s="31"/>
      <c r="AQ13" s="31"/>
      <c r="AR13" s="54"/>
      <c r="AS13" s="56" t="str">
        <f>IFERROR(VLOOKUP(December[[#This Row],[Drug Name4]],'Data Options'!$R$1:$S$100,2,FALSE), " ")</f>
        <v xml:space="preserve"> </v>
      </c>
      <c r="AT13" s="55"/>
      <c r="AU13" s="32"/>
      <c r="AV13" s="32"/>
      <c r="AW13" s="55"/>
      <c r="AX13" s="32"/>
      <c r="AY13" s="54"/>
      <c r="AZ13" s="56" t="str">
        <f>IFERROR(VLOOKUP(December[[#This Row],[Drug Name5]],'Data Options'!$R$1:$S$100,2,FALSE), " ")</f>
        <v xml:space="preserve"> </v>
      </c>
      <c r="BA13" s="55"/>
      <c r="BB13" s="32"/>
      <c r="BC13" s="32"/>
      <c r="BD13" s="55"/>
      <c r="BE13" s="32"/>
      <c r="BF13" s="54"/>
      <c r="BG13" s="56" t="str">
        <f>IFERROR(VLOOKUP(December[[#This Row],[Drug Name6]],'Data Options'!$R$1:$S$100,2,FALSE), " ")</f>
        <v xml:space="preserve"> </v>
      </c>
      <c r="BH13" s="55"/>
      <c r="BI13" s="32"/>
      <c r="BJ13" s="32"/>
      <c r="BK13" s="55"/>
      <c r="BL13" s="32"/>
      <c r="BM13" s="32"/>
      <c r="BN13" s="32"/>
      <c r="BO13" s="32"/>
      <c r="BP13" s="32"/>
      <c r="BQ13" s="31"/>
      <c r="BR13" s="31"/>
      <c r="BS13" s="54"/>
      <c r="BT13" s="56" t="str">
        <f>IFERROR(VLOOKUP(December[[#This Row],[Drug Name7]],'Data Options'!$R$1:$S$100,2,FALSE), " ")</f>
        <v xml:space="preserve"> </v>
      </c>
      <c r="BU13" s="55"/>
      <c r="BV13" s="32"/>
      <c r="BW13" s="32"/>
      <c r="BX13" s="55"/>
      <c r="BY13" s="32"/>
      <c r="BZ13" s="54"/>
      <c r="CA13" s="56" t="str">
        <f>IFERROR(VLOOKUP(December[[#This Row],[Drug Name8]],'Data Options'!$R$1:$S$100,2,FALSE), " ")</f>
        <v xml:space="preserve"> </v>
      </c>
      <c r="CB13" s="55"/>
      <c r="CC13" s="32"/>
      <c r="CD13" s="32"/>
      <c r="CE13" s="55"/>
      <c r="CF13" s="32"/>
      <c r="CG13" s="54"/>
      <c r="CH13" s="56" t="str">
        <f>IFERROR(VLOOKUP(December[[#This Row],[Drug Name9]],'Data Options'!$R$1:$S$100,2,FALSE), " ")</f>
        <v xml:space="preserve"> </v>
      </c>
      <c r="CI13" s="55"/>
      <c r="CJ13" s="32"/>
      <c r="CK13" s="32"/>
      <c r="CL13" s="55"/>
      <c r="CM13" s="32"/>
    </row>
    <row r="14" spans="1:91">
      <c r="A14" s="5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54"/>
      <c r="R14" s="56" t="str">
        <f>IFERROR(VLOOKUP(December[[#This Row],[Drug Name]],'Data Options'!$R$1:$S$100,2,FALSE), " ")</f>
        <v xml:space="preserve"> </v>
      </c>
      <c r="S14" s="55"/>
      <c r="T14" s="32"/>
      <c r="U14" s="32"/>
      <c r="V14" s="55"/>
      <c r="W14" s="32"/>
      <c r="X14" s="54"/>
      <c r="Y14" s="56" t="str">
        <f>IFERROR(VLOOKUP(December[[#This Row],[Drug Name2]],'Data Options'!$R$1:$S$100,2,FALSE), " ")</f>
        <v xml:space="preserve"> </v>
      </c>
      <c r="Z14" s="55"/>
      <c r="AA14" s="32"/>
      <c r="AB14" s="32"/>
      <c r="AC14" s="55"/>
      <c r="AD14" s="32"/>
      <c r="AE14" s="54"/>
      <c r="AF14" s="56" t="str">
        <f>IFERROR(VLOOKUP(December[[#This Row],[Drug Name3]],'Data Options'!$R$1:$S$100,2,FALSE), " ")</f>
        <v xml:space="preserve"> </v>
      </c>
      <c r="AG14" s="55"/>
      <c r="AH14" s="32"/>
      <c r="AI14" s="32"/>
      <c r="AJ14" s="55"/>
      <c r="AK14" s="32"/>
      <c r="AL14" s="32"/>
      <c r="AM14" s="32"/>
      <c r="AN14" s="32"/>
      <c r="AO14" s="32"/>
      <c r="AP14" s="31"/>
      <c r="AQ14" s="31"/>
      <c r="AR14" s="54"/>
      <c r="AS14" s="56" t="str">
        <f>IFERROR(VLOOKUP(December[[#This Row],[Drug Name4]],'Data Options'!$R$1:$S$100,2,FALSE), " ")</f>
        <v xml:space="preserve"> </v>
      </c>
      <c r="AT14" s="55"/>
      <c r="AU14" s="32"/>
      <c r="AV14" s="32"/>
      <c r="AW14" s="55"/>
      <c r="AX14" s="32"/>
      <c r="AY14" s="54"/>
      <c r="AZ14" s="56" t="str">
        <f>IFERROR(VLOOKUP(December[[#This Row],[Drug Name5]],'Data Options'!$R$1:$S$100,2,FALSE), " ")</f>
        <v xml:space="preserve"> </v>
      </c>
      <c r="BA14" s="55"/>
      <c r="BB14" s="32"/>
      <c r="BC14" s="32"/>
      <c r="BD14" s="55"/>
      <c r="BE14" s="32"/>
      <c r="BF14" s="54"/>
      <c r="BG14" s="56" t="str">
        <f>IFERROR(VLOOKUP(December[[#This Row],[Drug Name6]],'Data Options'!$R$1:$S$100,2,FALSE), " ")</f>
        <v xml:space="preserve"> </v>
      </c>
      <c r="BH14" s="55"/>
      <c r="BI14" s="32"/>
      <c r="BJ14" s="32"/>
      <c r="BK14" s="55"/>
      <c r="BL14" s="32"/>
      <c r="BM14" s="32"/>
      <c r="BN14" s="32"/>
      <c r="BO14" s="32"/>
      <c r="BP14" s="32"/>
      <c r="BQ14" s="31"/>
      <c r="BR14" s="31"/>
      <c r="BS14" s="54"/>
      <c r="BT14" s="56" t="str">
        <f>IFERROR(VLOOKUP(December[[#This Row],[Drug Name7]],'Data Options'!$R$1:$S$100,2,FALSE), " ")</f>
        <v xml:space="preserve"> </v>
      </c>
      <c r="BU14" s="55"/>
      <c r="BV14" s="32"/>
      <c r="BW14" s="32"/>
      <c r="BX14" s="55"/>
      <c r="BY14" s="32"/>
      <c r="BZ14" s="54"/>
      <c r="CA14" s="56" t="str">
        <f>IFERROR(VLOOKUP(December[[#This Row],[Drug Name8]],'Data Options'!$R$1:$S$100,2,FALSE), " ")</f>
        <v xml:space="preserve"> </v>
      </c>
      <c r="CB14" s="55"/>
      <c r="CC14" s="32"/>
      <c r="CD14" s="32"/>
      <c r="CE14" s="55"/>
      <c r="CF14" s="32"/>
      <c r="CG14" s="54"/>
      <c r="CH14" s="56" t="str">
        <f>IFERROR(VLOOKUP(December[[#This Row],[Drug Name9]],'Data Options'!$R$1:$S$100,2,FALSE), " ")</f>
        <v xml:space="preserve"> </v>
      </c>
      <c r="CI14" s="55"/>
      <c r="CJ14" s="32"/>
      <c r="CK14" s="32"/>
      <c r="CL14" s="55"/>
      <c r="CM14" s="32"/>
    </row>
    <row r="15" spans="1:91">
      <c r="A15" s="5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54"/>
      <c r="R15" s="56" t="str">
        <f>IFERROR(VLOOKUP(December[[#This Row],[Drug Name]],'Data Options'!$R$1:$S$100,2,FALSE), " ")</f>
        <v xml:space="preserve"> </v>
      </c>
      <c r="S15" s="55"/>
      <c r="T15" s="32"/>
      <c r="U15" s="32"/>
      <c r="V15" s="55"/>
      <c r="W15" s="32"/>
      <c r="X15" s="54"/>
      <c r="Y15" s="56" t="str">
        <f>IFERROR(VLOOKUP(December[[#This Row],[Drug Name2]],'Data Options'!$R$1:$S$100,2,FALSE), " ")</f>
        <v xml:space="preserve"> </v>
      </c>
      <c r="Z15" s="55"/>
      <c r="AA15" s="32"/>
      <c r="AB15" s="32"/>
      <c r="AC15" s="55"/>
      <c r="AD15" s="32"/>
      <c r="AE15" s="54"/>
      <c r="AF15" s="56" t="str">
        <f>IFERROR(VLOOKUP(December[[#This Row],[Drug Name3]],'Data Options'!$R$1:$S$100,2,FALSE), " ")</f>
        <v xml:space="preserve"> </v>
      </c>
      <c r="AG15" s="55"/>
      <c r="AH15" s="32"/>
      <c r="AI15" s="32"/>
      <c r="AJ15" s="55"/>
      <c r="AK15" s="32"/>
      <c r="AL15" s="32"/>
      <c r="AM15" s="32"/>
      <c r="AN15" s="32"/>
      <c r="AO15" s="32"/>
      <c r="AP15" s="31"/>
      <c r="AQ15" s="31"/>
      <c r="AR15" s="54"/>
      <c r="AS15" s="56" t="str">
        <f>IFERROR(VLOOKUP(December[[#This Row],[Drug Name4]],'Data Options'!$R$1:$S$100,2,FALSE), " ")</f>
        <v xml:space="preserve"> </v>
      </c>
      <c r="AT15" s="55"/>
      <c r="AU15" s="32"/>
      <c r="AV15" s="32"/>
      <c r="AW15" s="55"/>
      <c r="AX15" s="32"/>
      <c r="AY15" s="54"/>
      <c r="AZ15" s="56" t="str">
        <f>IFERROR(VLOOKUP(December[[#This Row],[Drug Name5]],'Data Options'!$R$1:$S$100,2,FALSE), " ")</f>
        <v xml:space="preserve"> </v>
      </c>
      <c r="BA15" s="55"/>
      <c r="BB15" s="32"/>
      <c r="BC15" s="32"/>
      <c r="BD15" s="55"/>
      <c r="BE15" s="32"/>
      <c r="BF15" s="54"/>
      <c r="BG15" s="56" t="str">
        <f>IFERROR(VLOOKUP(December[[#This Row],[Drug Name6]],'Data Options'!$R$1:$S$100,2,FALSE), " ")</f>
        <v xml:space="preserve"> </v>
      </c>
      <c r="BH15" s="55"/>
      <c r="BI15" s="32"/>
      <c r="BJ15" s="32"/>
      <c r="BK15" s="55"/>
      <c r="BL15" s="32"/>
      <c r="BM15" s="32"/>
      <c r="BN15" s="32"/>
      <c r="BO15" s="32"/>
      <c r="BP15" s="32"/>
      <c r="BQ15" s="31"/>
      <c r="BR15" s="31"/>
      <c r="BS15" s="54"/>
      <c r="BT15" s="56" t="str">
        <f>IFERROR(VLOOKUP(December[[#This Row],[Drug Name7]],'Data Options'!$R$1:$S$100,2,FALSE), " ")</f>
        <v xml:space="preserve"> </v>
      </c>
      <c r="BU15" s="55"/>
      <c r="BV15" s="32"/>
      <c r="BW15" s="32"/>
      <c r="BX15" s="55"/>
      <c r="BY15" s="32"/>
      <c r="BZ15" s="54"/>
      <c r="CA15" s="56" t="str">
        <f>IFERROR(VLOOKUP(December[[#This Row],[Drug Name8]],'Data Options'!$R$1:$S$100,2,FALSE), " ")</f>
        <v xml:space="preserve"> </v>
      </c>
      <c r="CB15" s="55"/>
      <c r="CC15" s="32"/>
      <c r="CD15" s="32"/>
      <c r="CE15" s="55"/>
      <c r="CF15" s="32"/>
      <c r="CG15" s="54"/>
      <c r="CH15" s="56" t="str">
        <f>IFERROR(VLOOKUP(December[[#This Row],[Drug Name9]],'Data Options'!$R$1:$S$100,2,FALSE), " ")</f>
        <v xml:space="preserve"> </v>
      </c>
      <c r="CI15" s="55"/>
      <c r="CJ15" s="32"/>
      <c r="CK15" s="32"/>
      <c r="CL15" s="55"/>
      <c r="CM15" s="32"/>
    </row>
    <row r="16" spans="1:91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1"/>
      <c r="Q16" s="54"/>
      <c r="R16" s="56" t="str">
        <f>IFERROR(VLOOKUP(December[[#This Row],[Drug Name]],'Data Options'!$R$1:$S$100,2,FALSE), " ")</f>
        <v xml:space="preserve"> </v>
      </c>
      <c r="S16" s="55"/>
      <c r="T16" s="32"/>
      <c r="U16" s="32"/>
      <c r="V16" s="55"/>
      <c r="W16" s="32"/>
      <c r="X16" s="54"/>
      <c r="Y16" s="56" t="str">
        <f>IFERROR(VLOOKUP(December[[#This Row],[Drug Name2]],'Data Options'!$R$1:$S$100,2,FALSE), " ")</f>
        <v xml:space="preserve"> </v>
      </c>
      <c r="Z16" s="55"/>
      <c r="AA16" s="32"/>
      <c r="AB16" s="32"/>
      <c r="AC16" s="55"/>
      <c r="AD16" s="32"/>
      <c r="AE16" s="54"/>
      <c r="AF16" s="56" t="str">
        <f>IFERROR(VLOOKUP(December[[#This Row],[Drug Name3]],'Data Options'!$R$1:$S$100,2,FALSE), " ")</f>
        <v xml:space="preserve"> </v>
      </c>
      <c r="AG16" s="55"/>
      <c r="AH16" s="32"/>
      <c r="AI16" s="32"/>
      <c r="AJ16" s="55"/>
      <c r="AK16" s="32"/>
      <c r="AL16" s="32"/>
      <c r="AM16" s="32"/>
      <c r="AN16" s="32"/>
      <c r="AO16" s="32"/>
      <c r="AP16" s="31"/>
      <c r="AQ16" s="31"/>
      <c r="AR16" s="54"/>
      <c r="AS16" s="56" t="str">
        <f>IFERROR(VLOOKUP(December[[#This Row],[Drug Name4]],'Data Options'!$R$1:$S$100,2,FALSE), " ")</f>
        <v xml:space="preserve"> </v>
      </c>
      <c r="AT16" s="55"/>
      <c r="AU16" s="32"/>
      <c r="AV16" s="32"/>
      <c r="AW16" s="55"/>
      <c r="AX16" s="32"/>
      <c r="AY16" s="54"/>
      <c r="AZ16" s="56" t="str">
        <f>IFERROR(VLOOKUP(December[[#This Row],[Drug Name5]],'Data Options'!$R$1:$S$100,2,FALSE), " ")</f>
        <v xml:space="preserve"> </v>
      </c>
      <c r="BA16" s="55"/>
      <c r="BB16" s="32"/>
      <c r="BC16" s="32"/>
      <c r="BD16" s="55"/>
      <c r="BE16" s="32"/>
      <c r="BF16" s="54"/>
      <c r="BG16" s="56" t="str">
        <f>IFERROR(VLOOKUP(December[[#This Row],[Drug Name6]],'Data Options'!$R$1:$S$100,2,FALSE), " ")</f>
        <v xml:space="preserve"> </v>
      </c>
      <c r="BH16" s="55"/>
      <c r="BI16" s="32"/>
      <c r="BJ16" s="32"/>
      <c r="BK16" s="55"/>
      <c r="BL16" s="32"/>
      <c r="BM16" s="32"/>
      <c r="BN16" s="32"/>
      <c r="BO16" s="32"/>
      <c r="BP16" s="32"/>
      <c r="BQ16" s="31"/>
      <c r="BR16" s="31"/>
      <c r="BS16" s="54"/>
      <c r="BT16" s="56" t="str">
        <f>IFERROR(VLOOKUP(December[[#This Row],[Drug Name7]],'Data Options'!$R$1:$S$100,2,FALSE), " ")</f>
        <v xml:space="preserve"> </v>
      </c>
      <c r="BU16" s="55"/>
      <c r="BV16" s="32"/>
      <c r="BW16" s="32"/>
      <c r="BX16" s="55"/>
      <c r="BY16" s="32"/>
      <c r="BZ16" s="54"/>
      <c r="CA16" s="56" t="str">
        <f>IFERROR(VLOOKUP(December[[#This Row],[Drug Name8]],'Data Options'!$R$1:$S$100,2,FALSE), " ")</f>
        <v xml:space="preserve"> </v>
      </c>
      <c r="CB16" s="55"/>
      <c r="CC16" s="32"/>
      <c r="CD16" s="32"/>
      <c r="CE16" s="55"/>
      <c r="CF16" s="32"/>
      <c r="CG16" s="54"/>
      <c r="CH16" s="56" t="str">
        <f>IFERROR(VLOOKUP(December[[#This Row],[Drug Name9]],'Data Options'!$R$1:$S$100,2,FALSE), " ")</f>
        <v xml:space="preserve"> </v>
      </c>
      <c r="CI16" s="55"/>
      <c r="CJ16" s="32"/>
      <c r="CK16" s="32"/>
      <c r="CL16" s="55"/>
      <c r="CM16" s="32"/>
    </row>
    <row r="17" spans="1:91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1"/>
      <c r="Q17" s="54"/>
      <c r="R17" s="56" t="str">
        <f>IFERROR(VLOOKUP(December[[#This Row],[Drug Name]],'Data Options'!$R$1:$S$100,2,FALSE), " ")</f>
        <v xml:space="preserve"> </v>
      </c>
      <c r="S17" s="55"/>
      <c r="T17" s="32"/>
      <c r="U17" s="32"/>
      <c r="V17" s="55"/>
      <c r="W17" s="32"/>
      <c r="X17" s="54"/>
      <c r="Y17" s="56" t="str">
        <f>IFERROR(VLOOKUP(December[[#This Row],[Drug Name2]],'Data Options'!$R$1:$S$100,2,FALSE), " ")</f>
        <v xml:space="preserve"> </v>
      </c>
      <c r="Z17" s="55"/>
      <c r="AA17" s="32"/>
      <c r="AB17" s="32"/>
      <c r="AC17" s="55"/>
      <c r="AD17" s="32"/>
      <c r="AE17" s="54"/>
      <c r="AF17" s="56" t="str">
        <f>IFERROR(VLOOKUP(December[[#This Row],[Drug Name3]],'Data Options'!$R$1:$S$100,2,FALSE), " ")</f>
        <v xml:space="preserve"> </v>
      </c>
      <c r="AG17" s="55"/>
      <c r="AH17" s="32"/>
      <c r="AI17" s="32"/>
      <c r="AJ17" s="55"/>
      <c r="AK17" s="32"/>
      <c r="AL17" s="32"/>
      <c r="AM17" s="32"/>
      <c r="AN17" s="32"/>
      <c r="AO17" s="32"/>
      <c r="AP17" s="31"/>
      <c r="AQ17" s="31"/>
      <c r="AR17" s="54"/>
      <c r="AS17" s="56" t="str">
        <f>IFERROR(VLOOKUP(December[[#This Row],[Drug Name4]],'Data Options'!$R$1:$S$100,2,FALSE), " ")</f>
        <v xml:space="preserve"> </v>
      </c>
      <c r="AT17" s="55"/>
      <c r="AU17" s="32"/>
      <c r="AV17" s="32"/>
      <c r="AW17" s="55"/>
      <c r="AX17" s="32"/>
      <c r="AY17" s="54"/>
      <c r="AZ17" s="56" t="str">
        <f>IFERROR(VLOOKUP(December[[#This Row],[Drug Name5]],'Data Options'!$R$1:$S$100,2,FALSE), " ")</f>
        <v xml:space="preserve"> </v>
      </c>
      <c r="BA17" s="55"/>
      <c r="BB17" s="32"/>
      <c r="BC17" s="32"/>
      <c r="BD17" s="55"/>
      <c r="BE17" s="32"/>
      <c r="BF17" s="54"/>
      <c r="BG17" s="56" t="str">
        <f>IFERROR(VLOOKUP(December[[#This Row],[Drug Name6]],'Data Options'!$R$1:$S$100,2,FALSE), " ")</f>
        <v xml:space="preserve"> </v>
      </c>
      <c r="BH17" s="55"/>
      <c r="BI17" s="32"/>
      <c r="BJ17" s="32"/>
      <c r="BK17" s="55"/>
      <c r="BL17" s="32"/>
      <c r="BM17" s="32"/>
      <c r="BN17" s="32"/>
      <c r="BO17" s="32"/>
      <c r="BP17" s="32"/>
      <c r="BQ17" s="31"/>
      <c r="BR17" s="31"/>
      <c r="BS17" s="54"/>
      <c r="BT17" s="56" t="str">
        <f>IFERROR(VLOOKUP(December[[#This Row],[Drug Name7]],'Data Options'!$R$1:$S$100,2,FALSE), " ")</f>
        <v xml:space="preserve"> </v>
      </c>
      <c r="BU17" s="55"/>
      <c r="BV17" s="32"/>
      <c r="BW17" s="32"/>
      <c r="BX17" s="55"/>
      <c r="BY17" s="32"/>
      <c r="BZ17" s="54"/>
      <c r="CA17" s="56" t="str">
        <f>IFERROR(VLOOKUP(December[[#This Row],[Drug Name8]],'Data Options'!$R$1:$S$100,2,FALSE), " ")</f>
        <v xml:space="preserve"> </v>
      </c>
      <c r="CB17" s="55"/>
      <c r="CC17" s="32"/>
      <c r="CD17" s="32"/>
      <c r="CE17" s="55"/>
      <c r="CF17" s="32"/>
      <c r="CG17" s="54"/>
      <c r="CH17" s="56" t="str">
        <f>IFERROR(VLOOKUP(December[[#This Row],[Drug Name9]],'Data Options'!$R$1:$S$100,2,FALSE), " ")</f>
        <v xml:space="preserve"> </v>
      </c>
      <c r="CI17" s="55"/>
      <c r="CJ17" s="32"/>
      <c r="CK17" s="32"/>
      <c r="CL17" s="55"/>
      <c r="CM17" s="32"/>
    </row>
    <row r="18" spans="1:9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1"/>
      <c r="Q18" s="54"/>
      <c r="R18" s="56" t="str">
        <f>IFERROR(VLOOKUP(December[[#This Row],[Drug Name]],'Data Options'!$R$1:$S$100,2,FALSE), " ")</f>
        <v xml:space="preserve"> </v>
      </c>
      <c r="S18" s="55"/>
      <c r="T18" s="32"/>
      <c r="U18" s="32"/>
      <c r="V18" s="55"/>
      <c r="W18" s="32"/>
      <c r="X18" s="54"/>
      <c r="Y18" s="56" t="str">
        <f>IFERROR(VLOOKUP(December[[#This Row],[Drug Name2]],'Data Options'!$R$1:$S$100,2,FALSE), " ")</f>
        <v xml:space="preserve"> </v>
      </c>
      <c r="Z18" s="55"/>
      <c r="AA18" s="32"/>
      <c r="AB18" s="32"/>
      <c r="AC18" s="55"/>
      <c r="AD18" s="32"/>
      <c r="AE18" s="54"/>
      <c r="AF18" s="56" t="str">
        <f>IFERROR(VLOOKUP(December[[#This Row],[Drug Name3]],'Data Options'!$R$1:$S$100,2,FALSE), " ")</f>
        <v xml:space="preserve"> </v>
      </c>
      <c r="AG18" s="55"/>
      <c r="AH18" s="32"/>
      <c r="AI18" s="32"/>
      <c r="AJ18" s="55"/>
      <c r="AK18" s="32"/>
      <c r="AL18" s="32"/>
      <c r="AM18" s="32"/>
      <c r="AN18" s="32"/>
      <c r="AO18" s="32"/>
      <c r="AP18" s="31"/>
      <c r="AQ18" s="31"/>
      <c r="AR18" s="54"/>
      <c r="AS18" s="56" t="str">
        <f>IFERROR(VLOOKUP(December[[#This Row],[Drug Name4]],'Data Options'!$R$1:$S$100,2,FALSE), " ")</f>
        <v xml:space="preserve"> </v>
      </c>
      <c r="AT18" s="55"/>
      <c r="AU18" s="32"/>
      <c r="AV18" s="32"/>
      <c r="AW18" s="55"/>
      <c r="AX18" s="32"/>
      <c r="AY18" s="54"/>
      <c r="AZ18" s="56" t="str">
        <f>IFERROR(VLOOKUP(December[[#This Row],[Drug Name5]],'Data Options'!$R$1:$S$100,2,FALSE), " ")</f>
        <v xml:space="preserve"> </v>
      </c>
      <c r="BA18" s="55"/>
      <c r="BB18" s="32"/>
      <c r="BC18" s="32"/>
      <c r="BD18" s="55"/>
      <c r="BE18" s="32"/>
      <c r="BF18" s="54"/>
      <c r="BG18" s="56" t="str">
        <f>IFERROR(VLOOKUP(December[[#This Row],[Drug Name6]],'Data Options'!$R$1:$S$100,2,FALSE), " ")</f>
        <v xml:space="preserve"> </v>
      </c>
      <c r="BH18" s="55"/>
      <c r="BI18" s="32"/>
      <c r="BJ18" s="32"/>
      <c r="BK18" s="55"/>
      <c r="BL18" s="32"/>
      <c r="BM18" s="32"/>
      <c r="BN18" s="32"/>
      <c r="BO18" s="32"/>
      <c r="BP18" s="32"/>
      <c r="BQ18" s="31"/>
      <c r="BR18" s="31"/>
      <c r="BS18" s="54"/>
      <c r="BT18" s="56" t="str">
        <f>IFERROR(VLOOKUP(December[[#This Row],[Drug Name7]],'Data Options'!$R$1:$S$100,2,FALSE), " ")</f>
        <v xml:space="preserve"> </v>
      </c>
      <c r="BU18" s="55"/>
      <c r="BV18" s="32"/>
      <c r="BW18" s="32"/>
      <c r="BX18" s="55"/>
      <c r="BY18" s="32"/>
      <c r="BZ18" s="54"/>
      <c r="CA18" s="56" t="str">
        <f>IFERROR(VLOOKUP(December[[#This Row],[Drug Name8]],'Data Options'!$R$1:$S$100,2,FALSE), " ")</f>
        <v xml:space="preserve"> </v>
      </c>
      <c r="CB18" s="55"/>
      <c r="CC18" s="32"/>
      <c r="CD18" s="32"/>
      <c r="CE18" s="55"/>
      <c r="CF18" s="32"/>
      <c r="CG18" s="54"/>
      <c r="CH18" s="56" t="str">
        <f>IFERROR(VLOOKUP(December[[#This Row],[Drug Name9]],'Data Options'!$R$1:$S$100,2,FALSE), " ")</f>
        <v xml:space="preserve"> </v>
      </c>
      <c r="CI18" s="55"/>
      <c r="CJ18" s="32"/>
      <c r="CK18" s="32"/>
      <c r="CL18" s="55"/>
      <c r="CM18" s="32"/>
    </row>
    <row r="19" spans="1:9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54"/>
      <c r="R19" s="56" t="str">
        <f>IFERROR(VLOOKUP(December[[#This Row],[Drug Name]],'Data Options'!$R$1:$S$100,2,FALSE), " ")</f>
        <v xml:space="preserve"> </v>
      </c>
      <c r="S19" s="55"/>
      <c r="T19" s="32"/>
      <c r="U19" s="32"/>
      <c r="V19" s="55"/>
      <c r="W19" s="32"/>
      <c r="X19" s="54"/>
      <c r="Y19" s="56" t="str">
        <f>IFERROR(VLOOKUP(December[[#This Row],[Drug Name2]],'Data Options'!$R$1:$S$100,2,FALSE), " ")</f>
        <v xml:space="preserve"> </v>
      </c>
      <c r="Z19" s="55"/>
      <c r="AA19" s="32"/>
      <c r="AB19" s="32"/>
      <c r="AC19" s="55"/>
      <c r="AD19" s="32"/>
      <c r="AE19" s="54"/>
      <c r="AF19" s="56" t="str">
        <f>IFERROR(VLOOKUP(December[[#This Row],[Drug Name3]],'Data Options'!$R$1:$S$100,2,FALSE), " ")</f>
        <v xml:space="preserve"> </v>
      </c>
      <c r="AG19" s="55"/>
      <c r="AH19" s="32"/>
      <c r="AI19" s="32"/>
      <c r="AJ19" s="55"/>
      <c r="AK19" s="32"/>
      <c r="AL19" s="32"/>
      <c r="AM19" s="32"/>
      <c r="AN19" s="32"/>
      <c r="AO19" s="32"/>
      <c r="AP19" s="31"/>
      <c r="AQ19" s="31"/>
      <c r="AR19" s="54"/>
      <c r="AS19" s="56" t="str">
        <f>IFERROR(VLOOKUP(December[[#This Row],[Drug Name4]],'Data Options'!$R$1:$S$100,2,FALSE), " ")</f>
        <v xml:space="preserve"> </v>
      </c>
      <c r="AT19" s="55"/>
      <c r="AU19" s="32"/>
      <c r="AV19" s="32"/>
      <c r="AW19" s="55"/>
      <c r="AX19" s="32"/>
      <c r="AY19" s="54"/>
      <c r="AZ19" s="56" t="str">
        <f>IFERROR(VLOOKUP(December[[#This Row],[Drug Name5]],'Data Options'!$R$1:$S$100,2,FALSE), " ")</f>
        <v xml:space="preserve"> </v>
      </c>
      <c r="BA19" s="55"/>
      <c r="BB19" s="32"/>
      <c r="BC19" s="32"/>
      <c r="BD19" s="55"/>
      <c r="BE19" s="32"/>
      <c r="BF19" s="54"/>
      <c r="BG19" s="56" t="str">
        <f>IFERROR(VLOOKUP(December[[#This Row],[Drug Name6]],'Data Options'!$R$1:$S$100,2,FALSE), " ")</f>
        <v xml:space="preserve"> </v>
      </c>
      <c r="BH19" s="55"/>
      <c r="BI19" s="32"/>
      <c r="BJ19" s="32"/>
      <c r="BK19" s="55"/>
      <c r="BL19" s="32"/>
      <c r="BM19" s="32"/>
      <c r="BN19" s="32"/>
      <c r="BO19" s="32"/>
      <c r="BP19" s="32"/>
      <c r="BQ19" s="31"/>
      <c r="BR19" s="31"/>
      <c r="BS19" s="54"/>
      <c r="BT19" s="56" t="str">
        <f>IFERROR(VLOOKUP(December[[#This Row],[Drug Name7]],'Data Options'!$R$1:$S$100,2,FALSE), " ")</f>
        <v xml:space="preserve"> </v>
      </c>
      <c r="BU19" s="55"/>
      <c r="BV19" s="32"/>
      <c r="BW19" s="32"/>
      <c r="BX19" s="55"/>
      <c r="BY19" s="32"/>
      <c r="BZ19" s="54"/>
      <c r="CA19" s="56" t="str">
        <f>IFERROR(VLOOKUP(December[[#This Row],[Drug Name8]],'Data Options'!$R$1:$S$100,2,FALSE), " ")</f>
        <v xml:space="preserve"> </v>
      </c>
      <c r="CB19" s="55"/>
      <c r="CC19" s="32"/>
      <c r="CD19" s="32"/>
      <c r="CE19" s="55"/>
      <c r="CF19" s="32"/>
      <c r="CG19" s="54"/>
      <c r="CH19" s="56" t="str">
        <f>IFERROR(VLOOKUP(December[[#This Row],[Drug Name9]],'Data Options'!$R$1:$S$100,2,FALSE), " ")</f>
        <v xml:space="preserve"> </v>
      </c>
      <c r="CI19" s="55"/>
      <c r="CJ19" s="32"/>
      <c r="CK19" s="32"/>
      <c r="CL19" s="55"/>
      <c r="CM19" s="32"/>
    </row>
    <row r="20" spans="1:9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1"/>
      <c r="Q20" s="54"/>
      <c r="R20" s="56" t="str">
        <f>IFERROR(VLOOKUP(December[[#This Row],[Drug Name]],'Data Options'!$R$1:$S$100,2,FALSE), " ")</f>
        <v xml:space="preserve"> </v>
      </c>
      <c r="S20" s="55"/>
      <c r="T20" s="32"/>
      <c r="U20" s="32"/>
      <c r="V20" s="55"/>
      <c r="W20" s="32"/>
      <c r="X20" s="54"/>
      <c r="Y20" s="56" t="str">
        <f>IFERROR(VLOOKUP(December[[#This Row],[Drug Name2]],'Data Options'!$R$1:$S$100,2,FALSE), " ")</f>
        <v xml:space="preserve"> </v>
      </c>
      <c r="Z20" s="55"/>
      <c r="AA20" s="32"/>
      <c r="AB20" s="32"/>
      <c r="AC20" s="55"/>
      <c r="AD20" s="32"/>
      <c r="AE20" s="54"/>
      <c r="AF20" s="56" t="str">
        <f>IFERROR(VLOOKUP(December[[#This Row],[Drug Name3]],'Data Options'!$R$1:$S$100,2,FALSE), " ")</f>
        <v xml:space="preserve"> </v>
      </c>
      <c r="AG20" s="55"/>
      <c r="AH20" s="32"/>
      <c r="AI20" s="32"/>
      <c r="AJ20" s="55"/>
      <c r="AK20" s="32"/>
      <c r="AL20" s="32"/>
      <c r="AM20" s="32"/>
      <c r="AN20" s="32"/>
      <c r="AO20" s="32"/>
      <c r="AP20" s="31"/>
      <c r="AQ20" s="31"/>
      <c r="AR20" s="54"/>
      <c r="AS20" s="56" t="str">
        <f>IFERROR(VLOOKUP(December[[#This Row],[Drug Name4]],'Data Options'!$R$1:$S$100,2,FALSE), " ")</f>
        <v xml:space="preserve"> </v>
      </c>
      <c r="AT20" s="55"/>
      <c r="AU20" s="32"/>
      <c r="AV20" s="32"/>
      <c r="AW20" s="55"/>
      <c r="AX20" s="32"/>
      <c r="AY20" s="54"/>
      <c r="AZ20" s="56" t="str">
        <f>IFERROR(VLOOKUP(December[[#This Row],[Drug Name5]],'Data Options'!$R$1:$S$100,2,FALSE), " ")</f>
        <v xml:space="preserve"> </v>
      </c>
      <c r="BA20" s="55"/>
      <c r="BB20" s="32"/>
      <c r="BC20" s="32"/>
      <c r="BD20" s="55"/>
      <c r="BE20" s="32"/>
      <c r="BF20" s="54"/>
      <c r="BG20" s="56" t="str">
        <f>IFERROR(VLOOKUP(December[[#This Row],[Drug Name6]],'Data Options'!$R$1:$S$100,2,FALSE), " ")</f>
        <v xml:space="preserve"> </v>
      </c>
      <c r="BH20" s="55"/>
      <c r="BI20" s="32"/>
      <c r="BJ20" s="32"/>
      <c r="BK20" s="55"/>
      <c r="BL20" s="32"/>
      <c r="BM20" s="32"/>
      <c r="BN20" s="32"/>
      <c r="BO20" s="32"/>
      <c r="BP20" s="32"/>
      <c r="BQ20" s="31"/>
      <c r="BR20" s="31"/>
      <c r="BS20" s="54"/>
      <c r="BT20" s="56" t="str">
        <f>IFERROR(VLOOKUP(December[[#This Row],[Drug Name7]],'Data Options'!$R$1:$S$100,2,FALSE), " ")</f>
        <v xml:space="preserve"> </v>
      </c>
      <c r="BU20" s="55"/>
      <c r="BV20" s="32"/>
      <c r="BW20" s="32"/>
      <c r="BX20" s="55"/>
      <c r="BY20" s="32"/>
      <c r="BZ20" s="54"/>
      <c r="CA20" s="56" t="str">
        <f>IFERROR(VLOOKUP(December[[#This Row],[Drug Name8]],'Data Options'!$R$1:$S$100,2,FALSE), " ")</f>
        <v xml:space="preserve"> </v>
      </c>
      <c r="CB20" s="55"/>
      <c r="CC20" s="32"/>
      <c r="CD20" s="32"/>
      <c r="CE20" s="55"/>
      <c r="CF20" s="32"/>
      <c r="CG20" s="54"/>
      <c r="CH20" s="56" t="str">
        <f>IFERROR(VLOOKUP(December[[#This Row],[Drug Name9]],'Data Options'!$R$1:$S$100,2,FALSE), " ")</f>
        <v xml:space="preserve"> </v>
      </c>
      <c r="CI20" s="55"/>
      <c r="CJ20" s="32"/>
      <c r="CK20" s="32"/>
      <c r="CL20" s="55"/>
      <c r="CM20" s="32"/>
    </row>
    <row r="21" spans="1:91">
      <c r="A21" s="5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1"/>
      <c r="Q21" s="54"/>
      <c r="R21" s="56" t="str">
        <f>IFERROR(VLOOKUP(December[[#This Row],[Drug Name]],'Data Options'!$R$1:$S$100,2,FALSE), " ")</f>
        <v xml:space="preserve"> </v>
      </c>
      <c r="S21" s="55"/>
      <c r="T21" s="32"/>
      <c r="U21" s="32"/>
      <c r="V21" s="55"/>
      <c r="W21" s="32"/>
      <c r="X21" s="54"/>
      <c r="Y21" s="56" t="str">
        <f>IFERROR(VLOOKUP(December[[#This Row],[Drug Name2]],'Data Options'!$R$1:$S$100,2,FALSE), " ")</f>
        <v xml:space="preserve"> </v>
      </c>
      <c r="Z21" s="55"/>
      <c r="AA21" s="32"/>
      <c r="AB21" s="32"/>
      <c r="AC21" s="55"/>
      <c r="AD21" s="32"/>
      <c r="AE21" s="54"/>
      <c r="AF21" s="56" t="str">
        <f>IFERROR(VLOOKUP(December[[#This Row],[Drug Name3]],'Data Options'!$R$1:$S$100,2,FALSE), " ")</f>
        <v xml:space="preserve"> </v>
      </c>
      <c r="AG21" s="55"/>
      <c r="AH21" s="32"/>
      <c r="AI21" s="32"/>
      <c r="AJ21" s="55"/>
      <c r="AK21" s="32"/>
      <c r="AL21" s="32"/>
      <c r="AM21" s="32"/>
      <c r="AN21" s="32"/>
      <c r="AO21" s="32"/>
      <c r="AP21" s="31"/>
      <c r="AQ21" s="31"/>
      <c r="AR21" s="54"/>
      <c r="AS21" s="56" t="str">
        <f>IFERROR(VLOOKUP(December[[#This Row],[Drug Name4]],'Data Options'!$R$1:$S$100,2,FALSE), " ")</f>
        <v xml:space="preserve"> </v>
      </c>
      <c r="AT21" s="55"/>
      <c r="AU21" s="32"/>
      <c r="AV21" s="32"/>
      <c r="AW21" s="55"/>
      <c r="AX21" s="32"/>
      <c r="AY21" s="54"/>
      <c r="AZ21" s="56" t="str">
        <f>IFERROR(VLOOKUP(December[[#This Row],[Drug Name5]],'Data Options'!$R$1:$S$100,2,FALSE), " ")</f>
        <v xml:space="preserve"> </v>
      </c>
      <c r="BA21" s="55"/>
      <c r="BB21" s="32"/>
      <c r="BC21" s="32"/>
      <c r="BD21" s="55"/>
      <c r="BE21" s="32"/>
      <c r="BF21" s="54"/>
      <c r="BG21" s="56" t="str">
        <f>IFERROR(VLOOKUP(December[[#This Row],[Drug Name6]],'Data Options'!$R$1:$S$100,2,FALSE), " ")</f>
        <v xml:space="preserve"> </v>
      </c>
      <c r="BH21" s="55"/>
      <c r="BI21" s="32"/>
      <c r="BJ21" s="32"/>
      <c r="BK21" s="55"/>
      <c r="BL21" s="32"/>
      <c r="BM21" s="32"/>
      <c r="BN21" s="32"/>
      <c r="BO21" s="32"/>
      <c r="BP21" s="32"/>
      <c r="BQ21" s="31"/>
      <c r="BR21" s="31"/>
      <c r="BS21" s="54"/>
      <c r="BT21" s="56" t="str">
        <f>IFERROR(VLOOKUP(December[[#This Row],[Drug Name7]],'Data Options'!$R$1:$S$100,2,FALSE), " ")</f>
        <v xml:space="preserve"> </v>
      </c>
      <c r="BU21" s="55"/>
      <c r="BV21" s="32"/>
      <c r="BW21" s="32"/>
      <c r="BX21" s="55"/>
      <c r="BY21" s="32"/>
      <c r="BZ21" s="54"/>
      <c r="CA21" s="56" t="str">
        <f>IFERROR(VLOOKUP(December[[#This Row],[Drug Name8]],'Data Options'!$R$1:$S$100,2,FALSE), " ")</f>
        <v xml:space="preserve"> </v>
      </c>
      <c r="CB21" s="55"/>
      <c r="CC21" s="32"/>
      <c r="CD21" s="32"/>
      <c r="CE21" s="55"/>
      <c r="CF21" s="32"/>
      <c r="CG21" s="54"/>
      <c r="CH21" s="56" t="str">
        <f>IFERROR(VLOOKUP(December[[#This Row],[Drug Name9]],'Data Options'!$R$1:$S$100,2,FALSE), " ")</f>
        <v xml:space="preserve"> </v>
      </c>
      <c r="CI21" s="55"/>
      <c r="CJ21" s="32"/>
      <c r="CK21" s="32"/>
      <c r="CL21" s="55"/>
      <c r="CM21" s="32"/>
    </row>
    <row r="22" spans="1:91">
      <c r="A22" s="5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1"/>
      <c r="Q22" s="54"/>
      <c r="R22" s="56" t="str">
        <f>IFERROR(VLOOKUP(December[[#This Row],[Drug Name]],'Data Options'!$R$1:$S$100,2,FALSE), " ")</f>
        <v xml:space="preserve"> </v>
      </c>
      <c r="S22" s="55"/>
      <c r="T22" s="32"/>
      <c r="U22" s="32"/>
      <c r="V22" s="55"/>
      <c r="W22" s="32"/>
      <c r="X22" s="54"/>
      <c r="Y22" s="56" t="str">
        <f>IFERROR(VLOOKUP(December[[#This Row],[Drug Name2]],'Data Options'!$R$1:$S$100,2,FALSE), " ")</f>
        <v xml:space="preserve"> </v>
      </c>
      <c r="Z22" s="55"/>
      <c r="AA22" s="32"/>
      <c r="AB22" s="32"/>
      <c r="AC22" s="55"/>
      <c r="AD22" s="32"/>
      <c r="AE22" s="54"/>
      <c r="AF22" s="56" t="str">
        <f>IFERROR(VLOOKUP(December[[#This Row],[Drug Name3]],'Data Options'!$R$1:$S$100,2,FALSE), " ")</f>
        <v xml:space="preserve"> </v>
      </c>
      <c r="AG22" s="55"/>
      <c r="AH22" s="32"/>
      <c r="AI22" s="32"/>
      <c r="AJ22" s="55"/>
      <c r="AK22" s="32"/>
      <c r="AL22" s="32"/>
      <c r="AM22" s="32"/>
      <c r="AN22" s="32"/>
      <c r="AO22" s="32"/>
      <c r="AP22" s="31"/>
      <c r="AQ22" s="31"/>
      <c r="AR22" s="54"/>
      <c r="AS22" s="56" t="str">
        <f>IFERROR(VLOOKUP(December[[#This Row],[Drug Name4]],'Data Options'!$R$1:$S$100,2,FALSE), " ")</f>
        <v xml:space="preserve"> </v>
      </c>
      <c r="AT22" s="55"/>
      <c r="AU22" s="32"/>
      <c r="AV22" s="32"/>
      <c r="AW22" s="55"/>
      <c r="AX22" s="32"/>
      <c r="AY22" s="54"/>
      <c r="AZ22" s="56" t="str">
        <f>IFERROR(VLOOKUP(December[[#This Row],[Drug Name5]],'Data Options'!$R$1:$S$100,2,FALSE), " ")</f>
        <v xml:space="preserve"> </v>
      </c>
      <c r="BA22" s="55"/>
      <c r="BB22" s="32"/>
      <c r="BC22" s="32"/>
      <c r="BD22" s="55"/>
      <c r="BE22" s="32"/>
      <c r="BF22" s="54"/>
      <c r="BG22" s="56" t="str">
        <f>IFERROR(VLOOKUP(December[[#This Row],[Drug Name6]],'Data Options'!$R$1:$S$100,2,FALSE), " ")</f>
        <v xml:space="preserve"> </v>
      </c>
      <c r="BH22" s="55"/>
      <c r="BI22" s="32"/>
      <c r="BJ22" s="32"/>
      <c r="BK22" s="55"/>
      <c r="BL22" s="32"/>
      <c r="BM22" s="32"/>
      <c r="BN22" s="32"/>
      <c r="BO22" s="32"/>
      <c r="BP22" s="32"/>
      <c r="BQ22" s="31"/>
      <c r="BR22" s="31"/>
      <c r="BS22" s="54"/>
      <c r="BT22" s="56" t="str">
        <f>IFERROR(VLOOKUP(December[[#This Row],[Drug Name7]],'Data Options'!$R$1:$S$100,2,FALSE), " ")</f>
        <v xml:space="preserve"> </v>
      </c>
      <c r="BU22" s="55"/>
      <c r="BV22" s="32"/>
      <c r="BW22" s="32"/>
      <c r="BX22" s="55"/>
      <c r="BY22" s="32"/>
      <c r="BZ22" s="54"/>
      <c r="CA22" s="56" t="str">
        <f>IFERROR(VLOOKUP(December[[#This Row],[Drug Name8]],'Data Options'!$R$1:$S$100,2,FALSE), " ")</f>
        <v xml:space="preserve"> </v>
      </c>
      <c r="CB22" s="55"/>
      <c r="CC22" s="32"/>
      <c r="CD22" s="32"/>
      <c r="CE22" s="55"/>
      <c r="CF22" s="32"/>
      <c r="CG22" s="54"/>
      <c r="CH22" s="56" t="str">
        <f>IFERROR(VLOOKUP(December[[#This Row],[Drug Name9]],'Data Options'!$R$1:$S$100,2,FALSE), " ")</f>
        <v xml:space="preserve"> </v>
      </c>
      <c r="CI22" s="55"/>
      <c r="CJ22" s="32"/>
      <c r="CK22" s="32"/>
      <c r="CL22" s="55"/>
      <c r="CM22" s="32"/>
    </row>
    <row r="23" spans="1:9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54"/>
      <c r="R23" s="56" t="str">
        <f>IFERROR(VLOOKUP(December[[#This Row],[Drug Name]],'Data Options'!$R$1:$S$100,2,FALSE), " ")</f>
        <v xml:space="preserve"> </v>
      </c>
      <c r="S23" s="55"/>
      <c r="T23" s="32"/>
      <c r="U23" s="32"/>
      <c r="V23" s="55"/>
      <c r="W23" s="32"/>
      <c r="X23" s="54"/>
      <c r="Y23" s="56" t="str">
        <f>IFERROR(VLOOKUP(December[[#This Row],[Drug Name2]],'Data Options'!$R$1:$S$100,2,FALSE), " ")</f>
        <v xml:space="preserve"> </v>
      </c>
      <c r="Z23" s="55"/>
      <c r="AA23" s="32"/>
      <c r="AB23" s="32"/>
      <c r="AC23" s="55"/>
      <c r="AD23" s="32"/>
      <c r="AE23" s="54"/>
      <c r="AF23" s="56" t="str">
        <f>IFERROR(VLOOKUP(December[[#This Row],[Drug Name3]],'Data Options'!$R$1:$S$100,2,FALSE), " ")</f>
        <v xml:space="preserve"> </v>
      </c>
      <c r="AG23" s="55"/>
      <c r="AH23" s="32"/>
      <c r="AI23" s="32"/>
      <c r="AJ23" s="55"/>
      <c r="AK23" s="32"/>
      <c r="AL23" s="32"/>
      <c r="AM23" s="32"/>
      <c r="AN23" s="32"/>
      <c r="AO23" s="32"/>
      <c r="AP23" s="31"/>
      <c r="AQ23" s="31"/>
      <c r="AR23" s="54"/>
      <c r="AS23" s="56" t="str">
        <f>IFERROR(VLOOKUP(December[[#This Row],[Drug Name4]],'Data Options'!$R$1:$S$100,2,FALSE), " ")</f>
        <v xml:space="preserve"> </v>
      </c>
      <c r="AT23" s="55"/>
      <c r="AU23" s="32"/>
      <c r="AV23" s="32"/>
      <c r="AW23" s="55"/>
      <c r="AX23" s="32"/>
      <c r="AY23" s="54"/>
      <c r="AZ23" s="56" t="str">
        <f>IFERROR(VLOOKUP(December[[#This Row],[Drug Name5]],'Data Options'!$R$1:$S$100,2,FALSE), " ")</f>
        <v xml:space="preserve"> </v>
      </c>
      <c r="BA23" s="55"/>
      <c r="BB23" s="32"/>
      <c r="BC23" s="32"/>
      <c r="BD23" s="55"/>
      <c r="BE23" s="32"/>
      <c r="BF23" s="54"/>
      <c r="BG23" s="56" t="str">
        <f>IFERROR(VLOOKUP(December[[#This Row],[Drug Name6]],'Data Options'!$R$1:$S$100,2,FALSE), " ")</f>
        <v xml:space="preserve"> </v>
      </c>
      <c r="BH23" s="55"/>
      <c r="BI23" s="32"/>
      <c r="BJ23" s="32"/>
      <c r="BK23" s="55"/>
      <c r="BL23" s="32"/>
      <c r="BM23" s="32"/>
      <c r="BN23" s="32"/>
      <c r="BO23" s="32"/>
      <c r="BP23" s="32"/>
      <c r="BQ23" s="31"/>
      <c r="BR23" s="31"/>
      <c r="BS23" s="54"/>
      <c r="BT23" s="56" t="str">
        <f>IFERROR(VLOOKUP(December[[#This Row],[Drug Name7]],'Data Options'!$R$1:$S$100,2,FALSE), " ")</f>
        <v xml:space="preserve"> </v>
      </c>
      <c r="BU23" s="55"/>
      <c r="BV23" s="32"/>
      <c r="BW23" s="32"/>
      <c r="BX23" s="55"/>
      <c r="BY23" s="32"/>
      <c r="BZ23" s="54"/>
      <c r="CA23" s="56" t="str">
        <f>IFERROR(VLOOKUP(December[[#This Row],[Drug Name8]],'Data Options'!$R$1:$S$100,2,FALSE), " ")</f>
        <v xml:space="preserve"> </v>
      </c>
      <c r="CB23" s="55"/>
      <c r="CC23" s="32"/>
      <c r="CD23" s="32"/>
      <c r="CE23" s="55"/>
      <c r="CF23" s="32"/>
      <c r="CG23" s="54"/>
      <c r="CH23" s="56" t="str">
        <f>IFERROR(VLOOKUP(December[[#This Row],[Drug Name9]],'Data Options'!$R$1:$S$100,2,FALSE), " ")</f>
        <v xml:space="preserve"> </v>
      </c>
      <c r="CI23" s="55"/>
      <c r="CJ23" s="32"/>
      <c r="CK23" s="32"/>
      <c r="CL23" s="55"/>
      <c r="CM23" s="32"/>
    </row>
    <row r="24" spans="1:91">
      <c r="A24" s="5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54"/>
      <c r="R24" s="56" t="str">
        <f>IFERROR(VLOOKUP(December[[#This Row],[Drug Name]],'Data Options'!$R$1:$S$100,2,FALSE), " ")</f>
        <v xml:space="preserve"> </v>
      </c>
      <c r="S24" s="55"/>
      <c r="T24" s="32"/>
      <c r="U24" s="32"/>
      <c r="V24" s="55"/>
      <c r="W24" s="32"/>
      <c r="X24" s="54"/>
      <c r="Y24" s="56" t="str">
        <f>IFERROR(VLOOKUP(December[[#This Row],[Drug Name2]],'Data Options'!$R$1:$S$100,2,FALSE), " ")</f>
        <v xml:space="preserve"> </v>
      </c>
      <c r="Z24" s="55"/>
      <c r="AA24" s="32"/>
      <c r="AB24" s="32"/>
      <c r="AC24" s="55"/>
      <c r="AD24" s="32"/>
      <c r="AE24" s="54"/>
      <c r="AF24" s="56" t="str">
        <f>IFERROR(VLOOKUP(December[[#This Row],[Drug Name3]],'Data Options'!$R$1:$S$100,2,FALSE), " ")</f>
        <v xml:space="preserve"> </v>
      </c>
      <c r="AG24" s="55"/>
      <c r="AH24" s="32"/>
      <c r="AI24" s="32"/>
      <c r="AJ24" s="55"/>
      <c r="AK24" s="32"/>
      <c r="AL24" s="32"/>
      <c r="AM24" s="32"/>
      <c r="AN24" s="32"/>
      <c r="AO24" s="32"/>
      <c r="AP24" s="31"/>
      <c r="AQ24" s="31"/>
      <c r="AR24" s="54"/>
      <c r="AS24" s="56" t="str">
        <f>IFERROR(VLOOKUP(December[[#This Row],[Drug Name4]],'Data Options'!$R$1:$S$100,2,FALSE), " ")</f>
        <v xml:space="preserve"> </v>
      </c>
      <c r="AT24" s="55"/>
      <c r="AU24" s="32"/>
      <c r="AV24" s="32"/>
      <c r="AW24" s="55"/>
      <c r="AX24" s="32"/>
      <c r="AY24" s="54"/>
      <c r="AZ24" s="56" t="str">
        <f>IFERROR(VLOOKUP(December[[#This Row],[Drug Name5]],'Data Options'!$R$1:$S$100,2,FALSE), " ")</f>
        <v xml:space="preserve"> </v>
      </c>
      <c r="BA24" s="55"/>
      <c r="BB24" s="32"/>
      <c r="BC24" s="32"/>
      <c r="BD24" s="55"/>
      <c r="BE24" s="32"/>
      <c r="BF24" s="54"/>
      <c r="BG24" s="56" t="str">
        <f>IFERROR(VLOOKUP(December[[#This Row],[Drug Name6]],'Data Options'!$R$1:$S$100,2,FALSE), " ")</f>
        <v xml:space="preserve"> </v>
      </c>
      <c r="BH24" s="55"/>
      <c r="BI24" s="32"/>
      <c r="BJ24" s="32"/>
      <c r="BK24" s="55"/>
      <c r="BL24" s="32"/>
      <c r="BM24" s="32"/>
      <c r="BN24" s="32"/>
      <c r="BO24" s="32"/>
      <c r="BP24" s="32"/>
      <c r="BQ24" s="31"/>
      <c r="BR24" s="31"/>
      <c r="BS24" s="54"/>
      <c r="BT24" s="56" t="str">
        <f>IFERROR(VLOOKUP(December[[#This Row],[Drug Name7]],'Data Options'!$R$1:$S$100,2,FALSE), " ")</f>
        <v xml:space="preserve"> </v>
      </c>
      <c r="BU24" s="55"/>
      <c r="BV24" s="32"/>
      <c r="BW24" s="32"/>
      <c r="BX24" s="55"/>
      <c r="BY24" s="32"/>
      <c r="BZ24" s="54"/>
      <c r="CA24" s="56" t="str">
        <f>IFERROR(VLOOKUP(December[[#This Row],[Drug Name8]],'Data Options'!$R$1:$S$100,2,FALSE), " ")</f>
        <v xml:space="preserve"> </v>
      </c>
      <c r="CB24" s="55"/>
      <c r="CC24" s="32"/>
      <c r="CD24" s="32"/>
      <c r="CE24" s="55"/>
      <c r="CF24" s="32"/>
      <c r="CG24" s="54"/>
      <c r="CH24" s="56" t="str">
        <f>IFERROR(VLOOKUP(December[[#This Row],[Drug Name9]],'Data Options'!$R$1:$S$100,2,FALSE), " ")</f>
        <v xml:space="preserve"> </v>
      </c>
      <c r="CI24" s="55"/>
      <c r="CJ24" s="32"/>
      <c r="CK24" s="32"/>
      <c r="CL24" s="55"/>
      <c r="CM24" s="32"/>
    </row>
    <row r="25" spans="1:9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54"/>
      <c r="R25" s="56" t="str">
        <f>IFERROR(VLOOKUP(December[[#This Row],[Drug Name]],'Data Options'!$R$1:$S$100,2,FALSE), " ")</f>
        <v xml:space="preserve"> </v>
      </c>
      <c r="S25" s="55"/>
      <c r="T25" s="32"/>
      <c r="U25" s="32"/>
      <c r="V25" s="55"/>
      <c r="W25" s="32"/>
      <c r="X25" s="54"/>
      <c r="Y25" s="56" t="str">
        <f>IFERROR(VLOOKUP(December[[#This Row],[Drug Name2]],'Data Options'!$R$1:$S$100,2,FALSE), " ")</f>
        <v xml:space="preserve"> </v>
      </c>
      <c r="Z25" s="55"/>
      <c r="AA25" s="32"/>
      <c r="AB25" s="32"/>
      <c r="AC25" s="55"/>
      <c r="AD25" s="32"/>
      <c r="AE25" s="54"/>
      <c r="AF25" s="56" t="str">
        <f>IFERROR(VLOOKUP(December[[#This Row],[Drug Name3]],'Data Options'!$R$1:$S$100,2,FALSE), " ")</f>
        <v xml:space="preserve"> </v>
      </c>
      <c r="AG25" s="55"/>
      <c r="AH25" s="32"/>
      <c r="AI25" s="32"/>
      <c r="AJ25" s="55"/>
      <c r="AK25" s="32"/>
      <c r="AL25" s="32"/>
      <c r="AM25" s="32"/>
      <c r="AN25" s="32"/>
      <c r="AO25" s="32"/>
      <c r="AP25" s="31"/>
      <c r="AQ25" s="31"/>
      <c r="AR25" s="54"/>
      <c r="AS25" s="56" t="str">
        <f>IFERROR(VLOOKUP(December[[#This Row],[Drug Name4]],'Data Options'!$R$1:$S$100,2,FALSE), " ")</f>
        <v xml:space="preserve"> </v>
      </c>
      <c r="AT25" s="55"/>
      <c r="AU25" s="32"/>
      <c r="AV25" s="32"/>
      <c r="AW25" s="55"/>
      <c r="AX25" s="32"/>
      <c r="AY25" s="54"/>
      <c r="AZ25" s="56" t="str">
        <f>IFERROR(VLOOKUP(December[[#This Row],[Drug Name5]],'Data Options'!$R$1:$S$100,2,FALSE), " ")</f>
        <v xml:space="preserve"> </v>
      </c>
      <c r="BA25" s="55"/>
      <c r="BB25" s="32"/>
      <c r="BC25" s="32"/>
      <c r="BD25" s="55"/>
      <c r="BE25" s="32"/>
      <c r="BF25" s="54"/>
      <c r="BG25" s="56" t="str">
        <f>IFERROR(VLOOKUP(December[[#This Row],[Drug Name6]],'Data Options'!$R$1:$S$100,2,FALSE), " ")</f>
        <v xml:space="preserve"> </v>
      </c>
      <c r="BH25" s="55"/>
      <c r="BI25" s="32"/>
      <c r="BJ25" s="32"/>
      <c r="BK25" s="55"/>
      <c r="BL25" s="32"/>
      <c r="BM25" s="32"/>
      <c r="BN25" s="32"/>
      <c r="BO25" s="32"/>
      <c r="BP25" s="32"/>
      <c r="BQ25" s="31"/>
      <c r="BR25" s="31"/>
      <c r="BS25" s="54"/>
      <c r="BT25" s="56" t="str">
        <f>IFERROR(VLOOKUP(December[[#This Row],[Drug Name7]],'Data Options'!$R$1:$S$100,2,FALSE), " ")</f>
        <v xml:space="preserve"> </v>
      </c>
      <c r="BU25" s="55"/>
      <c r="BV25" s="32"/>
      <c r="BW25" s="32"/>
      <c r="BX25" s="55"/>
      <c r="BY25" s="32"/>
      <c r="BZ25" s="54"/>
      <c r="CA25" s="56" t="str">
        <f>IFERROR(VLOOKUP(December[[#This Row],[Drug Name8]],'Data Options'!$R$1:$S$100,2,FALSE), " ")</f>
        <v xml:space="preserve"> </v>
      </c>
      <c r="CB25" s="55"/>
      <c r="CC25" s="32"/>
      <c r="CD25" s="32"/>
      <c r="CE25" s="55"/>
      <c r="CF25" s="32"/>
      <c r="CG25" s="54"/>
      <c r="CH25" s="56" t="str">
        <f>IFERROR(VLOOKUP(December[[#This Row],[Drug Name9]],'Data Options'!$R$1:$S$100,2,FALSE), " ")</f>
        <v xml:space="preserve"> </v>
      </c>
      <c r="CI25" s="55"/>
      <c r="CJ25" s="32"/>
      <c r="CK25" s="32"/>
      <c r="CL25" s="55"/>
      <c r="CM25" s="32"/>
    </row>
    <row r="26" spans="1:91">
      <c r="A26" s="5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54"/>
      <c r="R26" s="56" t="str">
        <f>IFERROR(VLOOKUP(December[[#This Row],[Drug Name]],'Data Options'!$R$1:$S$100,2,FALSE), " ")</f>
        <v xml:space="preserve"> </v>
      </c>
      <c r="S26" s="55"/>
      <c r="T26" s="32"/>
      <c r="U26" s="32"/>
      <c r="V26" s="55"/>
      <c r="W26" s="32"/>
      <c r="X26" s="54"/>
      <c r="Y26" s="56" t="str">
        <f>IFERROR(VLOOKUP(December[[#This Row],[Drug Name2]],'Data Options'!$R$1:$S$100,2,FALSE), " ")</f>
        <v xml:space="preserve"> </v>
      </c>
      <c r="Z26" s="55"/>
      <c r="AA26" s="32"/>
      <c r="AB26" s="32"/>
      <c r="AC26" s="55"/>
      <c r="AD26" s="32"/>
      <c r="AE26" s="54"/>
      <c r="AF26" s="56" t="str">
        <f>IFERROR(VLOOKUP(December[[#This Row],[Drug Name3]],'Data Options'!$R$1:$S$100,2,FALSE), " ")</f>
        <v xml:space="preserve"> </v>
      </c>
      <c r="AG26" s="55"/>
      <c r="AH26" s="32"/>
      <c r="AI26" s="32"/>
      <c r="AJ26" s="55"/>
      <c r="AK26" s="32"/>
      <c r="AL26" s="32"/>
      <c r="AM26" s="32"/>
      <c r="AN26" s="32"/>
      <c r="AO26" s="32"/>
      <c r="AP26" s="31"/>
      <c r="AQ26" s="31"/>
      <c r="AR26" s="54"/>
      <c r="AS26" s="56" t="str">
        <f>IFERROR(VLOOKUP(December[[#This Row],[Drug Name4]],'Data Options'!$R$1:$S$100,2,FALSE), " ")</f>
        <v xml:space="preserve"> </v>
      </c>
      <c r="AT26" s="55"/>
      <c r="AU26" s="32"/>
      <c r="AV26" s="32"/>
      <c r="AW26" s="55"/>
      <c r="AX26" s="32"/>
      <c r="AY26" s="54"/>
      <c r="AZ26" s="56" t="str">
        <f>IFERROR(VLOOKUP(December[[#This Row],[Drug Name5]],'Data Options'!$R$1:$S$100,2,FALSE), " ")</f>
        <v xml:space="preserve"> </v>
      </c>
      <c r="BA26" s="55"/>
      <c r="BB26" s="32"/>
      <c r="BC26" s="32"/>
      <c r="BD26" s="55"/>
      <c r="BE26" s="32"/>
      <c r="BF26" s="54"/>
      <c r="BG26" s="56" t="str">
        <f>IFERROR(VLOOKUP(December[[#This Row],[Drug Name6]],'Data Options'!$R$1:$S$100,2,FALSE), " ")</f>
        <v xml:space="preserve"> </v>
      </c>
      <c r="BH26" s="55"/>
      <c r="BI26" s="32"/>
      <c r="BJ26" s="32"/>
      <c r="BK26" s="55"/>
      <c r="BL26" s="32"/>
      <c r="BM26" s="32"/>
      <c r="BN26" s="32"/>
      <c r="BO26" s="32"/>
      <c r="BP26" s="32"/>
      <c r="BQ26" s="31"/>
      <c r="BR26" s="31"/>
      <c r="BS26" s="54"/>
      <c r="BT26" s="56" t="str">
        <f>IFERROR(VLOOKUP(December[[#This Row],[Drug Name7]],'Data Options'!$R$1:$S$100,2,FALSE), " ")</f>
        <v xml:space="preserve"> </v>
      </c>
      <c r="BU26" s="55"/>
      <c r="BV26" s="32"/>
      <c r="BW26" s="32"/>
      <c r="BX26" s="55"/>
      <c r="BY26" s="32"/>
      <c r="BZ26" s="54"/>
      <c r="CA26" s="56" t="str">
        <f>IFERROR(VLOOKUP(December[[#This Row],[Drug Name8]],'Data Options'!$R$1:$S$100,2,FALSE), " ")</f>
        <v xml:space="preserve"> </v>
      </c>
      <c r="CB26" s="55"/>
      <c r="CC26" s="32"/>
      <c r="CD26" s="32"/>
      <c r="CE26" s="55"/>
      <c r="CF26" s="32"/>
      <c r="CG26" s="54"/>
      <c r="CH26" s="56" t="str">
        <f>IFERROR(VLOOKUP(December[[#This Row],[Drug Name9]],'Data Options'!$R$1:$S$100,2,FALSE), " ")</f>
        <v xml:space="preserve"> </v>
      </c>
      <c r="CI26" s="55"/>
      <c r="CJ26" s="32"/>
      <c r="CK26" s="32"/>
      <c r="CL26" s="55"/>
      <c r="CM26" s="32"/>
    </row>
    <row r="27" spans="1:91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54"/>
      <c r="R27" s="56" t="str">
        <f>IFERROR(VLOOKUP(December[[#This Row],[Drug Name]],'Data Options'!$R$1:$S$100,2,FALSE), " ")</f>
        <v xml:space="preserve"> </v>
      </c>
      <c r="S27" s="55"/>
      <c r="T27" s="32"/>
      <c r="U27" s="32"/>
      <c r="V27" s="55"/>
      <c r="W27" s="32"/>
      <c r="X27" s="54"/>
      <c r="Y27" s="56" t="str">
        <f>IFERROR(VLOOKUP(December[[#This Row],[Drug Name2]],'Data Options'!$R$1:$S$100,2,FALSE), " ")</f>
        <v xml:space="preserve"> </v>
      </c>
      <c r="Z27" s="55"/>
      <c r="AA27" s="32"/>
      <c r="AB27" s="32"/>
      <c r="AC27" s="55"/>
      <c r="AD27" s="32"/>
      <c r="AE27" s="54"/>
      <c r="AF27" s="56" t="str">
        <f>IFERROR(VLOOKUP(December[[#This Row],[Drug Name3]],'Data Options'!$R$1:$S$100,2,FALSE), " ")</f>
        <v xml:space="preserve"> </v>
      </c>
      <c r="AG27" s="55"/>
      <c r="AH27" s="32"/>
      <c r="AI27" s="32"/>
      <c r="AJ27" s="55"/>
      <c r="AK27" s="32"/>
      <c r="AL27" s="32"/>
      <c r="AM27" s="32"/>
      <c r="AN27" s="32"/>
      <c r="AO27" s="32"/>
      <c r="AP27" s="31"/>
      <c r="AQ27" s="31"/>
      <c r="AR27" s="54"/>
      <c r="AS27" s="56" t="str">
        <f>IFERROR(VLOOKUP(December[[#This Row],[Drug Name4]],'Data Options'!$R$1:$S$100,2,FALSE), " ")</f>
        <v xml:space="preserve"> </v>
      </c>
      <c r="AT27" s="55"/>
      <c r="AU27" s="32"/>
      <c r="AV27" s="32"/>
      <c r="AW27" s="55"/>
      <c r="AX27" s="32"/>
      <c r="AY27" s="54"/>
      <c r="AZ27" s="56" t="str">
        <f>IFERROR(VLOOKUP(December[[#This Row],[Drug Name5]],'Data Options'!$R$1:$S$100,2,FALSE), " ")</f>
        <v xml:space="preserve"> </v>
      </c>
      <c r="BA27" s="55"/>
      <c r="BB27" s="32"/>
      <c r="BC27" s="32"/>
      <c r="BD27" s="55"/>
      <c r="BE27" s="32"/>
      <c r="BF27" s="54"/>
      <c r="BG27" s="56" t="str">
        <f>IFERROR(VLOOKUP(December[[#This Row],[Drug Name6]],'Data Options'!$R$1:$S$100,2,FALSE), " ")</f>
        <v xml:space="preserve"> </v>
      </c>
      <c r="BH27" s="55"/>
      <c r="BI27" s="32"/>
      <c r="BJ27" s="32"/>
      <c r="BK27" s="55"/>
      <c r="BL27" s="32"/>
      <c r="BM27" s="32"/>
      <c r="BN27" s="32"/>
      <c r="BO27" s="32"/>
      <c r="BP27" s="32"/>
      <c r="BQ27" s="31"/>
      <c r="BR27" s="31"/>
      <c r="BS27" s="54"/>
      <c r="BT27" s="56" t="str">
        <f>IFERROR(VLOOKUP(December[[#This Row],[Drug Name7]],'Data Options'!$R$1:$S$100,2,FALSE), " ")</f>
        <v xml:space="preserve"> </v>
      </c>
      <c r="BU27" s="55"/>
      <c r="BV27" s="32"/>
      <c r="BW27" s="32"/>
      <c r="BX27" s="55"/>
      <c r="BY27" s="32"/>
      <c r="BZ27" s="54"/>
      <c r="CA27" s="56" t="str">
        <f>IFERROR(VLOOKUP(December[[#This Row],[Drug Name8]],'Data Options'!$R$1:$S$100,2,FALSE), " ")</f>
        <v xml:space="preserve"> </v>
      </c>
      <c r="CB27" s="55"/>
      <c r="CC27" s="32"/>
      <c r="CD27" s="32"/>
      <c r="CE27" s="55"/>
      <c r="CF27" s="32"/>
      <c r="CG27" s="54"/>
      <c r="CH27" s="56" t="str">
        <f>IFERROR(VLOOKUP(December[[#This Row],[Drug Name9]],'Data Options'!$R$1:$S$100,2,FALSE), " ")</f>
        <v xml:space="preserve"> </v>
      </c>
      <c r="CI27" s="55"/>
      <c r="CJ27" s="32"/>
      <c r="CK27" s="32"/>
      <c r="CL27" s="55"/>
      <c r="CM27" s="32"/>
    </row>
    <row r="28" spans="1:91">
      <c r="A28" s="5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54"/>
      <c r="R28" s="56" t="str">
        <f>IFERROR(VLOOKUP(December[[#This Row],[Drug Name]],'Data Options'!$R$1:$S$100,2,FALSE), " ")</f>
        <v xml:space="preserve"> </v>
      </c>
      <c r="S28" s="55"/>
      <c r="T28" s="32"/>
      <c r="U28" s="32"/>
      <c r="V28" s="55"/>
      <c r="W28" s="32"/>
      <c r="X28" s="54"/>
      <c r="Y28" s="56" t="str">
        <f>IFERROR(VLOOKUP(December[[#This Row],[Drug Name2]],'Data Options'!$R$1:$S$100,2,FALSE), " ")</f>
        <v xml:space="preserve"> </v>
      </c>
      <c r="Z28" s="55"/>
      <c r="AA28" s="32"/>
      <c r="AB28" s="32"/>
      <c r="AC28" s="55"/>
      <c r="AD28" s="32"/>
      <c r="AE28" s="54"/>
      <c r="AF28" s="56" t="str">
        <f>IFERROR(VLOOKUP(December[[#This Row],[Drug Name3]],'Data Options'!$R$1:$S$100,2,FALSE), " ")</f>
        <v xml:space="preserve"> </v>
      </c>
      <c r="AG28" s="55"/>
      <c r="AH28" s="32"/>
      <c r="AI28" s="32"/>
      <c r="AJ28" s="55"/>
      <c r="AK28" s="32"/>
      <c r="AL28" s="32"/>
      <c r="AM28" s="32"/>
      <c r="AN28" s="32"/>
      <c r="AO28" s="32"/>
      <c r="AP28" s="31"/>
      <c r="AQ28" s="31"/>
      <c r="AR28" s="54"/>
      <c r="AS28" s="56" t="str">
        <f>IFERROR(VLOOKUP(December[[#This Row],[Drug Name4]],'Data Options'!$R$1:$S$100,2,FALSE), " ")</f>
        <v xml:space="preserve"> </v>
      </c>
      <c r="AT28" s="55"/>
      <c r="AU28" s="32"/>
      <c r="AV28" s="32"/>
      <c r="AW28" s="55"/>
      <c r="AX28" s="32"/>
      <c r="AY28" s="54"/>
      <c r="AZ28" s="56" t="str">
        <f>IFERROR(VLOOKUP(December[[#This Row],[Drug Name5]],'Data Options'!$R$1:$S$100,2,FALSE), " ")</f>
        <v xml:space="preserve"> </v>
      </c>
      <c r="BA28" s="55"/>
      <c r="BB28" s="32"/>
      <c r="BC28" s="32"/>
      <c r="BD28" s="55"/>
      <c r="BE28" s="32"/>
      <c r="BF28" s="54"/>
      <c r="BG28" s="56" t="str">
        <f>IFERROR(VLOOKUP(December[[#This Row],[Drug Name6]],'Data Options'!$R$1:$S$100,2,FALSE), " ")</f>
        <v xml:space="preserve"> </v>
      </c>
      <c r="BH28" s="55"/>
      <c r="BI28" s="32"/>
      <c r="BJ28" s="32"/>
      <c r="BK28" s="55"/>
      <c r="BL28" s="32"/>
      <c r="BM28" s="32"/>
      <c r="BN28" s="32"/>
      <c r="BO28" s="32"/>
      <c r="BP28" s="32"/>
      <c r="BQ28" s="31"/>
      <c r="BR28" s="31"/>
      <c r="BS28" s="54"/>
      <c r="BT28" s="56" t="str">
        <f>IFERROR(VLOOKUP(December[[#This Row],[Drug Name7]],'Data Options'!$R$1:$S$100,2,FALSE), " ")</f>
        <v xml:space="preserve"> </v>
      </c>
      <c r="BU28" s="55"/>
      <c r="BV28" s="32"/>
      <c r="BW28" s="32"/>
      <c r="BX28" s="55"/>
      <c r="BY28" s="32"/>
      <c r="BZ28" s="54"/>
      <c r="CA28" s="56" t="str">
        <f>IFERROR(VLOOKUP(December[[#This Row],[Drug Name8]],'Data Options'!$R$1:$S$100,2,FALSE), " ")</f>
        <v xml:space="preserve"> </v>
      </c>
      <c r="CB28" s="55"/>
      <c r="CC28" s="32"/>
      <c r="CD28" s="32"/>
      <c r="CE28" s="55"/>
      <c r="CF28" s="32"/>
      <c r="CG28" s="54"/>
      <c r="CH28" s="56" t="str">
        <f>IFERROR(VLOOKUP(December[[#This Row],[Drug Name9]],'Data Options'!$R$1:$S$100,2,FALSE), " ")</f>
        <v xml:space="preserve"> </v>
      </c>
      <c r="CI28" s="55"/>
      <c r="CJ28" s="32"/>
      <c r="CK28" s="32"/>
      <c r="CL28" s="55"/>
      <c r="CM28" s="32"/>
    </row>
    <row r="29" spans="1:91">
      <c r="A29" s="5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54"/>
      <c r="R29" s="56" t="str">
        <f>IFERROR(VLOOKUP(December[[#This Row],[Drug Name]],'Data Options'!$R$1:$S$100,2,FALSE), " ")</f>
        <v xml:space="preserve"> </v>
      </c>
      <c r="S29" s="55"/>
      <c r="T29" s="32"/>
      <c r="U29" s="32"/>
      <c r="V29" s="55"/>
      <c r="W29" s="32"/>
      <c r="X29" s="54"/>
      <c r="Y29" s="56" t="str">
        <f>IFERROR(VLOOKUP(December[[#This Row],[Drug Name2]],'Data Options'!$R$1:$S$100,2,FALSE), " ")</f>
        <v xml:space="preserve"> </v>
      </c>
      <c r="Z29" s="55"/>
      <c r="AA29" s="32"/>
      <c r="AB29" s="32"/>
      <c r="AC29" s="55"/>
      <c r="AD29" s="32"/>
      <c r="AE29" s="54"/>
      <c r="AF29" s="56" t="str">
        <f>IFERROR(VLOOKUP(December[[#This Row],[Drug Name3]],'Data Options'!$R$1:$S$100,2,FALSE), " ")</f>
        <v xml:space="preserve"> </v>
      </c>
      <c r="AG29" s="55"/>
      <c r="AH29" s="32"/>
      <c r="AI29" s="32"/>
      <c r="AJ29" s="55"/>
      <c r="AK29" s="32"/>
      <c r="AL29" s="32"/>
      <c r="AM29" s="32"/>
      <c r="AN29" s="32"/>
      <c r="AO29" s="32"/>
      <c r="AP29" s="31"/>
      <c r="AQ29" s="31"/>
      <c r="AR29" s="54"/>
      <c r="AS29" s="56" t="str">
        <f>IFERROR(VLOOKUP(December[[#This Row],[Drug Name4]],'Data Options'!$R$1:$S$100,2,FALSE), " ")</f>
        <v xml:space="preserve"> </v>
      </c>
      <c r="AT29" s="55"/>
      <c r="AU29" s="32"/>
      <c r="AV29" s="32"/>
      <c r="AW29" s="55"/>
      <c r="AX29" s="32"/>
      <c r="AY29" s="54"/>
      <c r="AZ29" s="56" t="str">
        <f>IFERROR(VLOOKUP(December[[#This Row],[Drug Name5]],'Data Options'!$R$1:$S$100,2,FALSE), " ")</f>
        <v xml:space="preserve"> </v>
      </c>
      <c r="BA29" s="55"/>
      <c r="BB29" s="32"/>
      <c r="BC29" s="32"/>
      <c r="BD29" s="55"/>
      <c r="BE29" s="32"/>
      <c r="BF29" s="54"/>
      <c r="BG29" s="56" t="str">
        <f>IFERROR(VLOOKUP(December[[#This Row],[Drug Name6]],'Data Options'!$R$1:$S$100,2,FALSE), " ")</f>
        <v xml:space="preserve"> </v>
      </c>
      <c r="BH29" s="55"/>
      <c r="BI29" s="32"/>
      <c r="BJ29" s="32"/>
      <c r="BK29" s="55"/>
      <c r="BL29" s="32"/>
      <c r="BM29" s="32"/>
      <c r="BN29" s="32"/>
      <c r="BO29" s="32"/>
      <c r="BP29" s="32"/>
      <c r="BQ29" s="31"/>
      <c r="BR29" s="31"/>
      <c r="BS29" s="54"/>
      <c r="BT29" s="56" t="str">
        <f>IFERROR(VLOOKUP(December[[#This Row],[Drug Name7]],'Data Options'!$R$1:$S$100,2,FALSE), " ")</f>
        <v xml:space="preserve"> </v>
      </c>
      <c r="BU29" s="55"/>
      <c r="BV29" s="32"/>
      <c r="BW29" s="32"/>
      <c r="BX29" s="55"/>
      <c r="BY29" s="32"/>
      <c r="BZ29" s="54"/>
      <c r="CA29" s="56" t="str">
        <f>IFERROR(VLOOKUP(December[[#This Row],[Drug Name8]],'Data Options'!$R$1:$S$100,2,FALSE), " ")</f>
        <v xml:space="preserve"> </v>
      </c>
      <c r="CB29" s="55"/>
      <c r="CC29" s="32"/>
      <c r="CD29" s="32"/>
      <c r="CE29" s="55"/>
      <c r="CF29" s="32"/>
      <c r="CG29" s="54"/>
      <c r="CH29" s="56" t="str">
        <f>IFERROR(VLOOKUP(December[[#This Row],[Drug Name9]],'Data Options'!$R$1:$S$100,2,FALSE), " ")</f>
        <v xml:space="preserve"> </v>
      </c>
      <c r="CI29" s="55"/>
      <c r="CJ29" s="32"/>
      <c r="CK29" s="32"/>
      <c r="CL29" s="55"/>
      <c r="CM29" s="32"/>
    </row>
    <row r="30" spans="1:91">
      <c r="A30" s="5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54"/>
      <c r="R30" s="56" t="str">
        <f>IFERROR(VLOOKUP(December[[#This Row],[Drug Name]],'Data Options'!$R$1:$S$100,2,FALSE), " ")</f>
        <v xml:space="preserve"> </v>
      </c>
      <c r="S30" s="55"/>
      <c r="T30" s="32"/>
      <c r="U30" s="32"/>
      <c r="V30" s="55"/>
      <c r="W30" s="32"/>
      <c r="X30" s="54"/>
      <c r="Y30" s="56" t="str">
        <f>IFERROR(VLOOKUP(December[[#This Row],[Drug Name2]],'Data Options'!$R$1:$S$100,2,FALSE), " ")</f>
        <v xml:space="preserve"> </v>
      </c>
      <c r="Z30" s="55"/>
      <c r="AA30" s="32"/>
      <c r="AB30" s="32"/>
      <c r="AC30" s="55"/>
      <c r="AD30" s="32"/>
      <c r="AE30" s="54"/>
      <c r="AF30" s="56" t="str">
        <f>IFERROR(VLOOKUP(December[[#This Row],[Drug Name3]],'Data Options'!$R$1:$S$100,2,FALSE), " ")</f>
        <v xml:space="preserve"> </v>
      </c>
      <c r="AG30" s="55"/>
      <c r="AH30" s="32"/>
      <c r="AI30" s="32"/>
      <c r="AJ30" s="55"/>
      <c r="AK30" s="32"/>
      <c r="AL30" s="32"/>
      <c r="AM30" s="32"/>
      <c r="AN30" s="32"/>
      <c r="AO30" s="32"/>
      <c r="AP30" s="31"/>
      <c r="AQ30" s="31"/>
      <c r="AR30" s="54"/>
      <c r="AS30" s="56" t="str">
        <f>IFERROR(VLOOKUP(December[[#This Row],[Drug Name4]],'Data Options'!$R$1:$S$100,2,FALSE), " ")</f>
        <v xml:space="preserve"> </v>
      </c>
      <c r="AT30" s="55"/>
      <c r="AU30" s="32"/>
      <c r="AV30" s="32"/>
      <c r="AW30" s="55"/>
      <c r="AX30" s="32"/>
      <c r="AY30" s="54"/>
      <c r="AZ30" s="56" t="str">
        <f>IFERROR(VLOOKUP(December[[#This Row],[Drug Name5]],'Data Options'!$R$1:$S$100,2,FALSE), " ")</f>
        <v xml:space="preserve"> </v>
      </c>
      <c r="BA30" s="55"/>
      <c r="BB30" s="32"/>
      <c r="BC30" s="32"/>
      <c r="BD30" s="55"/>
      <c r="BE30" s="32"/>
      <c r="BF30" s="54"/>
      <c r="BG30" s="56" t="str">
        <f>IFERROR(VLOOKUP(December[[#This Row],[Drug Name6]],'Data Options'!$R$1:$S$100,2,FALSE), " ")</f>
        <v xml:space="preserve"> </v>
      </c>
      <c r="BH30" s="55"/>
      <c r="BI30" s="32"/>
      <c r="BJ30" s="32"/>
      <c r="BK30" s="55"/>
      <c r="BL30" s="32"/>
      <c r="BM30" s="32"/>
      <c r="BN30" s="32"/>
      <c r="BO30" s="32"/>
      <c r="BP30" s="32"/>
      <c r="BQ30" s="31"/>
      <c r="BR30" s="31"/>
      <c r="BS30" s="54"/>
      <c r="BT30" s="56" t="str">
        <f>IFERROR(VLOOKUP(December[[#This Row],[Drug Name7]],'Data Options'!$R$1:$S$100,2,FALSE), " ")</f>
        <v xml:space="preserve"> </v>
      </c>
      <c r="BU30" s="55"/>
      <c r="BV30" s="32"/>
      <c r="BW30" s="32"/>
      <c r="BX30" s="55"/>
      <c r="BY30" s="32"/>
      <c r="BZ30" s="54"/>
      <c r="CA30" s="56" t="str">
        <f>IFERROR(VLOOKUP(December[[#This Row],[Drug Name8]],'Data Options'!$R$1:$S$100,2,FALSE), " ")</f>
        <v xml:space="preserve"> </v>
      </c>
      <c r="CB30" s="55"/>
      <c r="CC30" s="32"/>
      <c r="CD30" s="32"/>
      <c r="CE30" s="55"/>
      <c r="CF30" s="32"/>
      <c r="CG30" s="54"/>
      <c r="CH30" s="56" t="str">
        <f>IFERROR(VLOOKUP(December[[#This Row],[Drug Name9]],'Data Options'!$R$1:$S$100,2,FALSE), " ")</f>
        <v xml:space="preserve"> </v>
      </c>
      <c r="CI30" s="55"/>
      <c r="CJ30" s="32"/>
      <c r="CK30" s="32"/>
      <c r="CL30" s="55"/>
      <c r="CM30" s="32"/>
    </row>
    <row r="31" spans="1:9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54"/>
      <c r="R31" s="56" t="str">
        <f>IFERROR(VLOOKUP(December[[#This Row],[Drug Name]],'Data Options'!$R$1:$S$100,2,FALSE), " ")</f>
        <v xml:space="preserve"> </v>
      </c>
      <c r="S31" s="55"/>
      <c r="T31" s="32"/>
      <c r="U31" s="32"/>
      <c r="V31" s="55"/>
      <c r="W31" s="32"/>
      <c r="X31" s="54"/>
      <c r="Y31" s="56" t="str">
        <f>IFERROR(VLOOKUP(December[[#This Row],[Drug Name2]],'Data Options'!$R$1:$S$100,2,FALSE), " ")</f>
        <v xml:space="preserve"> </v>
      </c>
      <c r="Z31" s="55"/>
      <c r="AA31" s="32"/>
      <c r="AB31" s="32"/>
      <c r="AC31" s="55"/>
      <c r="AD31" s="32"/>
      <c r="AE31" s="54"/>
      <c r="AF31" s="56" t="str">
        <f>IFERROR(VLOOKUP(December[[#This Row],[Drug Name3]],'Data Options'!$R$1:$S$100,2,FALSE), " ")</f>
        <v xml:space="preserve"> </v>
      </c>
      <c r="AG31" s="55"/>
      <c r="AH31" s="32"/>
      <c r="AI31" s="32"/>
      <c r="AJ31" s="55"/>
      <c r="AK31" s="32"/>
      <c r="AL31" s="32"/>
      <c r="AM31" s="32"/>
      <c r="AN31" s="32"/>
      <c r="AO31" s="32"/>
      <c r="AP31" s="31"/>
      <c r="AQ31" s="31"/>
      <c r="AR31" s="54"/>
      <c r="AS31" s="56" t="str">
        <f>IFERROR(VLOOKUP(December[[#This Row],[Drug Name4]],'Data Options'!$R$1:$S$100,2,FALSE), " ")</f>
        <v xml:space="preserve"> </v>
      </c>
      <c r="AT31" s="55"/>
      <c r="AU31" s="32"/>
      <c r="AV31" s="32"/>
      <c r="AW31" s="55"/>
      <c r="AX31" s="32"/>
      <c r="AY31" s="54"/>
      <c r="AZ31" s="56" t="str">
        <f>IFERROR(VLOOKUP(December[[#This Row],[Drug Name5]],'Data Options'!$R$1:$S$100,2,FALSE), " ")</f>
        <v xml:space="preserve"> </v>
      </c>
      <c r="BA31" s="55"/>
      <c r="BB31" s="32"/>
      <c r="BC31" s="32"/>
      <c r="BD31" s="55"/>
      <c r="BE31" s="32"/>
      <c r="BF31" s="54"/>
      <c r="BG31" s="56" t="str">
        <f>IFERROR(VLOOKUP(December[[#This Row],[Drug Name6]],'Data Options'!$R$1:$S$100,2,FALSE), " ")</f>
        <v xml:space="preserve"> </v>
      </c>
      <c r="BH31" s="55"/>
      <c r="BI31" s="32"/>
      <c r="BJ31" s="32"/>
      <c r="BK31" s="55"/>
      <c r="BL31" s="32"/>
      <c r="BM31" s="32"/>
      <c r="BN31" s="32"/>
      <c r="BO31" s="32"/>
      <c r="BP31" s="32"/>
      <c r="BQ31" s="31"/>
      <c r="BR31" s="31"/>
      <c r="BS31" s="54"/>
      <c r="BT31" s="56" t="str">
        <f>IFERROR(VLOOKUP(December[[#This Row],[Drug Name7]],'Data Options'!$R$1:$S$100,2,FALSE), " ")</f>
        <v xml:space="preserve"> </v>
      </c>
      <c r="BU31" s="55"/>
      <c r="BV31" s="32"/>
      <c r="BW31" s="32"/>
      <c r="BX31" s="55"/>
      <c r="BY31" s="32"/>
      <c r="BZ31" s="54"/>
      <c r="CA31" s="56" t="str">
        <f>IFERROR(VLOOKUP(December[[#This Row],[Drug Name8]],'Data Options'!$R$1:$S$100,2,FALSE), " ")</f>
        <v xml:space="preserve"> </v>
      </c>
      <c r="CB31" s="55"/>
      <c r="CC31" s="32"/>
      <c r="CD31" s="32"/>
      <c r="CE31" s="55"/>
      <c r="CF31" s="32"/>
      <c r="CG31" s="54"/>
      <c r="CH31" s="56" t="str">
        <f>IFERROR(VLOOKUP(December[[#This Row],[Drug Name9]],'Data Options'!$R$1:$S$100,2,FALSE), " ")</f>
        <v xml:space="preserve"> </v>
      </c>
      <c r="CI31" s="55"/>
      <c r="CJ31" s="32"/>
      <c r="CK31" s="32"/>
      <c r="CL31" s="55"/>
      <c r="CM31" s="32"/>
    </row>
    <row r="32" spans="1:91">
      <c r="A32" s="5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54"/>
      <c r="R32" s="56" t="str">
        <f>IFERROR(VLOOKUP(December[[#This Row],[Drug Name]],'Data Options'!$R$1:$S$100,2,FALSE), " ")</f>
        <v xml:space="preserve"> </v>
      </c>
      <c r="S32" s="55"/>
      <c r="T32" s="32"/>
      <c r="U32" s="32"/>
      <c r="V32" s="55"/>
      <c r="W32" s="32"/>
      <c r="X32" s="54"/>
      <c r="Y32" s="56" t="str">
        <f>IFERROR(VLOOKUP(December[[#This Row],[Drug Name2]],'Data Options'!$R$1:$S$100,2,FALSE), " ")</f>
        <v xml:space="preserve"> </v>
      </c>
      <c r="Z32" s="55"/>
      <c r="AA32" s="32"/>
      <c r="AB32" s="32"/>
      <c r="AC32" s="55"/>
      <c r="AD32" s="32"/>
      <c r="AE32" s="54"/>
      <c r="AF32" s="56" t="str">
        <f>IFERROR(VLOOKUP(December[[#This Row],[Drug Name3]],'Data Options'!$R$1:$S$100,2,FALSE), " ")</f>
        <v xml:space="preserve"> </v>
      </c>
      <c r="AG32" s="55"/>
      <c r="AH32" s="32"/>
      <c r="AI32" s="32"/>
      <c r="AJ32" s="55"/>
      <c r="AK32" s="32"/>
      <c r="AL32" s="32"/>
      <c r="AM32" s="32"/>
      <c r="AN32" s="32"/>
      <c r="AO32" s="32"/>
      <c r="AP32" s="31"/>
      <c r="AQ32" s="31"/>
      <c r="AR32" s="54"/>
      <c r="AS32" s="56" t="str">
        <f>IFERROR(VLOOKUP(December[[#This Row],[Drug Name4]],'Data Options'!$R$1:$S$100,2,FALSE), " ")</f>
        <v xml:space="preserve"> </v>
      </c>
      <c r="AT32" s="55"/>
      <c r="AU32" s="32"/>
      <c r="AV32" s="32"/>
      <c r="AW32" s="55"/>
      <c r="AX32" s="32"/>
      <c r="AY32" s="54"/>
      <c r="AZ32" s="56" t="str">
        <f>IFERROR(VLOOKUP(December[[#This Row],[Drug Name5]],'Data Options'!$R$1:$S$100,2,FALSE), " ")</f>
        <v xml:space="preserve"> </v>
      </c>
      <c r="BA32" s="55"/>
      <c r="BB32" s="32"/>
      <c r="BC32" s="32"/>
      <c r="BD32" s="55"/>
      <c r="BE32" s="32"/>
      <c r="BF32" s="54"/>
      <c r="BG32" s="56" t="str">
        <f>IFERROR(VLOOKUP(December[[#This Row],[Drug Name6]],'Data Options'!$R$1:$S$100,2,FALSE), " ")</f>
        <v xml:space="preserve"> </v>
      </c>
      <c r="BH32" s="55"/>
      <c r="BI32" s="32"/>
      <c r="BJ32" s="32"/>
      <c r="BK32" s="55"/>
      <c r="BL32" s="32"/>
      <c r="BM32" s="32"/>
      <c r="BN32" s="32"/>
      <c r="BO32" s="32"/>
      <c r="BP32" s="32"/>
      <c r="BQ32" s="31"/>
      <c r="BR32" s="31"/>
      <c r="BS32" s="54"/>
      <c r="BT32" s="56" t="str">
        <f>IFERROR(VLOOKUP(December[[#This Row],[Drug Name7]],'Data Options'!$R$1:$S$100,2,FALSE), " ")</f>
        <v xml:space="preserve"> </v>
      </c>
      <c r="BU32" s="55"/>
      <c r="BV32" s="32"/>
      <c r="BW32" s="32"/>
      <c r="BX32" s="55"/>
      <c r="BY32" s="32"/>
      <c r="BZ32" s="54"/>
      <c r="CA32" s="56" t="str">
        <f>IFERROR(VLOOKUP(December[[#This Row],[Drug Name8]],'Data Options'!$R$1:$S$100,2,FALSE), " ")</f>
        <v xml:space="preserve"> </v>
      </c>
      <c r="CB32" s="55"/>
      <c r="CC32" s="32"/>
      <c r="CD32" s="32"/>
      <c r="CE32" s="55"/>
      <c r="CF32" s="32"/>
      <c r="CG32" s="54"/>
      <c r="CH32" s="56" t="str">
        <f>IFERROR(VLOOKUP(December[[#This Row],[Drug Name9]],'Data Options'!$R$1:$S$100,2,FALSE), " ")</f>
        <v xml:space="preserve"> </v>
      </c>
      <c r="CI32" s="55"/>
      <c r="CJ32" s="32"/>
      <c r="CK32" s="32"/>
      <c r="CL32" s="55"/>
      <c r="CM32" s="32"/>
    </row>
    <row r="33" spans="1:9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54"/>
      <c r="R33" s="56" t="str">
        <f>IFERROR(VLOOKUP(December[[#This Row],[Drug Name]],'Data Options'!$R$1:$S$100,2,FALSE), " ")</f>
        <v xml:space="preserve"> </v>
      </c>
      <c r="S33" s="55"/>
      <c r="T33" s="32"/>
      <c r="U33" s="32"/>
      <c r="V33" s="55"/>
      <c r="W33" s="32"/>
      <c r="X33" s="54"/>
      <c r="Y33" s="56" t="str">
        <f>IFERROR(VLOOKUP(December[[#This Row],[Drug Name2]],'Data Options'!$R$1:$S$100,2,FALSE), " ")</f>
        <v xml:space="preserve"> </v>
      </c>
      <c r="Z33" s="55"/>
      <c r="AA33" s="32"/>
      <c r="AB33" s="32"/>
      <c r="AC33" s="55"/>
      <c r="AD33" s="32"/>
      <c r="AE33" s="54"/>
      <c r="AF33" s="56" t="str">
        <f>IFERROR(VLOOKUP(December[[#This Row],[Drug Name3]],'Data Options'!$R$1:$S$100,2,FALSE), " ")</f>
        <v xml:space="preserve"> </v>
      </c>
      <c r="AG33" s="55"/>
      <c r="AH33" s="32"/>
      <c r="AI33" s="32"/>
      <c r="AJ33" s="55"/>
      <c r="AK33" s="32"/>
      <c r="AL33" s="32"/>
      <c r="AM33" s="32"/>
      <c r="AN33" s="32"/>
      <c r="AO33" s="32"/>
      <c r="AP33" s="31"/>
      <c r="AQ33" s="31"/>
      <c r="AR33" s="54"/>
      <c r="AS33" s="56" t="str">
        <f>IFERROR(VLOOKUP(December[[#This Row],[Drug Name4]],'Data Options'!$R$1:$S$100,2,FALSE), " ")</f>
        <v xml:space="preserve"> </v>
      </c>
      <c r="AT33" s="55"/>
      <c r="AU33" s="32"/>
      <c r="AV33" s="32"/>
      <c r="AW33" s="55"/>
      <c r="AX33" s="32"/>
      <c r="AY33" s="54"/>
      <c r="AZ33" s="56" t="str">
        <f>IFERROR(VLOOKUP(December[[#This Row],[Drug Name5]],'Data Options'!$R$1:$S$100,2,FALSE), " ")</f>
        <v xml:space="preserve"> </v>
      </c>
      <c r="BA33" s="55"/>
      <c r="BB33" s="32"/>
      <c r="BC33" s="32"/>
      <c r="BD33" s="55"/>
      <c r="BE33" s="32"/>
      <c r="BF33" s="54"/>
      <c r="BG33" s="56" t="str">
        <f>IFERROR(VLOOKUP(December[[#This Row],[Drug Name6]],'Data Options'!$R$1:$S$100,2,FALSE), " ")</f>
        <v xml:space="preserve"> </v>
      </c>
      <c r="BH33" s="55"/>
      <c r="BI33" s="32"/>
      <c r="BJ33" s="32"/>
      <c r="BK33" s="55"/>
      <c r="BL33" s="32"/>
      <c r="BM33" s="32"/>
      <c r="BN33" s="32"/>
      <c r="BO33" s="32"/>
      <c r="BP33" s="32"/>
      <c r="BQ33" s="31"/>
      <c r="BR33" s="31"/>
      <c r="BS33" s="54"/>
      <c r="BT33" s="56" t="str">
        <f>IFERROR(VLOOKUP(December[[#This Row],[Drug Name7]],'Data Options'!$R$1:$S$100,2,FALSE), " ")</f>
        <v xml:space="preserve"> </v>
      </c>
      <c r="BU33" s="55"/>
      <c r="BV33" s="32"/>
      <c r="BW33" s="32"/>
      <c r="BX33" s="55"/>
      <c r="BY33" s="32"/>
      <c r="BZ33" s="54"/>
      <c r="CA33" s="56" t="str">
        <f>IFERROR(VLOOKUP(December[[#This Row],[Drug Name8]],'Data Options'!$R$1:$S$100,2,FALSE), " ")</f>
        <v xml:space="preserve"> </v>
      </c>
      <c r="CB33" s="55"/>
      <c r="CC33" s="32"/>
      <c r="CD33" s="32"/>
      <c r="CE33" s="55"/>
      <c r="CF33" s="32"/>
      <c r="CG33" s="54"/>
      <c r="CH33" s="56" t="str">
        <f>IFERROR(VLOOKUP(December[[#This Row],[Drug Name9]],'Data Options'!$R$1:$S$100,2,FALSE), " ")</f>
        <v xml:space="preserve"> </v>
      </c>
      <c r="CI33" s="55"/>
      <c r="CJ33" s="32"/>
      <c r="CK33" s="32"/>
      <c r="CL33" s="55"/>
      <c r="CM33" s="32"/>
    </row>
    <row r="34" spans="1:9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54"/>
      <c r="R34" s="56" t="str">
        <f>IFERROR(VLOOKUP(December[[#This Row],[Drug Name]],'Data Options'!$R$1:$S$100,2,FALSE), " ")</f>
        <v xml:space="preserve"> </v>
      </c>
      <c r="S34" s="55"/>
      <c r="T34" s="32"/>
      <c r="U34" s="32"/>
      <c r="V34" s="55"/>
      <c r="W34" s="32"/>
      <c r="X34" s="54"/>
      <c r="Y34" s="56" t="str">
        <f>IFERROR(VLOOKUP(December[[#This Row],[Drug Name2]],'Data Options'!$R$1:$S$100,2,FALSE), " ")</f>
        <v xml:space="preserve"> </v>
      </c>
      <c r="Z34" s="55"/>
      <c r="AA34" s="32"/>
      <c r="AB34" s="32"/>
      <c r="AC34" s="55"/>
      <c r="AD34" s="32"/>
      <c r="AE34" s="54"/>
      <c r="AF34" s="56" t="str">
        <f>IFERROR(VLOOKUP(December[[#This Row],[Drug Name3]],'Data Options'!$R$1:$S$100,2,FALSE), " ")</f>
        <v xml:space="preserve"> </v>
      </c>
      <c r="AG34" s="55"/>
      <c r="AH34" s="32"/>
      <c r="AI34" s="32"/>
      <c r="AJ34" s="55"/>
      <c r="AK34" s="32"/>
      <c r="AL34" s="32"/>
      <c r="AM34" s="32"/>
      <c r="AN34" s="32"/>
      <c r="AO34" s="32"/>
      <c r="AP34" s="31"/>
      <c r="AQ34" s="31"/>
      <c r="AR34" s="54"/>
      <c r="AS34" s="56" t="str">
        <f>IFERROR(VLOOKUP(December[[#This Row],[Drug Name4]],'Data Options'!$R$1:$S$100,2,FALSE), " ")</f>
        <v xml:space="preserve"> </v>
      </c>
      <c r="AT34" s="55"/>
      <c r="AU34" s="32"/>
      <c r="AV34" s="32"/>
      <c r="AW34" s="55"/>
      <c r="AX34" s="32"/>
      <c r="AY34" s="54"/>
      <c r="AZ34" s="56" t="str">
        <f>IFERROR(VLOOKUP(December[[#This Row],[Drug Name5]],'Data Options'!$R$1:$S$100,2,FALSE), " ")</f>
        <v xml:space="preserve"> </v>
      </c>
      <c r="BA34" s="55"/>
      <c r="BB34" s="32"/>
      <c r="BC34" s="32"/>
      <c r="BD34" s="55"/>
      <c r="BE34" s="32"/>
      <c r="BF34" s="54"/>
      <c r="BG34" s="56" t="str">
        <f>IFERROR(VLOOKUP(December[[#This Row],[Drug Name6]],'Data Options'!$R$1:$S$100,2,FALSE), " ")</f>
        <v xml:space="preserve"> </v>
      </c>
      <c r="BH34" s="55"/>
      <c r="BI34" s="32"/>
      <c r="BJ34" s="32"/>
      <c r="BK34" s="55"/>
      <c r="BL34" s="32"/>
      <c r="BM34" s="32"/>
      <c r="BN34" s="32"/>
      <c r="BO34" s="32"/>
      <c r="BP34" s="32"/>
      <c r="BQ34" s="31"/>
      <c r="BR34" s="31"/>
      <c r="BS34" s="54"/>
      <c r="BT34" s="56" t="str">
        <f>IFERROR(VLOOKUP(December[[#This Row],[Drug Name7]],'Data Options'!$R$1:$S$100,2,FALSE), " ")</f>
        <v xml:space="preserve"> </v>
      </c>
      <c r="BU34" s="55"/>
      <c r="BV34" s="32"/>
      <c r="BW34" s="32"/>
      <c r="BX34" s="55"/>
      <c r="BY34" s="32"/>
      <c r="BZ34" s="54"/>
      <c r="CA34" s="56" t="str">
        <f>IFERROR(VLOOKUP(December[[#This Row],[Drug Name8]],'Data Options'!$R$1:$S$100,2,FALSE), " ")</f>
        <v xml:space="preserve"> </v>
      </c>
      <c r="CB34" s="55"/>
      <c r="CC34" s="32"/>
      <c r="CD34" s="32"/>
      <c r="CE34" s="55"/>
      <c r="CF34" s="32"/>
      <c r="CG34" s="54"/>
      <c r="CH34" s="56" t="str">
        <f>IFERROR(VLOOKUP(December[[#This Row],[Drug Name9]],'Data Options'!$R$1:$S$100,2,FALSE), " ")</f>
        <v xml:space="preserve"> </v>
      </c>
      <c r="CI34" s="55"/>
      <c r="CJ34" s="32"/>
      <c r="CK34" s="32"/>
      <c r="CL34" s="55"/>
      <c r="CM34" s="32"/>
    </row>
    <row r="35" spans="1:9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54"/>
      <c r="R35" s="56" t="str">
        <f>IFERROR(VLOOKUP(December[[#This Row],[Drug Name]],'Data Options'!$R$1:$S$100,2,FALSE), " ")</f>
        <v xml:space="preserve"> </v>
      </c>
      <c r="S35" s="55"/>
      <c r="T35" s="32"/>
      <c r="U35" s="32"/>
      <c r="V35" s="55"/>
      <c r="W35" s="32"/>
      <c r="X35" s="54"/>
      <c r="Y35" s="56" t="str">
        <f>IFERROR(VLOOKUP(December[[#This Row],[Drug Name2]],'Data Options'!$R$1:$S$100,2,FALSE), " ")</f>
        <v xml:space="preserve"> </v>
      </c>
      <c r="Z35" s="55"/>
      <c r="AA35" s="32"/>
      <c r="AB35" s="32"/>
      <c r="AC35" s="55"/>
      <c r="AD35" s="32"/>
      <c r="AE35" s="54"/>
      <c r="AF35" s="56" t="str">
        <f>IFERROR(VLOOKUP(December[[#This Row],[Drug Name3]],'Data Options'!$R$1:$S$100,2,FALSE), " ")</f>
        <v xml:space="preserve"> </v>
      </c>
      <c r="AG35" s="55"/>
      <c r="AH35" s="32"/>
      <c r="AI35" s="32"/>
      <c r="AJ35" s="55"/>
      <c r="AK35" s="32"/>
      <c r="AL35" s="32"/>
      <c r="AM35" s="32"/>
      <c r="AN35" s="32"/>
      <c r="AO35" s="32"/>
      <c r="AP35" s="31"/>
      <c r="AQ35" s="31"/>
      <c r="AR35" s="54"/>
      <c r="AS35" s="56" t="str">
        <f>IFERROR(VLOOKUP(December[[#This Row],[Drug Name4]],'Data Options'!$R$1:$S$100,2,FALSE), " ")</f>
        <v xml:space="preserve"> </v>
      </c>
      <c r="AT35" s="55"/>
      <c r="AU35" s="32"/>
      <c r="AV35" s="32"/>
      <c r="AW35" s="55"/>
      <c r="AX35" s="32"/>
      <c r="AY35" s="54"/>
      <c r="AZ35" s="56" t="str">
        <f>IFERROR(VLOOKUP(December[[#This Row],[Drug Name5]],'Data Options'!$R$1:$S$100,2,FALSE), " ")</f>
        <v xml:space="preserve"> </v>
      </c>
      <c r="BA35" s="55"/>
      <c r="BB35" s="32"/>
      <c r="BC35" s="32"/>
      <c r="BD35" s="55"/>
      <c r="BE35" s="32"/>
      <c r="BF35" s="54"/>
      <c r="BG35" s="56" t="str">
        <f>IFERROR(VLOOKUP(December[[#This Row],[Drug Name6]],'Data Options'!$R$1:$S$100,2,FALSE), " ")</f>
        <v xml:space="preserve"> </v>
      </c>
      <c r="BH35" s="55"/>
      <c r="BI35" s="32"/>
      <c r="BJ35" s="32"/>
      <c r="BK35" s="55"/>
      <c r="BL35" s="32"/>
      <c r="BM35" s="32"/>
      <c r="BN35" s="32"/>
      <c r="BO35" s="32"/>
      <c r="BP35" s="32"/>
      <c r="BQ35" s="31"/>
      <c r="BR35" s="31"/>
      <c r="BS35" s="54"/>
      <c r="BT35" s="56" t="str">
        <f>IFERROR(VLOOKUP(December[[#This Row],[Drug Name7]],'Data Options'!$R$1:$S$100,2,FALSE), " ")</f>
        <v xml:space="preserve"> </v>
      </c>
      <c r="BU35" s="55"/>
      <c r="BV35" s="32"/>
      <c r="BW35" s="32"/>
      <c r="BX35" s="55"/>
      <c r="BY35" s="32"/>
      <c r="BZ35" s="54"/>
      <c r="CA35" s="56" t="str">
        <f>IFERROR(VLOOKUP(December[[#This Row],[Drug Name8]],'Data Options'!$R$1:$S$100,2,FALSE), " ")</f>
        <v xml:space="preserve"> </v>
      </c>
      <c r="CB35" s="55"/>
      <c r="CC35" s="32"/>
      <c r="CD35" s="32"/>
      <c r="CE35" s="55"/>
      <c r="CF35" s="32"/>
      <c r="CG35" s="54"/>
      <c r="CH35" s="56" t="str">
        <f>IFERROR(VLOOKUP(December[[#This Row],[Drug Name9]],'Data Options'!$R$1:$S$100,2,FALSE), " ")</f>
        <v xml:space="preserve"> </v>
      </c>
      <c r="CI35" s="55"/>
      <c r="CJ35" s="32"/>
      <c r="CK35" s="32"/>
      <c r="CL35" s="55"/>
      <c r="CM35" s="32"/>
    </row>
    <row r="36" spans="1:91">
      <c r="A36" s="5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54"/>
      <c r="R36" s="56" t="str">
        <f>IFERROR(VLOOKUP(December[[#This Row],[Drug Name]],'Data Options'!$R$1:$S$100,2,FALSE), " ")</f>
        <v xml:space="preserve"> </v>
      </c>
      <c r="S36" s="55"/>
      <c r="T36" s="32"/>
      <c r="U36" s="32"/>
      <c r="V36" s="55"/>
      <c r="W36" s="32"/>
      <c r="X36" s="54"/>
      <c r="Y36" s="56" t="str">
        <f>IFERROR(VLOOKUP(December[[#This Row],[Drug Name2]],'Data Options'!$R$1:$S$100,2,FALSE), " ")</f>
        <v xml:space="preserve"> </v>
      </c>
      <c r="Z36" s="55"/>
      <c r="AA36" s="32"/>
      <c r="AB36" s="32"/>
      <c r="AC36" s="55"/>
      <c r="AD36" s="32"/>
      <c r="AE36" s="54"/>
      <c r="AF36" s="56" t="str">
        <f>IFERROR(VLOOKUP(December[[#This Row],[Drug Name3]],'Data Options'!$R$1:$S$100,2,FALSE), " ")</f>
        <v xml:space="preserve"> </v>
      </c>
      <c r="AG36" s="55"/>
      <c r="AH36" s="32"/>
      <c r="AI36" s="32"/>
      <c r="AJ36" s="55"/>
      <c r="AK36" s="32"/>
      <c r="AL36" s="32"/>
      <c r="AM36" s="32"/>
      <c r="AN36" s="32"/>
      <c r="AO36" s="32"/>
      <c r="AP36" s="31"/>
      <c r="AQ36" s="31"/>
      <c r="AR36" s="54"/>
      <c r="AS36" s="56" t="str">
        <f>IFERROR(VLOOKUP(December[[#This Row],[Drug Name4]],'Data Options'!$R$1:$S$100,2,FALSE), " ")</f>
        <v xml:space="preserve"> </v>
      </c>
      <c r="AT36" s="55"/>
      <c r="AU36" s="32"/>
      <c r="AV36" s="32"/>
      <c r="AW36" s="55"/>
      <c r="AX36" s="32"/>
      <c r="AY36" s="54"/>
      <c r="AZ36" s="56" t="str">
        <f>IFERROR(VLOOKUP(December[[#This Row],[Drug Name5]],'Data Options'!$R$1:$S$100,2,FALSE), " ")</f>
        <v xml:space="preserve"> </v>
      </c>
      <c r="BA36" s="55"/>
      <c r="BB36" s="32"/>
      <c r="BC36" s="32"/>
      <c r="BD36" s="55"/>
      <c r="BE36" s="32"/>
      <c r="BF36" s="54"/>
      <c r="BG36" s="56" t="str">
        <f>IFERROR(VLOOKUP(December[[#This Row],[Drug Name6]],'Data Options'!$R$1:$S$100,2,FALSE), " ")</f>
        <v xml:space="preserve"> </v>
      </c>
      <c r="BH36" s="55"/>
      <c r="BI36" s="32"/>
      <c r="BJ36" s="32"/>
      <c r="BK36" s="55"/>
      <c r="BL36" s="32"/>
      <c r="BM36" s="32"/>
      <c r="BN36" s="32"/>
      <c r="BO36" s="32"/>
      <c r="BP36" s="32"/>
      <c r="BQ36" s="31"/>
      <c r="BR36" s="31"/>
      <c r="BS36" s="54"/>
      <c r="BT36" s="56" t="str">
        <f>IFERROR(VLOOKUP(December[[#This Row],[Drug Name7]],'Data Options'!$R$1:$S$100,2,FALSE), " ")</f>
        <v xml:space="preserve"> </v>
      </c>
      <c r="BU36" s="55"/>
      <c r="BV36" s="32"/>
      <c r="BW36" s="32"/>
      <c r="BX36" s="55"/>
      <c r="BY36" s="32"/>
      <c r="BZ36" s="54"/>
      <c r="CA36" s="56" t="str">
        <f>IFERROR(VLOOKUP(December[[#This Row],[Drug Name8]],'Data Options'!$R$1:$S$100,2,FALSE), " ")</f>
        <v xml:space="preserve"> </v>
      </c>
      <c r="CB36" s="55"/>
      <c r="CC36" s="32"/>
      <c r="CD36" s="32"/>
      <c r="CE36" s="55"/>
      <c r="CF36" s="32"/>
      <c r="CG36" s="54"/>
      <c r="CH36" s="56" t="str">
        <f>IFERROR(VLOOKUP(December[[#This Row],[Drug Name9]],'Data Options'!$R$1:$S$100,2,FALSE), " ")</f>
        <v xml:space="preserve"> </v>
      </c>
      <c r="CI36" s="55"/>
      <c r="CJ36" s="32"/>
      <c r="CK36" s="32"/>
      <c r="CL36" s="55"/>
      <c r="CM36" s="32"/>
    </row>
    <row r="37" spans="1:9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54"/>
      <c r="R37" s="56" t="str">
        <f>IFERROR(VLOOKUP(December[[#This Row],[Drug Name]],'Data Options'!$R$1:$S$100,2,FALSE), " ")</f>
        <v xml:space="preserve"> </v>
      </c>
      <c r="S37" s="55"/>
      <c r="T37" s="32"/>
      <c r="U37" s="32"/>
      <c r="V37" s="55"/>
      <c r="W37" s="32"/>
      <c r="X37" s="54"/>
      <c r="Y37" s="56" t="str">
        <f>IFERROR(VLOOKUP(December[[#This Row],[Drug Name2]],'Data Options'!$R$1:$S$100,2,FALSE), " ")</f>
        <v xml:space="preserve"> </v>
      </c>
      <c r="Z37" s="55"/>
      <c r="AA37" s="32"/>
      <c r="AB37" s="32"/>
      <c r="AC37" s="55"/>
      <c r="AD37" s="32"/>
      <c r="AE37" s="54"/>
      <c r="AF37" s="56" t="str">
        <f>IFERROR(VLOOKUP(December[[#This Row],[Drug Name3]],'Data Options'!$R$1:$S$100,2,FALSE), " ")</f>
        <v xml:space="preserve"> </v>
      </c>
      <c r="AG37" s="55"/>
      <c r="AH37" s="32"/>
      <c r="AI37" s="32"/>
      <c r="AJ37" s="55"/>
      <c r="AK37" s="32"/>
      <c r="AL37" s="32"/>
      <c r="AM37" s="32"/>
      <c r="AN37" s="32"/>
      <c r="AO37" s="32"/>
      <c r="AP37" s="31"/>
      <c r="AQ37" s="31"/>
      <c r="AR37" s="54"/>
      <c r="AS37" s="56" t="str">
        <f>IFERROR(VLOOKUP(December[[#This Row],[Drug Name4]],'Data Options'!$R$1:$S$100,2,FALSE), " ")</f>
        <v xml:space="preserve"> </v>
      </c>
      <c r="AT37" s="55"/>
      <c r="AU37" s="32"/>
      <c r="AV37" s="32"/>
      <c r="AW37" s="55"/>
      <c r="AX37" s="32"/>
      <c r="AY37" s="54"/>
      <c r="AZ37" s="56" t="str">
        <f>IFERROR(VLOOKUP(December[[#This Row],[Drug Name5]],'Data Options'!$R$1:$S$100,2,FALSE), " ")</f>
        <v xml:space="preserve"> </v>
      </c>
      <c r="BA37" s="55"/>
      <c r="BB37" s="32"/>
      <c r="BC37" s="32"/>
      <c r="BD37" s="55"/>
      <c r="BE37" s="32"/>
      <c r="BF37" s="54"/>
      <c r="BG37" s="56" t="str">
        <f>IFERROR(VLOOKUP(December[[#This Row],[Drug Name6]],'Data Options'!$R$1:$S$100,2,FALSE), " ")</f>
        <v xml:space="preserve"> </v>
      </c>
      <c r="BH37" s="55"/>
      <c r="BI37" s="32"/>
      <c r="BJ37" s="32"/>
      <c r="BK37" s="55"/>
      <c r="BL37" s="32"/>
      <c r="BM37" s="32"/>
      <c r="BN37" s="32"/>
      <c r="BO37" s="32"/>
      <c r="BP37" s="32"/>
      <c r="BQ37" s="31"/>
      <c r="BR37" s="31"/>
      <c r="BS37" s="54"/>
      <c r="BT37" s="56" t="str">
        <f>IFERROR(VLOOKUP(December[[#This Row],[Drug Name7]],'Data Options'!$R$1:$S$100,2,FALSE), " ")</f>
        <v xml:space="preserve"> </v>
      </c>
      <c r="BU37" s="55"/>
      <c r="BV37" s="32"/>
      <c r="BW37" s="32"/>
      <c r="BX37" s="55"/>
      <c r="BY37" s="32"/>
      <c r="BZ37" s="54"/>
      <c r="CA37" s="56" t="str">
        <f>IFERROR(VLOOKUP(December[[#This Row],[Drug Name8]],'Data Options'!$R$1:$S$100,2,FALSE), " ")</f>
        <v xml:space="preserve"> </v>
      </c>
      <c r="CB37" s="55"/>
      <c r="CC37" s="32"/>
      <c r="CD37" s="32"/>
      <c r="CE37" s="55"/>
      <c r="CF37" s="32"/>
      <c r="CG37" s="54"/>
      <c r="CH37" s="56" t="str">
        <f>IFERROR(VLOOKUP(December[[#This Row],[Drug Name9]],'Data Options'!$R$1:$S$100,2,FALSE), " ")</f>
        <v xml:space="preserve"> </v>
      </c>
      <c r="CI37" s="55"/>
      <c r="CJ37" s="32"/>
      <c r="CK37" s="32"/>
      <c r="CL37" s="55"/>
      <c r="CM37" s="32"/>
    </row>
    <row r="38" spans="1:9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54"/>
      <c r="R38" s="56" t="str">
        <f>IFERROR(VLOOKUP(December[[#This Row],[Drug Name]],'Data Options'!$R$1:$S$100,2,FALSE), " ")</f>
        <v xml:space="preserve"> </v>
      </c>
      <c r="S38" s="55"/>
      <c r="T38" s="32"/>
      <c r="U38" s="32"/>
      <c r="V38" s="55"/>
      <c r="W38" s="32"/>
      <c r="X38" s="54"/>
      <c r="Y38" s="56" t="str">
        <f>IFERROR(VLOOKUP(December[[#This Row],[Drug Name2]],'Data Options'!$R$1:$S$100,2,FALSE), " ")</f>
        <v xml:space="preserve"> </v>
      </c>
      <c r="Z38" s="55"/>
      <c r="AA38" s="32"/>
      <c r="AB38" s="32"/>
      <c r="AC38" s="55"/>
      <c r="AD38" s="32"/>
      <c r="AE38" s="54"/>
      <c r="AF38" s="56" t="str">
        <f>IFERROR(VLOOKUP(December[[#This Row],[Drug Name3]],'Data Options'!$R$1:$S$100,2,FALSE), " ")</f>
        <v xml:space="preserve"> </v>
      </c>
      <c r="AG38" s="55"/>
      <c r="AH38" s="32"/>
      <c r="AI38" s="32"/>
      <c r="AJ38" s="55"/>
      <c r="AK38" s="32"/>
      <c r="AL38" s="32"/>
      <c r="AM38" s="32"/>
      <c r="AN38" s="32"/>
      <c r="AO38" s="32"/>
      <c r="AP38" s="31"/>
      <c r="AQ38" s="31"/>
      <c r="AR38" s="54"/>
      <c r="AS38" s="56" t="str">
        <f>IFERROR(VLOOKUP(December[[#This Row],[Drug Name4]],'Data Options'!$R$1:$S$100,2,FALSE), " ")</f>
        <v xml:space="preserve"> </v>
      </c>
      <c r="AT38" s="55"/>
      <c r="AU38" s="32"/>
      <c r="AV38" s="32"/>
      <c r="AW38" s="55"/>
      <c r="AX38" s="32"/>
      <c r="AY38" s="54"/>
      <c r="AZ38" s="56" t="str">
        <f>IFERROR(VLOOKUP(December[[#This Row],[Drug Name5]],'Data Options'!$R$1:$S$100,2,FALSE), " ")</f>
        <v xml:space="preserve"> </v>
      </c>
      <c r="BA38" s="55"/>
      <c r="BB38" s="32"/>
      <c r="BC38" s="32"/>
      <c r="BD38" s="55"/>
      <c r="BE38" s="32"/>
      <c r="BF38" s="54"/>
      <c r="BG38" s="56" t="str">
        <f>IFERROR(VLOOKUP(December[[#This Row],[Drug Name6]],'Data Options'!$R$1:$S$100,2,FALSE), " ")</f>
        <v xml:space="preserve"> </v>
      </c>
      <c r="BH38" s="55"/>
      <c r="BI38" s="32"/>
      <c r="BJ38" s="32"/>
      <c r="BK38" s="55"/>
      <c r="BL38" s="32"/>
      <c r="BM38" s="32"/>
      <c r="BN38" s="32"/>
      <c r="BO38" s="32"/>
      <c r="BP38" s="32"/>
      <c r="BQ38" s="31"/>
      <c r="BR38" s="31"/>
      <c r="BS38" s="54"/>
      <c r="BT38" s="56" t="str">
        <f>IFERROR(VLOOKUP(December[[#This Row],[Drug Name7]],'Data Options'!$R$1:$S$100,2,FALSE), " ")</f>
        <v xml:space="preserve"> </v>
      </c>
      <c r="BU38" s="55"/>
      <c r="BV38" s="32"/>
      <c r="BW38" s="32"/>
      <c r="BX38" s="55"/>
      <c r="BY38" s="32"/>
      <c r="BZ38" s="54"/>
      <c r="CA38" s="56" t="str">
        <f>IFERROR(VLOOKUP(December[[#This Row],[Drug Name8]],'Data Options'!$R$1:$S$100,2,FALSE), " ")</f>
        <v xml:space="preserve"> </v>
      </c>
      <c r="CB38" s="55"/>
      <c r="CC38" s="32"/>
      <c r="CD38" s="32"/>
      <c r="CE38" s="55"/>
      <c r="CF38" s="32"/>
      <c r="CG38" s="54"/>
      <c r="CH38" s="56" t="str">
        <f>IFERROR(VLOOKUP(December[[#This Row],[Drug Name9]],'Data Options'!$R$1:$S$100,2,FALSE), " ")</f>
        <v xml:space="preserve"> </v>
      </c>
      <c r="CI38" s="55"/>
      <c r="CJ38" s="32"/>
      <c r="CK38" s="32"/>
      <c r="CL38" s="55"/>
      <c r="CM38" s="32"/>
    </row>
    <row r="39" spans="1:9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54"/>
      <c r="R39" s="56" t="str">
        <f>IFERROR(VLOOKUP(December[[#This Row],[Drug Name]],'Data Options'!$R$1:$S$100,2,FALSE), " ")</f>
        <v xml:space="preserve"> </v>
      </c>
      <c r="S39" s="55"/>
      <c r="T39" s="32"/>
      <c r="U39" s="32"/>
      <c r="V39" s="55"/>
      <c r="W39" s="32"/>
      <c r="X39" s="54"/>
      <c r="Y39" s="56" t="str">
        <f>IFERROR(VLOOKUP(December[[#This Row],[Drug Name2]],'Data Options'!$R$1:$S$100,2,FALSE), " ")</f>
        <v xml:space="preserve"> </v>
      </c>
      <c r="Z39" s="55"/>
      <c r="AA39" s="32"/>
      <c r="AB39" s="32"/>
      <c r="AC39" s="55"/>
      <c r="AD39" s="32"/>
      <c r="AE39" s="54"/>
      <c r="AF39" s="56" t="str">
        <f>IFERROR(VLOOKUP(December[[#This Row],[Drug Name3]],'Data Options'!$R$1:$S$100,2,FALSE), " ")</f>
        <v xml:space="preserve"> </v>
      </c>
      <c r="AG39" s="55"/>
      <c r="AH39" s="32"/>
      <c r="AI39" s="32"/>
      <c r="AJ39" s="55"/>
      <c r="AK39" s="32"/>
      <c r="AL39" s="32"/>
      <c r="AM39" s="32"/>
      <c r="AN39" s="32"/>
      <c r="AO39" s="32"/>
      <c r="AP39" s="31"/>
      <c r="AQ39" s="31"/>
      <c r="AR39" s="54"/>
      <c r="AS39" s="56" t="str">
        <f>IFERROR(VLOOKUP(December[[#This Row],[Drug Name4]],'Data Options'!$R$1:$S$100,2,FALSE), " ")</f>
        <v xml:space="preserve"> </v>
      </c>
      <c r="AT39" s="55"/>
      <c r="AU39" s="32"/>
      <c r="AV39" s="32"/>
      <c r="AW39" s="55"/>
      <c r="AX39" s="32"/>
      <c r="AY39" s="54"/>
      <c r="AZ39" s="56" t="str">
        <f>IFERROR(VLOOKUP(December[[#This Row],[Drug Name5]],'Data Options'!$R$1:$S$100,2,FALSE), " ")</f>
        <v xml:space="preserve"> </v>
      </c>
      <c r="BA39" s="55"/>
      <c r="BB39" s="32"/>
      <c r="BC39" s="32"/>
      <c r="BD39" s="55"/>
      <c r="BE39" s="32"/>
      <c r="BF39" s="54"/>
      <c r="BG39" s="56" t="str">
        <f>IFERROR(VLOOKUP(December[[#This Row],[Drug Name6]],'Data Options'!$R$1:$S$100,2,FALSE), " ")</f>
        <v xml:space="preserve"> </v>
      </c>
      <c r="BH39" s="55"/>
      <c r="BI39" s="32"/>
      <c r="BJ39" s="32"/>
      <c r="BK39" s="55"/>
      <c r="BL39" s="32"/>
      <c r="BM39" s="32"/>
      <c r="BN39" s="32"/>
      <c r="BO39" s="32"/>
      <c r="BP39" s="32"/>
      <c r="BQ39" s="31"/>
      <c r="BR39" s="31"/>
      <c r="BS39" s="54"/>
      <c r="BT39" s="56" t="str">
        <f>IFERROR(VLOOKUP(December[[#This Row],[Drug Name7]],'Data Options'!$R$1:$S$100,2,FALSE), " ")</f>
        <v xml:space="preserve"> </v>
      </c>
      <c r="BU39" s="55"/>
      <c r="BV39" s="32"/>
      <c r="BW39" s="32"/>
      <c r="BX39" s="55"/>
      <c r="BY39" s="32"/>
      <c r="BZ39" s="54"/>
      <c r="CA39" s="56" t="str">
        <f>IFERROR(VLOOKUP(December[[#This Row],[Drug Name8]],'Data Options'!$R$1:$S$100,2,FALSE), " ")</f>
        <v xml:space="preserve"> </v>
      </c>
      <c r="CB39" s="55"/>
      <c r="CC39" s="32"/>
      <c r="CD39" s="32"/>
      <c r="CE39" s="55"/>
      <c r="CF39" s="32"/>
      <c r="CG39" s="54"/>
      <c r="CH39" s="56" t="str">
        <f>IFERROR(VLOOKUP(December[[#This Row],[Drug Name9]],'Data Options'!$R$1:$S$100,2,FALSE), " ")</f>
        <v xml:space="preserve"> </v>
      </c>
      <c r="CI39" s="55"/>
      <c r="CJ39" s="32"/>
      <c r="CK39" s="32"/>
      <c r="CL39" s="55"/>
      <c r="CM39" s="32"/>
    </row>
    <row r="40" spans="1:91">
      <c r="A40" s="5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54"/>
      <c r="R40" s="56" t="str">
        <f>IFERROR(VLOOKUP(December[[#This Row],[Drug Name]],'Data Options'!$R$1:$S$100,2,FALSE), " ")</f>
        <v xml:space="preserve"> </v>
      </c>
      <c r="S40" s="55"/>
      <c r="T40" s="32"/>
      <c r="U40" s="32"/>
      <c r="V40" s="55"/>
      <c r="W40" s="32"/>
      <c r="X40" s="54"/>
      <c r="Y40" s="56" t="str">
        <f>IFERROR(VLOOKUP(December[[#This Row],[Drug Name2]],'Data Options'!$R$1:$S$100,2,FALSE), " ")</f>
        <v xml:space="preserve"> </v>
      </c>
      <c r="Z40" s="55"/>
      <c r="AA40" s="32"/>
      <c r="AB40" s="32"/>
      <c r="AC40" s="55"/>
      <c r="AD40" s="32"/>
      <c r="AE40" s="54"/>
      <c r="AF40" s="56" t="str">
        <f>IFERROR(VLOOKUP(December[[#This Row],[Drug Name3]],'Data Options'!$R$1:$S$100,2,FALSE), " ")</f>
        <v xml:space="preserve"> </v>
      </c>
      <c r="AG40" s="55"/>
      <c r="AH40" s="32"/>
      <c r="AI40" s="32"/>
      <c r="AJ40" s="55"/>
      <c r="AK40" s="32"/>
      <c r="AL40" s="32"/>
      <c r="AM40" s="32"/>
      <c r="AN40" s="32"/>
      <c r="AO40" s="32"/>
      <c r="AP40" s="31"/>
      <c r="AQ40" s="31"/>
      <c r="AR40" s="54"/>
      <c r="AS40" s="56" t="str">
        <f>IFERROR(VLOOKUP(December[[#This Row],[Drug Name4]],'Data Options'!$R$1:$S$100,2,FALSE), " ")</f>
        <v xml:space="preserve"> </v>
      </c>
      <c r="AT40" s="55"/>
      <c r="AU40" s="32"/>
      <c r="AV40" s="32"/>
      <c r="AW40" s="55"/>
      <c r="AX40" s="32"/>
      <c r="AY40" s="54"/>
      <c r="AZ40" s="56" t="str">
        <f>IFERROR(VLOOKUP(December[[#This Row],[Drug Name5]],'Data Options'!$R$1:$S$100,2,FALSE), " ")</f>
        <v xml:space="preserve"> </v>
      </c>
      <c r="BA40" s="55"/>
      <c r="BB40" s="32"/>
      <c r="BC40" s="32"/>
      <c r="BD40" s="55"/>
      <c r="BE40" s="32"/>
      <c r="BF40" s="54"/>
      <c r="BG40" s="56" t="str">
        <f>IFERROR(VLOOKUP(December[[#This Row],[Drug Name6]],'Data Options'!$R$1:$S$100,2,FALSE), " ")</f>
        <v xml:space="preserve"> </v>
      </c>
      <c r="BH40" s="55"/>
      <c r="BI40" s="32"/>
      <c r="BJ40" s="32"/>
      <c r="BK40" s="55"/>
      <c r="BL40" s="32"/>
      <c r="BM40" s="32"/>
      <c r="BN40" s="32"/>
      <c r="BO40" s="32"/>
      <c r="BP40" s="32"/>
      <c r="BQ40" s="31"/>
      <c r="BR40" s="31"/>
      <c r="BS40" s="54"/>
      <c r="BT40" s="56" t="str">
        <f>IFERROR(VLOOKUP(December[[#This Row],[Drug Name7]],'Data Options'!$R$1:$S$100,2,FALSE), " ")</f>
        <v xml:space="preserve"> </v>
      </c>
      <c r="BU40" s="55"/>
      <c r="BV40" s="32"/>
      <c r="BW40" s="32"/>
      <c r="BX40" s="55"/>
      <c r="BY40" s="32"/>
      <c r="BZ40" s="54"/>
      <c r="CA40" s="56" t="str">
        <f>IFERROR(VLOOKUP(December[[#This Row],[Drug Name8]],'Data Options'!$R$1:$S$100,2,FALSE), " ")</f>
        <v xml:space="preserve"> </v>
      </c>
      <c r="CB40" s="55"/>
      <c r="CC40" s="32"/>
      <c r="CD40" s="32"/>
      <c r="CE40" s="55"/>
      <c r="CF40" s="32"/>
      <c r="CG40" s="54"/>
      <c r="CH40" s="56" t="str">
        <f>IFERROR(VLOOKUP(December[[#This Row],[Drug Name9]],'Data Options'!$R$1:$S$100,2,FALSE), " ")</f>
        <v xml:space="preserve"> </v>
      </c>
      <c r="CI40" s="55"/>
      <c r="CJ40" s="32"/>
      <c r="CK40" s="32"/>
      <c r="CL40" s="55"/>
      <c r="CM40" s="32"/>
    </row>
    <row r="41" spans="1:91">
      <c r="A41" s="5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54"/>
      <c r="R41" s="56" t="str">
        <f>IFERROR(VLOOKUP(December[[#This Row],[Drug Name]],'Data Options'!$R$1:$S$100,2,FALSE), " ")</f>
        <v xml:space="preserve"> </v>
      </c>
      <c r="S41" s="55"/>
      <c r="T41" s="32"/>
      <c r="U41" s="32"/>
      <c r="V41" s="55"/>
      <c r="W41" s="32"/>
      <c r="X41" s="54"/>
      <c r="Y41" s="56" t="str">
        <f>IFERROR(VLOOKUP(December[[#This Row],[Drug Name2]],'Data Options'!$R$1:$S$100,2,FALSE), " ")</f>
        <v xml:space="preserve"> </v>
      </c>
      <c r="Z41" s="55"/>
      <c r="AA41" s="32"/>
      <c r="AB41" s="32"/>
      <c r="AC41" s="55"/>
      <c r="AD41" s="32"/>
      <c r="AE41" s="54"/>
      <c r="AF41" s="56" t="str">
        <f>IFERROR(VLOOKUP(December[[#This Row],[Drug Name3]],'Data Options'!$R$1:$S$100,2,FALSE), " ")</f>
        <v xml:space="preserve"> </v>
      </c>
      <c r="AG41" s="55"/>
      <c r="AH41" s="32"/>
      <c r="AI41" s="32"/>
      <c r="AJ41" s="55"/>
      <c r="AK41" s="32"/>
      <c r="AL41" s="32"/>
      <c r="AM41" s="32"/>
      <c r="AN41" s="32"/>
      <c r="AO41" s="32"/>
      <c r="AP41" s="31"/>
      <c r="AQ41" s="31"/>
      <c r="AR41" s="54"/>
      <c r="AS41" s="56" t="str">
        <f>IFERROR(VLOOKUP(December[[#This Row],[Drug Name4]],'Data Options'!$R$1:$S$100,2,FALSE), " ")</f>
        <v xml:space="preserve"> </v>
      </c>
      <c r="AT41" s="55"/>
      <c r="AU41" s="32"/>
      <c r="AV41" s="32"/>
      <c r="AW41" s="55"/>
      <c r="AX41" s="32"/>
      <c r="AY41" s="54"/>
      <c r="AZ41" s="56" t="str">
        <f>IFERROR(VLOOKUP(December[[#This Row],[Drug Name5]],'Data Options'!$R$1:$S$100,2,FALSE), " ")</f>
        <v xml:space="preserve"> </v>
      </c>
      <c r="BA41" s="55"/>
      <c r="BB41" s="32"/>
      <c r="BC41" s="32"/>
      <c r="BD41" s="55"/>
      <c r="BE41" s="32"/>
      <c r="BF41" s="54"/>
      <c r="BG41" s="56" t="str">
        <f>IFERROR(VLOOKUP(December[[#This Row],[Drug Name6]],'Data Options'!$R$1:$S$100,2,FALSE), " ")</f>
        <v xml:space="preserve"> </v>
      </c>
      <c r="BH41" s="55"/>
      <c r="BI41" s="32"/>
      <c r="BJ41" s="32"/>
      <c r="BK41" s="55"/>
      <c r="BL41" s="32"/>
      <c r="BM41" s="32"/>
      <c r="BN41" s="32"/>
      <c r="BO41" s="32"/>
      <c r="BP41" s="32"/>
      <c r="BQ41" s="31"/>
      <c r="BR41" s="31"/>
      <c r="BS41" s="54"/>
      <c r="BT41" s="56" t="str">
        <f>IFERROR(VLOOKUP(December[[#This Row],[Drug Name7]],'Data Options'!$R$1:$S$100,2,FALSE), " ")</f>
        <v xml:space="preserve"> </v>
      </c>
      <c r="BU41" s="55"/>
      <c r="BV41" s="32"/>
      <c r="BW41" s="32"/>
      <c r="BX41" s="55"/>
      <c r="BY41" s="32"/>
      <c r="BZ41" s="54"/>
      <c r="CA41" s="56" t="str">
        <f>IFERROR(VLOOKUP(December[[#This Row],[Drug Name8]],'Data Options'!$R$1:$S$100,2,FALSE), " ")</f>
        <v xml:space="preserve"> </v>
      </c>
      <c r="CB41" s="55"/>
      <c r="CC41" s="32"/>
      <c r="CD41" s="32"/>
      <c r="CE41" s="55"/>
      <c r="CF41" s="32"/>
      <c r="CG41" s="54"/>
      <c r="CH41" s="56" t="str">
        <f>IFERROR(VLOOKUP(December[[#This Row],[Drug Name9]],'Data Options'!$R$1:$S$100,2,FALSE), " ")</f>
        <v xml:space="preserve"> </v>
      </c>
      <c r="CI41" s="55"/>
      <c r="CJ41" s="32"/>
      <c r="CK41" s="32"/>
      <c r="CL41" s="55"/>
      <c r="CM41" s="32"/>
    </row>
    <row r="42" spans="1:91">
      <c r="A42" s="5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54"/>
      <c r="R42" s="56" t="str">
        <f>IFERROR(VLOOKUP(December[[#This Row],[Drug Name]],'Data Options'!$R$1:$S$100,2,FALSE), " ")</f>
        <v xml:space="preserve"> </v>
      </c>
      <c r="S42" s="55"/>
      <c r="T42" s="32"/>
      <c r="U42" s="32"/>
      <c r="V42" s="55"/>
      <c r="W42" s="32"/>
      <c r="X42" s="54"/>
      <c r="Y42" s="56" t="str">
        <f>IFERROR(VLOOKUP(December[[#This Row],[Drug Name2]],'Data Options'!$R$1:$S$100,2,FALSE), " ")</f>
        <v xml:space="preserve"> </v>
      </c>
      <c r="Z42" s="55"/>
      <c r="AA42" s="32"/>
      <c r="AB42" s="32"/>
      <c r="AC42" s="55"/>
      <c r="AD42" s="32"/>
      <c r="AE42" s="54"/>
      <c r="AF42" s="56" t="str">
        <f>IFERROR(VLOOKUP(December[[#This Row],[Drug Name3]],'Data Options'!$R$1:$S$100,2,FALSE), " ")</f>
        <v xml:space="preserve"> </v>
      </c>
      <c r="AG42" s="55"/>
      <c r="AH42" s="32"/>
      <c r="AI42" s="32"/>
      <c r="AJ42" s="55"/>
      <c r="AK42" s="32"/>
      <c r="AL42" s="32"/>
      <c r="AM42" s="32"/>
      <c r="AN42" s="32"/>
      <c r="AO42" s="32"/>
      <c r="AP42" s="31"/>
      <c r="AQ42" s="31"/>
      <c r="AR42" s="54"/>
      <c r="AS42" s="56" t="str">
        <f>IFERROR(VLOOKUP(December[[#This Row],[Drug Name4]],'Data Options'!$R$1:$S$100,2,FALSE), " ")</f>
        <v xml:space="preserve"> </v>
      </c>
      <c r="AT42" s="55"/>
      <c r="AU42" s="32"/>
      <c r="AV42" s="32"/>
      <c r="AW42" s="55"/>
      <c r="AX42" s="32"/>
      <c r="AY42" s="54"/>
      <c r="AZ42" s="56" t="str">
        <f>IFERROR(VLOOKUP(December[[#This Row],[Drug Name5]],'Data Options'!$R$1:$S$100,2,FALSE), " ")</f>
        <v xml:space="preserve"> </v>
      </c>
      <c r="BA42" s="55"/>
      <c r="BB42" s="32"/>
      <c r="BC42" s="32"/>
      <c r="BD42" s="55"/>
      <c r="BE42" s="32"/>
      <c r="BF42" s="54"/>
      <c r="BG42" s="56" t="str">
        <f>IFERROR(VLOOKUP(December[[#This Row],[Drug Name6]],'Data Options'!$R$1:$S$100,2,FALSE), " ")</f>
        <v xml:space="preserve"> </v>
      </c>
      <c r="BH42" s="55"/>
      <c r="BI42" s="32"/>
      <c r="BJ42" s="32"/>
      <c r="BK42" s="55"/>
      <c r="BL42" s="32"/>
      <c r="BM42" s="32"/>
      <c r="BN42" s="32"/>
      <c r="BO42" s="32"/>
      <c r="BP42" s="32"/>
      <c r="BQ42" s="31"/>
      <c r="BR42" s="31"/>
      <c r="BS42" s="54"/>
      <c r="BT42" s="56" t="str">
        <f>IFERROR(VLOOKUP(December[[#This Row],[Drug Name7]],'Data Options'!$R$1:$S$100,2,FALSE), " ")</f>
        <v xml:space="preserve"> </v>
      </c>
      <c r="BU42" s="55"/>
      <c r="BV42" s="32"/>
      <c r="BW42" s="32"/>
      <c r="BX42" s="55"/>
      <c r="BY42" s="32"/>
      <c r="BZ42" s="54"/>
      <c r="CA42" s="56" t="str">
        <f>IFERROR(VLOOKUP(December[[#This Row],[Drug Name8]],'Data Options'!$R$1:$S$100,2,FALSE), " ")</f>
        <v xml:space="preserve"> </v>
      </c>
      <c r="CB42" s="55"/>
      <c r="CC42" s="32"/>
      <c r="CD42" s="32"/>
      <c r="CE42" s="55"/>
      <c r="CF42" s="32"/>
      <c r="CG42" s="54"/>
      <c r="CH42" s="56" t="str">
        <f>IFERROR(VLOOKUP(December[[#This Row],[Drug Name9]],'Data Options'!$R$1:$S$100,2,FALSE), " ")</f>
        <v xml:space="preserve"> </v>
      </c>
      <c r="CI42" s="55"/>
      <c r="CJ42" s="32"/>
      <c r="CK42" s="32"/>
      <c r="CL42" s="55"/>
      <c r="CM42" s="32"/>
    </row>
    <row r="43" spans="1:91">
      <c r="A43" s="5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54"/>
      <c r="R43" s="56" t="str">
        <f>IFERROR(VLOOKUP(December[[#This Row],[Drug Name]],'Data Options'!$R$1:$S$100,2,FALSE), " ")</f>
        <v xml:space="preserve"> </v>
      </c>
      <c r="S43" s="55"/>
      <c r="T43" s="32"/>
      <c r="U43" s="32"/>
      <c r="V43" s="55"/>
      <c r="W43" s="32"/>
      <c r="X43" s="54"/>
      <c r="Y43" s="56" t="str">
        <f>IFERROR(VLOOKUP(December[[#This Row],[Drug Name2]],'Data Options'!$R$1:$S$100,2,FALSE), " ")</f>
        <v xml:space="preserve"> </v>
      </c>
      <c r="Z43" s="55"/>
      <c r="AA43" s="32"/>
      <c r="AB43" s="32"/>
      <c r="AC43" s="55"/>
      <c r="AD43" s="32"/>
      <c r="AE43" s="54"/>
      <c r="AF43" s="56" t="str">
        <f>IFERROR(VLOOKUP(December[[#This Row],[Drug Name3]],'Data Options'!$R$1:$S$100,2,FALSE), " ")</f>
        <v xml:space="preserve"> </v>
      </c>
      <c r="AG43" s="55"/>
      <c r="AH43" s="32"/>
      <c r="AI43" s="32"/>
      <c r="AJ43" s="55"/>
      <c r="AK43" s="32"/>
      <c r="AL43" s="32"/>
      <c r="AM43" s="32"/>
      <c r="AN43" s="32"/>
      <c r="AO43" s="32"/>
      <c r="AP43" s="31"/>
      <c r="AQ43" s="31"/>
      <c r="AR43" s="54"/>
      <c r="AS43" s="56" t="str">
        <f>IFERROR(VLOOKUP(December[[#This Row],[Drug Name4]],'Data Options'!$R$1:$S$100,2,FALSE), " ")</f>
        <v xml:space="preserve"> </v>
      </c>
      <c r="AT43" s="55"/>
      <c r="AU43" s="32"/>
      <c r="AV43" s="32"/>
      <c r="AW43" s="55"/>
      <c r="AX43" s="32"/>
      <c r="AY43" s="54"/>
      <c r="AZ43" s="56" t="str">
        <f>IFERROR(VLOOKUP(December[[#This Row],[Drug Name5]],'Data Options'!$R$1:$S$100,2,FALSE), " ")</f>
        <v xml:space="preserve"> </v>
      </c>
      <c r="BA43" s="55"/>
      <c r="BB43" s="32"/>
      <c r="BC43" s="32"/>
      <c r="BD43" s="55"/>
      <c r="BE43" s="32"/>
      <c r="BF43" s="54"/>
      <c r="BG43" s="56" t="str">
        <f>IFERROR(VLOOKUP(December[[#This Row],[Drug Name6]],'Data Options'!$R$1:$S$100,2,FALSE), " ")</f>
        <v xml:space="preserve"> </v>
      </c>
      <c r="BH43" s="55"/>
      <c r="BI43" s="32"/>
      <c r="BJ43" s="32"/>
      <c r="BK43" s="55"/>
      <c r="BL43" s="32"/>
      <c r="BM43" s="32"/>
      <c r="BN43" s="32"/>
      <c r="BO43" s="32"/>
      <c r="BP43" s="32"/>
      <c r="BQ43" s="31"/>
      <c r="BR43" s="31"/>
      <c r="BS43" s="54"/>
      <c r="BT43" s="56" t="str">
        <f>IFERROR(VLOOKUP(December[[#This Row],[Drug Name7]],'Data Options'!$R$1:$S$100,2,FALSE), " ")</f>
        <v xml:space="preserve"> </v>
      </c>
      <c r="BU43" s="55"/>
      <c r="BV43" s="32"/>
      <c r="BW43" s="32"/>
      <c r="BX43" s="55"/>
      <c r="BY43" s="32"/>
      <c r="BZ43" s="54"/>
      <c r="CA43" s="56" t="str">
        <f>IFERROR(VLOOKUP(December[[#This Row],[Drug Name8]],'Data Options'!$R$1:$S$100,2,FALSE), " ")</f>
        <v xml:space="preserve"> </v>
      </c>
      <c r="CB43" s="55"/>
      <c r="CC43" s="32"/>
      <c r="CD43" s="32"/>
      <c r="CE43" s="55"/>
      <c r="CF43" s="32"/>
      <c r="CG43" s="54"/>
      <c r="CH43" s="56" t="str">
        <f>IFERROR(VLOOKUP(December[[#This Row],[Drug Name9]],'Data Options'!$R$1:$S$100,2,FALSE), " ")</f>
        <v xml:space="preserve"> </v>
      </c>
      <c r="CI43" s="55"/>
      <c r="CJ43" s="32"/>
      <c r="CK43" s="32"/>
      <c r="CL43" s="55"/>
      <c r="CM43" s="32"/>
    </row>
    <row r="44" spans="1:9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54"/>
      <c r="R44" s="56" t="str">
        <f>IFERROR(VLOOKUP(December[[#This Row],[Drug Name]],'Data Options'!$R$1:$S$100,2,FALSE), " ")</f>
        <v xml:space="preserve"> </v>
      </c>
      <c r="S44" s="55"/>
      <c r="T44" s="32"/>
      <c r="U44" s="32"/>
      <c r="V44" s="55"/>
      <c r="W44" s="32"/>
      <c r="X44" s="54"/>
      <c r="Y44" s="56" t="str">
        <f>IFERROR(VLOOKUP(December[[#This Row],[Drug Name2]],'Data Options'!$R$1:$S$100,2,FALSE), " ")</f>
        <v xml:space="preserve"> </v>
      </c>
      <c r="Z44" s="55"/>
      <c r="AA44" s="32"/>
      <c r="AB44" s="32"/>
      <c r="AC44" s="55"/>
      <c r="AD44" s="32"/>
      <c r="AE44" s="54"/>
      <c r="AF44" s="56" t="str">
        <f>IFERROR(VLOOKUP(December[[#This Row],[Drug Name3]],'Data Options'!$R$1:$S$100,2,FALSE), " ")</f>
        <v xml:space="preserve"> </v>
      </c>
      <c r="AG44" s="55"/>
      <c r="AH44" s="32"/>
      <c r="AI44" s="32"/>
      <c r="AJ44" s="55"/>
      <c r="AK44" s="32"/>
      <c r="AL44" s="32"/>
      <c r="AM44" s="32"/>
      <c r="AN44" s="32"/>
      <c r="AO44" s="32"/>
      <c r="AP44" s="31"/>
      <c r="AQ44" s="31"/>
      <c r="AR44" s="54"/>
      <c r="AS44" s="56" t="str">
        <f>IFERROR(VLOOKUP(December[[#This Row],[Drug Name4]],'Data Options'!$R$1:$S$100,2,FALSE), " ")</f>
        <v xml:space="preserve"> </v>
      </c>
      <c r="AT44" s="55"/>
      <c r="AU44" s="32"/>
      <c r="AV44" s="32"/>
      <c r="AW44" s="55"/>
      <c r="AX44" s="32"/>
      <c r="AY44" s="54"/>
      <c r="AZ44" s="56" t="str">
        <f>IFERROR(VLOOKUP(December[[#This Row],[Drug Name5]],'Data Options'!$R$1:$S$100,2,FALSE), " ")</f>
        <v xml:space="preserve"> </v>
      </c>
      <c r="BA44" s="55"/>
      <c r="BB44" s="32"/>
      <c r="BC44" s="32"/>
      <c r="BD44" s="55"/>
      <c r="BE44" s="32"/>
      <c r="BF44" s="54"/>
      <c r="BG44" s="56" t="str">
        <f>IFERROR(VLOOKUP(December[[#This Row],[Drug Name6]],'Data Options'!$R$1:$S$100,2,FALSE), " ")</f>
        <v xml:space="preserve"> </v>
      </c>
      <c r="BH44" s="55"/>
      <c r="BI44" s="32"/>
      <c r="BJ44" s="32"/>
      <c r="BK44" s="55"/>
      <c r="BL44" s="32"/>
      <c r="BM44" s="32"/>
      <c r="BN44" s="32"/>
      <c r="BO44" s="32"/>
      <c r="BP44" s="32"/>
      <c r="BQ44" s="31"/>
      <c r="BR44" s="31"/>
      <c r="BS44" s="54"/>
      <c r="BT44" s="56" t="str">
        <f>IFERROR(VLOOKUP(December[[#This Row],[Drug Name7]],'Data Options'!$R$1:$S$100,2,FALSE), " ")</f>
        <v xml:space="preserve"> </v>
      </c>
      <c r="BU44" s="55"/>
      <c r="BV44" s="32"/>
      <c r="BW44" s="32"/>
      <c r="BX44" s="55"/>
      <c r="BY44" s="32"/>
      <c r="BZ44" s="54"/>
      <c r="CA44" s="56" t="str">
        <f>IFERROR(VLOOKUP(December[[#This Row],[Drug Name8]],'Data Options'!$R$1:$S$100,2,FALSE), " ")</f>
        <v xml:space="preserve"> </v>
      </c>
      <c r="CB44" s="55"/>
      <c r="CC44" s="32"/>
      <c r="CD44" s="32"/>
      <c r="CE44" s="55"/>
      <c r="CF44" s="32"/>
      <c r="CG44" s="54"/>
      <c r="CH44" s="56" t="str">
        <f>IFERROR(VLOOKUP(December[[#This Row],[Drug Name9]],'Data Options'!$R$1:$S$100,2,FALSE), " ")</f>
        <v xml:space="preserve"> </v>
      </c>
      <c r="CI44" s="55"/>
      <c r="CJ44" s="32"/>
      <c r="CK44" s="32"/>
      <c r="CL44" s="55"/>
      <c r="CM44" s="32"/>
    </row>
    <row r="45" spans="1:91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54"/>
      <c r="R45" s="56" t="str">
        <f>IFERROR(VLOOKUP(December[[#This Row],[Drug Name]],'Data Options'!$R$1:$S$100,2,FALSE), " ")</f>
        <v xml:space="preserve"> </v>
      </c>
      <c r="S45" s="55"/>
      <c r="T45" s="32"/>
      <c r="U45" s="32"/>
      <c r="V45" s="55"/>
      <c r="W45" s="32"/>
      <c r="X45" s="54"/>
      <c r="Y45" s="56" t="str">
        <f>IFERROR(VLOOKUP(December[[#This Row],[Drug Name2]],'Data Options'!$R$1:$S$100,2,FALSE), " ")</f>
        <v xml:space="preserve"> </v>
      </c>
      <c r="Z45" s="55"/>
      <c r="AA45" s="32"/>
      <c r="AB45" s="32"/>
      <c r="AC45" s="55"/>
      <c r="AD45" s="32"/>
      <c r="AE45" s="54"/>
      <c r="AF45" s="56" t="str">
        <f>IFERROR(VLOOKUP(December[[#This Row],[Drug Name3]],'Data Options'!$R$1:$S$100,2,FALSE), " ")</f>
        <v xml:space="preserve"> </v>
      </c>
      <c r="AG45" s="55"/>
      <c r="AH45" s="32"/>
      <c r="AI45" s="32"/>
      <c r="AJ45" s="55"/>
      <c r="AK45" s="32"/>
      <c r="AL45" s="32"/>
      <c r="AM45" s="32"/>
      <c r="AN45" s="32"/>
      <c r="AO45" s="32"/>
      <c r="AP45" s="31"/>
      <c r="AQ45" s="31"/>
      <c r="AR45" s="54"/>
      <c r="AS45" s="56" t="str">
        <f>IFERROR(VLOOKUP(December[[#This Row],[Drug Name4]],'Data Options'!$R$1:$S$100,2,FALSE), " ")</f>
        <v xml:space="preserve"> </v>
      </c>
      <c r="AT45" s="55"/>
      <c r="AU45" s="32"/>
      <c r="AV45" s="32"/>
      <c r="AW45" s="55"/>
      <c r="AX45" s="32"/>
      <c r="AY45" s="54"/>
      <c r="AZ45" s="56" t="str">
        <f>IFERROR(VLOOKUP(December[[#This Row],[Drug Name5]],'Data Options'!$R$1:$S$100,2,FALSE), " ")</f>
        <v xml:space="preserve"> </v>
      </c>
      <c r="BA45" s="55"/>
      <c r="BB45" s="32"/>
      <c r="BC45" s="32"/>
      <c r="BD45" s="55"/>
      <c r="BE45" s="32"/>
      <c r="BF45" s="54"/>
      <c r="BG45" s="56" t="str">
        <f>IFERROR(VLOOKUP(December[[#This Row],[Drug Name6]],'Data Options'!$R$1:$S$100,2,FALSE), " ")</f>
        <v xml:space="preserve"> </v>
      </c>
      <c r="BH45" s="55"/>
      <c r="BI45" s="32"/>
      <c r="BJ45" s="32"/>
      <c r="BK45" s="55"/>
      <c r="BL45" s="32"/>
      <c r="BM45" s="32"/>
      <c r="BN45" s="32"/>
      <c r="BO45" s="32"/>
      <c r="BP45" s="32"/>
      <c r="BQ45" s="31"/>
      <c r="BR45" s="31"/>
      <c r="BS45" s="54"/>
      <c r="BT45" s="56" t="str">
        <f>IFERROR(VLOOKUP(December[[#This Row],[Drug Name7]],'Data Options'!$R$1:$S$100,2,FALSE), " ")</f>
        <v xml:space="preserve"> </v>
      </c>
      <c r="BU45" s="55"/>
      <c r="BV45" s="32"/>
      <c r="BW45" s="32"/>
      <c r="BX45" s="55"/>
      <c r="BY45" s="32"/>
      <c r="BZ45" s="54"/>
      <c r="CA45" s="56" t="str">
        <f>IFERROR(VLOOKUP(December[[#This Row],[Drug Name8]],'Data Options'!$R$1:$S$100,2,FALSE), " ")</f>
        <v xml:space="preserve"> </v>
      </c>
      <c r="CB45" s="55"/>
      <c r="CC45" s="32"/>
      <c r="CD45" s="32"/>
      <c r="CE45" s="55"/>
      <c r="CF45" s="32"/>
      <c r="CG45" s="54"/>
      <c r="CH45" s="56" t="str">
        <f>IFERROR(VLOOKUP(December[[#This Row],[Drug Name9]],'Data Options'!$R$1:$S$100,2,FALSE), " ")</f>
        <v xml:space="preserve"> </v>
      </c>
      <c r="CI45" s="55"/>
      <c r="CJ45" s="32"/>
      <c r="CK45" s="32"/>
      <c r="CL45" s="55"/>
      <c r="CM45" s="32"/>
    </row>
    <row r="46" spans="1:91">
      <c r="A46" s="5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54"/>
      <c r="R46" s="56" t="str">
        <f>IFERROR(VLOOKUP(December[[#This Row],[Drug Name]],'Data Options'!$R$1:$S$100,2,FALSE), " ")</f>
        <v xml:space="preserve"> </v>
      </c>
      <c r="S46" s="55"/>
      <c r="T46" s="32"/>
      <c r="U46" s="32"/>
      <c r="V46" s="55"/>
      <c r="W46" s="32"/>
      <c r="X46" s="54"/>
      <c r="Y46" s="56" t="str">
        <f>IFERROR(VLOOKUP(December[[#This Row],[Drug Name2]],'Data Options'!$R$1:$S$100,2,FALSE), " ")</f>
        <v xml:space="preserve"> </v>
      </c>
      <c r="Z46" s="55"/>
      <c r="AA46" s="32"/>
      <c r="AB46" s="32"/>
      <c r="AC46" s="55"/>
      <c r="AD46" s="32"/>
      <c r="AE46" s="54"/>
      <c r="AF46" s="56" t="str">
        <f>IFERROR(VLOOKUP(December[[#This Row],[Drug Name3]],'Data Options'!$R$1:$S$100,2,FALSE), " ")</f>
        <v xml:space="preserve"> </v>
      </c>
      <c r="AG46" s="55"/>
      <c r="AH46" s="32"/>
      <c r="AI46" s="32"/>
      <c r="AJ46" s="55"/>
      <c r="AK46" s="32"/>
      <c r="AL46" s="32"/>
      <c r="AM46" s="32"/>
      <c r="AN46" s="32"/>
      <c r="AO46" s="32"/>
      <c r="AP46" s="31"/>
      <c r="AQ46" s="31"/>
      <c r="AR46" s="54"/>
      <c r="AS46" s="56" t="str">
        <f>IFERROR(VLOOKUP(December[[#This Row],[Drug Name4]],'Data Options'!$R$1:$S$100,2,FALSE), " ")</f>
        <v xml:space="preserve"> </v>
      </c>
      <c r="AT46" s="55"/>
      <c r="AU46" s="32"/>
      <c r="AV46" s="32"/>
      <c r="AW46" s="55"/>
      <c r="AX46" s="32"/>
      <c r="AY46" s="54"/>
      <c r="AZ46" s="56" t="str">
        <f>IFERROR(VLOOKUP(December[[#This Row],[Drug Name5]],'Data Options'!$R$1:$S$100,2,FALSE), " ")</f>
        <v xml:space="preserve"> </v>
      </c>
      <c r="BA46" s="55"/>
      <c r="BB46" s="32"/>
      <c r="BC46" s="32"/>
      <c r="BD46" s="55"/>
      <c r="BE46" s="32"/>
      <c r="BF46" s="54"/>
      <c r="BG46" s="56" t="str">
        <f>IFERROR(VLOOKUP(December[[#This Row],[Drug Name6]],'Data Options'!$R$1:$S$100,2,FALSE), " ")</f>
        <v xml:space="preserve"> </v>
      </c>
      <c r="BH46" s="55"/>
      <c r="BI46" s="32"/>
      <c r="BJ46" s="32"/>
      <c r="BK46" s="55"/>
      <c r="BL46" s="32"/>
      <c r="BM46" s="32"/>
      <c r="BN46" s="32"/>
      <c r="BO46" s="32"/>
      <c r="BP46" s="32"/>
      <c r="BQ46" s="31"/>
      <c r="BR46" s="31"/>
      <c r="BS46" s="54"/>
      <c r="BT46" s="56" t="str">
        <f>IFERROR(VLOOKUP(December[[#This Row],[Drug Name7]],'Data Options'!$R$1:$S$100,2,FALSE), " ")</f>
        <v xml:space="preserve"> </v>
      </c>
      <c r="BU46" s="55"/>
      <c r="BV46" s="32"/>
      <c r="BW46" s="32"/>
      <c r="BX46" s="55"/>
      <c r="BY46" s="32"/>
      <c r="BZ46" s="54"/>
      <c r="CA46" s="56" t="str">
        <f>IFERROR(VLOOKUP(December[[#This Row],[Drug Name8]],'Data Options'!$R$1:$S$100,2,FALSE), " ")</f>
        <v xml:space="preserve"> </v>
      </c>
      <c r="CB46" s="55"/>
      <c r="CC46" s="32"/>
      <c r="CD46" s="32"/>
      <c r="CE46" s="55"/>
      <c r="CF46" s="32"/>
      <c r="CG46" s="54"/>
      <c r="CH46" s="56" t="str">
        <f>IFERROR(VLOOKUP(December[[#This Row],[Drug Name9]],'Data Options'!$R$1:$S$100,2,FALSE), " ")</f>
        <v xml:space="preserve"> </v>
      </c>
      <c r="CI46" s="55"/>
      <c r="CJ46" s="32"/>
      <c r="CK46" s="32"/>
      <c r="CL46" s="55"/>
      <c r="CM46" s="32"/>
    </row>
    <row r="47" spans="1:9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54"/>
      <c r="R47" s="56" t="str">
        <f>IFERROR(VLOOKUP(December[[#This Row],[Drug Name]],'Data Options'!$R$1:$S$100,2,FALSE), " ")</f>
        <v xml:space="preserve"> </v>
      </c>
      <c r="S47" s="55"/>
      <c r="T47" s="32"/>
      <c r="U47" s="32"/>
      <c r="V47" s="55"/>
      <c r="W47" s="32"/>
      <c r="X47" s="54"/>
      <c r="Y47" s="56" t="str">
        <f>IFERROR(VLOOKUP(December[[#This Row],[Drug Name2]],'Data Options'!$R$1:$S$100,2,FALSE), " ")</f>
        <v xml:space="preserve"> </v>
      </c>
      <c r="Z47" s="55"/>
      <c r="AA47" s="32"/>
      <c r="AB47" s="32"/>
      <c r="AC47" s="55"/>
      <c r="AD47" s="32"/>
      <c r="AE47" s="54"/>
      <c r="AF47" s="56" t="str">
        <f>IFERROR(VLOOKUP(December[[#This Row],[Drug Name3]],'Data Options'!$R$1:$S$100,2,FALSE), " ")</f>
        <v xml:space="preserve"> </v>
      </c>
      <c r="AG47" s="55"/>
      <c r="AH47" s="32"/>
      <c r="AI47" s="32"/>
      <c r="AJ47" s="55"/>
      <c r="AK47" s="32"/>
      <c r="AL47" s="32"/>
      <c r="AM47" s="32"/>
      <c r="AN47" s="32"/>
      <c r="AO47" s="32"/>
      <c r="AP47" s="31"/>
      <c r="AQ47" s="31"/>
      <c r="AR47" s="54"/>
      <c r="AS47" s="56" t="str">
        <f>IFERROR(VLOOKUP(December[[#This Row],[Drug Name4]],'Data Options'!$R$1:$S$100,2,FALSE), " ")</f>
        <v xml:space="preserve"> </v>
      </c>
      <c r="AT47" s="55"/>
      <c r="AU47" s="32"/>
      <c r="AV47" s="32"/>
      <c r="AW47" s="55"/>
      <c r="AX47" s="32"/>
      <c r="AY47" s="54"/>
      <c r="AZ47" s="56" t="str">
        <f>IFERROR(VLOOKUP(December[[#This Row],[Drug Name5]],'Data Options'!$R$1:$S$100,2,FALSE), " ")</f>
        <v xml:space="preserve"> </v>
      </c>
      <c r="BA47" s="55"/>
      <c r="BB47" s="32"/>
      <c r="BC47" s="32"/>
      <c r="BD47" s="55"/>
      <c r="BE47" s="32"/>
      <c r="BF47" s="54"/>
      <c r="BG47" s="56" t="str">
        <f>IFERROR(VLOOKUP(December[[#This Row],[Drug Name6]],'Data Options'!$R$1:$S$100,2,FALSE), " ")</f>
        <v xml:space="preserve"> </v>
      </c>
      <c r="BH47" s="55"/>
      <c r="BI47" s="32"/>
      <c r="BJ47" s="32"/>
      <c r="BK47" s="55"/>
      <c r="BL47" s="32"/>
      <c r="BM47" s="32"/>
      <c r="BN47" s="32"/>
      <c r="BO47" s="32"/>
      <c r="BP47" s="32"/>
      <c r="BQ47" s="31"/>
      <c r="BR47" s="31"/>
      <c r="BS47" s="54"/>
      <c r="BT47" s="56" t="str">
        <f>IFERROR(VLOOKUP(December[[#This Row],[Drug Name7]],'Data Options'!$R$1:$S$100,2,FALSE), " ")</f>
        <v xml:space="preserve"> </v>
      </c>
      <c r="BU47" s="55"/>
      <c r="BV47" s="32"/>
      <c r="BW47" s="32"/>
      <c r="BX47" s="55"/>
      <c r="BY47" s="32"/>
      <c r="BZ47" s="54"/>
      <c r="CA47" s="56" t="str">
        <f>IFERROR(VLOOKUP(December[[#This Row],[Drug Name8]],'Data Options'!$R$1:$S$100,2,FALSE), " ")</f>
        <v xml:space="preserve"> </v>
      </c>
      <c r="CB47" s="55"/>
      <c r="CC47" s="32"/>
      <c r="CD47" s="32"/>
      <c r="CE47" s="55"/>
      <c r="CF47" s="32"/>
      <c r="CG47" s="54"/>
      <c r="CH47" s="56" t="str">
        <f>IFERROR(VLOOKUP(December[[#This Row],[Drug Name9]],'Data Options'!$R$1:$S$100,2,FALSE), " ")</f>
        <v xml:space="preserve"> </v>
      </c>
      <c r="CI47" s="55"/>
      <c r="CJ47" s="32"/>
      <c r="CK47" s="32"/>
      <c r="CL47" s="55"/>
      <c r="CM47" s="32"/>
    </row>
    <row r="48" spans="1:9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54"/>
      <c r="R48" s="56" t="str">
        <f>IFERROR(VLOOKUP(December[[#This Row],[Drug Name]],'Data Options'!$R$1:$S$100,2,FALSE), " ")</f>
        <v xml:space="preserve"> </v>
      </c>
      <c r="S48" s="55"/>
      <c r="T48" s="32"/>
      <c r="U48" s="32"/>
      <c r="V48" s="55"/>
      <c r="W48" s="32"/>
      <c r="X48" s="54"/>
      <c r="Y48" s="56" t="str">
        <f>IFERROR(VLOOKUP(December[[#This Row],[Drug Name2]],'Data Options'!$R$1:$S$100,2,FALSE), " ")</f>
        <v xml:space="preserve"> </v>
      </c>
      <c r="Z48" s="55"/>
      <c r="AA48" s="32"/>
      <c r="AB48" s="32"/>
      <c r="AC48" s="55"/>
      <c r="AD48" s="32"/>
      <c r="AE48" s="54"/>
      <c r="AF48" s="56" t="str">
        <f>IFERROR(VLOOKUP(December[[#This Row],[Drug Name3]],'Data Options'!$R$1:$S$100,2,FALSE), " ")</f>
        <v xml:space="preserve"> </v>
      </c>
      <c r="AG48" s="55"/>
      <c r="AH48" s="32"/>
      <c r="AI48" s="32"/>
      <c r="AJ48" s="55"/>
      <c r="AK48" s="32"/>
      <c r="AL48" s="32"/>
      <c r="AM48" s="32"/>
      <c r="AN48" s="32"/>
      <c r="AO48" s="32"/>
      <c r="AP48" s="31"/>
      <c r="AQ48" s="31"/>
      <c r="AR48" s="54"/>
      <c r="AS48" s="56" t="str">
        <f>IFERROR(VLOOKUP(December[[#This Row],[Drug Name4]],'Data Options'!$R$1:$S$100,2,FALSE), " ")</f>
        <v xml:space="preserve"> </v>
      </c>
      <c r="AT48" s="55"/>
      <c r="AU48" s="32"/>
      <c r="AV48" s="32"/>
      <c r="AW48" s="55"/>
      <c r="AX48" s="32"/>
      <c r="AY48" s="54"/>
      <c r="AZ48" s="56" t="str">
        <f>IFERROR(VLOOKUP(December[[#This Row],[Drug Name5]],'Data Options'!$R$1:$S$100,2,FALSE), " ")</f>
        <v xml:space="preserve"> </v>
      </c>
      <c r="BA48" s="55"/>
      <c r="BB48" s="32"/>
      <c r="BC48" s="32"/>
      <c r="BD48" s="55"/>
      <c r="BE48" s="32"/>
      <c r="BF48" s="54"/>
      <c r="BG48" s="56" t="str">
        <f>IFERROR(VLOOKUP(December[[#This Row],[Drug Name6]],'Data Options'!$R$1:$S$100,2,FALSE), " ")</f>
        <v xml:space="preserve"> </v>
      </c>
      <c r="BH48" s="55"/>
      <c r="BI48" s="32"/>
      <c r="BJ48" s="32"/>
      <c r="BK48" s="55"/>
      <c r="BL48" s="32"/>
      <c r="BM48" s="32"/>
      <c r="BN48" s="32"/>
      <c r="BO48" s="32"/>
      <c r="BP48" s="32"/>
      <c r="BQ48" s="31"/>
      <c r="BR48" s="31"/>
      <c r="BS48" s="54"/>
      <c r="BT48" s="56" t="str">
        <f>IFERROR(VLOOKUP(December[[#This Row],[Drug Name7]],'Data Options'!$R$1:$S$100,2,FALSE), " ")</f>
        <v xml:space="preserve"> </v>
      </c>
      <c r="BU48" s="55"/>
      <c r="BV48" s="32"/>
      <c r="BW48" s="32"/>
      <c r="BX48" s="55"/>
      <c r="BY48" s="32"/>
      <c r="BZ48" s="54"/>
      <c r="CA48" s="56" t="str">
        <f>IFERROR(VLOOKUP(December[[#This Row],[Drug Name8]],'Data Options'!$R$1:$S$100,2,FALSE), " ")</f>
        <v xml:space="preserve"> </v>
      </c>
      <c r="CB48" s="55"/>
      <c r="CC48" s="32"/>
      <c r="CD48" s="32"/>
      <c r="CE48" s="55"/>
      <c r="CF48" s="32"/>
      <c r="CG48" s="54"/>
      <c r="CH48" s="56" t="str">
        <f>IFERROR(VLOOKUP(December[[#This Row],[Drug Name9]],'Data Options'!$R$1:$S$100,2,FALSE), " ")</f>
        <v xml:space="preserve"> </v>
      </c>
      <c r="CI48" s="55"/>
      <c r="CJ48" s="32"/>
      <c r="CK48" s="32"/>
      <c r="CL48" s="55"/>
      <c r="CM48" s="32"/>
    </row>
    <row r="49" spans="1:9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54"/>
      <c r="R49" s="56" t="str">
        <f>IFERROR(VLOOKUP(December[[#This Row],[Drug Name]],'Data Options'!$R$1:$S$100,2,FALSE), " ")</f>
        <v xml:space="preserve"> </v>
      </c>
      <c r="S49" s="55"/>
      <c r="T49" s="32"/>
      <c r="U49" s="32"/>
      <c r="V49" s="55"/>
      <c r="W49" s="32"/>
      <c r="X49" s="54"/>
      <c r="Y49" s="56" t="str">
        <f>IFERROR(VLOOKUP(December[[#This Row],[Drug Name2]],'Data Options'!$R$1:$S$100,2,FALSE), " ")</f>
        <v xml:space="preserve"> </v>
      </c>
      <c r="Z49" s="55"/>
      <c r="AA49" s="32"/>
      <c r="AB49" s="32"/>
      <c r="AC49" s="55"/>
      <c r="AD49" s="32"/>
      <c r="AE49" s="54"/>
      <c r="AF49" s="56" t="str">
        <f>IFERROR(VLOOKUP(December[[#This Row],[Drug Name3]],'Data Options'!$R$1:$S$100,2,FALSE), " ")</f>
        <v xml:space="preserve"> </v>
      </c>
      <c r="AG49" s="55"/>
      <c r="AH49" s="32"/>
      <c r="AI49" s="32"/>
      <c r="AJ49" s="55"/>
      <c r="AK49" s="32"/>
      <c r="AL49" s="32"/>
      <c r="AM49" s="32"/>
      <c r="AN49" s="32"/>
      <c r="AO49" s="32"/>
      <c r="AP49" s="31"/>
      <c r="AQ49" s="31"/>
      <c r="AR49" s="54"/>
      <c r="AS49" s="56" t="str">
        <f>IFERROR(VLOOKUP(December[[#This Row],[Drug Name4]],'Data Options'!$R$1:$S$100,2,FALSE), " ")</f>
        <v xml:space="preserve"> </v>
      </c>
      <c r="AT49" s="55"/>
      <c r="AU49" s="32"/>
      <c r="AV49" s="32"/>
      <c r="AW49" s="55"/>
      <c r="AX49" s="32"/>
      <c r="AY49" s="54"/>
      <c r="AZ49" s="56" t="str">
        <f>IFERROR(VLOOKUP(December[[#This Row],[Drug Name5]],'Data Options'!$R$1:$S$100,2,FALSE), " ")</f>
        <v xml:space="preserve"> </v>
      </c>
      <c r="BA49" s="55"/>
      <c r="BB49" s="32"/>
      <c r="BC49" s="32"/>
      <c r="BD49" s="55"/>
      <c r="BE49" s="32"/>
      <c r="BF49" s="54"/>
      <c r="BG49" s="56" t="str">
        <f>IFERROR(VLOOKUP(December[[#This Row],[Drug Name6]],'Data Options'!$R$1:$S$100,2,FALSE), " ")</f>
        <v xml:space="preserve"> </v>
      </c>
      <c r="BH49" s="55"/>
      <c r="BI49" s="32"/>
      <c r="BJ49" s="32"/>
      <c r="BK49" s="55"/>
      <c r="BL49" s="32"/>
      <c r="BM49" s="32"/>
      <c r="BN49" s="32"/>
      <c r="BO49" s="32"/>
      <c r="BP49" s="32"/>
      <c r="BQ49" s="31"/>
      <c r="BR49" s="31"/>
      <c r="BS49" s="54"/>
      <c r="BT49" s="56" t="str">
        <f>IFERROR(VLOOKUP(December[[#This Row],[Drug Name7]],'Data Options'!$R$1:$S$100,2,FALSE), " ")</f>
        <v xml:space="preserve"> </v>
      </c>
      <c r="BU49" s="55"/>
      <c r="BV49" s="32"/>
      <c r="BW49" s="32"/>
      <c r="BX49" s="55"/>
      <c r="BY49" s="32"/>
      <c r="BZ49" s="54"/>
      <c r="CA49" s="56" t="str">
        <f>IFERROR(VLOOKUP(December[[#This Row],[Drug Name8]],'Data Options'!$R$1:$S$100,2,FALSE), " ")</f>
        <v xml:space="preserve"> </v>
      </c>
      <c r="CB49" s="55"/>
      <c r="CC49" s="32"/>
      <c r="CD49" s="32"/>
      <c r="CE49" s="55"/>
      <c r="CF49" s="32"/>
      <c r="CG49" s="54"/>
      <c r="CH49" s="56" t="str">
        <f>IFERROR(VLOOKUP(December[[#This Row],[Drug Name9]],'Data Options'!$R$1:$S$100,2,FALSE), " ")</f>
        <v xml:space="preserve"> </v>
      </c>
      <c r="CI49" s="55"/>
      <c r="CJ49" s="32"/>
      <c r="CK49" s="32"/>
      <c r="CL49" s="55"/>
      <c r="CM49" s="32"/>
    </row>
    <row r="50" spans="1:91">
      <c r="A50" s="5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54"/>
      <c r="R50" s="56" t="str">
        <f>IFERROR(VLOOKUP(December[[#This Row],[Drug Name]],'Data Options'!$R$1:$S$100,2,FALSE), " ")</f>
        <v xml:space="preserve"> </v>
      </c>
      <c r="S50" s="55"/>
      <c r="T50" s="32"/>
      <c r="U50" s="32"/>
      <c r="V50" s="55"/>
      <c r="W50" s="32"/>
      <c r="X50" s="54"/>
      <c r="Y50" s="56" t="str">
        <f>IFERROR(VLOOKUP(December[[#This Row],[Drug Name2]],'Data Options'!$R$1:$S$100,2,FALSE), " ")</f>
        <v xml:space="preserve"> </v>
      </c>
      <c r="Z50" s="55"/>
      <c r="AA50" s="32"/>
      <c r="AB50" s="32"/>
      <c r="AC50" s="55"/>
      <c r="AD50" s="32"/>
      <c r="AE50" s="54"/>
      <c r="AF50" s="56" t="str">
        <f>IFERROR(VLOOKUP(December[[#This Row],[Drug Name3]],'Data Options'!$R$1:$S$100,2,FALSE), " ")</f>
        <v xml:space="preserve"> </v>
      </c>
      <c r="AG50" s="55"/>
      <c r="AH50" s="32"/>
      <c r="AI50" s="32"/>
      <c r="AJ50" s="55"/>
      <c r="AK50" s="32"/>
      <c r="AL50" s="32"/>
      <c r="AM50" s="32"/>
      <c r="AN50" s="32"/>
      <c r="AO50" s="32"/>
      <c r="AP50" s="31"/>
      <c r="AQ50" s="31"/>
      <c r="AR50" s="54"/>
      <c r="AS50" s="56" t="str">
        <f>IFERROR(VLOOKUP(December[[#This Row],[Drug Name4]],'Data Options'!$R$1:$S$100,2,FALSE), " ")</f>
        <v xml:space="preserve"> </v>
      </c>
      <c r="AT50" s="55"/>
      <c r="AU50" s="32"/>
      <c r="AV50" s="32"/>
      <c r="AW50" s="55"/>
      <c r="AX50" s="32"/>
      <c r="AY50" s="54"/>
      <c r="AZ50" s="56" t="str">
        <f>IFERROR(VLOOKUP(December[[#This Row],[Drug Name5]],'Data Options'!$R$1:$S$100,2,FALSE), " ")</f>
        <v xml:space="preserve"> </v>
      </c>
      <c r="BA50" s="55"/>
      <c r="BB50" s="32"/>
      <c r="BC50" s="32"/>
      <c r="BD50" s="55"/>
      <c r="BE50" s="32"/>
      <c r="BF50" s="54"/>
      <c r="BG50" s="56" t="str">
        <f>IFERROR(VLOOKUP(December[[#This Row],[Drug Name6]],'Data Options'!$R$1:$S$100,2,FALSE), " ")</f>
        <v xml:space="preserve"> </v>
      </c>
      <c r="BH50" s="55"/>
      <c r="BI50" s="32"/>
      <c r="BJ50" s="32"/>
      <c r="BK50" s="55"/>
      <c r="BL50" s="32"/>
      <c r="BM50" s="32"/>
      <c r="BN50" s="32"/>
      <c r="BO50" s="32"/>
      <c r="BP50" s="32"/>
      <c r="BQ50" s="31"/>
      <c r="BR50" s="31"/>
      <c r="BS50" s="54"/>
      <c r="BT50" s="56" t="str">
        <f>IFERROR(VLOOKUP(December[[#This Row],[Drug Name7]],'Data Options'!$R$1:$S$100,2,FALSE), " ")</f>
        <v xml:space="preserve"> </v>
      </c>
      <c r="BU50" s="55"/>
      <c r="BV50" s="32"/>
      <c r="BW50" s="32"/>
      <c r="BX50" s="55"/>
      <c r="BY50" s="32"/>
      <c r="BZ50" s="54"/>
      <c r="CA50" s="56" t="str">
        <f>IFERROR(VLOOKUP(December[[#This Row],[Drug Name8]],'Data Options'!$R$1:$S$100,2,FALSE), " ")</f>
        <v xml:space="preserve"> </v>
      </c>
      <c r="CB50" s="55"/>
      <c r="CC50" s="32"/>
      <c r="CD50" s="32"/>
      <c r="CE50" s="55"/>
      <c r="CF50" s="32"/>
      <c r="CG50" s="54"/>
      <c r="CH50" s="56" t="str">
        <f>IFERROR(VLOOKUP(December[[#This Row],[Drug Name9]],'Data Options'!$R$1:$S$100,2,FALSE), " ")</f>
        <v xml:space="preserve"> </v>
      </c>
      <c r="CI50" s="55"/>
      <c r="CJ50" s="32"/>
      <c r="CK50" s="32"/>
      <c r="CL50" s="55"/>
      <c r="CM50" s="32"/>
    </row>
    <row r="51" spans="1:9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54"/>
      <c r="R51" s="56" t="str">
        <f>IFERROR(VLOOKUP(December[[#This Row],[Drug Name]],'Data Options'!$R$1:$S$100,2,FALSE), " ")</f>
        <v xml:space="preserve"> </v>
      </c>
      <c r="S51" s="55"/>
      <c r="T51" s="32"/>
      <c r="U51" s="32"/>
      <c r="V51" s="55"/>
      <c r="W51" s="32"/>
      <c r="X51" s="54"/>
      <c r="Y51" s="56" t="str">
        <f>IFERROR(VLOOKUP(December[[#This Row],[Drug Name2]],'Data Options'!$R$1:$S$100,2,FALSE), " ")</f>
        <v xml:space="preserve"> </v>
      </c>
      <c r="Z51" s="55"/>
      <c r="AA51" s="32"/>
      <c r="AB51" s="32"/>
      <c r="AC51" s="55"/>
      <c r="AD51" s="32"/>
      <c r="AE51" s="54"/>
      <c r="AF51" s="56" t="str">
        <f>IFERROR(VLOOKUP(December[[#This Row],[Drug Name3]],'Data Options'!$R$1:$S$100,2,FALSE), " ")</f>
        <v xml:space="preserve"> </v>
      </c>
      <c r="AG51" s="55"/>
      <c r="AH51" s="32"/>
      <c r="AI51" s="32"/>
      <c r="AJ51" s="55"/>
      <c r="AK51" s="32"/>
      <c r="AL51" s="32"/>
      <c r="AM51" s="32"/>
      <c r="AN51" s="32"/>
      <c r="AO51" s="32"/>
      <c r="AP51" s="31"/>
      <c r="AQ51" s="31"/>
      <c r="AR51" s="54"/>
      <c r="AS51" s="56" t="str">
        <f>IFERROR(VLOOKUP(December[[#This Row],[Drug Name4]],'Data Options'!$R$1:$S$100,2,FALSE), " ")</f>
        <v xml:space="preserve"> </v>
      </c>
      <c r="AT51" s="55"/>
      <c r="AU51" s="32"/>
      <c r="AV51" s="32"/>
      <c r="AW51" s="55"/>
      <c r="AX51" s="32"/>
      <c r="AY51" s="54"/>
      <c r="AZ51" s="56" t="str">
        <f>IFERROR(VLOOKUP(December[[#This Row],[Drug Name5]],'Data Options'!$R$1:$S$100,2,FALSE), " ")</f>
        <v xml:space="preserve"> </v>
      </c>
      <c r="BA51" s="55"/>
      <c r="BB51" s="32"/>
      <c r="BC51" s="32"/>
      <c r="BD51" s="55"/>
      <c r="BE51" s="32"/>
      <c r="BF51" s="54"/>
      <c r="BG51" s="56" t="str">
        <f>IFERROR(VLOOKUP(December[[#This Row],[Drug Name6]],'Data Options'!$R$1:$S$100,2,FALSE), " ")</f>
        <v xml:space="preserve"> </v>
      </c>
      <c r="BH51" s="55"/>
      <c r="BI51" s="32"/>
      <c r="BJ51" s="32"/>
      <c r="BK51" s="55"/>
      <c r="BL51" s="32"/>
      <c r="BM51" s="32"/>
      <c r="BN51" s="32"/>
      <c r="BO51" s="32"/>
      <c r="BP51" s="32"/>
      <c r="BQ51" s="31"/>
      <c r="BR51" s="31"/>
      <c r="BS51" s="54"/>
      <c r="BT51" s="56" t="str">
        <f>IFERROR(VLOOKUP(December[[#This Row],[Drug Name7]],'Data Options'!$R$1:$S$100,2,FALSE), " ")</f>
        <v xml:space="preserve"> </v>
      </c>
      <c r="BU51" s="55"/>
      <c r="BV51" s="32"/>
      <c r="BW51" s="32"/>
      <c r="BX51" s="55"/>
      <c r="BY51" s="32"/>
      <c r="BZ51" s="54"/>
      <c r="CA51" s="56" t="str">
        <f>IFERROR(VLOOKUP(December[[#This Row],[Drug Name8]],'Data Options'!$R$1:$S$100,2,FALSE), " ")</f>
        <v xml:space="preserve"> </v>
      </c>
      <c r="CB51" s="55"/>
      <c r="CC51" s="32"/>
      <c r="CD51" s="32"/>
      <c r="CE51" s="55"/>
      <c r="CF51" s="32"/>
      <c r="CG51" s="54"/>
      <c r="CH51" s="56" t="str">
        <f>IFERROR(VLOOKUP(December[[#This Row],[Drug Name9]],'Data Options'!$R$1:$S$100,2,FALSE), " ")</f>
        <v xml:space="preserve"> </v>
      </c>
      <c r="CI51" s="55"/>
      <c r="CJ51" s="32"/>
      <c r="CK51" s="32"/>
      <c r="CL51" s="55"/>
      <c r="CM51" s="32"/>
    </row>
    <row r="52" spans="1:9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54"/>
      <c r="R52" s="56" t="str">
        <f>IFERROR(VLOOKUP(December[[#This Row],[Drug Name]],'Data Options'!$R$1:$S$100,2,FALSE), " ")</f>
        <v xml:space="preserve"> </v>
      </c>
      <c r="S52" s="55"/>
      <c r="T52" s="32"/>
      <c r="U52" s="32"/>
      <c r="V52" s="55"/>
      <c r="W52" s="32"/>
      <c r="X52" s="54"/>
      <c r="Y52" s="56" t="str">
        <f>IFERROR(VLOOKUP(December[[#This Row],[Drug Name2]],'Data Options'!$R$1:$S$100,2,FALSE), " ")</f>
        <v xml:space="preserve"> </v>
      </c>
      <c r="Z52" s="55"/>
      <c r="AA52" s="32"/>
      <c r="AB52" s="32"/>
      <c r="AC52" s="55"/>
      <c r="AD52" s="32"/>
      <c r="AE52" s="54"/>
      <c r="AF52" s="56" t="str">
        <f>IFERROR(VLOOKUP(December[[#This Row],[Drug Name3]],'Data Options'!$R$1:$S$100,2,FALSE), " ")</f>
        <v xml:space="preserve"> </v>
      </c>
      <c r="AG52" s="55"/>
      <c r="AH52" s="32"/>
      <c r="AI52" s="32"/>
      <c r="AJ52" s="55"/>
      <c r="AK52" s="32"/>
      <c r="AL52" s="32"/>
      <c r="AM52" s="32"/>
      <c r="AN52" s="32"/>
      <c r="AO52" s="32"/>
      <c r="AP52" s="31"/>
      <c r="AQ52" s="31"/>
      <c r="AR52" s="54"/>
      <c r="AS52" s="56" t="str">
        <f>IFERROR(VLOOKUP(December[[#This Row],[Drug Name4]],'Data Options'!$R$1:$S$100,2,FALSE), " ")</f>
        <v xml:space="preserve"> </v>
      </c>
      <c r="AT52" s="55"/>
      <c r="AU52" s="32"/>
      <c r="AV52" s="32"/>
      <c r="AW52" s="55"/>
      <c r="AX52" s="32"/>
      <c r="AY52" s="54"/>
      <c r="AZ52" s="56" t="str">
        <f>IFERROR(VLOOKUP(December[[#This Row],[Drug Name5]],'Data Options'!$R$1:$S$100,2,FALSE), " ")</f>
        <v xml:space="preserve"> </v>
      </c>
      <c r="BA52" s="55"/>
      <c r="BB52" s="32"/>
      <c r="BC52" s="32"/>
      <c r="BD52" s="55"/>
      <c r="BE52" s="32"/>
      <c r="BF52" s="54"/>
      <c r="BG52" s="56" t="str">
        <f>IFERROR(VLOOKUP(December[[#This Row],[Drug Name6]],'Data Options'!$R$1:$S$100,2,FALSE), " ")</f>
        <v xml:space="preserve"> </v>
      </c>
      <c r="BH52" s="55"/>
      <c r="BI52" s="32"/>
      <c r="BJ52" s="32"/>
      <c r="BK52" s="55"/>
      <c r="BL52" s="32"/>
      <c r="BM52" s="32"/>
      <c r="BN52" s="32"/>
      <c r="BO52" s="32"/>
      <c r="BP52" s="32"/>
      <c r="BQ52" s="31"/>
      <c r="BR52" s="31"/>
      <c r="BS52" s="54"/>
      <c r="BT52" s="56" t="str">
        <f>IFERROR(VLOOKUP(December[[#This Row],[Drug Name7]],'Data Options'!$R$1:$S$100,2,FALSE), " ")</f>
        <v xml:space="preserve"> </v>
      </c>
      <c r="BU52" s="55"/>
      <c r="BV52" s="32"/>
      <c r="BW52" s="32"/>
      <c r="BX52" s="55"/>
      <c r="BY52" s="32"/>
      <c r="BZ52" s="54"/>
      <c r="CA52" s="56" t="str">
        <f>IFERROR(VLOOKUP(December[[#This Row],[Drug Name8]],'Data Options'!$R$1:$S$100,2,FALSE), " ")</f>
        <v xml:space="preserve"> </v>
      </c>
      <c r="CB52" s="55"/>
      <c r="CC52" s="32"/>
      <c r="CD52" s="32"/>
      <c r="CE52" s="55"/>
      <c r="CF52" s="32"/>
      <c r="CG52" s="54"/>
      <c r="CH52" s="56" t="str">
        <f>IFERROR(VLOOKUP(December[[#This Row],[Drug Name9]],'Data Options'!$R$1:$S$100,2,FALSE), " ")</f>
        <v xml:space="preserve"> </v>
      </c>
      <c r="CI52" s="55"/>
      <c r="CJ52" s="32"/>
      <c r="CK52" s="32"/>
      <c r="CL52" s="55"/>
      <c r="CM52" s="32"/>
    </row>
    <row r="53" spans="1:91">
      <c r="A53" s="5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54"/>
      <c r="R53" s="56" t="str">
        <f>IFERROR(VLOOKUP(December[[#This Row],[Drug Name]],'Data Options'!$R$1:$S$100,2,FALSE), " ")</f>
        <v xml:space="preserve"> </v>
      </c>
      <c r="S53" s="55"/>
      <c r="T53" s="32"/>
      <c r="U53" s="32"/>
      <c r="V53" s="55"/>
      <c r="W53" s="32"/>
      <c r="X53" s="54"/>
      <c r="Y53" s="56" t="str">
        <f>IFERROR(VLOOKUP(December[[#This Row],[Drug Name2]],'Data Options'!$R$1:$S$100,2,FALSE), " ")</f>
        <v xml:space="preserve"> </v>
      </c>
      <c r="Z53" s="55"/>
      <c r="AA53" s="32"/>
      <c r="AB53" s="32"/>
      <c r="AC53" s="55"/>
      <c r="AD53" s="32"/>
      <c r="AE53" s="54"/>
      <c r="AF53" s="56" t="str">
        <f>IFERROR(VLOOKUP(December[[#This Row],[Drug Name3]],'Data Options'!$R$1:$S$100,2,FALSE), " ")</f>
        <v xml:space="preserve"> </v>
      </c>
      <c r="AG53" s="55"/>
      <c r="AH53" s="32"/>
      <c r="AI53" s="32"/>
      <c r="AJ53" s="55"/>
      <c r="AK53" s="32"/>
      <c r="AL53" s="32"/>
      <c r="AM53" s="32"/>
      <c r="AN53" s="32"/>
      <c r="AO53" s="32"/>
      <c r="AP53" s="31"/>
      <c r="AQ53" s="31"/>
      <c r="AR53" s="54"/>
      <c r="AS53" s="56" t="str">
        <f>IFERROR(VLOOKUP(December[[#This Row],[Drug Name4]],'Data Options'!$R$1:$S$100,2,FALSE), " ")</f>
        <v xml:space="preserve"> </v>
      </c>
      <c r="AT53" s="55"/>
      <c r="AU53" s="32"/>
      <c r="AV53" s="32"/>
      <c r="AW53" s="55"/>
      <c r="AX53" s="32"/>
      <c r="AY53" s="54"/>
      <c r="AZ53" s="56" t="str">
        <f>IFERROR(VLOOKUP(December[[#This Row],[Drug Name5]],'Data Options'!$R$1:$S$100,2,FALSE), " ")</f>
        <v xml:space="preserve"> </v>
      </c>
      <c r="BA53" s="55"/>
      <c r="BB53" s="32"/>
      <c r="BC53" s="32"/>
      <c r="BD53" s="55"/>
      <c r="BE53" s="32"/>
      <c r="BF53" s="54"/>
      <c r="BG53" s="56" t="str">
        <f>IFERROR(VLOOKUP(December[[#This Row],[Drug Name6]],'Data Options'!$R$1:$S$100,2,FALSE), " ")</f>
        <v xml:space="preserve"> </v>
      </c>
      <c r="BH53" s="55"/>
      <c r="BI53" s="32"/>
      <c r="BJ53" s="32"/>
      <c r="BK53" s="55"/>
      <c r="BL53" s="32"/>
      <c r="BM53" s="32"/>
      <c r="BN53" s="32"/>
      <c r="BO53" s="32"/>
      <c r="BP53" s="32"/>
      <c r="BQ53" s="31"/>
      <c r="BR53" s="31"/>
      <c r="BS53" s="54"/>
      <c r="BT53" s="56" t="str">
        <f>IFERROR(VLOOKUP(December[[#This Row],[Drug Name7]],'Data Options'!$R$1:$S$100,2,FALSE), " ")</f>
        <v xml:space="preserve"> </v>
      </c>
      <c r="BU53" s="55"/>
      <c r="BV53" s="32"/>
      <c r="BW53" s="32"/>
      <c r="BX53" s="55"/>
      <c r="BY53" s="32"/>
      <c r="BZ53" s="54"/>
      <c r="CA53" s="56" t="str">
        <f>IFERROR(VLOOKUP(December[[#This Row],[Drug Name8]],'Data Options'!$R$1:$S$100,2,FALSE), " ")</f>
        <v xml:space="preserve"> </v>
      </c>
      <c r="CB53" s="55"/>
      <c r="CC53" s="32"/>
      <c r="CD53" s="32"/>
      <c r="CE53" s="55"/>
      <c r="CF53" s="32"/>
      <c r="CG53" s="54"/>
      <c r="CH53" s="56" t="str">
        <f>IFERROR(VLOOKUP(December[[#This Row],[Drug Name9]],'Data Options'!$R$1:$S$100,2,FALSE), " ")</f>
        <v xml:space="preserve"> </v>
      </c>
      <c r="CI53" s="55"/>
      <c r="CJ53" s="32"/>
      <c r="CK53" s="32"/>
      <c r="CL53" s="55"/>
      <c r="CM53" s="32"/>
    </row>
    <row r="54" spans="1:91">
      <c r="A54" s="5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54"/>
      <c r="R54" s="56" t="str">
        <f>IFERROR(VLOOKUP(December[[#This Row],[Drug Name]],'Data Options'!$R$1:$S$100,2,FALSE), " ")</f>
        <v xml:space="preserve"> </v>
      </c>
      <c r="S54" s="55"/>
      <c r="T54" s="32"/>
      <c r="U54" s="32"/>
      <c r="V54" s="55"/>
      <c r="W54" s="32"/>
      <c r="X54" s="54"/>
      <c r="Y54" s="56" t="str">
        <f>IFERROR(VLOOKUP(December[[#This Row],[Drug Name2]],'Data Options'!$R$1:$S$100,2,FALSE), " ")</f>
        <v xml:space="preserve"> </v>
      </c>
      <c r="Z54" s="55"/>
      <c r="AA54" s="32"/>
      <c r="AB54" s="32"/>
      <c r="AC54" s="55"/>
      <c r="AD54" s="32"/>
      <c r="AE54" s="54"/>
      <c r="AF54" s="56" t="str">
        <f>IFERROR(VLOOKUP(December[[#This Row],[Drug Name3]],'Data Options'!$R$1:$S$100,2,FALSE), " ")</f>
        <v xml:space="preserve"> </v>
      </c>
      <c r="AG54" s="55"/>
      <c r="AH54" s="32"/>
      <c r="AI54" s="32"/>
      <c r="AJ54" s="55"/>
      <c r="AK54" s="32"/>
      <c r="AL54" s="32"/>
      <c r="AM54" s="32"/>
      <c r="AN54" s="32"/>
      <c r="AO54" s="32"/>
      <c r="AP54" s="31"/>
      <c r="AQ54" s="31"/>
      <c r="AR54" s="54"/>
      <c r="AS54" s="56" t="str">
        <f>IFERROR(VLOOKUP(December[[#This Row],[Drug Name4]],'Data Options'!$R$1:$S$100,2,FALSE), " ")</f>
        <v xml:space="preserve"> </v>
      </c>
      <c r="AT54" s="55"/>
      <c r="AU54" s="32"/>
      <c r="AV54" s="32"/>
      <c r="AW54" s="55"/>
      <c r="AX54" s="32"/>
      <c r="AY54" s="54"/>
      <c r="AZ54" s="56" t="str">
        <f>IFERROR(VLOOKUP(December[[#This Row],[Drug Name5]],'Data Options'!$R$1:$S$100,2,FALSE), " ")</f>
        <v xml:space="preserve"> </v>
      </c>
      <c r="BA54" s="55"/>
      <c r="BB54" s="32"/>
      <c r="BC54" s="32"/>
      <c r="BD54" s="55"/>
      <c r="BE54" s="32"/>
      <c r="BF54" s="54"/>
      <c r="BG54" s="56" t="str">
        <f>IFERROR(VLOOKUP(December[[#This Row],[Drug Name6]],'Data Options'!$R$1:$S$100,2,FALSE), " ")</f>
        <v xml:space="preserve"> </v>
      </c>
      <c r="BH54" s="55"/>
      <c r="BI54" s="32"/>
      <c r="BJ54" s="32"/>
      <c r="BK54" s="55"/>
      <c r="BL54" s="32"/>
      <c r="BM54" s="32"/>
      <c r="BN54" s="32"/>
      <c r="BO54" s="32"/>
      <c r="BP54" s="32"/>
      <c r="BQ54" s="31"/>
      <c r="BR54" s="31"/>
      <c r="BS54" s="54"/>
      <c r="BT54" s="56" t="str">
        <f>IFERROR(VLOOKUP(December[[#This Row],[Drug Name7]],'Data Options'!$R$1:$S$100,2,FALSE), " ")</f>
        <v xml:space="preserve"> </v>
      </c>
      <c r="BU54" s="55"/>
      <c r="BV54" s="32"/>
      <c r="BW54" s="32"/>
      <c r="BX54" s="55"/>
      <c r="BY54" s="32"/>
      <c r="BZ54" s="54"/>
      <c r="CA54" s="56" t="str">
        <f>IFERROR(VLOOKUP(December[[#This Row],[Drug Name8]],'Data Options'!$R$1:$S$100,2,FALSE), " ")</f>
        <v xml:space="preserve"> </v>
      </c>
      <c r="CB54" s="55"/>
      <c r="CC54" s="32"/>
      <c r="CD54" s="32"/>
      <c r="CE54" s="55"/>
      <c r="CF54" s="32"/>
      <c r="CG54" s="54"/>
      <c r="CH54" s="56" t="str">
        <f>IFERROR(VLOOKUP(December[[#This Row],[Drug Name9]],'Data Options'!$R$1:$S$100,2,FALSE), " ")</f>
        <v xml:space="preserve"> </v>
      </c>
      <c r="CI54" s="55"/>
      <c r="CJ54" s="32"/>
      <c r="CK54" s="32"/>
      <c r="CL54" s="55"/>
      <c r="CM54" s="32"/>
    </row>
    <row r="55" spans="1:91">
      <c r="A55" s="5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54"/>
      <c r="R55" s="56" t="str">
        <f>IFERROR(VLOOKUP(December[[#This Row],[Drug Name]],'Data Options'!$R$1:$S$100,2,FALSE), " ")</f>
        <v xml:space="preserve"> </v>
      </c>
      <c r="S55" s="55"/>
      <c r="T55" s="32"/>
      <c r="U55" s="32"/>
      <c r="V55" s="55"/>
      <c r="W55" s="32"/>
      <c r="X55" s="54"/>
      <c r="Y55" s="56" t="str">
        <f>IFERROR(VLOOKUP(December[[#This Row],[Drug Name2]],'Data Options'!$R$1:$S$100,2,FALSE), " ")</f>
        <v xml:space="preserve"> </v>
      </c>
      <c r="Z55" s="55"/>
      <c r="AA55" s="32"/>
      <c r="AB55" s="32"/>
      <c r="AC55" s="55"/>
      <c r="AD55" s="32"/>
      <c r="AE55" s="54"/>
      <c r="AF55" s="56" t="str">
        <f>IFERROR(VLOOKUP(December[[#This Row],[Drug Name3]],'Data Options'!$R$1:$S$100,2,FALSE), " ")</f>
        <v xml:space="preserve"> </v>
      </c>
      <c r="AG55" s="55"/>
      <c r="AH55" s="32"/>
      <c r="AI55" s="32"/>
      <c r="AJ55" s="55"/>
      <c r="AK55" s="32"/>
      <c r="AL55" s="32"/>
      <c r="AM55" s="32"/>
      <c r="AN55" s="32"/>
      <c r="AO55" s="32"/>
      <c r="AP55" s="31"/>
      <c r="AQ55" s="31"/>
      <c r="AR55" s="54"/>
      <c r="AS55" s="56" t="str">
        <f>IFERROR(VLOOKUP(December[[#This Row],[Drug Name4]],'Data Options'!$R$1:$S$100,2,FALSE), " ")</f>
        <v xml:space="preserve"> </v>
      </c>
      <c r="AT55" s="55"/>
      <c r="AU55" s="32"/>
      <c r="AV55" s="32"/>
      <c r="AW55" s="55"/>
      <c r="AX55" s="32"/>
      <c r="AY55" s="54"/>
      <c r="AZ55" s="56" t="str">
        <f>IFERROR(VLOOKUP(December[[#This Row],[Drug Name5]],'Data Options'!$R$1:$S$100,2,FALSE), " ")</f>
        <v xml:space="preserve"> </v>
      </c>
      <c r="BA55" s="55"/>
      <c r="BB55" s="32"/>
      <c r="BC55" s="32"/>
      <c r="BD55" s="55"/>
      <c r="BE55" s="32"/>
      <c r="BF55" s="54"/>
      <c r="BG55" s="56" t="str">
        <f>IFERROR(VLOOKUP(December[[#This Row],[Drug Name6]],'Data Options'!$R$1:$S$100,2,FALSE), " ")</f>
        <v xml:space="preserve"> </v>
      </c>
      <c r="BH55" s="55"/>
      <c r="BI55" s="32"/>
      <c r="BJ55" s="32"/>
      <c r="BK55" s="55"/>
      <c r="BL55" s="32"/>
      <c r="BM55" s="32"/>
      <c r="BN55" s="32"/>
      <c r="BO55" s="32"/>
      <c r="BP55" s="32"/>
      <c r="BQ55" s="31"/>
      <c r="BR55" s="31"/>
      <c r="BS55" s="54"/>
      <c r="BT55" s="56" t="str">
        <f>IFERROR(VLOOKUP(December[[#This Row],[Drug Name7]],'Data Options'!$R$1:$S$100,2,FALSE), " ")</f>
        <v xml:space="preserve"> </v>
      </c>
      <c r="BU55" s="55"/>
      <c r="BV55" s="32"/>
      <c r="BW55" s="32"/>
      <c r="BX55" s="55"/>
      <c r="BY55" s="32"/>
      <c r="BZ55" s="54"/>
      <c r="CA55" s="56" t="str">
        <f>IFERROR(VLOOKUP(December[[#This Row],[Drug Name8]],'Data Options'!$R$1:$S$100,2,FALSE), " ")</f>
        <v xml:space="preserve"> </v>
      </c>
      <c r="CB55" s="55"/>
      <c r="CC55" s="32"/>
      <c r="CD55" s="32"/>
      <c r="CE55" s="55"/>
      <c r="CF55" s="32"/>
      <c r="CG55" s="54"/>
      <c r="CH55" s="56" t="str">
        <f>IFERROR(VLOOKUP(December[[#This Row],[Drug Name9]],'Data Options'!$R$1:$S$100,2,FALSE), " ")</f>
        <v xml:space="preserve"> </v>
      </c>
      <c r="CI55" s="55"/>
      <c r="CJ55" s="32"/>
      <c r="CK55" s="32"/>
      <c r="CL55" s="55"/>
      <c r="CM55" s="32"/>
    </row>
    <row r="56" spans="1:91">
      <c r="A56" s="5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54"/>
      <c r="R56" s="56" t="str">
        <f>IFERROR(VLOOKUP(December[[#This Row],[Drug Name]],'Data Options'!$R$1:$S$100,2,FALSE), " ")</f>
        <v xml:space="preserve"> </v>
      </c>
      <c r="S56" s="55"/>
      <c r="T56" s="32"/>
      <c r="U56" s="32"/>
      <c r="V56" s="55"/>
      <c r="W56" s="32"/>
      <c r="X56" s="54"/>
      <c r="Y56" s="56" t="str">
        <f>IFERROR(VLOOKUP(December[[#This Row],[Drug Name2]],'Data Options'!$R$1:$S$100,2,FALSE), " ")</f>
        <v xml:space="preserve"> </v>
      </c>
      <c r="Z56" s="55"/>
      <c r="AA56" s="32"/>
      <c r="AB56" s="32"/>
      <c r="AC56" s="55"/>
      <c r="AD56" s="32"/>
      <c r="AE56" s="54"/>
      <c r="AF56" s="56" t="str">
        <f>IFERROR(VLOOKUP(December[[#This Row],[Drug Name3]],'Data Options'!$R$1:$S$100,2,FALSE), " ")</f>
        <v xml:space="preserve"> </v>
      </c>
      <c r="AG56" s="55"/>
      <c r="AH56" s="32"/>
      <c r="AI56" s="32"/>
      <c r="AJ56" s="55"/>
      <c r="AK56" s="32"/>
      <c r="AL56" s="32"/>
      <c r="AM56" s="32"/>
      <c r="AN56" s="32"/>
      <c r="AO56" s="32"/>
      <c r="AP56" s="31"/>
      <c r="AQ56" s="31"/>
      <c r="AR56" s="54"/>
      <c r="AS56" s="56" t="str">
        <f>IFERROR(VLOOKUP(December[[#This Row],[Drug Name4]],'Data Options'!$R$1:$S$100,2,FALSE), " ")</f>
        <v xml:space="preserve"> </v>
      </c>
      <c r="AT56" s="55"/>
      <c r="AU56" s="32"/>
      <c r="AV56" s="32"/>
      <c r="AW56" s="55"/>
      <c r="AX56" s="32"/>
      <c r="AY56" s="54"/>
      <c r="AZ56" s="56" t="str">
        <f>IFERROR(VLOOKUP(December[[#This Row],[Drug Name5]],'Data Options'!$R$1:$S$100,2,FALSE), " ")</f>
        <v xml:space="preserve"> </v>
      </c>
      <c r="BA56" s="55"/>
      <c r="BB56" s="32"/>
      <c r="BC56" s="32"/>
      <c r="BD56" s="55"/>
      <c r="BE56" s="32"/>
      <c r="BF56" s="54"/>
      <c r="BG56" s="56" t="str">
        <f>IFERROR(VLOOKUP(December[[#This Row],[Drug Name6]],'Data Options'!$R$1:$S$100,2,FALSE), " ")</f>
        <v xml:space="preserve"> </v>
      </c>
      <c r="BH56" s="55"/>
      <c r="BI56" s="32"/>
      <c r="BJ56" s="32"/>
      <c r="BK56" s="55"/>
      <c r="BL56" s="32"/>
      <c r="BM56" s="32"/>
      <c r="BN56" s="32"/>
      <c r="BO56" s="32"/>
      <c r="BP56" s="32"/>
      <c r="BQ56" s="31"/>
      <c r="BR56" s="31"/>
      <c r="BS56" s="54"/>
      <c r="BT56" s="56" t="str">
        <f>IFERROR(VLOOKUP(December[[#This Row],[Drug Name7]],'Data Options'!$R$1:$S$100,2,FALSE), " ")</f>
        <v xml:space="preserve"> </v>
      </c>
      <c r="BU56" s="55"/>
      <c r="BV56" s="32"/>
      <c r="BW56" s="32"/>
      <c r="BX56" s="55"/>
      <c r="BY56" s="32"/>
      <c r="BZ56" s="54"/>
      <c r="CA56" s="56" t="str">
        <f>IFERROR(VLOOKUP(December[[#This Row],[Drug Name8]],'Data Options'!$R$1:$S$100,2,FALSE), " ")</f>
        <v xml:space="preserve"> </v>
      </c>
      <c r="CB56" s="55"/>
      <c r="CC56" s="32"/>
      <c r="CD56" s="32"/>
      <c r="CE56" s="55"/>
      <c r="CF56" s="32"/>
      <c r="CG56" s="54"/>
      <c r="CH56" s="56" t="str">
        <f>IFERROR(VLOOKUP(December[[#This Row],[Drug Name9]],'Data Options'!$R$1:$S$100,2,FALSE), " ")</f>
        <v xml:space="preserve"> </v>
      </c>
      <c r="CI56" s="55"/>
      <c r="CJ56" s="32"/>
      <c r="CK56" s="32"/>
      <c r="CL56" s="55"/>
      <c r="CM56" s="32"/>
    </row>
    <row r="57" spans="1:91">
      <c r="A57" s="5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31"/>
      <c r="Q57" s="54"/>
      <c r="R57" s="56" t="str">
        <f>IFERROR(VLOOKUP(December[[#This Row],[Drug Name]],'Data Options'!$R$1:$S$100,2,FALSE), " ")</f>
        <v xml:space="preserve"> </v>
      </c>
      <c r="S57" s="55"/>
      <c r="T57" s="32"/>
      <c r="U57" s="32"/>
      <c r="V57" s="55"/>
      <c r="W57" s="32"/>
      <c r="X57" s="54"/>
      <c r="Y57" s="56" t="str">
        <f>IFERROR(VLOOKUP(December[[#This Row],[Drug Name2]],'Data Options'!$R$1:$S$100,2,FALSE), " ")</f>
        <v xml:space="preserve"> </v>
      </c>
      <c r="Z57" s="55"/>
      <c r="AA57" s="32"/>
      <c r="AB57" s="32"/>
      <c r="AC57" s="55"/>
      <c r="AD57" s="32"/>
      <c r="AE57" s="54"/>
      <c r="AF57" s="56" t="str">
        <f>IFERROR(VLOOKUP(December[[#This Row],[Drug Name3]],'Data Options'!$R$1:$S$100,2,FALSE), " ")</f>
        <v xml:space="preserve"> </v>
      </c>
      <c r="AG57" s="55"/>
      <c r="AH57" s="32"/>
      <c r="AI57" s="32"/>
      <c r="AJ57" s="55"/>
      <c r="AK57" s="32"/>
      <c r="AL57" s="32"/>
      <c r="AM57" s="32"/>
      <c r="AN57" s="32"/>
      <c r="AO57" s="32"/>
      <c r="AP57" s="31"/>
      <c r="AQ57" s="31"/>
      <c r="AR57" s="54"/>
      <c r="AS57" s="56" t="str">
        <f>IFERROR(VLOOKUP(December[[#This Row],[Drug Name4]],'Data Options'!$R$1:$S$100,2,FALSE), " ")</f>
        <v xml:space="preserve"> </v>
      </c>
      <c r="AT57" s="55"/>
      <c r="AU57" s="32"/>
      <c r="AV57" s="32"/>
      <c r="AW57" s="55"/>
      <c r="AX57" s="32"/>
      <c r="AY57" s="54"/>
      <c r="AZ57" s="56" t="str">
        <f>IFERROR(VLOOKUP(December[[#This Row],[Drug Name5]],'Data Options'!$R$1:$S$100,2,FALSE), " ")</f>
        <v xml:space="preserve"> </v>
      </c>
      <c r="BA57" s="55"/>
      <c r="BB57" s="32"/>
      <c r="BC57" s="32"/>
      <c r="BD57" s="55"/>
      <c r="BE57" s="32"/>
      <c r="BF57" s="54"/>
      <c r="BG57" s="56" t="str">
        <f>IFERROR(VLOOKUP(December[[#This Row],[Drug Name6]],'Data Options'!$R$1:$S$100,2,FALSE), " ")</f>
        <v xml:space="preserve"> </v>
      </c>
      <c r="BH57" s="55"/>
      <c r="BI57" s="32"/>
      <c r="BJ57" s="32"/>
      <c r="BK57" s="55"/>
      <c r="BL57" s="32"/>
      <c r="BM57" s="32"/>
      <c r="BN57" s="32"/>
      <c r="BO57" s="32"/>
      <c r="BP57" s="32"/>
      <c r="BQ57" s="31"/>
      <c r="BR57" s="31"/>
      <c r="BS57" s="54"/>
      <c r="BT57" s="56" t="str">
        <f>IFERROR(VLOOKUP(December[[#This Row],[Drug Name7]],'Data Options'!$R$1:$S$100,2,FALSE), " ")</f>
        <v xml:space="preserve"> </v>
      </c>
      <c r="BU57" s="55"/>
      <c r="BV57" s="32"/>
      <c r="BW57" s="32"/>
      <c r="BX57" s="55"/>
      <c r="BY57" s="32"/>
      <c r="BZ57" s="54"/>
      <c r="CA57" s="56" t="str">
        <f>IFERROR(VLOOKUP(December[[#This Row],[Drug Name8]],'Data Options'!$R$1:$S$100,2,FALSE), " ")</f>
        <v xml:space="preserve"> </v>
      </c>
      <c r="CB57" s="55"/>
      <c r="CC57" s="32"/>
      <c r="CD57" s="32"/>
      <c r="CE57" s="55"/>
      <c r="CF57" s="32"/>
      <c r="CG57" s="54"/>
      <c r="CH57" s="56" t="str">
        <f>IFERROR(VLOOKUP(December[[#This Row],[Drug Name9]],'Data Options'!$R$1:$S$100,2,FALSE), " ")</f>
        <v xml:space="preserve"> </v>
      </c>
      <c r="CI57" s="55"/>
      <c r="CJ57" s="32"/>
      <c r="CK57" s="32"/>
      <c r="CL57" s="55"/>
      <c r="CM57" s="32"/>
    </row>
    <row r="58" spans="1:9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54"/>
      <c r="R58" s="56" t="str">
        <f>IFERROR(VLOOKUP(December[[#This Row],[Drug Name]],'Data Options'!$R$1:$S$100,2,FALSE), " ")</f>
        <v xml:space="preserve"> </v>
      </c>
      <c r="S58" s="55"/>
      <c r="T58" s="32"/>
      <c r="U58" s="32"/>
      <c r="V58" s="55"/>
      <c r="W58" s="32"/>
      <c r="X58" s="54"/>
      <c r="Y58" s="56" t="str">
        <f>IFERROR(VLOOKUP(December[[#This Row],[Drug Name2]],'Data Options'!$R$1:$S$100,2,FALSE), " ")</f>
        <v xml:space="preserve"> </v>
      </c>
      <c r="Z58" s="55"/>
      <c r="AA58" s="32"/>
      <c r="AB58" s="32"/>
      <c r="AC58" s="55"/>
      <c r="AD58" s="32"/>
      <c r="AE58" s="54"/>
      <c r="AF58" s="56" t="str">
        <f>IFERROR(VLOOKUP(December[[#This Row],[Drug Name3]],'Data Options'!$R$1:$S$100,2,FALSE), " ")</f>
        <v xml:space="preserve"> </v>
      </c>
      <c r="AG58" s="55"/>
      <c r="AH58" s="32"/>
      <c r="AI58" s="32"/>
      <c r="AJ58" s="55"/>
      <c r="AK58" s="32"/>
      <c r="AL58" s="32"/>
      <c r="AM58" s="32"/>
      <c r="AN58" s="32"/>
      <c r="AO58" s="32"/>
      <c r="AP58" s="31"/>
      <c r="AQ58" s="31"/>
      <c r="AR58" s="54"/>
      <c r="AS58" s="56" t="str">
        <f>IFERROR(VLOOKUP(December[[#This Row],[Drug Name4]],'Data Options'!$R$1:$S$100,2,FALSE), " ")</f>
        <v xml:space="preserve"> </v>
      </c>
      <c r="AT58" s="55"/>
      <c r="AU58" s="32"/>
      <c r="AV58" s="32"/>
      <c r="AW58" s="55"/>
      <c r="AX58" s="32"/>
      <c r="AY58" s="54"/>
      <c r="AZ58" s="56" t="str">
        <f>IFERROR(VLOOKUP(December[[#This Row],[Drug Name5]],'Data Options'!$R$1:$S$100,2,FALSE), " ")</f>
        <v xml:space="preserve"> </v>
      </c>
      <c r="BA58" s="55"/>
      <c r="BB58" s="32"/>
      <c r="BC58" s="32"/>
      <c r="BD58" s="55"/>
      <c r="BE58" s="32"/>
      <c r="BF58" s="54"/>
      <c r="BG58" s="56" t="str">
        <f>IFERROR(VLOOKUP(December[[#This Row],[Drug Name6]],'Data Options'!$R$1:$S$100,2,FALSE), " ")</f>
        <v xml:space="preserve"> </v>
      </c>
      <c r="BH58" s="55"/>
      <c r="BI58" s="32"/>
      <c r="BJ58" s="32"/>
      <c r="BK58" s="55"/>
      <c r="BL58" s="32"/>
      <c r="BM58" s="32"/>
      <c r="BN58" s="32"/>
      <c r="BO58" s="32"/>
      <c r="BP58" s="32"/>
      <c r="BQ58" s="31"/>
      <c r="BR58" s="31"/>
      <c r="BS58" s="54"/>
      <c r="BT58" s="56" t="str">
        <f>IFERROR(VLOOKUP(December[[#This Row],[Drug Name7]],'Data Options'!$R$1:$S$100,2,FALSE), " ")</f>
        <v xml:space="preserve"> </v>
      </c>
      <c r="BU58" s="55"/>
      <c r="BV58" s="32"/>
      <c r="BW58" s="32"/>
      <c r="BX58" s="55"/>
      <c r="BY58" s="32"/>
      <c r="BZ58" s="54"/>
      <c r="CA58" s="56" t="str">
        <f>IFERROR(VLOOKUP(December[[#This Row],[Drug Name8]],'Data Options'!$R$1:$S$100,2,FALSE), " ")</f>
        <v xml:space="preserve"> </v>
      </c>
      <c r="CB58" s="55"/>
      <c r="CC58" s="32"/>
      <c r="CD58" s="32"/>
      <c r="CE58" s="55"/>
      <c r="CF58" s="32"/>
      <c r="CG58" s="54"/>
      <c r="CH58" s="56" t="str">
        <f>IFERROR(VLOOKUP(December[[#This Row],[Drug Name9]],'Data Options'!$R$1:$S$100,2,FALSE), " ")</f>
        <v xml:space="preserve"> </v>
      </c>
      <c r="CI58" s="55"/>
      <c r="CJ58" s="32"/>
      <c r="CK58" s="32"/>
      <c r="CL58" s="55"/>
      <c r="CM58" s="32"/>
    </row>
    <row r="59" spans="1:91">
      <c r="A59" s="5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31"/>
      <c r="Q59" s="54"/>
      <c r="R59" s="56" t="str">
        <f>IFERROR(VLOOKUP(December[[#This Row],[Drug Name]],'Data Options'!$R$1:$S$100,2,FALSE), " ")</f>
        <v xml:space="preserve"> </v>
      </c>
      <c r="S59" s="55"/>
      <c r="T59" s="32"/>
      <c r="U59" s="32"/>
      <c r="V59" s="55"/>
      <c r="W59" s="32"/>
      <c r="X59" s="54"/>
      <c r="Y59" s="56" t="str">
        <f>IFERROR(VLOOKUP(December[[#This Row],[Drug Name2]],'Data Options'!$R$1:$S$100,2,FALSE), " ")</f>
        <v xml:space="preserve"> </v>
      </c>
      <c r="Z59" s="55"/>
      <c r="AA59" s="32"/>
      <c r="AB59" s="32"/>
      <c r="AC59" s="55"/>
      <c r="AD59" s="32"/>
      <c r="AE59" s="54"/>
      <c r="AF59" s="56" t="str">
        <f>IFERROR(VLOOKUP(December[[#This Row],[Drug Name3]],'Data Options'!$R$1:$S$100,2,FALSE), " ")</f>
        <v xml:space="preserve"> </v>
      </c>
      <c r="AG59" s="55"/>
      <c r="AH59" s="32"/>
      <c r="AI59" s="32"/>
      <c r="AJ59" s="55"/>
      <c r="AK59" s="32"/>
      <c r="AL59" s="32"/>
      <c r="AM59" s="32"/>
      <c r="AN59" s="32"/>
      <c r="AO59" s="32"/>
      <c r="AP59" s="31"/>
      <c r="AQ59" s="31"/>
      <c r="AR59" s="54"/>
      <c r="AS59" s="56" t="str">
        <f>IFERROR(VLOOKUP(December[[#This Row],[Drug Name4]],'Data Options'!$R$1:$S$100,2,FALSE), " ")</f>
        <v xml:space="preserve"> </v>
      </c>
      <c r="AT59" s="55"/>
      <c r="AU59" s="32"/>
      <c r="AV59" s="32"/>
      <c r="AW59" s="55"/>
      <c r="AX59" s="32"/>
      <c r="AY59" s="54"/>
      <c r="AZ59" s="56" t="str">
        <f>IFERROR(VLOOKUP(December[[#This Row],[Drug Name5]],'Data Options'!$R$1:$S$100,2,FALSE), " ")</f>
        <v xml:space="preserve"> </v>
      </c>
      <c r="BA59" s="55"/>
      <c r="BB59" s="32"/>
      <c r="BC59" s="32"/>
      <c r="BD59" s="55"/>
      <c r="BE59" s="32"/>
      <c r="BF59" s="54"/>
      <c r="BG59" s="56" t="str">
        <f>IFERROR(VLOOKUP(December[[#This Row],[Drug Name6]],'Data Options'!$R$1:$S$100,2,FALSE), " ")</f>
        <v xml:space="preserve"> </v>
      </c>
      <c r="BH59" s="55"/>
      <c r="BI59" s="32"/>
      <c r="BJ59" s="32"/>
      <c r="BK59" s="55"/>
      <c r="BL59" s="32"/>
      <c r="BM59" s="32"/>
      <c r="BN59" s="32"/>
      <c r="BO59" s="32"/>
      <c r="BP59" s="32"/>
      <c r="BQ59" s="31"/>
      <c r="BR59" s="31"/>
      <c r="BS59" s="54"/>
      <c r="BT59" s="56" t="str">
        <f>IFERROR(VLOOKUP(December[[#This Row],[Drug Name7]],'Data Options'!$R$1:$S$100,2,FALSE), " ")</f>
        <v xml:space="preserve"> </v>
      </c>
      <c r="BU59" s="55"/>
      <c r="BV59" s="32"/>
      <c r="BW59" s="32"/>
      <c r="BX59" s="55"/>
      <c r="BY59" s="32"/>
      <c r="BZ59" s="54"/>
      <c r="CA59" s="56" t="str">
        <f>IFERROR(VLOOKUP(December[[#This Row],[Drug Name8]],'Data Options'!$R$1:$S$100,2,FALSE), " ")</f>
        <v xml:space="preserve"> </v>
      </c>
      <c r="CB59" s="55"/>
      <c r="CC59" s="32"/>
      <c r="CD59" s="32"/>
      <c r="CE59" s="55"/>
      <c r="CF59" s="32"/>
      <c r="CG59" s="54"/>
      <c r="CH59" s="56" t="str">
        <f>IFERROR(VLOOKUP(December[[#This Row],[Drug Name9]],'Data Options'!$R$1:$S$100,2,FALSE), " ")</f>
        <v xml:space="preserve"> </v>
      </c>
      <c r="CI59" s="55"/>
      <c r="CJ59" s="32"/>
      <c r="CK59" s="32"/>
      <c r="CL59" s="55"/>
      <c r="CM59" s="32"/>
    </row>
    <row r="60" spans="1:91">
      <c r="A60" s="5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31"/>
      <c r="Q60" s="54"/>
      <c r="R60" s="56" t="str">
        <f>IFERROR(VLOOKUP(December[[#This Row],[Drug Name]],'Data Options'!$R$1:$S$100,2,FALSE), " ")</f>
        <v xml:space="preserve"> </v>
      </c>
      <c r="S60" s="55"/>
      <c r="T60" s="32"/>
      <c r="U60" s="32"/>
      <c r="V60" s="55"/>
      <c r="W60" s="32"/>
      <c r="X60" s="54"/>
      <c r="Y60" s="56" t="str">
        <f>IFERROR(VLOOKUP(December[[#This Row],[Drug Name2]],'Data Options'!$R$1:$S$100,2,FALSE), " ")</f>
        <v xml:space="preserve"> </v>
      </c>
      <c r="Z60" s="55"/>
      <c r="AA60" s="32"/>
      <c r="AB60" s="32"/>
      <c r="AC60" s="55"/>
      <c r="AD60" s="32"/>
      <c r="AE60" s="54"/>
      <c r="AF60" s="56" t="str">
        <f>IFERROR(VLOOKUP(December[[#This Row],[Drug Name3]],'Data Options'!$R$1:$S$100,2,FALSE), " ")</f>
        <v xml:space="preserve"> </v>
      </c>
      <c r="AG60" s="55"/>
      <c r="AH60" s="32"/>
      <c r="AI60" s="32"/>
      <c r="AJ60" s="55"/>
      <c r="AK60" s="32"/>
      <c r="AL60" s="32"/>
      <c r="AM60" s="32"/>
      <c r="AN60" s="32"/>
      <c r="AO60" s="32"/>
      <c r="AP60" s="31"/>
      <c r="AQ60" s="31"/>
      <c r="AR60" s="54"/>
      <c r="AS60" s="56" t="str">
        <f>IFERROR(VLOOKUP(December[[#This Row],[Drug Name4]],'Data Options'!$R$1:$S$100,2,FALSE), " ")</f>
        <v xml:space="preserve"> </v>
      </c>
      <c r="AT60" s="55"/>
      <c r="AU60" s="32"/>
      <c r="AV60" s="32"/>
      <c r="AW60" s="55"/>
      <c r="AX60" s="32"/>
      <c r="AY60" s="54"/>
      <c r="AZ60" s="56" t="str">
        <f>IFERROR(VLOOKUP(December[[#This Row],[Drug Name5]],'Data Options'!$R$1:$S$100,2,FALSE), " ")</f>
        <v xml:space="preserve"> </v>
      </c>
      <c r="BA60" s="55"/>
      <c r="BB60" s="32"/>
      <c r="BC60" s="32"/>
      <c r="BD60" s="55"/>
      <c r="BE60" s="32"/>
      <c r="BF60" s="54"/>
      <c r="BG60" s="56" t="str">
        <f>IFERROR(VLOOKUP(December[[#This Row],[Drug Name6]],'Data Options'!$R$1:$S$100,2,FALSE), " ")</f>
        <v xml:space="preserve"> </v>
      </c>
      <c r="BH60" s="55"/>
      <c r="BI60" s="32"/>
      <c r="BJ60" s="32"/>
      <c r="BK60" s="55"/>
      <c r="BL60" s="32"/>
      <c r="BM60" s="32"/>
      <c r="BN60" s="32"/>
      <c r="BO60" s="32"/>
      <c r="BP60" s="32"/>
      <c r="BQ60" s="31"/>
      <c r="BR60" s="31"/>
      <c r="BS60" s="54"/>
      <c r="BT60" s="56" t="str">
        <f>IFERROR(VLOOKUP(December[[#This Row],[Drug Name7]],'Data Options'!$R$1:$S$100,2,FALSE), " ")</f>
        <v xml:space="preserve"> </v>
      </c>
      <c r="BU60" s="55"/>
      <c r="BV60" s="32"/>
      <c r="BW60" s="32"/>
      <c r="BX60" s="55"/>
      <c r="BY60" s="32"/>
      <c r="BZ60" s="54"/>
      <c r="CA60" s="56" t="str">
        <f>IFERROR(VLOOKUP(December[[#This Row],[Drug Name8]],'Data Options'!$R$1:$S$100,2,FALSE), " ")</f>
        <v xml:space="preserve"> </v>
      </c>
      <c r="CB60" s="55"/>
      <c r="CC60" s="32"/>
      <c r="CD60" s="32"/>
      <c r="CE60" s="55"/>
      <c r="CF60" s="32"/>
      <c r="CG60" s="54"/>
      <c r="CH60" s="56" t="str">
        <f>IFERROR(VLOOKUP(December[[#This Row],[Drug Name9]],'Data Options'!$R$1:$S$100,2,FALSE), " ")</f>
        <v xml:space="preserve"> </v>
      </c>
      <c r="CI60" s="55"/>
      <c r="CJ60" s="32"/>
      <c r="CK60" s="32"/>
      <c r="CL60" s="55"/>
      <c r="CM60" s="32"/>
    </row>
    <row r="61" spans="1:91">
      <c r="A61" s="5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31"/>
      <c r="Q61" s="54"/>
      <c r="R61" s="56" t="str">
        <f>IFERROR(VLOOKUP(December[[#This Row],[Drug Name]],'Data Options'!$R$1:$S$100,2,FALSE), " ")</f>
        <v xml:space="preserve"> </v>
      </c>
      <c r="S61" s="55"/>
      <c r="T61" s="32"/>
      <c r="U61" s="32"/>
      <c r="V61" s="55"/>
      <c r="W61" s="32"/>
      <c r="X61" s="54"/>
      <c r="Y61" s="56" t="str">
        <f>IFERROR(VLOOKUP(December[[#This Row],[Drug Name2]],'Data Options'!$R$1:$S$100,2,FALSE), " ")</f>
        <v xml:space="preserve"> </v>
      </c>
      <c r="Z61" s="55"/>
      <c r="AA61" s="32"/>
      <c r="AB61" s="32"/>
      <c r="AC61" s="55"/>
      <c r="AD61" s="32"/>
      <c r="AE61" s="54"/>
      <c r="AF61" s="56" t="str">
        <f>IFERROR(VLOOKUP(December[[#This Row],[Drug Name3]],'Data Options'!$R$1:$S$100,2,FALSE), " ")</f>
        <v xml:space="preserve"> </v>
      </c>
      <c r="AG61" s="55"/>
      <c r="AH61" s="32"/>
      <c r="AI61" s="32"/>
      <c r="AJ61" s="55"/>
      <c r="AK61" s="32"/>
      <c r="AL61" s="32"/>
      <c r="AM61" s="32"/>
      <c r="AN61" s="32"/>
      <c r="AO61" s="32"/>
      <c r="AP61" s="31"/>
      <c r="AQ61" s="31"/>
      <c r="AR61" s="54"/>
      <c r="AS61" s="56" t="str">
        <f>IFERROR(VLOOKUP(December[[#This Row],[Drug Name4]],'Data Options'!$R$1:$S$100,2,FALSE), " ")</f>
        <v xml:space="preserve"> </v>
      </c>
      <c r="AT61" s="55"/>
      <c r="AU61" s="32"/>
      <c r="AV61" s="32"/>
      <c r="AW61" s="55"/>
      <c r="AX61" s="32"/>
      <c r="AY61" s="54"/>
      <c r="AZ61" s="56" t="str">
        <f>IFERROR(VLOOKUP(December[[#This Row],[Drug Name5]],'Data Options'!$R$1:$S$100,2,FALSE), " ")</f>
        <v xml:space="preserve"> </v>
      </c>
      <c r="BA61" s="55"/>
      <c r="BB61" s="32"/>
      <c r="BC61" s="32"/>
      <c r="BD61" s="55"/>
      <c r="BE61" s="32"/>
      <c r="BF61" s="54"/>
      <c r="BG61" s="56" t="str">
        <f>IFERROR(VLOOKUP(December[[#This Row],[Drug Name6]],'Data Options'!$R$1:$S$100,2,FALSE), " ")</f>
        <v xml:space="preserve"> </v>
      </c>
      <c r="BH61" s="55"/>
      <c r="BI61" s="32"/>
      <c r="BJ61" s="32"/>
      <c r="BK61" s="55"/>
      <c r="BL61" s="32"/>
      <c r="BM61" s="32"/>
      <c r="BN61" s="32"/>
      <c r="BO61" s="32"/>
      <c r="BP61" s="32"/>
      <c r="BQ61" s="31"/>
      <c r="BR61" s="31"/>
      <c r="BS61" s="54"/>
      <c r="BT61" s="56" t="str">
        <f>IFERROR(VLOOKUP(December[[#This Row],[Drug Name7]],'Data Options'!$R$1:$S$100,2,FALSE), " ")</f>
        <v xml:space="preserve"> </v>
      </c>
      <c r="BU61" s="55"/>
      <c r="BV61" s="32"/>
      <c r="BW61" s="32"/>
      <c r="BX61" s="55"/>
      <c r="BY61" s="32"/>
      <c r="BZ61" s="54"/>
      <c r="CA61" s="56" t="str">
        <f>IFERROR(VLOOKUP(December[[#This Row],[Drug Name8]],'Data Options'!$R$1:$S$100,2,FALSE), " ")</f>
        <v xml:space="preserve"> </v>
      </c>
      <c r="CB61" s="55"/>
      <c r="CC61" s="32"/>
      <c r="CD61" s="32"/>
      <c r="CE61" s="55"/>
      <c r="CF61" s="32"/>
      <c r="CG61" s="54"/>
      <c r="CH61" s="56" t="str">
        <f>IFERROR(VLOOKUP(December[[#This Row],[Drug Name9]],'Data Options'!$R$1:$S$100,2,FALSE), " ")</f>
        <v xml:space="preserve"> </v>
      </c>
      <c r="CI61" s="55"/>
      <c r="CJ61" s="32"/>
      <c r="CK61" s="32"/>
      <c r="CL61" s="55"/>
      <c r="CM61" s="32"/>
    </row>
    <row r="62" spans="1:9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31"/>
      <c r="Q62" s="54"/>
      <c r="R62" s="56" t="str">
        <f>IFERROR(VLOOKUP(December[[#This Row],[Drug Name]],'Data Options'!$R$1:$S$100,2,FALSE), " ")</f>
        <v xml:space="preserve"> </v>
      </c>
      <c r="S62" s="55"/>
      <c r="T62" s="32"/>
      <c r="U62" s="32"/>
      <c r="V62" s="55"/>
      <c r="W62" s="32"/>
      <c r="X62" s="54"/>
      <c r="Y62" s="56" t="str">
        <f>IFERROR(VLOOKUP(December[[#This Row],[Drug Name2]],'Data Options'!$R$1:$S$100,2,FALSE), " ")</f>
        <v xml:space="preserve"> </v>
      </c>
      <c r="Z62" s="55"/>
      <c r="AA62" s="32"/>
      <c r="AB62" s="32"/>
      <c r="AC62" s="55"/>
      <c r="AD62" s="32"/>
      <c r="AE62" s="54"/>
      <c r="AF62" s="56" t="str">
        <f>IFERROR(VLOOKUP(December[[#This Row],[Drug Name3]],'Data Options'!$R$1:$S$100,2,FALSE), " ")</f>
        <v xml:space="preserve"> </v>
      </c>
      <c r="AG62" s="55"/>
      <c r="AH62" s="32"/>
      <c r="AI62" s="32"/>
      <c r="AJ62" s="55"/>
      <c r="AK62" s="32"/>
      <c r="AL62" s="32"/>
      <c r="AM62" s="32"/>
      <c r="AN62" s="32"/>
      <c r="AO62" s="32"/>
      <c r="AP62" s="31"/>
      <c r="AQ62" s="31"/>
      <c r="AR62" s="54"/>
      <c r="AS62" s="56" t="str">
        <f>IFERROR(VLOOKUP(December[[#This Row],[Drug Name4]],'Data Options'!$R$1:$S$100,2,FALSE), " ")</f>
        <v xml:space="preserve"> </v>
      </c>
      <c r="AT62" s="55"/>
      <c r="AU62" s="32"/>
      <c r="AV62" s="32"/>
      <c r="AW62" s="55"/>
      <c r="AX62" s="32"/>
      <c r="AY62" s="54"/>
      <c r="AZ62" s="56" t="str">
        <f>IFERROR(VLOOKUP(December[[#This Row],[Drug Name5]],'Data Options'!$R$1:$S$100,2,FALSE), " ")</f>
        <v xml:space="preserve"> </v>
      </c>
      <c r="BA62" s="55"/>
      <c r="BB62" s="32"/>
      <c r="BC62" s="32"/>
      <c r="BD62" s="55"/>
      <c r="BE62" s="32"/>
      <c r="BF62" s="54"/>
      <c r="BG62" s="56" t="str">
        <f>IFERROR(VLOOKUP(December[[#This Row],[Drug Name6]],'Data Options'!$R$1:$S$100,2,FALSE), " ")</f>
        <v xml:space="preserve"> </v>
      </c>
      <c r="BH62" s="55"/>
      <c r="BI62" s="32"/>
      <c r="BJ62" s="32"/>
      <c r="BK62" s="55"/>
      <c r="BL62" s="32"/>
      <c r="BM62" s="32"/>
      <c r="BN62" s="32"/>
      <c r="BO62" s="32"/>
      <c r="BP62" s="32"/>
      <c r="BQ62" s="31"/>
      <c r="BR62" s="31"/>
      <c r="BS62" s="54"/>
      <c r="BT62" s="56" t="str">
        <f>IFERROR(VLOOKUP(December[[#This Row],[Drug Name7]],'Data Options'!$R$1:$S$100,2,FALSE), " ")</f>
        <v xml:space="preserve"> </v>
      </c>
      <c r="BU62" s="55"/>
      <c r="BV62" s="32"/>
      <c r="BW62" s="32"/>
      <c r="BX62" s="55"/>
      <c r="BY62" s="32"/>
      <c r="BZ62" s="54"/>
      <c r="CA62" s="56" t="str">
        <f>IFERROR(VLOOKUP(December[[#This Row],[Drug Name8]],'Data Options'!$R$1:$S$100,2,FALSE), " ")</f>
        <v xml:space="preserve"> </v>
      </c>
      <c r="CB62" s="55"/>
      <c r="CC62" s="32"/>
      <c r="CD62" s="32"/>
      <c r="CE62" s="55"/>
      <c r="CF62" s="32"/>
      <c r="CG62" s="54"/>
      <c r="CH62" s="56" t="str">
        <f>IFERROR(VLOOKUP(December[[#This Row],[Drug Name9]],'Data Options'!$R$1:$S$100,2,FALSE), " ")</f>
        <v xml:space="preserve"> </v>
      </c>
      <c r="CI62" s="55"/>
      <c r="CJ62" s="32"/>
      <c r="CK62" s="32"/>
      <c r="CL62" s="55"/>
      <c r="CM62" s="32"/>
    </row>
    <row r="63" spans="1:91">
      <c r="A63" s="5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31"/>
      <c r="Q63" s="54"/>
      <c r="R63" s="56" t="str">
        <f>IFERROR(VLOOKUP(December[[#This Row],[Drug Name]],'Data Options'!$R$1:$S$100,2,FALSE), " ")</f>
        <v xml:space="preserve"> </v>
      </c>
      <c r="S63" s="55"/>
      <c r="T63" s="32"/>
      <c r="U63" s="32"/>
      <c r="V63" s="55"/>
      <c r="W63" s="32"/>
      <c r="X63" s="54"/>
      <c r="Y63" s="56" t="str">
        <f>IFERROR(VLOOKUP(December[[#This Row],[Drug Name2]],'Data Options'!$R$1:$S$100,2,FALSE), " ")</f>
        <v xml:space="preserve"> </v>
      </c>
      <c r="Z63" s="55"/>
      <c r="AA63" s="32"/>
      <c r="AB63" s="32"/>
      <c r="AC63" s="55"/>
      <c r="AD63" s="32"/>
      <c r="AE63" s="54"/>
      <c r="AF63" s="56" t="str">
        <f>IFERROR(VLOOKUP(December[[#This Row],[Drug Name3]],'Data Options'!$R$1:$S$100,2,FALSE), " ")</f>
        <v xml:space="preserve"> </v>
      </c>
      <c r="AG63" s="55"/>
      <c r="AH63" s="32"/>
      <c r="AI63" s="32"/>
      <c r="AJ63" s="55"/>
      <c r="AK63" s="32"/>
      <c r="AL63" s="32"/>
      <c r="AM63" s="32"/>
      <c r="AN63" s="32"/>
      <c r="AO63" s="32"/>
      <c r="AP63" s="31"/>
      <c r="AQ63" s="31"/>
      <c r="AR63" s="54"/>
      <c r="AS63" s="56" t="str">
        <f>IFERROR(VLOOKUP(December[[#This Row],[Drug Name4]],'Data Options'!$R$1:$S$100,2,FALSE), " ")</f>
        <v xml:space="preserve"> </v>
      </c>
      <c r="AT63" s="55"/>
      <c r="AU63" s="32"/>
      <c r="AV63" s="32"/>
      <c r="AW63" s="55"/>
      <c r="AX63" s="32"/>
      <c r="AY63" s="54"/>
      <c r="AZ63" s="56" t="str">
        <f>IFERROR(VLOOKUP(December[[#This Row],[Drug Name5]],'Data Options'!$R$1:$S$100,2,FALSE), " ")</f>
        <v xml:space="preserve"> </v>
      </c>
      <c r="BA63" s="55"/>
      <c r="BB63" s="32"/>
      <c r="BC63" s="32"/>
      <c r="BD63" s="55"/>
      <c r="BE63" s="32"/>
      <c r="BF63" s="54"/>
      <c r="BG63" s="56" t="str">
        <f>IFERROR(VLOOKUP(December[[#This Row],[Drug Name6]],'Data Options'!$R$1:$S$100,2,FALSE), " ")</f>
        <v xml:space="preserve"> </v>
      </c>
      <c r="BH63" s="55"/>
      <c r="BI63" s="32"/>
      <c r="BJ63" s="32"/>
      <c r="BK63" s="55"/>
      <c r="BL63" s="32"/>
      <c r="BM63" s="32"/>
      <c r="BN63" s="32"/>
      <c r="BO63" s="32"/>
      <c r="BP63" s="32"/>
      <c r="BQ63" s="31"/>
      <c r="BR63" s="31"/>
      <c r="BS63" s="54"/>
      <c r="BT63" s="56" t="str">
        <f>IFERROR(VLOOKUP(December[[#This Row],[Drug Name7]],'Data Options'!$R$1:$S$100,2,FALSE), " ")</f>
        <v xml:space="preserve"> </v>
      </c>
      <c r="BU63" s="55"/>
      <c r="BV63" s="32"/>
      <c r="BW63" s="32"/>
      <c r="BX63" s="55"/>
      <c r="BY63" s="32"/>
      <c r="BZ63" s="54"/>
      <c r="CA63" s="56" t="str">
        <f>IFERROR(VLOOKUP(December[[#This Row],[Drug Name8]],'Data Options'!$R$1:$S$100,2,FALSE), " ")</f>
        <v xml:space="preserve"> </v>
      </c>
      <c r="CB63" s="55"/>
      <c r="CC63" s="32"/>
      <c r="CD63" s="32"/>
      <c r="CE63" s="55"/>
      <c r="CF63" s="32"/>
      <c r="CG63" s="54"/>
      <c r="CH63" s="56" t="str">
        <f>IFERROR(VLOOKUP(December[[#This Row],[Drug Name9]],'Data Options'!$R$1:$S$100,2,FALSE), " ")</f>
        <v xml:space="preserve"> </v>
      </c>
      <c r="CI63" s="55"/>
      <c r="CJ63" s="32"/>
      <c r="CK63" s="32"/>
      <c r="CL63" s="55"/>
      <c r="CM63" s="32"/>
    </row>
    <row r="64" spans="1:91">
      <c r="A64" s="5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31"/>
      <c r="Q64" s="54"/>
      <c r="R64" s="56" t="str">
        <f>IFERROR(VLOOKUP(December[[#This Row],[Drug Name]],'Data Options'!$R$1:$S$100,2,FALSE), " ")</f>
        <v xml:space="preserve"> </v>
      </c>
      <c r="S64" s="55"/>
      <c r="T64" s="32"/>
      <c r="U64" s="32"/>
      <c r="V64" s="55"/>
      <c r="W64" s="32"/>
      <c r="X64" s="54"/>
      <c r="Y64" s="56" t="str">
        <f>IFERROR(VLOOKUP(December[[#This Row],[Drug Name2]],'Data Options'!$R$1:$S$100,2,FALSE), " ")</f>
        <v xml:space="preserve"> </v>
      </c>
      <c r="Z64" s="55"/>
      <c r="AA64" s="32"/>
      <c r="AB64" s="32"/>
      <c r="AC64" s="55"/>
      <c r="AD64" s="32"/>
      <c r="AE64" s="54"/>
      <c r="AF64" s="56" t="str">
        <f>IFERROR(VLOOKUP(December[[#This Row],[Drug Name3]],'Data Options'!$R$1:$S$100,2,FALSE), " ")</f>
        <v xml:space="preserve"> </v>
      </c>
      <c r="AG64" s="55"/>
      <c r="AH64" s="32"/>
      <c r="AI64" s="32"/>
      <c r="AJ64" s="55"/>
      <c r="AK64" s="32"/>
      <c r="AL64" s="32"/>
      <c r="AM64" s="32"/>
      <c r="AN64" s="32"/>
      <c r="AO64" s="32"/>
      <c r="AP64" s="31"/>
      <c r="AQ64" s="31"/>
      <c r="AR64" s="54"/>
      <c r="AS64" s="56" t="str">
        <f>IFERROR(VLOOKUP(December[[#This Row],[Drug Name4]],'Data Options'!$R$1:$S$100,2,FALSE), " ")</f>
        <v xml:space="preserve"> </v>
      </c>
      <c r="AT64" s="55"/>
      <c r="AU64" s="32"/>
      <c r="AV64" s="32"/>
      <c r="AW64" s="55"/>
      <c r="AX64" s="32"/>
      <c r="AY64" s="54"/>
      <c r="AZ64" s="56" t="str">
        <f>IFERROR(VLOOKUP(December[[#This Row],[Drug Name5]],'Data Options'!$R$1:$S$100,2,FALSE), " ")</f>
        <v xml:space="preserve"> </v>
      </c>
      <c r="BA64" s="55"/>
      <c r="BB64" s="32"/>
      <c r="BC64" s="32"/>
      <c r="BD64" s="55"/>
      <c r="BE64" s="32"/>
      <c r="BF64" s="54"/>
      <c r="BG64" s="56" t="str">
        <f>IFERROR(VLOOKUP(December[[#This Row],[Drug Name6]],'Data Options'!$R$1:$S$100,2,FALSE), " ")</f>
        <v xml:space="preserve"> </v>
      </c>
      <c r="BH64" s="55"/>
      <c r="BI64" s="32"/>
      <c r="BJ64" s="32"/>
      <c r="BK64" s="55"/>
      <c r="BL64" s="32"/>
      <c r="BM64" s="32"/>
      <c r="BN64" s="32"/>
      <c r="BO64" s="32"/>
      <c r="BP64" s="32"/>
      <c r="BQ64" s="31"/>
      <c r="BR64" s="31"/>
      <c r="BS64" s="54"/>
      <c r="BT64" s="56" t="str">
        <f>IFERROR(VLOOKUP(December[[#This Row],[Drug Name7]],'Data Options'!$R$1:$S$100,2,FALSE), " ")</f>
        <v xml:space="preserve"> </v>
      </c>
      <c r="BU64" s="55"/>
      <c r="BV64" s="32"/>
      <c r="BW64" s="32"/>
      <c r="BX64" s="55"/>
      <c r="BY64" s="32"/>
      <c r="BZ64" s="54"/>
      <c r="CA64" s="56" t="str">
        <f>IFERROR(VLOOKUP(December[[#This Row],[Drug Name8]],'Data Options'!$R$1:$S$100,2,FALSE), " ")</f>
        <v xml:space="preserve"> </v>
      </c>
      <c r="CB64" s="55"/>
      <c r="CC64" s="32"/>
      <c r="CD64" s="32"/>
      <c r="CE64" s="55"/>
      <c r="CF64" s="32"/>
      <c r="CG64" s="54"/>
      <c r="CH64" s="56" t="str">
        <f>IFERROR(VLOOKUP(December[[#This Row],[Drug Name9]],'Data Options'!$R$1:$S$100,2,FALSE), " ")</f>
        <v xml:space="preserve"> </v>
      </c>
      <c r="CI64" s="55"/>
      <c r="CJ64" s="32"/>
      <c r="CK64" s="32"/>
      <c r="CL64" s="55"/>
      <c r="CM64" s="32"/>
    </row>
    <row r="65" spans="1:91">
      <c r="A65" s="5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54"/>
      <c r="R65" s="56" t="str">
        <f>IFERROR(VLOOKUP(December[[#This Row],[Drug Name]],'Data Options'!$R$1:$S$100,2,FALSE), " ")</f>
        <v xml:space="preserve"> </v>
      </c>
      <c r="S65" s="55"/>
      <c r="T65" s="32"/>
      <c r="U65" s="32"/>
      <c r="V65" s="55"/>
      <c r="W65" s="32"/>
      <c r="X65" s="54"/>
      <c r="Y65" s="56" t="str">
        <f>IFERROR(VLOOKUP(December[[#This Row],[Drug Name2]],'Data Options'!$R$1:$S$100,2,FALSE), " ")</f>
        <v xml:space="preserve"> </v>
      </c>
      <c r="Z65" s="55"/>
      <c r="AA65" s="32"/>
      <c r="AB65" s="32"/>
      <c r="AC65" s="55"/>
      <c r="AD65" s="32"/>
      <c r="AE65" s="54"/>
      <c r="AF65" s="56" t="str">
        <f>IFERROR(VLOOKUP(December[[#This Row],[Drug Name3]],'Data Options'!$R$1:$S$100,2,FALSE), " ")</f>
        <v xml:space="preserve"> </v>
      </c>
      <c r="AG65" s="55"/>
      <c r="AH65" s="32"/>
      <c r="AI65" s="32"/>
      <c r="AJ65" s="55"/>
      <c r="AK65" s="32"/>
      <c r="AL65" s="32"/>
      <c r="AM65" s="32"/>
      <c r="AN65" s="32"/>
      <c r="AO65" s="32"/>
      <c r="AP65" s="31"/>
      <c r="AQ65" s="31"/>
      <c r="AR65" s="54"/>
      <c r="AS65" s="56" t="str">
        <f>IFERROR(VLOOKUP(December[[#This Row],[Drug Name4]],'Data Options'!$R$1:$S$100,2,FALSE), " ")</f>
        <v xml:space="preserve"> </v>
      </c>
      <c r="AT65" s="55"/>
      <c r="AU65" s="32"/>
      <c r="AV65" s="32"/>
      <c r="AW65" s="55"/>
      <c r="AX65" s="32"/>
      <c r="AY65" s="54"/>
      <c r="AZ65" s="56" t="str">
        <f>IFERROR(VLOOKUP(December[[#This Row],[Drug Name5]],'Data Options'!$R$1:$S$100,2,FALSE), " ")</f>
        <v xml:space="preserve"> </v>
      </c>
      <c r="BA65" s="55"/>
      <c r="BB65" s="32"/>
      <c r="BC65" s="32"/>
      <c r="BD65" s="55"/>
      <c r="BE65" s="32"/>
      <c r="BF65" s="54"/>
      <c r="BG65" s="56" t="str">
        <f>IFERROR(VLOOKUP(December[[#This Row],[Drug Name6]],'Data Options'!$R$1:$S$100,2,FALSE), " ")</f>
        <v xml:space="preserve"> </v>
      </c>
      <c r="BH65" s="55"/>
      <c r="BI65" s="32"/>
      <c r="BJ65" s="32"/>
      <c r="BK65" s="55"/>
      <c r="BL65" s="32"/>
      <c r="BM65" s="32"/>
      <c r="BN65" s="32"/>
      <c r="BO65" s="32"/>
      <c r="BP65" s="32"/>
      <c r="BQ65" s="31"/>
      <c r="BR65" s="31"/>
      <c r="BS65" s="54"/>
      <c r="BT65" s="56" t="str">
        <f>IFERROR(VLOOKUP(December[[#This Row],[Drug Name7]],'Data Options'!$R$1:$S$100,2,FALSE), " ")</f>
        <v xml:space="preserve"> </v>
      </c>
      <c r="BU65" s="55"/>
      <c r="BV65" s="32"/>
      <c r="BW65" s="32"/>
      <c r="BX65" s="55"/>
      <c r="BY65" s="32"/>
      <c r="BZ65" s="54"/>
      <c r="CA65" s="56" t="str">
        <f>IFERROR(VLOOKUP(December[[#This Row],[Drug Name8]],'Data Options'!$R$1:$S$100,2,FALSE), " ")</f>
        <v xml:space="preserve"> </v>
      </c>
      <c r="CB65" s="55"/>
      <c r="CC65" s="32"/>
      <c r="CD65" s="32"/>
      <c r="CE65" s="55"/>
      <c r="CF65" s="32"/>
      <c r="CG65" s="54"/>
      <c r="CH65" s="56" t="str">
        <f>IFERROR(VLOOKUP(December[[#This Row],[Drug Name9]],'Data Options'!$R$1:$S$100,2,FALSE), " ")</f>
        <v xml:space="preserve"> </v>
      </c>
      <c r="CI65" s="55"/>
      <c r="CJ65" s="32"/>
      <c r="CK65" s="32"/>
      <c r="CL65" s="55"/>
      <c r="CM65" s="32"/>
    </row>
    <row r="66" spans="1:91">
      <c r="A66" s="5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31"/>
      <c r="Q66" s="54"/>
      <c r="R66" s="56" t="str">
        <f>IFERROR(VLOOKUP(December[[#This Row],[Drug Name]],'Data Options'!$R$1:$S$100,2,FALSE), " ")</f>
        <v xml:space="preserve"> </v>
      </c>
      <c r="S66" s="55"/>
      <c r="T66" s="32"/>
      <c r="U66" s="32"/>
      <c r="V66" s="55"/>
      <c r="W66" s="32"/>
      <c r="X66" s="54"/>
      <c r="Y66" s="56" t="str">
        <f>IFERROR(VLOOKUP(December[[#This Row],[Drug Name2]],'Data Options'!$R$1:$S$100,2,FALSE), " ")</f>
        <v xml:space="preserve"> </v>
      </c>
      <c r="Z66" s="55"/>
      <c r="AA66" s="32"/>
      <c r="AB66" s="32"/>
      <c r="AC66" s="55"/>
      <c r="AD66" s="32"/>
      <c r="AE66" s="54"/>
      <c r="AF66" s="56" t="str">
        <f>IFERROR(VLOOKUP(December[[#This Row],[Drug Name3]],'Data Options'!$R$1:$S$100,2,FALSE), " ")</f>
        <v xml:space="preserve"> </v>
      </c>
      <c r="AG66" s="55"/>
      <c r="AH66" s="32"/>
      <c r="AI66" s="32"/>
      <c r="AJ66" s="55"/>
      <c r="AK66" s="32"/>
      <c r="AL66" s="32"/>
      <c r="AM66" s="32"/>
      <c r="AN66" s="32"/>
      <c r="AO66" s="32"/>
      <c r="AP66" s="31"/>
      <c r="AQ66" s="31"/>
      <c r="AR66" s="54"/>
      <c r="AS66" s="56" t="str">
        <f>IFERROR(VLOOKUP(December[[#This Row],[Drug Name4]],'Data Options'!$R$1:$S$100,2,FALSE), " ")</f>
        <v xml:space="preserve"> </v>
      </c>
      <c r="AT66" s="55"/>
      <c r="AU66" s="32"/>
      <c r="AV66" s="32"/>
      <c r="AW66" s="55"/>
      <c r="AX66" s="32"/>
      <c r="AY66" s="54"/>
      <c r="AZ66" s="56" t="str">
        <f>IFERROR(VLOOKUP(December[[#This Row],[Drug Name5]],'Data Options'!$R$1:$S$100,2,FALSE), " ")</f>
        <v xml:space="preserve"> </v>
      </c>
      <c r="BA66" s="55"/>
      <c r="BB66" s="32"/>
      <c r="BC66" s="32"/>
      <c r="BD66" s="55"/>
      <c r="BE66" s="32"/>
      <c r="BF66" s="54"/>
      <c r="BG66" s="56" t="str">
        <f>IFERROR(VLOOKUP(December[[#This Row],[Drug Name6]],'Data Options'!$R$1:$S$100,2,FALSE), " ")</f>
        <v xml:space="preserve"> </v>
      </c>
      <c r="BH66" s="55"/>
      <c r="BI66" s="32"/>
      <c r="BJ66" s="32"/>
      <c r="BK66" s="55"/>
      <c r="BL66" s="32"/>
      <c r="BM66" s="32"/>
      <c r="BN66" s="32"/>
      <c r="BO66" s="32"/>
      <c r="BP66" s="32"/>
      <c r="BQ66" s="31"/>
      <c r="BR66" s="31"/>
      <c r="BS66" s="54"/>
      <c r="BT66" s="56" t="str">
        <f>IFERROR(VLOOKUP(December[[#This Row],[Drug Name7]],'Data Options'!$R$1:$S$100,2,FALSE), " ")</f>
        <v xml:space="preserve"> </v>
      </c>
      <c r="BU66" s="55"/>
      <c r="BV66" s="32"/>
      <c r="BW66" s="32"/>
      <c r="BX66" s="55"/>
      <c r="BY66" s="32"/>
      <c r="BZ66" s="54"/>
      <c r="CA66" s="56" t="str">
        <f>IFERROR(VLOOKUP(December[[#This Row],[Drug Name8]],'Data Options'!$R$1:$S$100,2,FALSE), " ")</f>
        <v xml:space="preserve"> </v>
      </c>
      <c r="CB66" s="55"/>
      <c r="CC66" s="32"/>
      <c r="CD66" s="32"/>
      <c r="CE66" s="55"/>
      <c r="CF66" s="32"/>
      <c r="CG66" s="54"/>
      <c r="CH66" s="56" t="str">
        <f>IFERROR(VLOOKUP(December[[#This Row],[Drug Name9]],'Data Options'!$R$1:$S$100,2,FALSE), " ")</f>
        <v xml:space="preserve"> </v>
      </c>
      <c r="CI66" s="55"/>
      <c r="CJ66" s="32"/>
      <c r="CK66" s="32"/>
      <c r="CL66" s="55"/>
      <c r="CM66" s="32"/>
    </row>
    <row r="67" spans="1:91">
      <c r="A67" s="5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31"/>
      <c r="Q67" s="54"/>
      <c r="R67" s="56" t="str">
        <f>IFERROR(VLOOKUP(December[[#This Row],[Drug Name]],'Data Options'!$R$1:$S$100,2,FALSE), " ")</f>
        <v xml:space="preserve"> </v>
      </c>
      <c r="S67" s="55"/>
      <c r="T67" s="32"/>
      <c r="U67" s="32"/>
      <c r="V67" s="55"/>
      <c r="W67" s="32"/>
      <c r="X67" s="54"/>
      <c r="Y67" s="56" t="str">
        <f>IFERROR(VLOOKUP(December[[#This Row],[Drug Name2]],'Data Options'!$R$1:$S$100,2,FALSE), " ")</f>
        <v xml:space="preserve"> </v>
      </c>
      <c r="Z67" s="55"/>
      <c r="AA67" s="32"/>
      <c r="AB67" s="32"/>
      <c r="AC67" s="55"/>
      <c r="AD67" s="32"/>
      <c r="AE67" s="54"/>
      <c r="AF67" s="56" t="str">
        <f>IFERROR(VLOOKUP(December[[#This Row],[Drug Name3]],'Data Options'!$R$1:$S$100,2,FALSE), " ")</f>
        <v xml:space="preserve"> </v>
      </c>
      <c r="AG67" s="55"/>
      <c r="AH67" s="32"/>
      <c r="AI67" s="32"/>
      <c r="AJ67" s="55"/>
      <c r="AK67" s="32"/>
      <c r="AL67" s="32"/>
      <c r="AM67" s="32"/>
      <c r="AN67" s="32"/>
      <c r="AO67" s="32"/>
      <c r="AP67" s="31"/>
      <c r="AQ67" s="31"/>
      <c r="AR67" s="54"/>
      <c r="AS67" s="56" t="str">
        <f>IFERROR(VLOOKUP(December[[#This Row],[Drug Name4]],'Data Options'!$R$1:$S$100,2,FALSE), " ")</f>
        <v xml:space="preserve"> </v>
      </c>
      <c r="AT67" s="55"/>
      <c r="AU67" s="32"/>
      <c r="AV67" s="32"/>
      <c r="AW67" s="55"/>
      <c r="AX67" s="32"/>
      <c r="AY67" s="54"/>
      <c r="AZ67" s="56" t="str">
        <f>IFERROR(VLOOKUP(December[[#This Row],[Drug Name5]],'Data Options'!$R$1:$S$100,2,FALSE), " ")</f>
        <v xml:space="preserve"> </v>
      </c>
      <c r="BA67" s="55"/>
      <c r="BB67" s="32"/>
      <c r="BC67" s="32"/>
      <c r="BD67" s="55"/>
      <c r="BE67" s="32"/>
      <c r="BF67" s="54"/>
      <c r="BG67" s="56" t="str">
        <f>IFERROR(VLOOKUP(December[[#This Row],[Drug Name6]],'Data Options'!$R$1:$S$100,2,FALSE), " ")</f>
        <v xml:space="preserve"> </v>
      </c>
      <c r="BH67" s="55"/>
      <c r="BI67" s="32"/>
      <c r="BJ67" s="32"/>
      <c r="BK67" s="55"/>
      <c r="BL67" s="32"/>
      <c r="BM67" s="32"/>
      <c r="BN67" s="32"/>
      <c r="BO67" s="32"/>
      <c r="BP67" s="32"/>
      <c r="BQ67" s="31"/>
      <c r="BR67" s="31"/>
      <c r="BS67" s="54"/>
      <c r="BT67" s="56" t="str">
        <f>IFERROR(VLOOKUP(December[[#This Row],[Drug Name7]],'Data Options'!$R$1:$S$100,2,FALSE), " ")</f>
        <v xml:space="preserve"> </v>
      </c>
      <c r="BU67" s="55"/>
      <c r="BV67" s="32"/>
      <c r="BW67" s="32"/>
      <c r="BX67" s="55"/>
      <c r="BY67" s="32"/>
      <c r="BZ67" s="54"/>
      <c r="CA67" s="56" t="str">
        <f>IFERROR(VLOOKUP(December[[#This Row],[Drug Name8]],'Data Options'!$R$1:$S$100,2,FALSE), " ")</f>
        <v xml:space="preserve"> </v>
      </c>
      <c r="CB67" s="55"/>
      <c r="CC67" s="32"/>
      <c r="CD67" s="32"/>
      <c r="CE67" s="55"/>
      <c r="CF67" s="32"/>
      <c r="CG67" s="54"/>
      <c r="CH67" s="56" t="str">
        <f>IFERROR(VLOOKUP(December[[#This Row],[Drug Name9]],'Data Options'!$R$1:$S$100,2,FALSE), " ")</f>
        <v xml:space="preserve"> </v>
      </c>
      <c r="CI67" s="55"/>
      <c r="CJ67" s="32"/>
      <c r="CK67" s="32"/>
      <c r="CL67" s="55"/>
      <c r="CM67" s="32"/>
    </row>
    <row r="68" spans="1:91">
      <c r="A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31"/>
      <c r="Q68" s="54"/>
      <c r="R68" s="56" t="str">
        <f>IFERROR(VLOOKUP(December[[#This Row],[Drug Name]],'Data Options'!$R$1:$S$100,2,FALSE), " ")</f>
        <v xml:space="preserve"> </v>
      </c>
      <c r="S68" s="55"/>
      <c r="T68" s="32"/>
      <c r="U68" s="32"/>
      <c r="V68" s="55"/>
      <c r="W68" s="32"/>
      <c r="X68" s="54"/>
      <c r="Y68" s="56" t="str">
        <f>IFERROR(VLOOKUP(December[[#This Row],[Drug Name2]],'Data Options'!$R$1:$S$100,2,FALSE), " ")</f>
        <v xml:space="preserve"> </v>
      </c>
      <c r="Z68" s="55"/>
      <c r="AA68" s="32"/>
      <c r="AB68" s="32"/>
      <c r="AC68" s="55"/>
      <c r="AD68" s="32"/>
      <c r="AE68" s="54"/>
      <c r="AF68" s="56" t="str">
        <f>IFERROR(VLOOKUP(December[[#This Row],[Drug Name3]],'Data Options'!$R$1:$S$100,2,FALSE), " ")</f>
        <v xml:space="preserve"> </v>
      </c>
      <c r="AG68" s="55"/>
      <c r="AH68" s="32"/>
      <c r="AI68" s="32"/>
      <c r="AJ68" s="55"/>
      <c r="AK68" s="32"/>
      <c r="AL68" s="32"/>
      <c r="AM68" s="32"/>
      <c r="AN68" s="32"/>
      <c r="AO68" s="32"/>
      <c r="AP68" s="31"/>
      <c r="AQ68" s="31"/>
      <c r="AR68" s="54"/>
      <c r="AS68" s="56" t="str">
        <f>IFERROR(VLOOKUP(December[[#This Row],[Drug Name4]],'Data Options'!$R$1:$S$100,2,FALSE), " ")</f>
        <v xml:space="preserve"> </v>
      </c>
      <c r="AT68" s="55"/>
      <c r="AU68" s="32"/>
      <c r="AV68" s="32"/>
      <c r="AW68" s="55"/>
      <c r="AX68" s="32"/>
      <c r="AY68" s="54"/>
      <c r="AZ68" s="56" t="str">
        <f>IFERROR(VLOOKUP(December[[#This Row],[Drug Name5]],'Data Options'!$R$1:$S$100,2,FALSE), " ")</f>
        <v xml:space="preserve"> </v>
      </c>
      <c r="BA68" s="55"/>
      <c r="BB68" s="32"/>
      <c r="BC68" s="32"/>
      <c r="BD68" s="55"/>
      <c r="BE68" s="32"/>
      <c r="BF68" s="54"/>
      <c r="BG68" s="56" t="str">
        <f>IFERROR(VLOOKUP(December[[#This Row],[Drug Name6]],'Data Options'!$R$1:$S$100,2,FALSE), " ")</f>
        <v xml:space="preserve"> </v>
      </c>
      <c r="BH68" s="55"/>
      <c r="BI68" s="32"/>
      <c r="BJ68" s="32"/>
      <c r="BK68" s="55"/>
      <c r="BL68" s="32"/>
      <c r="BM68" s="32"/>
      <c r="BN68" s="32"/>
      <c r="BO68" s="32"/>
      <c r="BP68" s="32"/>
      <c r="BQ68" s="31"/>
      <c r="BR68" s="31"/>
      <c r="BS68" s="54"/>
      <c r="BT68" s="56" t="str">
        <f>IFERROR(VLOOKUP(December[[#This Row],[Drug Name7]],'Data Options'!$R$1:$S$100,2,FALSE), " ")</f>
        <v xml:space="preserve"> </v>
      </c>
      <c r="BU68" s="55"/>
      <c r="BV68" s="32"/>
      <c r="BW68" s="32"/>
      <c r="BX68" s="55"/>
      <c r="BY68" s="32"/>
      <c r="BZ68" s="54"/>
      <c r="CA68" s="56" t="str">
        <f>IFERROR(VLOOKUP(December[[#This Row],[Drug Name8]],'Data Options'!$R$1:$S$100,2,FALSE), " ")</f>
        <v xml:space="preserve"> </v>
      </c>
      <c r="CB68" s="55"/>
      <c r="CC68" s="32"/>
      <c r="CD68" s="32"/>
      <c r="CE68" s="55"/>
      <c r="CF68" s="32"/>
      <c r="CG68" s="54"/>
      <c r="CH68" s="56" t="str">
        <f>IFERROR(VLOOKUP(December[[#This Row],[Drug Name9]],'Data Options'!$R$1:$S$100,2,FALSE), " ")</f>
        <v xml:space="preserve"> </v>
      </c>
      <c r="CI68" s="55"/>
      <c r="CJ68" s="32"/>
      <c r="CK68" s="32"/>
      <c r="CL68" s="55"/>
      <c r="CM68" s="32"/>
    </row>
    <row r="69" spans="1:91">
      <c r="A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31"/>
      <c r="Q69" s="54"/>
      <c r="R69" s="56" t="str">
        <f>IFERROR(VLOOKUP(December[[#This Row],[Drug Name]],'Data Options'!$R$1:$S$100,2,FALSE), " ")</f>
        <v xml:space="preserve"> </v>
      </c>
      <c r="S69" s="55"/>
      <c r="T69" s="32"/>
      <c r="U69" s="32"/>
      <c r="V69" s="55"/>
      <c r="W69" s="32"/>
      <c r="X69" s="54"/>
      <c r="Y69" s="56" t="str">
        <f>IFERROR(VLOOKUP(December[[#This Row],[Drug Name2]],'Data Options'!$R$1:$S$100,2,FALSE), " ")</f>
        <v xml:space="preserve"> </v>
      </c>
      <c r="Z69" s="55"/>
      <c r="AA69" s="32"/>
      <c r="AB69" s="32"/>
      <c r="AC69" s="55"/>
      <c r="AD69" s="32"/>
      <c r="AE69" s="54"/>
      <c r="AF69" s="56" t="str">
        <f>IFERROR(VLOOKUP(December[[#This Row],[Drug Name3]],'Data Options'!$R$1:$S$100,2,FALSE), " ")</f>
        <v xml:space="preserve"> </v>
      </c>
      <c r="AG69" s="55"/>
      <c r="AH69" s="32"/>
      <c r="AI69" s="32"/>
      <c r="AJ69" s="55"/>
      <c r="AK69" s="32"/>
      <c r="AL69" s="32"/>
      <c r="AM69" s="32"/>
      <c r="AN69" s="32"/>
      <c r="AO69" s="32"/>
      <c r="AP69" s="31"/>
      <c r="AQ69" s="31"/>
      <c r="AR69" s="54"/>
      <c r="AS69" s="56" t="str">
        <f>IFERROR(VLOOKUP(December[[#This Row],[Drug Name4]],'Data Options'!$R$1:$S$100,2,FALSE), " ")</f>
        <v xml:space="preserve"> </v>
      </c>
      <c r="AT69" s="55"/>
      <c r="AU69" s="32"/>
      <c r="AV69" s="32"/>
      <c r="AW69" s="55"/>
      <c r="AX69" s="32"/>
      <c r="AY69" s="54"/>
      <c r="AZ69" s="56" t="str">
        <f>IFERROR(VLOOKUP(December[[#This Row],[Drug Name5]],'Data Options'!$R$1:$S$100,2,FALSE), " ")</f>
        <v xml:space="preserve"> </v>
      </c>
      <c r="BA69" s="55"/>
      <c r="BB69" s="32"/>
      <c r="BC69" s="32"/>
      <c r="BD69" s="55"/>
      <c r="BE69" s="32"/>
      <c r="BF69" s="54"/>
      <c r="BG69" s="56" t="str">
        <f>IFERROR(VLOOKUP(December[[#This Row],[Drug Name6]],'Data Options'!$R$1:$S$100,2,FALSE), " ")</f>
        <v xml:space="preserve"> </v>
      </c>
      <c r="BH69" s="55"/>
      <c r="BI69" s="32"/>
      <c r="BJ69" s="32"/>
      <c r="BK69" s="55"/>
      <c r="BL69" s="32"/>
      <c r="BM69" s="32"/>
      <c r="BN69" s="32"/>
      <c r="BO69" s="32"/>
      <c r="BP69" s="32"/>
      <c r="BQ69" s="31"/>
      <c r="BR69" s="31"/>
      <c r="BS69" s="54"/>
      <c r="BT69" s="56" t="str">
        <f>IFERROR(VLOOKUP(December[[#This Row],[Drug Name7]],'Data Options'!$R$1:$S$100,2,FALSE), " ")</f>
        <v xml:space="preserve"> </v>
      </c>
      <c r="BU69" s="55"/>
      <c r="BV69" s="32"/>
      <c r="BW69" s="32"/>
      <c r="BX69" s="55"/>
      <c r="BY69" s="32"/>
      <c r="BZ69" s="54"/>
      <c r="CA69" s="56" t="str">
        <f>IFERROR(VLOOKUP(December[[#This Row],[Drug Name8]],'Data Options'!$R$1:$S$100,2,FALSE), " ")</f>
        <v xml:space="preserve"> </v>
      </c>
      <c r="CB69" s="55"/>
      <c r="CC69" s="32"/>
      <c r="CD69" s="32"/>
      <c r="CE69" s="55"/>
      <c r="CF69" s="32"/>
      <c r="CG69" s="54"/>
      <c r="CH69" s="56" t="str">
        <f>IFERROR(VLOOKUP(December[[#This Row],[Drug Name9]],'Data Options'!$R$1:$S$100,2,FALSE), " ")</f>
        <v xml:space="preserve"> </v>
      </c>
      <c r="CI69" s="55"/>
      <c r="CJ69" s="32"/>
      <c r="CK69" s="32"/>
      <c r="CL69" s="55"/>
      <c r="CM69" s="32"/>
    </row>
    <row r="70" spans="1:91">
      <c r="A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31"/>
      <c r="Q70" s="54"/>
      <c r="R70" s="56" t="str">
        <f>IFERROR(VLOOKUP(December[[#This Row],[Drug Name]],'Data Options'!$R$1:$S$100,2,FALSE), " ")</f>
        <v xml:space="preserve"> </v>
      </c>
      <c r="S70" s="55"/>
      <c r="T70" s="32"/>
      <c r="U70" s="32"/>
      <c r="V70" s="55"/>
      <c r="W70" s="32"/>
      <c r="X70" s="54"/>
      <c r="Y70" s="56" t="str">
        <f>IFERROR(VLOOKUP(December[[#This Row],[Drug Name2]],'Data Options'!$R$1:$S$100,2,FALSE), " ")</f>
        <v xml:space="preserve"> </v>
      </c>
      <c r="Z70" s="55"/>
      <c r="AA70" s="32"/>
      <c r="AB70" s="32"/>
      <c r="AC70" s="55"/>
      <c r="AD70" s="32"/>
      <c r="AE70" s="54"/>
      <c r="AF70" s="56" t="str">
        <f>IFERROR(VLOOKUP(December[[#This Row],[Drug Name3]],'Data Options'!$R$1:$S$100,2,FALSE), " ")</f>
        <v xml:space="preserve"> </v>
      </c>
      <c r="AG70" s="55"/>
      <c r="AH70" s="32"/>
      <c r="AI70" s="32"/>
      <c r="AJ70" s="55"/>
      <c r="AK70" s="32"/>
      <c r="AL70" s="32"/>
      <c r="AM70" s="32"/>
      <c r="AN70" s="32"/>
      <c r="AO70" s="32"/>
      <c r="AP70" s="31"/>
      <c r="AQ70" s="31"/>
      <c r="AR70" s="54"/>
      <c r="AS70" s="56" t="str">
        <f>IFERROR(VLOOKUP(December[[#This Row],[Drug Name4]],'Data Options'!$R$1:$S$100,2,FALSE), " ")</f>
        <v xml:space="preserve"> </v>
      </c>
      <c r="AT70" s="55"/>
      <c r="AU70" s="32"/>
      <c r="AV70" s="32"/>
      <c r="AW70" s="55"/>
      <c r="AX70" s="32"/>
      <c r="AY70" s="54"/>
      <c r="AZ70" s="56" t="str">
        <f>IFERROR(VLOOKUP(December[[#This Row],[Drug Name5]],'Data Options'!$R$1:$S$100,2,FALSE), " ")</f>
        <v xml:space="preserve"> </v>
      </c>
      <c r="BA70" s="55"/>
      <c r="BB70" s="32"/>
      <c r="BC70" s="32"/>
      <c r="BD70" s="55"/>
      <c r="BE70" s="32"/>
      <c r="BF70" s="54"/>
      <c r="BG70" s="56" t="str">
        <f>IFERROR(VLOOKUP(December[[#This Row],[Drug Name6]],'Data Options'!$R$1:$S$100,2,FALSE), " ")</f>
        <v xml:space="preserve"> </v>
      </c>
      <c r="BH70" s="55"/>
      <c r="BI70" s="32"/>
      <c r="BJ70" s="32"/>
      <c r="BK70" s="55"/>
      <c r="BL70" s="32"/>
      <c r="BM70" s="32"/>
      <c r="BN70" s="32"/>
      <c r="BO70" s="32"/>
      <c r="BP70" s="32"/>
      <c r="BQ70" s="31"/>
      <c r="BR70" s="31"/>
      <c r="BS70" s="54"/>
      <c r="BT70" s="56" t="str">
        <f>IFERROR(VLOOKUP(December[[#This Row],[Drug Name7]],'Data Options'!$R$1:$S$100,2,FALSE), " ")</f>
        <v xml:space="preserve"> </v>
      </c>
      <c r="BU70" s="55"/>
      <c r="BV70" s="32"/>
      <c r="BW70" s="32"/>
      <c r="BX70" s="55"/>
      <c r="BY70" s="32"/>
      <c r="BZ70" s="54"/>
      <c r="CA70" s="56" t="str">
        <f>IFERROR(VLOOKUP(December[[#This Row],[Drug Name8]],'Data Options'!$R$1:$S$100,2,FALSE), " ")</f>
        <v xml:space="preserve"> </v>
      </c>
      <c r="CB70" s="55"/>
      <c r="CC70" s="32"/>
      <c r="CD70" s="32"/>
      <c r="CE70" s="55"/>
      <c r="CF70" s="32"/>
      <c r="CG70" s="54"/>
      <c r="CH70" s="56" t="str">
        <f>IFERROR(VLOOKUP(December[[#This Row],[Drug Name9]],'Data Options'!$R$1:$S$100,2,FALSE), " ")</f>
        <v xml:space="preserve"> </v>
      </c>
      <c r="CI70" s="55"/>
      <c r="CJ70" s="32"/>
      <c r="CK70" s="32"/>
      <c r="CL70" s="55"/>
      <c r="CM70" s="32"/>
    </row>
    <row r="71" spans="1:91">
      <c r="A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31"/>
      <c r="Q71" s="54"/>
      <c r="R71" s="56" t="str">
        <f>IFERROR(VLOOKUP(December[[#This Row],[Drug Name]],'Data Options'!$R$1:$S$100,2,FALSE), " ")</f>
        <v xml:space="preserve"> </v>
      </c>
      <c r="S71" s="55"/>
      <c r="T71" s="32"/>
      <c r="U71" s="32"/>
      <c r="V71" s="55"/>
      <c r="W71" s="32"/>
      <c r="X71" s="54"/>
      <c r="Y71" s="56" t="str">
        <f>IFERROR(VLOOKUP(December[[#This Row],[Drug Name2]],'Data Options'!$R$1:$S$100,2,FALSE), " ")</f>
        <v xml:space="preserve"> </v>
      </c>
      <c r="Z71" s="55"/>
      <c r="AA71" s="32"/>
      <c r="AB71" s="32"/>
      <c r="AC71" s="55"/>
      <c r="AD71" s="32"/>
      <c r="AE71" s="54"/>
      <c r="AF71" s="56" t="str">
        <f>IFERROR(VLOOKUP(December[[#This Row],[Drug Name3]],'Data Options'!$R$1:$S$100,2,FALSE), " ")</f>
        <v xml:space="preserve"> </v>
      </c>
      <c r="AG71" s="55"/>
      <c r="AH71" s="32"/>
      <c r="AI71" s="32"/>
      <c r="AJ71" s="55"/>
      <c r="AK71" s="32"/>
      <c r="AL71" s="32"/>
      <c r="AM71" s="32"/>
      <c r="AN71" s="32"/>
      <c r="AO71" s="32"/>
      <c r="AP71" s="31"/>
      <c r="AQ71" s="31"/>
      <c r="AR71" s="54"/>
      <c r="AS71" s="56" t="str">
        <f>IFERROR(VLOOKUP(December[[#This Row],[Drug Name4]],'Data Options'!$R$1:$S$100,2,FALSE), " ")</f>
        <v xml:space="preserve"> </v>
      </c>
      <c r="AT71" s="55"/>
      <c r="AU71" s="32"/>
      <c r="AV71" s="32"/>
      <c r="AW71" s="55"/>
      <c r="AX71" s="32"/>
      <c r="AY71" s="54"/>
      <c r="AZ71" s="56" t="str">
        <f>IFERROR(VLOOKUP(December[[#This Row],[Drug Name5]],'Data Options'!$R$1:$S$100,2,FALSE), " ")</f>
        <v xml:space="preserve"> </v>
      </c>
      <c r="BA71" s="55"/>
      <c r="BB71" s="32"/>
      <c r="BC71" s="32"/>
      <c r="BD71" s="55"/>
      <c r="BE71" s="32"/>
      <c r="BF71" s="54"/>
      <c r="BG71" s="56" t="str">
        <f>IFERROR(VLOOKUP(December[[#This Row],[Drug Name6]],'Data Options'!$R$1:$S$100,2,FALSE), " ")</f>
        <v xml:space="preserve"> </v>
      </c>
      <c r="BH71" s="55"/>
      <c r="BI71" s="32"/>
      <c r="BJ71" s="32"/>
      <c r="BK71" s="55"/>
      <c r="BL71" s="32"/>
      <c r="BM71" s="32"/>
      <c r="BN71" s="32"/>
      <c r="BO71" s="32"/>
      <c r="BP71" s="32"/>
      <c r="BQ71" s="31"/>
      <c r="BR71" s="31"/>
      <c r="BS71" s="54"/>
      <c r="BT71" s="56" t="str">
        <f>IFERROR(VLOOKUP(December[[#This Row],[Drug Name7]],'Data Options'!$R$1:$S$100,2,FALSE), " ")</f>
        <v xml:space="preserve"> </v>
      </c>
      <c r="BU71" s="55"/>
      <c r="BV71" s="32"/>
      <c r="BW71" s="32"/>
      <c r="BX71" s="55"/>
      <c r="BY71" s="32"/>
      <c r="BZ71" s="54"/>
      <c r="CA71" s="56" t="str">
        <f>IFERROR(VLOOKUP(December[[#This Row],[Drug Name8]],'Data Options'!$R$1:$S$100,2,FALSE), " ")</f>
        <v xml:space="preserve"> </v>
      </c>
      <c r="CB71" s="55"/>
      <c r="CC71" s="32"/>
      <c r="CD71" s="32"/>
      <c r="CE71" s="55"/>
      <c r="CF71" s="32"/>
      <c r="CG71" s="54"/>
      <c r="CH71" s="56" t="str">
        <f>IFERROR(VLOOKUP(December[[#This Row],[Drug Name9]],'Data Options'!$R$1:$S$100,2,FALSE), " ")</f>
        <v xml:space="preserve"> </v>
      </c>
      <c r="CI71" s="55"/>
      <c r="CJ71" s="32"/>
      <c r="CK71" s="32"/>
      <c r="CL71" s="55"/>
      <c r="CM71" s="32"/>
    </row>
    <row r="72" spans="1:91">
      <c r="A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54"/>
      <c r="R72" s="56" t="str">
        <f>IFERROR(VLOOKUP(December[[#This Row],[Drug Name]],'Data Options'!$R$1:$S$100,2,FALSE), " ")</f>
        <v xml:space="preserve"> </v>
      </c>
      <c r="S72" s="55"/>
      <c r="T72" s="32"/>
      <c r="U72" s="32"/>
      <c r="V72" s="55"/>
      <c r="W72" s="32"/>
      <c r="X72" s="54"/>
      <c r="Y72" s="56" t="str">
        <f>IFERROR(VLOOKUP(December[[#This Row],[Drug Name2]],'Data Options'!$R$1:$S$100,2,FALSE), " ")</f>
        <v xml:space="preserve"> </v>
      </c>
      <c r="Z72" s="55"/>
      <c r="AA72" s="32"/>
      <c r="AB72" s="32"/>
      <c r="AC72" s="55"/>
      <c r="AD72" s="32"/>
      <c r="AE72" s="54"/>
      <c r="AF72" s="56" t="str">
        <f>IFERROR(VLOOKUP(December[[#This Row],[Drug Name3]],'Data Options'!$R$1:$S$100,2,FALSE), " ")</f>
        <v xml:space="preserve"> </v>
      </c>
      <c r="AG72" s="55"/>
      <c r="AH72" s="32"/>
      <c r="AI72" s="32"/>
      <c r="AJ72" s="55"/>
      <c r="AK72" s="32"/>
      <c r="AL72" s="32"/>
      <c r="AM72" s="32"/>
      <c r="AN72" s="32"/>
      <c r="AO72" s="32"/>
      <c r="AP72" s="31"/>
      <c r="AQ72" s="31"/>
      <c r="AR72" s="54"/>
      <c r="AS72" s="56" t="str">
        <f>IFERROR(VLOOKUP(December[[#This Row],[Drug Name4]],'Data Options'!$R$1:$S$100,2,FALSE), " ")</f>
        <v xml:space="preserve"> </v>
      </c>
      <c r="AT72" s="55"/>
      <c r="AU72" s="32"/>
      <c r="AV72" s="32"/>
      <c r="AW72" s="55"/>
      <c r="AX72" s="32"/>
      <c r="AY72" s="54"/>
      <c r="AZ72" s="56" t="str">
        <f>IFERROR(VLOOKUP(December[[#This Row],[Drug Name5]],'Data Options'!$R$1:$S$100,2,FALSE), " ")</f>
        <v xml:space="preserve"> </v>
      </c>
      <c r="BA72" s="55"/>
      <c r="BB72" s="32"/>
      <c r="BC72" s="32"/>
      <c r="BD72" s="55"/>
      <c r="BE72" s="32"/>
      <c r="BF72" s="54"/>
      <c r="BG72" s="56" t="str">
        <f>IFERROR(VLOOKUP(December[[#This Row],[Drug Name6]],'Data Options'!$R$1:$S$100,2,FALSE), " ")</f>
        <v xml:space="preserve"> </v>
      </c>
      <c r="BH72" s="55"/>
      <c r="BI72" s="32"/>
      <c r="BJ72" s="32"/>
      <c r="BK72" s="55"/>
      <c r="BL72" s="32"/>
      <c r="BM72" s="32"/>
      <c r="BN72" s="32"/>
      <c r="BO72" s="32"/>
      <c r="BP72" s="32"/>
      <c r="BQ72" s="31"/>
      <c r="BR72" s="31"/>
      <c r="BS72" s="54"/>
      <c r="BT72" s="56" t="str">
        <f>IFERROR(VLOOKUP(December[[#This Row],[Drug Name7]],'Data Options'!$R$1:$S$100,2,FALSE), " ")</f>
        <v xml:space="preserve"> </v>
      </c>
      <c r="BU72" s="55"/>
      <c r="BV72" s="32"/>
      <c r="BW72" s="32"/>
      <c r="BX72" s="55"/>
      <c r="BY72" s="32"/>
      <c r="BZ72" s="54"/>
      <c r="CA72" s="56" t="str">
        <f>IFERROR(VLOOKUP(December[[#This Row],[Drug Name8]],'Data Options'!$R$1:$S$100,2,FALSE), " ")</f>
        <v xml:space="preserve"> </v>
      </c>
      <c r="CB72" s="55"/>
      <c r="CC72" s="32"/>
      <c r="CD72" s="32"/>
      <c r="CE72" s="55"/>
      <c r="CF72" s="32"/>
      <c r="CG72" s="54"/>
      <c r="CH72" s="56" t="str">
        <f>IFERROR(VLOOKUP(December[[#This Row],[Drug Name9]],'Data Options'!$R$1:$S$100,2,FALSE), " ")</f>
        <v xml:space="preserve"> </v>
      </c>
      <c r="CI72" s="55"/>
      <c r="CJ72" s="32"/>
      <c r="CK72" s="32"/>
      <c r="CL72" s="55"/>
      <c r="CM72" s="32"/>
    </row>
    <row r="73" spans="1:91">
      <c r="A73" s="5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31"/>
      <c r="Q73" s="54"/>
      <c r="R73" s="56" t="str">
        <f>IFERROR(VLOOKUP(December[[#This Row],[Drug Name]],'Data Options'!$R$1:$S$100,2,FALSE), " ")</f>
        <v xml:space="preserve"> </v>
      </c>
      <c r="S73" s="55"/>
      <c r="T73" s="32"/>
      <c r="U73" s="32"/>
      <c r="V73" s="55"/>
      <c r="W73" s="32"/>
      <c r="X73" s="54"/>
      <c r="Y73" s="56" t="str">
        <f>IFERROR(VLOOKUP(December[[#This Row],[Drug Name2]],'Data Options'!$R$1:$S$100,2,FALSE), " ")</f>
        <v xml:space="preserve"> </v>
      </c>
      <c r="Z73" s="55"/>
      <c r="AA73" s="32"/>
      <c r="AB73" s="32"/>
      <c r="AC73" s="55"/>
      <c r="AD73" s="32"/>
      <c r="AE73" s="54"/>
      <c r="AF73" s="56" t="str">
        <f>IFERROR(VLOOKUP(December[[#This Row],[Drug Name3]],'Data Options'!$R$1:$S$100,2,FALSE), " ")</f>
        <v xml:space="preserve"> </v>
      </c>
      <c r="AG73" s="55"/>
      <c r="AH73" s="32"/>
      <c r="AI73" s="32"/>
      <c r="AJ73" s="55"/>
      <c r="AK73" s="32"/>
      <c r="AL73" s="32"/>
      <c r="AM73" s="32"/>
      <c r="AN73" s="32"/>
      <c r="AO73" s="32"/>
      <c r="AP73" s="31"/>
      <c r="AQ73" s="31"/>
      <c r="AR73" s="54"/>
      <c r="AS73" s="56" t="str">
        <f>IFERROR(VLOOKUP(December[[#This Row],[Drug Name4]],'Data Options'!$R$1:$S$100,2,FALSE), " ")</f>
        <v xml:space="preserve"> </v>
      </c>
      <c r="AT73" s="55"/>
      <c r="AU73" s="32"/>
      <c r="AV73" s="32"/>
      <c r="AW73" s="55"/>
      <c r="AX73" s="32"/>
      <c r="AY73" s="54"/>
      <c r="AZ73" s="56" t="str">
        <f>IFERROR(VLOOKUP(December[[#This Row],[Drug Name5]],'Data Options'!$R$1:$S$100,2,FALSE), " ")</f>
        <v xml:space="preserve"> </v>
      </c>
      <c r="BA73" s="55"/>
      <c r="BB73" s="32"/>
      <c r="BC73" s="32"/>
      <c r="BD73" s="55"/>
      <c r="BE73" s="32"/>
      <c r="BF73" s="54"/>
      <c r="BG73" s="56" t="str">
        <f>IFERROR(VLOOKUP(December[[#This Row],[Drug Name6]],'Data Options'!$R$1:$S$100,2,FALSE), " ")</f>
        <v xml:space="preserve"> </v>
      </c>
      <c r="BH73" s="55"/>
      <c r="BI73" s="32"/>
      <c r="BJ73" s="32"/>
      <c r="BK73" s="55"/>
      <c r="BL73" s="32"/>
      <c r="BM73" s="32"/>
      <c r="BN73" s="32"/>
      <c r="BO73" s="32"/>
      <c r="BP73" s="32"/>
      <c r="BQ73" s="31"/>
      <c r="BR73" s="31"/>
      <c r="BS73" s="54"/>
      <c r="BT73" s="56" t="str">
        <f>IFERROR(VLOOKUP(December[[#This Row],[Drug Name7]],'Data Options'!$R$1:$S$100,2,FALSE), " ")</f>
        <v xml:space="preserve"> </v>
      </c>
      <c r="BU73" s="55"/>
      <c r="BV73" s="32"/>
      <c r="BW73" s="32"/>
      <c r="BX73" s="55"/>
      <c r="BY73" s="32"/>
      <c r="BZ73" s="54"/>
      <c r="CA73" s="56" t="str">
        <f>IFERROR(VLOOKUP(December[[#This Row],[Drug Name8]],'Data Options'!$R$1:$S$100,2,FALSE), " ")</f>
        <v xml:space="preserve"> </v>
      </c>
      <c r="CB73" s="55"/>
      <c r="CC73" s="32"/>
      <c r="CD73" s="32"/>
      <c r="CE73" s="55"/>
      <c r="CF73" s="32"/>
      <c r="CG73" s="54"/>
      <c r="CH73" s="56" t="str">
        <f>IFERROR(VLOOKUP(December[[#This Row],[Drug Name9]],'Data Options'!$R$1:$S$100,2,FALSE), " ")</f>
        <v xml:space="preserve"> </v>
      </c>
      <c r="CI73" s="55"/>
      <c r="CJ73" s="32"/>
      <c r="CK73" s="32"/>
      <c r="CL73" s="55"/>
      <c r="CM73" s="32"/>
    </row>
    <row r="74" spans="1:91">
      <c r="A74" s="5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31"/>
      <c r="Q74" s="54"/>
      <c r="R74" s="56" t="str">
        <f>IFERROR(VLOOKUP(December[[#This Row],[Drug Name]],'Data Options'!$R$1:$S$100,2,FALSE), " ")</f>
        <v xml:space="preserve"> </v>
      </c>
      <c r="S74" s="55"/>
      <c r="T74" s="32"/>
      <c r="U74" s="32"/>
      <c r="V74" s="55"/>
      <c r="W74" s="32"/>
      <c r="X74" s="54"/>
      <c r="Y74" s="56" t="str">
        <f>IFERROR(VLOOKUP(December[[#This Row],[Drug Name2]],'Data Options'!$R$1:$S$100,2,FALSE), " ")</f>
        <v xml:space="preserve"> </v>
      </c>
      <c r="Z74" s="55"/>
      <c r="AA74" s="32"/>
      <c r="AB74" s="32"/>
      <c r="AC74" s="55"/>
      <c r="AD74" s="32"/>
      <c r="AE74" s="54"/>
      <c r="AF74" s="56" t="str">
        <f>IFERROR(VLOOKUP(December[[#This Row],[Drug Name3]],'Data Options'!$R$1:$S$100,2,FALSE), " ")</f>
        <v xml:space="preserve"> </v>
      </c>
      <c r="AG74" s="55"/>
      <c r="AH74" s="32"/>
      <c r="AI74" s="32"/>
      <c r="AJ74" s="55"/>
      <c r="AK74" s="32"/>
      <c r="AL74" s="32"/>
      <c r="AM74" s="32"/>
      <c r="AN74" s="32"/>
      <c r="AO74" s="32"/>
      <c r="AP74" s="31"/>
      <c r="AQ74" s="31"/>
      <c r="AR74" s="54"/>
      <c r="AS74" s="56" t="str">
        <f>IFERROR(VLOOKUP(December[[#This Row],[Drug Name4]],'Data Options'!$R$1:$S$100,2,FALSE), " ")</f>
        <v xml:space="preserve"> </v>
      </c>
      <c r="AT74" s="55"/>
      <c r="AU74" s="32"/>
      <c r="AV74" s="32"/>
      <c r="AW74" s="55"/>
      <c r="AX74" s="32"/>
      <c r="AY74" s="54"/>
      <c r="AZ74" s="56" t="str">
        <f>IFERROR(VLOOKUP(December[[#This Row],[Drug Name5]],'Data Options'!$R$1:$S$100,2,FALSE), " ")</f>
        <v xml:space="preserve"> </v>
      </c>
      <c r="BA74" s="55"/>
      <c r="BB74" s="32"/>
      <c r="BC74" s="32"/>
      <c r="BD74" s="55"/>
      <c r="BE74" s="32"/>
      <c r="BF74" s="54"/>
      <c r="BG74" s="56" t="str">
        <f>IFERROR(VLOOKUP(December[[#This Row],[Drug Name6]],'Data Options'!$R$1:$S$100,2,FALSE), " ")</f>
        <v xml:space="preserve"> </v>
      </c>
      <c r="BH74" s="55"/>
      <c r="BI74" s="32"/>
      <c r="BJ74" s="32"/>
      <c r="BK74" s="55"/>
      <c r="BL74" s="32"/>
      <c r="BM74" s="32"/>
      <c r="BN74" s="32"/>
      <c r="BO74" s="32"/>
      <c r="BP74" s="32"/>
      <c r="BQ74" s="31"/>
      <c r="BR74" s="31"/>
      <c r="BS74" s="54"/>
      <c r="BT74" s="56" t="str">
        <f>IFERROR(VLOOKUP(December[[#This Row],[Drug Name7]],'Data Options'!$R$1:$S$100,2,FALSE), " ")</f>
        <v xml:space="preserve"> </v>
      </c>
      <c r="BU74" s="55"/>
      <c r="BV74" s="32"/>
      <c r="BW74" s="32"/>
      <c r="BX74" s="55"/>
      <c r="BY74" s="32"/>
      <c r="BZ74" s="54"/>
      <c r="CA74" s="56" t="str">
        <f>IFERROR(VLOOKUP(December[[#This Row],[Drug Name8]],'Data Options'!$R$1:$S$100,2,FALSE), " ")</f>
        <v xml:space="preserve"> </v>
      </c>
      <c r="CB74" s="55"/>
      <c r="CC74" s="32"/>
      <c r="CD74" s="32"/>
      <c r="CE74" s="55"/>
      <c r="CF74" s="32"/>
      <c r="CG74" s="54"/>
      <c r="CH74" s="56" t="str">
        <f>IFERROR(VLOOKUP(December[[#This Row],[Drug Name9]],'Data Options'!$R$1:$S$100,2,FALSE), " ")</f>
        <v xml:space="preserve"> </v>
      </c>
      <c r="CI74" s="55"/>
      <c r="CJ74" s="32"/>
      <c r="CK74" s="32"/>
      <c r="CL74" s="55"/>
      <c r="CM74" s="32"/>
    </row>
    <row r="75" spans="1:91">
      <c r="A75" s="5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31"/>
      <c r="Q75" s="54"/>
      <c r="R75" s="56" t="str">
        <f>IFERROR(VLOOKUP(December[[#This Row],[Drug Name]],'Data Options'!$R$1:$S$100,2,FALSE), " ")</f>
        <v xml:space="preserve"> </v>
      </c>
      <c r="S75" s="55"/>
      <c r="T75" s="32"/>
      <c r="U75" s="32"/>
      <c r="V75" s="55"/>
      <c r="W75" s="32"/>
      <c r="X75" s="54"/>
      <c r="Y75" s="56" t="str">
        <f>IFERROR(VLOOKUP(December[[#This Row],[Drug Name2]],'Data Options'!$R$1:$S$100,2,FALSE), " ")</f>
        <v xml:space="preserve"> </v>
      </c>
      <c r="Z75" s="55"/>
      <c r="AA75" s="32"/>
      <c r="AB75" s="32"/>
      <c r="AC75" s="55"/>
      <c r="AD75" s="32"/>
      <c r="AE75" s="54"/>
      <c r="AF75" s="56" t="str">
        <f>IFERROR(VLOOKUP(December[[#This Row],[Drug Name3]],'Data Options'!$R$1:$S$100,2,FALSE), " ")</f>
        <v xml:space="preserve"> </v>
      </c>
      <c r="AG75" s="55"/>
      <c r="AH75" s="32"/>
      <c r="AI75" s="32"/>
      <c r="AJ75" s="55"/>
      <c r="AK75" s="32"/>
      <c r="AL75" s="32"/>
      <c r="AM75" s="32"/>
      <c r="AN75" s="32"/>
      <c r="AO75" s="32"/>
      <c r="AP75" s="31"/>
      <c r="AQ75" s="31"/>
      <c r="AR75" s="54"/>
      <c r="AS75" s="56" t="str">
        <f>IFERROR(VLOOKUP(December[[#This Row],[Drug Name4]],'Data Options'!$R$1:$S$100,2,FALSE), " ")</f>
        <v xml:space="preserve"> </v>
      </c>
      <c r="AT75" s="55"/>
      <c r="AU75" s="32"/>
      <c r="AV75" s="32"/>
      <c r="AW75" s="55"/>
      <c r="AX75" s="32"/>
      <c r="AY75" s="54"/>
      <c r="AZ75" s="56" t="str">
        <f>IFERROR(VLOOKUP(December[[#This Row],[Drug Name5]],'Data Options'!$R$1:$S$100,2,FALSE), " ")</f>
        <v xml:space="preserve"> </v>
      </c>
      <c r="BA75" s="55"/>
      <c r="BB75" s="32"/>
      <c r="BC75" s="32"/>
      <c r="BD75" s="55"/>
      <c r="BE75" s="32"/>
      <c r="BF75" s="54"/>
      <c r="BG75" s="56" t="str">
        <f>IFERROR(VLOOKUP(December[[#This Row],[Drug Name6]],'Data Options'!$R$1:$S$100,2,FALSE), " ")</f>
        <v xml:space="preserve"> </v>
      </c>
      <c r="BH75" s="55"/>
      <c r="BI75" s="32"/>
      <c r="BJ75" s="32"/>
      <c r="BK75" s="55"/>
      <c r="BL75" s="32"/>
      <c r="BM75" s="32"/>
      <c r="BN75" s="32"/>
      <c r="BO75" s="32"/>
      <c r="BP75" s="32"/>
      <c r="BQ75" s="31"/>
      <c r="BR75" s="31"/>
      <c r="BS75" s="54"/>
      <c r="BT75" s="56" t="str">
        <f>IFERROR(VLOOKUP(December[[#This Row],[Drug Name7]],'Data Options'!$R$1:$S$100,2,FALSE), " ")</f>
        <v xml:space="preserve"> </v>
      </c>
      <c r="BU75" s="55"/>
      <c r="BV75" s="32"/>
      <c r="BW75" s="32"/>
      <c r="BX75" s="55"/>
      <c r="BY75" s="32"/>
      <c r="BZ75" s="54"/>
      <c r="CA75" s="56" t="str">
        <f>IFERROR(VLOOKUP(December[[#This Row],[Drug Name8]],'Data Options'!$R$1:$S$100,2,FALSE), " ")</f>
        <v xml:space="preserve"> </v>
      </c>
      <c r="CB75" s="55"/>
      <c r="CC75" s="32"/>
      <c r="CD75" s="32"/>
      <c r="CE75" s="55"/>
      <c r="CF75" s="32"/>
      <c r="CG75" s="54"/>
      <c r="CH75" s="56" t="str">
        <f>IFERROR(VLOOKUP(December[[#This Row],[Drug Name9]],'Data Options'!$R$1:$S$100,2,FALSE), " ")</f>
        <v xml:space="preserve"> </v>
      </c>
      <c r="CI75" s="55"/>
      <c r="CJ75" s="32"/>
      <c r="CK75" s="32"/>
      <c r="CL75" s="55"/>
      <c r="CM75" s="32"/>
    </row>
    <row r="76" spans="1:91">
      <c r="A76" s="5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54"/>
      <c r="R76" s="56" t="str">
        <f>IFERROR(VLOOKUP(December[[#This Row],[Drug Name]],'Data Options'!$R$1:$S$100,2,FALSE), " ")</f>
        <v xml:space="preserve"> </v>
      </c>
      <c r="S76" s="55"/>
      <c r="T76" s="32"/>
      <c r="U76" s="32"/>
      <c r="V76" s="55"/>
      <c r="W76" s="32"/>
      <c r="X76" s="54"/>
      <c r="Y76" s="56" t="str">
        <f>IFERROR(VLOOKUP(December[[#This Row],[Drug Name2]],'Data Options'!$R$1:$S$100,2,FALSE), " ")</f>
        <v xml:space="preserve"> </v>
      </c>
      <c r="Z76" s="55"/>
      <c r="AA76" s="32"/>
      <c r="AB76" s="32"/>
      <c r="AC76" s="55"/>
      <c r="AD76" s="32"/>
      <c r="AE76" s="54"/>
      <c r="AF76" s="56" t="str">
        <f>IFERROR(VLOOKUP(December[[#This Row],[Drug Name3]],'Data Options'!$R$1:$S$100,2,FALSE), " ")</f>
        <v xml:space="preserve"> </v>
      </c>
      <c r="AG76" s="55"/>
      <c r="AH76" s="32"/>
      <c r="AI76" s="32"/>
      <c r="AJ76" s="55"/>
      <c r="AK76" s="32"/>
      <c r="AL76" s="32"/>
      <c r="AM76" s="32"/>
      <c r="AN76" s="32"/>
      <c r="AO76" s="32"/>
      <c r="AP76" s="31"/>
      <c r="AQ76" s="31"/>
      <c r="AR76" s="54"/>
      <c r="AS76" s="56" t="str">
        <f>IFERROR(VLOOKUP(December[[#This Row],[Drug Name4]],'Data Options'!$R$1:$S$100,2,FALSE), " ")</f>
        <v xml:space="preserve"> </v>
      </c>
      <c r="AT76" s="55"/>
      <c r="AU76" s="32"/>
      <c r="AV76" s="32"/>
      <c r="AW76" s="55"/>
      <c r="AX76" s="32"/>
      <c r="AY76" s="54"/>
      <c r="AZ76" s="56" t="str">
        <f>IFERROR(VLOOKUP(December[[#This Row],[Drug Name5]],'Data Options'!$R$1:$S$100,2,FALSE), " ")</f>
        <v xml:space="preserve"> </v>
      </c>
      <c r="BA76" s="55"/>
      <c r="BB76" s="32"/>
      <c r="BC76" s="32"/>
      <c r="BD76" s="55"/>
      <c r="BE76" s="32"/>
      <c r="BF76" s="54"/>
      <c r="BG76" s="56" t="str">
        <f>IFERROR(VLOOKUP(December[[#This Row],[Drug Name6]],'Data Options'!$R$1:$S$100,2,FALSE), " ")</f>
        <v xml:space="preserve"> </v>
      </c>
      <c r="BH76" s="55"/>
      <c r="BI76" s="32"/>
      <c r="BJ76" s="32"/>
      <c r="BK76" s="55"/>
      <c r="BL76" s="32"/>
      <c r="BM76" s="32"/>
      <c r="BN76" s="32"/>
      <c r="BO76" s="32"/>
      <c r="BP76" s="32"/>
      <c r="BQ76" s="31"/>
      <c r="BR76" s="31"/>
      <c r="BS76" s="54"/>
      <c r="BT76" s="56" t="str">
        <f>IFERROR(VLOOKUP(December[[#This Row],[Drug Name7]],'Data Options'!$R$1:$S$100,2,FALSE), " ")</f>
        <v xml:space="preserve"> </v>
      </c>
      <c r="BU76" s="55"/>
      <c r="BV76" s="32"/>
      <c r="BW76" s="32"/>
      <c r="BX76" s="55"/>
      <c r="BY76" s="32"/>
      <c r="BZ76" s="54"/>
      <c r="CA76" s="56" t="str">
        <f>IFERROR(VLOOKUP(December[[#This Row],[Drug Name8]],'Data Options'!$R$1:$S$100,2,FALSE), " ")</f>
        <v xml:space="preserve"> </v>
      </c>
      <c r="CB76" s="55"/>
      <c r="CC76" s="32"/>
      <c r="CD76" s="32"/>
      <c r="CE76" s="55"/>
      <c r="CF76" s="32"/>
      <c r="CG76" s="54"/>
      <c r="CH76" s="56" t="str">
        <f>IFERROR(VLOOKUP(December[[#This Row],[Drug Name9]],'Data Options'!$R$1:$S$100,2,FALSE), " ")</f>
        <v xml:space="preserve"> </v>
      </c>
      <c r="CI76" s="55"/>
      <c r="CJ76" s="32"/>
      <c r="CK76" s="32"/>
      <c r="CL76" s="55"/>
      <c r="CM76" s="32"/>
    </row>
    <row r="77" spans="1:91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31"/>
      <c r="Q77" s="54"/>
      <c r="R77" s="56" t="str">
        <f>IFERROR(VLOOKUP(December[[#This Row],[Drug Name]],'Data Options'!$R$1:$S$100,2,FALSE), " ")</f>
        <v xml:space="preserve"> </v>
      </c>
      <c r="S77" s="55"/>
      <c r="T77" s="32"/>
      <c r="U77" s="32"/>
      <c r="V77" s="55"/>
      <c r="W77" s="32"/>
      <c r="X77" s="54"/>
      <c r="Y77" s="56" t="str">
        <f>IFERROR(VLOOKUP(December[[#This Row],[Drug Name2]],'Data Options'!$R$1:$S$100,2,FALSE), " ")</f>
        <v xml:space="preserve"> </v>
      </c>
      <c r="Z77" s="55"/>
      <c r="AA77" s="32"/>
      <c r="AB77" s="32"/>
      <c r="AC77" s="55"/>
      <c r="AD77" s="32"/>
      <c r="AE77" s="54"/>
      <c r="AF77" s="56" t="str">
        <f>IFERROR(VLOOKUP(December[[#This Row],[Drug Name3]],'Data Options'!$R$1:$S$100,2,FALSE), " ")</f>
        <v xml:space="preserve"> </v>
      </c>
      <c r="AG77" s="55"/>
      <c r="AH77" s="32"/>
      <c r="AI77" s="32"/>
      <c r="AJ77" s="55"/>
      <c r="AK77" s="32"/>
      <c r="AL77" s="32"/>
      <c r="AM77" s="32"/>
      <c r="AN77" s="32"/>
      <c r="AO77" s="32"/>
      <c r="AP77" s="31"/>
      <c r="AQ77" s="31"/>
      <c r="AR77" s="54"/>
      <c r="AS77" s="56" t="str">
        <f>IFERROR(VLOOKUP(December[[#This Row],[Drug Name4]],'Data Options'!$R$1:$S$100,2,FALSE), " ")</f>
        <v xml:space="preserve"> </v>
      </c>
      <c r="AT77" s="55"/>
      <c r="AU77" s="32"/>
      <c r="AV77" s="32"/>
      <c r="AW77" s="55"/>
      <c r="AX77" s="32"/>
      <c r="AY77" s="54"/>
      <c r="AZ77" s="56" t="str">
        <f>IFERROR(VLOOKUP(December[[#This Row],[Drug Name5]],'Data Options'!$R$1:$S$100,2,FALSE), " ")</f>
        <v xml:space="preserve"> </v>
      </c>
      <c r="BA77" s="55"/>
      <c r="BB77" s="32"/>
      <c r="BC77" s="32"/>
      <c r="BD77" s="55"/>
      <c r="BE77" s="32"/>
      <c r="BF77" s="54"/>
      <c r="BG77" s="56" t="str">
        <f>IFERROR(VLOOKUP(December[[#This Row],[Drug Name6]],'Data Options'!$R$1:$S$100,2,FALSE), " ")</f>
        <v xml:space="preserve"> </v>
      </c>
      <c r="BH77" s="55"/>
      <c r="BI77" s="32"/>
      <c r="BJ77" s="32"/>
      <c r="BK77" s="55"/>
      <c r="BL77" s="32"/>
      <c r="BM77" s="32"/>
      <c r="BN77" s="32"/>
      <c r="BO77" s="32"/>
      <c r="BP77" s="32"/>
      <c r="BQ77" s="31"/>
      <c r="BR77" s="31"/>
      <c r="BS77" s="54"/>
      <c r="BT77" s="56" t="str">
        <f>IFERROR(VLOOKUP(December[[#This Row],[Drug Name7]],'Data Options'!$R$1:$S$100,2,FALSE), " ")</f>
        <v xml:space="preserve"> </v>
      </c>
      <c r="BU77" s="55"/>
      <c r="BV77" s="32"/>
      <c r="BW77" s="32"/>
      <c r="BX77" s="55"/>
      <c r="BY77" s="32"/>
      <c r="BZ77" s="54"/>
      <c r="CA77" s="56" t="str">
        <f>IFERROR(VLOOKUP(December[[#This Row],[Drug Name8]],'Data Options'!$R$1:$S$100,2,FALSE), " ")</f>
        <v xml:space="preserve"> </v>
      </c>
      <c r="CB77" s="55"/>
      <c r="CC77" s="32"/>
      <c r="CD77" s="32"/>
      <c r="CE77" s="55"/>
      <c r="CF77" s="32"/>
      <c r="CG77" s="54"/>
      <c r="CH77" s="56" t="str">
        <f>IFERROR(VLOOKUP(December[[#This Row],[Drug Name9]],'Data Options'!$R$1:$S$100,2,FALSE), " ")</f>
        <v xml:space="preserve"> </v>
      </c>
      <c r="CI77" s="55"/>
      <c r="CJ77" s="32"/>
      <c r="CK77" s="32"/>
      <c r="CL77" s="55"/>
      <c r="CM77" s="32"/>
    </row>
    <row r="78" spans="1:91">
      <c r="A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31"/>
      <c r="Q78" s="54"/>
      <c r="R78" s="56" t="str">
        <f>IFERROR(VLOOKUP(December[[#This Row],[Drug Name]],'Data Options'!$R$1:$S$100,2,FALSE), " ")</f>
        <v xml:space="preserve"> </v>
      </c>
      <c r="S78" s="55"/>
      <c r="T78" s="32"/>
      <c r="U78" s="32"/>
      <c r="V78" s="55"/>
      <c r="W78" s="32"/>
      <c r="X78" s="54"/>
      <c r="Y78" s="56" t="str">
        <f>IFERROR(VLOOKUP(December[[#This Row],[Drug Name2]],'Data Options'!$R$1:$S$100,2,FALSE), " ")</f>
        <v xml:space="preserve"> </v>
      </c>
      <c r="Z78" s="55"/>
      <c r="AA78" s="32"/>
      <c r="AB78" s="32"/>
      <c r="AC78" s="55"/>
      <c r="AD78" s="32"/>
      <c r="AE78" s="54"/>
      <c r="AF78" s="56" t="str">
        <f>IFERROR(VLOOKUP(December[[#This Row],[Drug Name3]],'Data Options'!$R$1:$S$100,2,FALSE), " ")</f>
        <v xml:space="preserve"> </v>
      </c>
      <c r="AG78" s="55"/>
      <c r="AH78" s="32"/>
      <c r="AI78" s="32"/>
      <c r="AJ78" s="55"/>
      <c r="AK78" s="32"/>
      <c r="AL78" s="32"/>
      <c r="AM78" s="32"/>
      <c r="AN78" s="32"/>
      <c r="AO78" s="32"/>
      <c r="AP78" s="31"/>
      <c r="AQ78" s="31"/>
      <c r="AR78" s="54"/>
      <c r="AS78" s="56" t="str">
        <f>IFERROR(VLOOKUP(December[[#This Row],[Drug Name4]],'Data Options'!$R$1:$S$100,2,FALSE), " ")</f>
        <v xml:space="preserve"> </v>
      </c>
      <c r="AT78" s="55"/>
      <c r="AU78" s="32"/>
      <c r="AV78" s="32"/>
      <c r="AW78" s="55"/>
      <c r="AX78" s="32"/>
      <c r="AY78" s="54"/>
      <c r="AZ78" s="56" t="str">
        <f>IFERROR(VLOOKUP(December[[#This Row],[Drug Name5]],'Data Options'!$R$1:$S$100,2,FALSE), " ")</f>
        <v xml:space="preserve"> </v>
      </c>
      <c r="BA78" s="55"/>
      <c r="BB78" s="32"/>
      <c r="BC78" s="32"/>
      <c r="BD78" s="55"/>
      <c r="BE78" s="32"/>
      <c r="BF78" s="54"/>
      <c r="BG78" s="56" t="str">
        <f>IFERROR(VLOOKUP(December[[#This Row],[Drug Name6]],'Data Options'!$R$1:$S$100,2,FALSE), " ")</f>
        <v xml:space="preserve"> </v>
      </c>
      <c r="BH78" s="55"/>
      <c r="BI78" s="32"/>
      <c r="BJ78" s="32"/>
      <c r="BK78" s="55"/>
      <c r="BL78" s="32"/>
      <c r="BM78" s="32"/>
      <c r="BN78" s="32"/>
      <c r="BO78" s="32"/>
      <c r="BP78" s="32"/>
      <c r="BQ78" s="31"/>
      <c r="BR78" s="31"/>
      <c r="BS78" s="54"/>
      <c r="BT78" s="56" t="str">
        <f>IFERROR(VLOOKUP(December[[#This Row],[Drug Name7]],'Data Options'!$R$1:$S$100,2,FALSE), " ")</f>
        <v xml:space="preserve"> </v>
      </c>
      <c r="BU78" s="55"/>
      <c r="BV78" s="32"/>
      <c r="BW78" s="32"/>
      <c r="BX78" s="55"/>
      <c r="BY78" s="32"/>
      <c r="BZ78" s="54"/>
      <c r="CA78" s="56" t="str">
        <f>IFERROR(VLOOKUP(December[[#This Row],[Drug Name8]],'Data Options'!$R$1:$S$100,2,FALSE), " ")</f>
        <v xml:space="preserve"> </v>
      </c>
      <c r="CB78" s="55"/>
      <c r="CC78" s="32"/>
      <c r="CD78" s="32"/>
      <c r="CE78" s="55"/>
      <c r="CF78" s="32"/>
      <c r="CG78" s="54"/>
      <c r="CH78" s="56" t="str">
        <f>IFERROR(VLOOKUP(December[[#This Row],[Drug Name9]],'Data Options'!$R$1:$S$100,2,FALSE), " ")</f>
        <v xml:space="preserve"> </v>
      </c>
      <c r="CI78" s="55"/>
      <c r="CJ78" s="32"/>
      <c r="CK78" s="32"/>
      <c r="CL78" s="55"/>
      <c r="CM78" s="32"/>
    </row>
    <row r="79" spans="1:91">
      <c r="A79" s="5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31"/>
      <c r="Q79" s="54"/>
      <c r="R79" s="56" t="str">
        <f>IFERROR(VLOOKUP(December[[#This Row],[Drug Name]],'Data Options'!$R$1:$S$100,2,FALSE), " ")</f>
        <v xml:space="preserve"> </v>
      </c>
      <c r="S79" s="55"/>
      <c r="T79" s="32"/>
      <c r="U79" s="32"/>
      <c r="V79" s="55"/>
      <c r="W79" s="32"/>
      <c r="X79" s="54"/>
      <c r="Y79" s="56" t="str">
        <f>IFERROR(VLOOKUP(December[[#This Row],[Drug Name2]],'Data Options'!$R$1:$S$100,2,FALSE), " ")</f>
        <v xml:space="preserve"> </v>
      </c>
      <c r="Z79" s="55"/>
      <c r="AA79" s="32"/>
      <c r="AB79" s="32"/>
      <c r="AC79" s="55"/>
      <c r="AD79" s="32"/>
      <c r="AE79" s="54"/>
      <c r="AF79" s="56" t="str">
        <f>IFERROR(VLOOKUP(December[[#This Row],[Drug Name3]],'Data Options'!$R$1:$S$100,2,FALSE), " ")</f>
        <v xml:space="preserve"> </v>
      </c>
      <c r="AG79" s="55"/>
      <c r="AH79" s="32"/>
      <c r="AI79" s="32"/>
      <c r="AJ79" s="55"/>
      <c r="AK79" s="32"/>
      <c r="AL79" s="32"/>
      <c r="AM79" s="32"/>
      <c r="AN79" s="32"/>
      <c r="AO79" s="32"/>
      <c r="AP79" s="31"/>
      <c r="AQ79" s="31"/>
      <c r="AR79" s="54"/>
      <c r="AS79" s="56" t="str">
        <f>IFERROR(VLOOKUP(December[[#This Row],[Drug Name4]],'Data Options'!$R$1:$S$100,2,FALSE), " ")</f>
        <v xml:space="preserve"> </v>
      </c>
      <c r="AT79" s="55"/>
      <c r="AU79" s="32"/>
      <c r="AV79" s="32"/>
      <c r="AW79" s="55"/>
      <c r="AX79" s="32"/>
      <c r="AY79" s="54"/>
      <c r="AZ79" s="56" t="str">
        <f>IFERROR(VLOOKUP(December[[#This Row],[Drug Name5]],'Data Options'!$R$1:$S$100,2,FALSE), " ")</f>
        <v xml:space="preserve"> </v>
      </c>
      <c r="BA79" s="55"/>
      <c r="BB79" s="32"/>
      <c r="BC79" s="32"/>
      <c r="BD79" s="55"/>
      <c r="BE79" s="32"/>
      <c r="BF79" s="54"/>
      <c r="BG79" s="56" t="str">
        <f>IFERROR(VLOOKUP(December[[#This Row],[Drug Name6]],'Data Options'!$R$1:$S$100,2,FALSE), " ")</f>
        <v xml:space="preserve"> </v>
      </c>
      <c r="BH79" s="55"/>
      <c r="BI79" s="32"/>
      <c r="BJ79" s="32"/>
      <c r="BK79" s="55"/>
      <c r="BL79" s="32"/>
      <c r="BM79" s="32"/>
      <c r="BN79" s="32"/>
      <c r="BO79" s="32"/>
      <c r="BP79" s="32"/>
      <c r="BQ79" s="31"/>
      <c r="BR79" s="31"/>
      <c r="BS79" s="54"/>
      <c r="BT79" s="56" t="str">
        <f>IFERROR(VLOOKUP(December[[#This Row],[Drug Name7]],'Data Options'!$R$1:$S$100,2,FALSE), " ")</f>
        <v xml:space="preserve"> </v>
      </c>
      <c r="BU79" s="55"/>
      <c r="BV79" s="32"/>
      <c r="BW79" s="32"/>
      <c r="BX79" s="55"/>
      <c r="BY79" s="32"/>
      <c r="BZ79" s="54"/>
      <c r="CA79" s="56" t="str">
        <f>IFERROR(VLOOKUP(December[[#This Row],[Drug Name8]],'Data Options'!$R$1:$S$100,2,FALSE), " ")</f>
        <v xml:space="preserve"> </v>
      </c>
      <c r="CB79" s="55"/>
      <c r="CC79" s="32"/>
      <c r="CD79" s="32"/>
      <c r="CE79" s="55"/>
      <c r="CF79" s="32"/>
      <c r="CG79" s="54"/>
      <c r="CH79" s="56" t="str">
        <f>IFERROR(VLOOKUP(December[[#This Row],[Drug Name9]],'Data Options'!$R$1:$S$100,2,FALSE), " ")</f>
        <v xml:space="preserve"> </v>
      </c>
      <c r="CI79" s="55"/>
      <c r="CJ79" s="32"/>
      <c r="CK79" s="32"/>
      <c r="CL79" s="55"/>
      <c r="CM79" s="32"/>
    </row>
    <row r="80" spans="1:91">
      <c r="A80" s="5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31"/>
      <c r="Q80" s="54"/>
      <c r="R80" s="56" t="str">
        <f>IFERROR(VLOOKUP(December[[#This Row],[Drug Name]],'Data Options'!$R$1:$S$100,2,FALSE), " ")</f>
        <v xml:space="preserve"> </v>
      </c>
      <c r="S80" s="55"/>
      <c r="T80" s="32"/>
      <c r="U80" s="32"/>
      <c r="V80" s="55"/>
      <c r="W80" s="32"/>
      <c r="X80" s="54"/>
      <c r="Y80" s="56" t="str">
        <f>IFERROR(VLOOKUP(December[[#This Row],[Drug Name2]],'Data Options'!$R$1:$S$100,2,FALSE), " ")</f>
        <v xml:space="preserve"> </v>
      </c>
      <c r="Z80" s="55"/>
      <c r="AA80" s="32"/>
      <c r="AB80" s="32"/>
      <c r="AC80" s="55"/>
      <c r="AD80" s="32"/>
      <c r="AE80" s="54"/>
      <c r="AF80" s="56" t="str">
        <f>IFERROR(VLOOKUP(December[[#This Row],[Drug Name3]],'Data Options'!$R$1:$S$100,2,FALSE), " ")</f>
        <v xml:space="preserve"> </v>
      </c>
      <c r="AG80" s="55"/>
      <c r="AH80" s="32"/>
      <c r="AI80" s="32"/>
      <c r="AJ80" s="55"/>
      <c r="AK80" s="32"/>
      <c r="AL80" s="32"/>
      <c r="AM80" s="32"/>
      <c r="AN80" s="32"/>
      <c r="AO80" s="32"/>
      <c r="AP80" s="31"/>
      <c r="AQ80" s="31"/>
      <c r="AR80" s="54"/>
      <c r="AS80" s="56" t="str">
        <f>IFERROR(VLOOKUP(December[[#This Row],[Drug Name4]],'Data Options'!$R$1:$S$100,2,FALSE), " ")</f>
        <v xml:space="preserve"> </v>
      </c>
      <c r="AT80" s="55"/>
      <c r="AU80" s="32"/>
      <c r="AV80" s="32"/>
      <c r="AW80" s="55"/>
      <c r="AX80" s="32"/>
      <c r="AY80" s="54"/>
      <c r="AZ80" s="56" t="str">
        <f>IFERROR(VLOOKUP(December[[#This Row],[Drug Name5]],'Data Options'!$R$1:$S$100,2,FALSE), " ")</f>
        <v xml:space="preserve"> </v>
      </c>
      <c r="BA80" s="55"/>
      <c r="BB80" s="32"/>
      <c r="BC80" s="32"/>
      <c r="BD80" s="55"/>
      <c r="BE80" s="32"/>
      <c r="BF80" s="54"/>
      <c r="BG80" s="56" t="str">
        <f>IFERROR(VLOOKUP(December[[#This Row],[Drug Name6]],'Data Options'!$R$1:$S$100,2,FALSE), " ")</f>
        <v xml:space="preserve"> </v>
      </c>
      <c r="BH80" s="55"/>
      <c r="BI80" s="32"/>
      <c r="BJ80" s="32"/>
      <c r="BK80" s="55"/>
      <c r="BL80" s="32"/>
      <c r="BM80" s="32"/>
      <c r="BN80" s="32"/>
      <c r="BO80" s="32"/>
      <c r="BP80" s="32"/>
      <c r="BQ80" s="31"/>
      <c r="BR80" s="31"/>
      <c r="BS80" s="54"/>
      <c r="BT80" s="56" t="str">
        <f>IFERROR(VLOOKUP(December[[#This Row],[Drug Name7]],'Data Options'!$R$1:$S$100,2,FALSE), " ")</f>
        <v xml:space="preserve"> </v>
      </c>
      <c r="BU80" s="55"/>
      <c r="BV80" s="32"/>
      <c r="BW80" s="32"/>
      <c r="BX80" s="55"/>
      <c r="BY80" s="32"/>
      <c r="BZ80" s="54"/>
      <c r="CA80" s="56" t="str">
        <f>IFERROR(VLOOKUP(December[[#This Row],[Drug Name8]],'Data Options'!$R$1:$S$100,2,FALSE), " ")</f>
        <v xml:space="preserve"> </v>
      </c>
      <c r="CB80" s="55"/>
      <c r="CC80" s="32"/>
      <c r="CD80" s="32"/>
      <c r="CE80" s="55"/>
      <c r="CF80" s="32"/>
      <c r="CG80" s="54"/>
      <c r="CH80" s="56" t="str">
        <f>IFERROR(VLOOKUP(December[[#This Row],[Drug Name9]],'Data Options'!$R$1:$S$100,2,FALSE), " ")</f>
        <v xml:space="preserve"> </v>
      </c>
      <c r="CI80" s="55"/>
      <c r="CJ80" s="32"/>
      <c r="CK80" s="32"/>
      <c r="CL80" s="55"/>
      <c r="CM80" s="32"/>
    </row>
    <row r="81" spans="1:91">
      <c r="A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54"/>
      <c r="R81" s="56" t="str">
        <f>IFERROR(VLOOKUP(December[[#This Row],[Drug Name]],'Data Options'!$R$1:$S$100,2,FALSE), " ")</f>
        <v xml:space="preserve"> </v>
      </c>
      <c r="S81" s="55"/>
      <c r="T81" s="32"/>
      <c r="U81" s="32"/>
      <c r="V81" s="55"/>
      <c r="W81" s="32"/>
      <c r="X81" s="54"/>
      <c r="Y81" s="56" t="str">
        <f>IFERROR(VLOOKUP(December[[#This Row],[Drug Name2]],'Data Options'!$R$1:$S$100,2,FALSE), " ")</f>
        <v xml:space="preserve"> </v>
      </c>
      <c r="Z81" s="55"/>
      <c r="AA81" s="32"/>
      <c r="AB81" s="32"/>
      <c r="AC81" s="55"/>
      <c r="AD81" s="32"/>
      <c r="AE81" s="54"/>
      <c r="AF81" s="56" t="str">
        <f>IFERROR(VLOOKUP(December[[#This Row],[Drug Name3]],'Data Options'!$R$1:$S$100,2,FALSE), " ")</f>
        <v xml:space="preserve"> </v>
      </c>
      <c r="AG81" s="55"/>
      <c r="AH81" s="32"/>
      <c r="AI81" s="32"/>
      <c r="AJ81" s="55"/>
      <c r="AK81" s="32"/>
      <c r="AL81" s="32"/>
      <c r="AM81" s="32"/>
      <c r="AN81" s="32"/>
      <c r="AO81" s="32"/>
      <c r="AP81" s="31"/>
      <c r="AQ81" s="31"/>
      <c r="AR81" s="54"/>
      <c r="AS81" s="56" t="str">
        <f>IFERROR(VLOOKUP(December[[#This Row],[Drug Name4]],'Data Options'!$R$1:$S$100,2,FALSE), " ")</f>
        <v xml:space="preserve"> </v>
      </c>
      <c r="AT81" s="55"/>
      <c r="AU81" s="32"/>
      <c r="AV81" s="32"/>
      <c r="AW81" s="55"/>
      <c r="AX81" s="32"/>
      <c r="AY81" s="54"/>
      <c r="AZ81" s="56" t="str">
        <f>IFERROR(VLOOKUP(December[[#This Row],[Drug Name5]],'Data Options'!$R$1:$S$100,2,FALSE), " ")</f>
        <v xml:space="preserve"> </v>
      </c>
      <c r="BA81" s="55"/>
      <c r="BB81" s="32"/>
      <c r="BC81" s="32"/>
      <c r="BD81" s="55"/>
      <c r="BE81" s="32"/>
      <c r="BF81" s="54"/>
      <c r="BG81" s="56" t="str">
        <f>IFERROR(VLOOKUP(December[[#This Row],[Drug Name6]],'Data Options'!$R$1:$S$100,2,FALSE), " ")</f>
        <v xml:space="preserve"> </v>
      </c>
      <c r="BH81" s="55"/>
      <c r="BI81" s="32"/>
      <c r="BJ81" s="32"/>
      <c r="BK81" s="55"/>
      <c r="BL81" s="32"/>
      <c r="BM81" s="32"/>
      <c r="BN81" s="32"/>
      <c r="BO81" s="32"/>
      <c r="BP81" s="32"/>
      <c r="BQ81" s="31"/>
      <c r="BR81" s="31"/>
      <c r="BS81" s="54"/>
      <c r="BT81" s="56" t="str">
        <f>IFERROR(VLOOKUP(December[[#This Row],[Drug Name7]],'Data Options'!$R$1:$S$100,2,FALSE), " ")</f>
        <v xml:space="preserve"> </v>
      </c>
      <c r="BU81" s="55"/>
      <c r="BV81" s="32"/>
      <c r="BW81" s="32"/>
      <c r="BX81" s="55"/>
      <c r="BY81" s="32"/>
      <c r="BZ81" s="54"/>
      <c r="CA81" s="56" t="str">
        <f>IFERROR(VLOOKUP(December[[#This Row],[Drug Name8]],'Data Options'!$R$1:$S$100,2,FALSE), " ")</f>
        <v xml:space="preserve"> </v>
      </c>
      <c r="CB81" s="55"/>
      <c r="CC81" s="32"/>
      <c r="CD81" s="32"/>
      <c r="CE81" s="55"/>
      <c r="CF81" s="32"/>
      <c r="CG81" s="54"/>
      <c r="CH81" s="56" t="str">
        <f>IFERROR(VLOOKUP(December[[#This Row],[Drug Name9]],'Data Options'!$R$1:$S$100,2,FALSE), " ")</f>
        <v xml:space="preserve"> </v>
      </c>
      <c r="CI81" s="55"/>
      <c r="CJ81" s="32"/>
      <c r="CK81" s="32"/>
      <c r="CL81" s="55"/>
      <c r="CM81" s="32"/>
    </row>
    <row r="82" spans="1:91">
      <c r="A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54"/>
      <c r="R82" s="56" t="str">
        <f>IFERROR(VLOOKUP(December[[#This Row],[Drug Name]],'Data Options'!$R$1:$S$100,2,FALSE), " ")</f>
        <v xml:space="preserve"> </v>
      </c>
      <c r="S82" s="55"/>
      <c r="T82" s="32"/>
      <c r="U82" s="32"/>
      <c r="V82" s="55"/>
      <c r="W82" s="32"/>
      <c r="X82" s="54"/>
      <c r="Y82" s="56" t="str">
        <f>IFERROR(VLOOKUP(December[[#This Row],[Drug Name2]],'Data Options'!$R$1:$S$100,2,FALSE), " ")</f>
        <v xml:space="preserve"> </v>
      </c>
      <c r="Z82" s="55"/>
      <c r="AA82" s="32"/>
      <c r="AB82" s="32"/>
      <c r="AC82" s="55"/>
      <c r="AD82" s="32"/>
      <c r="AE82" s="54"/>
      <c r="AF82" s="56" t="str">
        <f>IFERROR(VLOOKUP(December[[#This Row],[Drug Name3]],'Data Options'!$R$1:$S$100,2,FALSE), " ")</f>
        <v xml:space="preserve"> </v>
      </c>
      <c r="AG82" s="55"/>
      <c r="AH82" s="32"/>
      <c r="AI82" s="32"/>
      <c r="AJ82" s="55"/>
      <c r="AK82" s="32"/>
      <c r="AL82" s="32"/>
      <c r="AM82" s="32"/>
      <c r="AN82" s="32"/>
      <c r="AO82" s="32"/>
      <c r="AP82" s="31"/>
      <c r="AQ82" s="31"/>
      <c r="AR82" s="54"/>
      <c r="AS82" s="56" t="str">
        <f>IFERROR(VLOOKUP(December[[#This Row],[Drug Name4]],'Data Options'!$R$1:$S$100,2,FALSE), " ")</f>
        <v xml:space="preserve"> </v>
      </c>
      <c r="AT82" s="55"/>
      <c r="AU82" s="32"/>
      <c r="AV82" s="32"/>
      <c r="AW82" s="55"/>
      <c r="AX82" s="32"/>
      <c r="AY82" s="54"/>
      <c r="AZ82" s="56" t="str">
        <f>IFERROR(VLOOKUP(December[[#This Row],[Drug Name5]],'Data Options'!$R$1:$S$100,2,FALSE), " ")</f>
        <v xml:space="preserve"> </v>
      </c>
      <c r="BA82" s="55"/>
      <c r="BB82" s="32"/>
      <c r="BC82" s="32"/>
      <c r="BD82" s="55"/>
      <c r="BE82" s="32"/>
      <c r="BF82" s="54"/>
      <c r="BG82" s="56" t="str">
        <f>IFERROR(VLOOKUP(December[[#This Row],[Drug Name6]],'Data Options'!$R$1:$S$100,2,FALSE), " ")</f>
        <v xml:space="preserve"> </v>
      </c>
      <c r="BH82" s="55"/>
      <c r="BI82" s="32"/>
      <c r="BJ82" s="32"/>
      <c r="BK82" s="55"/>
      <c r="BL82" s="32"/>
      <c r="BM82" s="32"/>
      <c r="BN82" s="32"/>
      <c r="BO82" s="32"/>
      <c r="BP82" s="32"/>
      <c r="BQ82" s="31"/>
      <c r="BR82" s="31"/>
      <c r="BS82" s="54"/>
      <c r="BT82" s="56" t="str">
        <f>IFERROR(VLOOKUP(December[[#This Row],[Drug Name7]],'Data Options'!$R$1:$S$100,2,FALSE), " ")</f>
        <v xml:space="preserve"> </v>
      </c>
      <c r="BU82" s="55"/>
      <c r="BV82" s="32"/>
      <c r="BW82" s="32"/>
      <c r="BX82" s="55"/>
      <c r="BY82" s="32"/>
      <c r="BZ82" s="54"/>
      <c r="CA82" s="56" t="str">
        <f>IFERROR(VLOOKUP(December[[#This Row],[Drug Name8]],'Data Options'!$R$1:$S$100,2,FALSE), " ")</f>
        <v xml:space="preserve"> </v>
      </c>
      <c r="CB82" s="55"/>
      <c r="CC82" s="32"/>
      <c r="CD82" s="32"/>
      <c r="CE82" s="55"/>
      <c r="CF82" s="32"/>
      <c r="CG82" s="54"/>
      <c r="CH82" s="56" t="str">
        <f>IFERROR(VLOOKUP(December[[#This Row],[Drug Name9]],'Data Options'!$R$1:$S$100,2,FALSE), " ")</f>
        <v xml:space="preserve"> </v>
      </c>
      <c r="CI82" s="55"/>
      <c r="CJ82" s="32"/>
      <c r="CK82" s="32"/>
      <c r="CL82" s="55"/>
      <c r="CM82" s="32"/>
    </row>
    <row r="83" spans="1:91">
      <c r="A83" s="5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31"/>
      <c r="Q83" s="54"/>
      <c r="R83" s="56" t="str">
        <f>IFERROR(VLOOKUP(December[[#This Row],[Drug Name]],'Data Options'!$R$1:$S$100,2,FALSE), " ")</f>
        <v xml:space="preserve"> </v>
      </c>
      <c r="S83" s="55"/>
      <c r="T83" s="32"/>
      <c r="U83" s="32"/>
      <c r="V83" s="55"/>
      <c r="W83" s="32"/>
      <c r="X83" s="54"/>
      <c r="Y83" s="56" t="str">
        <f>IFERROR(VLOOKUP(December[[#This Row],[Drug Name2]],'Data Options'!$R$1:$S$100,2,FALSE), " ")</f>
        <v xml:space="preserve"> </v>
      </c>
      <c r="Z83" s="55"/>
      <c r="AA83" s="32"/>
      <c r="AB83" s="32"/>
      <c r="AC83" s="55"/>
      <c r="AD83" s="32"/>
      <c r="AE83" s="54"/>
      <c r="AF83" s="56" t="str">
        <f>IFERROR(VLOOKUP(December[[#This Row],[Drug Name3]],'Data Options'!$R$1:$S$100,2,FALSE), " ")</f>
        <v xml:space="preserve"> </v>
      </c>
      <c r="AG83" s="55"/>
      <c r="AH83" s="32"/>
      <c r="AI83" s="32"/>
      <c r="AJ83" s="55"/>
      <c r="AK83" s="32"/>
      <c r="AL83" s="32"/>
      <c r="AM83" s="32"/>
      <c r="AN83" s="32"/>
      <c r="AO83" s="32"/>
      <c r="AP83" s="31"/>
      <c r="AQ83" s="31"/>
      <c r="AR83" s="54"/>
      <c r="AS83" s="56" t="str">
        <f>IFERROR(VLOOKUP(December[[#This Row],[Drug Name4]],'Data Options'!$R$1:$S$100,2,FALSE), " ")</f>
        <v xml:space="preserve"> </v>
      </c>
      <c r="AT83" s="55"/>
      <c r="AU83" s="32"/>
      <c r="AV83" s="32"/>
      <c r="AW83" s="55"/>
      <c r="AX83" s="32"/>
      <c r="AY83" s="54"/>
      <c r="AZ83" s="56" t="str">
        <f>IFERROR(VLOOKUP(December[[#This Row],[Drug Name5]],'Data Options'!$R$1:$S$100,2,FALSE), " ")</f>
        <v xml:space="preserve"> </v>
      </c>
      <c r="BA83" s="55"/>
      <c r="BB83" s="32"/>
      <c r="BC83" s="32"/>
      <c r="BD83" s="55"/>
      <c r="BE83" s="32"/>
      <c r="BF83" s="54"/>
      <c r="BG83" s="56" t="str">
        <f>IFERROR(VLOOKUP(December[[#This Row],[Drug Name6]],'Data Options'!$R$1:$S$100,2,FALSE), " ")</f>
        <v xml:space="preserve"> </v>
      </c>
      <c r="BH83" s="55"/>
      <c r="BI83" s="32"/>
      <c r="BJ83" s="32"/>
      <c r="BK83" s="55"/>
      <c r="BL83" s="32"/>
      <c r="BM83" s="32"/>
      <c r="BN83" s="32"/>
      <c r="BO83" s="32"/>
      <c r="BP83" s="32"/>
      <c r="BQ83" s="31"/>
      <c r="BR83" s="31"/>
      <c r="BS83" s="54"/>
      <c r="BT83" s="56" t="str">
        <f>IFERROR(VLOOKUP(December[[#This Row],[Drug Name7]],'Data Options'!$R$1:$S$100,2,FALSE), " ")</f>
        <v xml:space="preserve"> </v>
      </c>
      <c r="BU83" s="55"/>
      <c r="BV83" s="32"/>
      <c r="BW83" s="32"/>
      <c r="BX83" s="55"/>
      <c r="BY83" s="32"/>
      <c r="BZ83" s="54"/>
      <c r="CA83" s="56" t="str">
        <f>IFERROR(VLOOKUP(December[[#This Row],[Drug Name8]],'Data Options'!$R$1:$S$100,2,FALSE), " ")</f>
        <v xml:space="preserve"> </v>
      </c>
      <c r="CB83" s="55"/>
      <c r="CC83" s="32"/>
      <c r="CD83" s="32"/>
      <c r="CE83" s="55"/>
      <c r="CF83" s="32"/>
      <c r="CG83" s="54"/>
      <c r="CH83" s="56" t="str">
        <f>IFERROR(VLOOKUP(December[[#This Row],[Drug Name9]],'Data Options'!$R$1:$S$100,2,FALSE), " ")</f>
        <v xml:space="preserve"> </v>
      </c>
      <c r="CI83" s="55"/>
      <c r="CJ83" s="32"/>
      <c r="CK83" s="32"/>
      <c r="CL83" s="55"/>
      <c r="CM83" s="32"/>
    </row>
    <row r="84" spans="1:91">
      <c r="A84" s="5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31"/>
      <c r="Q84" s="54"/>
      <c r="R84" s="56" t="str">
        <f>IFERROR(VLOOKUP(December[[#This Row],[Drug Name]],'Data Options'!$R$1:$S$100,2,FALSE), " ")</f>
        <v xml:space="preserve"> </v>
      </c>
      <c r="S84" s="55"/>
      <c r="T84" s="32"/>
      <c r="U84" s="32"/>
      <c r="V84" s="55"/>
      <c r="W84" s="32"/>
      <c r="X84" s="54"/>
      <c r="Y84" s="56" t="str">
        <f>IFERROR(VLOOKUP(December[[#This Row],[Drug Name2]],'Data Options'!$R$1:$S$100,2,FALSE), " ")</f>
        <v xml:space="preserve"> </v>
      </c>
      <c r="Z84" s="55"/>
      <c r="AA84" s="32"/>
      <c r="AB84" s="32"/>
      <c r="AC84" s="55"/>
      <c r="AD84" s="32"/>
      <c r="AE84" s="54"/>
      <c r="AF84" s="56" t="str">
        <f>IFERROR(VLOOKUP(December[[#This Row],[Drug Name3]],'Data Options'!$R$1:$S$100,2,FALSE), " ")</f>
        <v xml:space="preserve"> </v>
      </c>
      <c r="AG84" s="55"/>
      <c r="AH84" s="32"/>
      <c r="AI84" s="32"/>
      <c r="AJ84" s="55"/>
      <c r="AK84" s="32"/>
      <c r="AL84" s="32"/>
      <c r="AM84" s="32"/>
      <c r="AN84" s="32"/>
      <c r="AO84" s="32"/>
      <c r="AP84" s="31"/>
      <c r="AQ84" s="31"/>
      <c r="AR84" s="54"/>
      <c r="AS84" s="56" t="str">
        <f>IFERROR(VLOOKUP(December[[#This Row],[Drug Name4]],'Data Options'!$R$1:$S$100,2,FALSE), " ")</f>
        <v xml:space="preserve"> </v>
      </c>
      <c r="AT84" s="55"/>
      <c r="AU84" s="32"/>
      <c r="AV84" s="32"/>
      <c r="AW84" s="55"/>
      <c r="AX84" s="32"/>
      <c r="AY84" s="54"/>
      <c r="AZ84" s="56" t="str">
        <f>IFERROR(VLOOKUP(December[[#This Row],[Drug Name5]],'Data Options'!$R$1:$S$100,2,FALSE), " ")</f>
        <v xml:space="preserve"> </v>
      </c>
      <c r="BA84" s="55"/>
      <c r="BB84" s="32"/>
      <c r="BC84" s="32"/>
      <c r="BD84" s="55"/>
      <c r="BE84" s="32"/>
      <c r="BF84" s="54"/>
      <c r="BG84" s="56" t="str">
        <f>IFERROR(VLOOKUP(December[[#This Row],[Drug Name6]],'Data Options'!$R$1:$S$100,2,FALSE), " ")</f>
        <v xml:space="preserve"> </v>
      </c>
      <c r="BH84" s="55"/>
      <c r="BI84" s="32"/>
      <c r="BJ84" s="32"/>
      <c r="BK84" s="55"/>
      <c r="BL84" s="32"/>
      <c r="BM84" s="32"/>
      <c r="BN84" s="32"/>
      <c r="BO84" s="32"/>
      <c r="BP84" s="32"/>
      <c r="BQ84" s="31"/>
      <c r="BR84" s="31"/>
      <c r="BS84" s="54"/>
      <c r="BT84" s="56" t="str">
        <f>IFERROR(VLOOKUP(December[[#This Row],[Drug Name7]],'Data Options'!$R$1:$S$100,2,FALSE), " ")</f>
        <v xml:space="preserve"> </v>
      </c>
      <c r="BU84" s="55"/>
      <c r="BV84" s="32"/>
      <c r="BW84" s="32"/>
      <c r="BX84" s="55"/>
      <c r="BY84" s="32"/>
      <c r="BZ84" s="54"/>
      <c r="CA84" s="56" t="str">
        <f>IFERROR(VLOOKUP(December[[#This Row],[Drug Name8]],'Data Options'!$R$1:$S$100,2,FALSE), " ")</f>
        <v xml:space="preserve"> </v>
      </c>
      <c r="CB84" s="55"/>
      <c r="CC84" s="32"/>
      <c r="CD84" s="32"/>
      <c r="CE84" s="55"/>
      <c r="CF84" s="32"/>
      <c r="CG84" s="54"/>
      <c r="CH84" s="56" t="str">
        <f>IFERROR(VLOOKUP(December[[#This Row],[Drug Name9]],'Data Options'!$R$1:$S$100,2,FALSE), " ")</f>
        <v xml:space="preserve"> </v>
      </c>
      <c r="CI84" s="55"/>
      <c r="CJ84" s="32"/>
      <c r="CK84" s="32"/>
      <c r="CL84" s="55"/>
      <c r="CM84" s="32"/>
    </row>
    <row r="85" spans="1:91">
      <c r="A85" s="5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31"/>
      <c r="Q85" s="54"/>
      <c r="R85" s="56" t="str">
        <f>IFERROR(VLOOKUP(December[[#This Row],[Drug Name]],'Data Options'!$R$1:$S$100,2,FALSE), " ")</f>
        <v xml:space="preserve"> </v>
      </c>
      <c r="S85" s="55"/>
      <c r="T85" s="32"/>
      <c r="U85" s="32"/>
      <c r="V85" s="55"/>
      <c r="W85" s="32"/>
      <c r="X85" s="54"/>
      <c r="Y85" s="56" t="str">
        <f>IFERROR(VLOOKUP(December[[#This Row],[Drug Name2]],'Data Options'!$R$1:$S$100,2,FALSE), " ")</f>
        <v xml:space="preserve"> </v>
      </c>
      <c r="Z85" s="55"/>
      <c r="AA85" s="32"/>
      <c r="AB85" s="32"/>
      <c r="AC85" s="55"/>
      <c r="AD85" s="32"/>
      <c r="AE85" s="54"/>
      <c r="AF85" s="56" t="str">
        <f>IFERROR(VLOOKUP(December[[#This Row],[Drug Name3]],'Data Options'!$R$1:$S$100,2,FALSE), " ")</f>
        <v xml:space="preserve"> </v>
      </c>
      <c r="AG85" s="55"/>
      <c r="AH85" s="32"/>
      <c r="AI85" s="32"/>
      <c r="AJ85" s="55"/>
      <c r="AK85" s="32"/>
      <c r="AL85" s="32"/>
      <c r="AM85" s="32"/>
      <c r="AN85" s="32"/>
      <c r="AO85" s="32"/>
      <c r="AP85" s="31"/>
      <c r="AQ85" s="31"/>
      <c r="AR85" s="54"/>
      <c r="AS85" s="56" t="str">
        <f>IFERROR(VLOOKUP(December[[#This Row],[Drug Name4]],'Data Options'!$R$1:$S$100,2,FALSE), " ")</f>
        <v xml:space="preserve"> </v>
      </c>
      <c r="AT85" s="55"/>
      <c r="AU85" s="32"/>
      <c r="AV85" s="32"/>
      <c r="AW85" s="55"/>
      <c r="AX85" s="32"/>
      <c r="AY85" s="54"/>
      <c r="AZ85" s="56" t="str">
        <f>IFERROR(VLOOKUP(December[[#This Row],[Drug Name5]],'Data Options'!$R$1:$S$100,2,FALSE), " ")</f>
        <v xml:space="preserve"> </v>
      </c>
      <c r="BA85" s="55"/>
      <c r="BB85" s="32"/>
      <c r="BC85" s="32"/>
      <c r="BD85" s="55"/>
      <c r="BE85" s="32"/>
      <c r="BF85" s="54"/>
      <c r="BG85" s="56" t="str">
        <f>IFERROR(VLOOKUP(December[[#This Row],[Drug Name6]],'Data Options'!$R$1:$S$100,2,FALSE), " ")</f>
        <v xml:space="preserve"> </v>
      </c>
      <c r="BH85" s="55"/>
      <c r="BI85" s="32"/>
      <c r="BJ85" s="32"/>
      <c r="BK85" s="55"/>
      <c r="BL85" s="32"/>
      <c r="BM85" s="32"/>
      <c r="BN85" s="32"/>
      <c r="BO85" s="32"/>
      <c r="BP85" s="32"/>
      <c r="BQ85" s="31"/>
      <c r="BR85" s="31"/>
      <c r="BS85" s="54"/>
      <c r="BT85" s="56" t="str">
        <f>IFERROR(VLOOKUP(December[[#This Row],[Drug Name7]],'Data Options'!$R$1:$S$100,2,FALSE), " ")</f>
        <v xml:space="preserve"> </v>
      </c>
      <c r="BU85" s="55"/>
      <c r="BV85" s="32"/>
      <c r="BW85" s="32"/>
      <c r="BX85" s="55"/>
      <c r="BY85" s="32"/>
      <c r="BZ85" s="54"/>
      <c r="CA85" s="56" t="str">
        <f>IFERROR(VLOOKUP(December[[#This Row],[Drug Name8]],'Data Options'!$R$1:$S$100,2,FALSE), " ")</f>
        <v xml:space="preserve"> </v>
      </c>
      <c r="CB85" s="55"/>
      <c r="CC85" s="32"/>
      <c r="CD85" s="32"/>
      <c r="CE85" s="55"/>
      <c r="CF85" s="32"/>
      <c r="CG85" s="54"/>
      <c r="CH85" s="56" t="str">
        <f>IFERROR(VLOOKUP(December[[#This Row],[Drug Name9]],'Data Options'!$R$1:$S$100,2,FALSE), " ")</f>
        <v xml:space="preserve"> </v>
      </c>
      <c r="CI85" s="55"/>
      <c r="CJ85" s="32"/>
      <c r="CK85" s="32"/>
      <c r="CL85" s="55"/>
      <c r="CM85" s="32"/>
    </row>
    <row r="86" spans="1:91">
      <c r="A86" s="5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31"/>
      <c r="Q86" s="54"/>
      <c r="R86" s="56" t="str">
        <f>IFERROR(VLOOKUP(December[[#This Row],[Drug Name]],'Data Options'!$R$1:$S$100,2,FALSE), " ")</f>
        <v xml:space="preserve"> </v>
      </c>
      <c r="S86" s="55"/>
      <c r="T86" s="32"/>
      <c r="U86" s="32"/>
      <c r="V86" s="55"/>
      <c r="W86" s="32"/>
      <c r="X86" s="54"/>
      <c r="Y86" s="56" t="str">
        <f>IFERROR(VLOOKUP(December[[#This Row],[Drug Name2]],'Data Options'!$R$1:$S$100,2,FALSE), " ")</f>
        <v xml:space="preserve"> </v>
      </c>
      <c r="Z86" s="55"/>
      <c r="AA86" s="32"/>
      <c r="AB86" s="32"/>
      <c r="AC86" s="55"/>
      <c r="AD86" s="32"/>
      <c r="AE86" s="54"/>
      <c r="AF86" s="56" t="str">
        <f>IFERROR(VLOOKUP(December[[#This Row],[Drug Name3]],'Data Options'!$R$1:$S$100,2,FALSE), " ")</f>
        <v xml:space="preserve"> </v>
      </c>
      <c r="AG86" s="55"/>
      <c r="AH86" s="32"/>
      <c r="AI86" s="32"/>
      <c r="AJ86" s="55"/>
      <c r="AK86" s="32"/>
      <c r="AL86" s="32"/>
      <c r="AM86" s="32"/>
      <c r="AN86" s="32"/>
      <c r="AO86" s="32"/>
      <c r="AP86" s="31"/>
      <c r="AQ86" s="31"/>
      <c r="AR86" s="54"/>
      <c r="AS86" s="56" t="str">
        <f>IFERROR(VLOOKUP(December[[#This Row],[Drug Name4]],'Data Options'!$R$1:$S$100,2,FALSE), " ")</f>
        <v xml:space="preserve"> </v>
      </c>
      <c r="AT86" s="55"/>
      <c r="AU86" s="32"/>
      <c r="AV86" s="32"/>
      <c r="AW86" s="55"/>
      <c r="AX86" s="32"/>
      <c r="AY86" s="54"/>
      <c r="AZ86" s="56" t="str">
        <f>IFERROR(VLOOKUP(December[[#This Row],[Drug Name5]],'Data Options'!$R$1:$S$100,2,FALSE), " ")</f>
        <v xml:space="preserve"> </v>
      </c>
      <c r="BA86" s="55"/>
      <c r="BB86" s="32"/>
      <c r="BC86" s="32"/>
      <c r="BD86" s="55"/>
      <c r="BE86" s="32"/>
      <c r="BF86" s="54"/>
      <c r="BG86" s="56" t="str">
        <f>IFERROR(VLOOKUP(December[[#This Row],[Drug Name6]],'Data Options'!$R$1:$S$100,2,FALSE), " ")</f>
        <v xml:space="preserve"> </v>
      </c>
      <c r="BH86" s="55"/>
      <c r="BI86" s="32"/>
      <c r="BJ86" s="32"/>
      <c r="BK86" s="55"/>
      <c r="BL86" s="32"/>
      <c r="BM86" s="32"/>
      <c r="BN86" s="32"/>
      <c r="BO86" s="32"/>
      <c r="BP86" s="32"/>
      <c r="BQ86" s="31"/>
      <c r="BR86" s="31"/>
      <c r="BS86" s="54"/>
      <c r="BT86" s="56" t="str">
        <f>IFERROR(VLOOKUP(December[[#This Row],[Drug Name7]],'Data Options'!$R$1:$S$100,2,FALSE), " ")</f>
        <v xml:space="preserve"> </v>
      </c>
      <c r="BU86" s="55"/>
      <c r="BV86" s="32"/>
      <c r="BW86" s="32"/>
      <c r="BX86" s="55"/>
      <c r="BY86" s="32"/>
      <c r="BZ86" s="54"/>
      <c r="CA86" s="56" t="str">
        <f>IFERROR(VLOOKUP(December[[#This Row],[Drug Name8]],'Data Options'!$R$1:$S$100,2,FALSE), " ")</f>
        <v xml:space="preserve"> </v>
      </c>
      <c r="CB86" s="55"/>
      <c r="CC86" s="32"/>
      <c r="CD86" s="32"/>
      <c r="CE86" s="55"/>
      <c r="CF86" s="32"/>
      <c r="CG86" s="54"/>
      <c r="CH86" s="56" t="str">
        <f>IFERROR(VLOOKUP(December[[#This Row],[Drug Name9]],'Data Options'!$R$1:$S$100,2,FALSE), " ")</f>
        <v xml:space="preserve"> </v>
      </c>
      <c r="CI86" s="55"/>
      <c r="CJ86" s="32"/>
      <c r="CK86" s="32"/>
      <c r="CL86" s="55"/>
      <c r="CM86" s="32"/>
    </row>
    <row r="87" spans="1:91">
      <c r="A87" s="5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31"/>
      <c r="Q87" s="54"/>
      <c r="R87" s="56" t="str">
        <f>IFERROR(VLOOKUP(December[[#This Row],[Drug Name]],'Data Options'!$R$1:$S$100,2,FALSE), " ")</f>
        <v xml:space="preserve"> </v>
      </c>
      <c r="S87" s="55"/>
      <c r="T87" s="32"/>
      <c r="U87" s="32"/>
      <c r="V87" s="55"/>
      <c r="W87" s="32"/>
      <c r="X87" s="54"/>
      <c r="Y87" s="56" t="str">
        <f>IFERROR(VLOOKUP(December[[#This Row],[Drug Name2]],'Data Options'!$R$1:$S$100,2,FALSE), " ")</f>
        <v xml:space="preserve"> </v>
      </c>
      <c r="Z87" s="55"/>
      <c r="AA87" s="32"/>
      <c r="AB87" s="32"/>
      <c r="AC87" s="55"/>
      <c r="AD87" s="32"/>
      <c r="AE87" s="54"/>
      <c r="AF87" s="56" t="str">
        <f>IFERROR(VLOOKUP(December[[#This Row],[Drug Name3]],'Data Options'!$R$1:$S$100,2,FALSE), " ")</f>
        <v xml:space="preserve"> </v>
      </c>
      <c r="AG87" s="55"/>
      <c r="AH87" s="32"/>
      <c r="AI87" s="32"/>
      <c r="AJ87" s="55"/>
      <c r="AK87" s="32"/>
      <c r="AL87" s="32"/>
      <c r="AM87" s="32"/>
      <c r="AN87" s="32"/>
      <c r="AO87" s="32"/>
      <c r="AP87" s="31"/>
      <c r="AQ87" s="31"/>
      <c r="AR87" s="54"/>
      <c r="AS87" s="56" t="str">
        <f>IFERROR(VLOOKUP(December[[#This Row],[Drug Name4]],'Data Options'!$R$1:$S$100,2,FALSE), " ")</f>
        <v xml:space="preserve"> </v>
      </c>
      <c r="AT87" s="55"/>
      <c r="AU87" s="32"/>
      <c r="AV87" s="32"/>
      <c r="AW87" s="55"/>
      <c r="AX87" s="32"/>
      <c r="AY87" s="54"/>
      <c r="AZ87" s="56" t="str">
        <f>IFERROR(VLOOKUP(December[[#This Row],[Drug Name5]],'Data Options'!$R$1:$S$100,2,FALSE), " ")</f>
        <v xml:space="preserve"> </v>
      </c>
      <c r="BA87" s="55"/>
      <c r="BB87" s="32"/>
      <c r="BC87" s="32"/>
      <c r="BD87" s="55"/>
      <c r="BE87" s="32"/>
      <c r="BF87" s="54"/>
      <c r="BG87" s="56" t="str">
        <f>IFERROR(VLOOKUP(December[[#This Row],[Drug Name6]],'Data Options'!$R$1:$S$100,2,FALSE), " ")</f>
        <v xml:space="preserve"> </v>
      </c>
      <c r="BH87" s="55"/>
      <c r="BI87" s="32"/>
      <c r="BJ87" s="32"/>
      <c r="BK87" s="55"/>
      <c r="BL87" s="32"/>
      <c r="BM87" s="32"/>
      <c r="BN87" s="32"/>
      <c r="BO87" s="32"/>
      <c r="BP87" s="32"/>
      <c r="BQ87" s="31"/>
      <c r="BR87" s="31"/>
      <c r="BS87" s="54"/>
      <c r="BT87" s="56" t="str">
        <f>IFERROR(VLOOKUP(December[[#This Row],[Drug Name7]],'Data Options'!$R$1:$S$100,2,FALSE), " ")</f>
        <v xml:space="preserve"> </v>
      </c>
      <c r="BU87" s="55"/>
      <c r="BV87" s="32"/>
      <c r="BW87" s="32"/>
      <c r="BX87" s="55"/>
      <c r="BY87" s="32"/>
      <c r="BZ87" s="54"/>
      <c r="CA87" s="56" t="str">
        <f>IFERROR(VLOOKUP(December[[#This Row],[Drug Name8]],'Data Options'!$R$1:$S$100,2,FALSE), " ")</f>
        <v xml:space="preserve"> </v>
      </c>
      <c r="CB87" s="55"/>
      <c r="CC87" s="32"/>
      <c r="CD87" s="32"/>
      <c r="CE87" s="55"/>
      <c r="CF87" s="32"/>
      <c r="CG87" s="54"/>
      <c r="CH87" s="56" t="str">
        <f>IFERROR(VLOOKUP(December[[#This Row],[Drug Name9]],'Data Options'!$R$1:$S$100,2,FALSE), " ")</f>
        <v xml:space="preserve"> </v>
      </c>
      <c r="CI87" s="55"/>
      <c r="CJ87" s="32"/>
      <c r="CK87" s="32"/>
      <c r="CL87" s="55"/>
      <c r="CM87" s="32"/>
    </row>
    <row r="88" spans="1:91">
      <c r="A88" s="5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31"/>
      <c r="Q88" s="54"/>
      <c r="R88" s="56" t="str">
        <f>IFERROR(VLOOKUP(December[[#This Row],[Drug Name]],'Data Options'!$R$1:$S$100,2,FALSE), " ")</f>
        <v xml:space="preserve"> </v>
      </c>
      <c r="S88" s="55"/>
      <c r="T88" s="32"/>
      <c r="U88" s="32"/>
      <c r="V88" s="55"/>
      <c r="W88" s="32"/>
      <c r="X88" s="54"/>
      <c r="Y88" s="56" t="str">
        <f>IFERROR(VLOOKUP(December[[#This Row],[Drug Name2]],'Data Options'!$R$1:$S$100,2,FALSE), " ")</f>
        <v xml:space="preserve"> </v>
      </c>
      <c r="Z88" s="55"/>
      <c r="AA88" s="32"/>
      <c r="AB88" s="32"/>
      <c r="AC88" s="55"/>
      <c r="AD88" s="32"/>
      <c r="AE88" s="54"/>
      <c r="AF88" s="56" t="str">
        <f>IFERROR(VLOOKUP(December[[#This Row],[Drug Name3]],'Data Options'!$R$1:$S$100,2,FALSE), " ")</f>
        <v xml:space="preserve"> </v>
      </c>
      <c r="AG88" s="55"/>
      <c r="AH88" s="32"/>
      <c r="AI88" s="32"/>
      <c r="AJ88" s="55"/>
      <c r="AK88" s="32"/>
      <c r="AL88" s="32"/>
      <c r="AM88" s="32"/>
      <c r="AN88" s="32"/>
      <c r="AO88" s="32"/>
      <c r="AP88" s="31"/>
      <c r="AQ88" s="31"/>
      <c r="AR88" s="54"/>
      <c r="AS88" s="56" t="str">
        <f>IFERROR(VLOOKUP(December[[#This Row],[Drug Name4]],'Data Options'!$R$1:$S$100,2,FALSE), " ")</f>
        <v xml:space="preserve"> </v>
      </c>
      <c r="AT88" s="55"/>
      <c r="AU88" s="32"/>
      <c r="AV88" s="32"/>
      <c r="AW88" s="55"/>
      <c r="AX88" s="32"/>
      <c r="AY88" s="54"/>
      <c r="AZ88" s="56" t="str">
        <f>IFERROR(VLOOKUP(December[[#This Row],[Drug Name5]],'Data Options'!$R$1:$S$100,2,FALSE), " ")</f>
        <v xml:space="preserve"> </v>
      </c>
      <c r="BA88" s="55"/>
      <c r="BB88" s="32"/>
      <c r="BC88" s="32"/>
      <c r="BD88" s="55"/>
      <c r="BE88" s="32"/>
      <c r="BF88" s="54"/>
      <c r="BG88" s="56" t="str">
        <f>IFERROR(VLOOKUP(December[[#This Row],[Drug Name6]],'Data Options'!$R$1:$S$100,2,FALSE), " ")</f>
        <v xml:space="preserve"> </v>
      </c>
      <c r="BH88" s="55"/>
      <c r="BI88" s="32"/>
      <c r="BJ88" s="32"/>
      <c r="BK88" s="55"/>
      <c r="BL88" s="32"/>
      <c r="BM88" s="32"/>
      <c r="BN88" s="32"/>
      <c r="BO88" s="32"/>
      <c r="BP88" s="32"/>
      <c r="BQ88" s="31"/>
      <c r="BR88" s="31"/>
      <c r="BS88" s="54"/>
      <c r="BT88" s="56" t="str">
        <f>IFERROR(VLOOKUP(December[[#This Row],[Drug Name7]],'Data Options'!$R$1:$S$100,2,FALSE), " ")</f>
        <v xml:space="preserve"> </v>
      </c>
      <c r="BU88" s="55"/>
      <c r="BV88" s="32"/>
      <c r="BW88" s="32"/>
      <c r="BX88" s="55"/>
      <c r="BY88" s="32"/>
      <c r="BZ88" s="54"/>
      <c r="CA88" s="56" t="str">
        <f>IFERROR(VLOOKUP(December[[#This Row],[Drug Name8]],'Data Options'!$R$1:$S$100,2,FALSE), " ")</f>
        <v xml:space="preserve"> </v>
      </c>
      <c r="CB88" s="55"/>
      <c r="CC88" s="32"/>
      <c r="CD88" s="32"/>
      <c r="CE88" s="55"/>
      <c r="CF88" s="32"/>
      <c r="CG88" s="54"/>
      <c r="CH88" s="56" t="str">
        <f>IFERROR(VLOOKUP(December[[#This Row],[Drug Name9]],'Data Options'!$R$1:$S$100,2,FALSE), " ")</f>
        <v xml:space="preserve"> </v>
      </c>
      <c r="CI88" s="55"/>
      <c r="CJ88" s="32"/>
      <c r="CK88" s="32"/>
      <c r="CL88" s="55"/>
      <c r="CM88" s="32"/>
    </row>
    <row r="89" spans="1:91">
      <c r="A89" s="5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31"/>
      <c r="Q89" s="54"/>
      <c r="R89" s="56" t="str">
        <f>IFERROR(VLOOKUP(December[[#This Row],[Drug Name]],'Data Options'!$R$1:$S$100,2,FALSE), " ")</f>
        <v xml:space="preserve"> </v>
      </c>
      <c r="S89" s="55"/>
      <c r="T89" s="32"/>
      <c r="U89" s="32"/>
      <c r="V89" s="55"/>
      <c r="W89" s="32"/>
      <c r="X89" s="54"/>
      <c r="Y89" s="56" t="str">
        <f>IFERROR(VLOOKUP(December[[#This Row],[Drug Name2]],'Data Options'!$R$1:$S$100,2,FALSE), " ")</f>
        <v xml:space="preserve"> </v>
      </c>
      <c r="Z89" s="55"/>
      <c r="AA89" s="32"/>
      <c r="AB89" s="32"/>
      <c r="AC89" s="55"/>
      <c r="AD89" s="32"/>
      <c r="AE89" s="54"/>
      <c r="AF89" s="56" t="str">
        <f>IFERROR(VLOOKUP(December[[#This Row],[Drug Name3]],'Data Options'!$R$1:$S$100,2,FALSE), " ")</f>
        <v xml:space="preserve"> </v>
      </c>
      <c r="AG89" s="55"/>
      <c r="AH89" s="32"/>
      <c r="AI89" s="32"/>
      <c r="AJ89" s="55"/>
      <c r="AK89" s="32"/>
      <c r="AL89" s="32"/>
      <c r="AM89" s="32"/>
      <c r="AN89" s="32"/>
      <c r="AO89" s="32"/>
      <c r="AP89" s="31"/>
      <c r="AQ89" s="31"/>
      <c r="AR89" s="54"/>
      <c r="AS89" s="56" t="str">
        <f>IFERROR(VLOOKUP(December[[#This Row],[Drug Name4]],'Data Options'!$R$1:$S$100,2,FALSE), " ")</f>
        <v xml:space="preserve"> </v>
      </c>
      <c r="AT89" s="55"/>
      <c r="AU89" s="32"/>
      <c r="AV89" s="32"/>
      <c r="AW89" s="55"/>
      <c r="AX89" s="32"/>
      <c r="AY89" s="54"/>
      <c r="AZ89" s="56" t="str">
        <f>IFERROR(VLOOKUP(December[[#This Row],[Drug Name5]],'Data Options'!$R$1:$S$100,2,FALSE), " ")</f>
        <v xml:space="preserve"> </v>
      </c>
      <c r="BA89" s="55"/>
      <c r="BB89" s="32"/>
      <c r="BC89" s="32"/>
      <c r="BD89" s="55"/>
      <c r="BE89" s="32"/>
      <c r="BF89" s="54"/>
      <c r="BG89" s="56" t="str">
        <f>IFERROR(VLOOKUP(December[[#This Row],[Drug Name6]],'Data Options'!$R$1:$S$100,2,FALSE), " ")</f>
        <v xml:space="preserve"> </v>
      </c>
      <c r="BH89" s="55"/>
      <c r="BI89" s="32"/>
      <c r="BJ89" s="32"/>
      <c r="BK89" s="55"/>
      <c r="BL89" s="32"/>
      <c r="BM89" s="32"/>
      <c r="BN89" s="32"/>
      <c r="BO89" s="32"/>
      <c r="BP89" s="32"/>
      <c r="BQ89" s="31"/>
      <c r="BR89" s="31"/>
      <c r="BS89" s="54"/>
      <c r="BT89" s="56" t="str">
        <f>IFERROR(VLOOKUP(December[[#This Row],[Drug Name7]],'Data Options'!$R$1:$S$100,2,FALSE), " ")</f>
        <v xml:space="preserve"> </v>
      </c>
      <c r="BU89" s="55"/>
      <c r="BV89" s="32"/>
      <c r="BW89" s="32"/>
      <c r="BX89" s="55"/>
      <c r="BY89" s="32"/>
      <c r="BZ89" s="54"/>
      <c r="CA89" s="56" t="str">
        <f>IFERROR(VLOOKUP(December[[#This Row],[Drug Name8]],'Data Options'!$R$1:$S$100,2,FALSE), " ")</f>
        <v xml:space="preserve"> </v>
      </c>
      <c r="CB89" s="55"/>
      <c r="CC89" s="32"/>
      <c r="CD89" s="32"/>
      <c r="CE89" s="55"/>
      <c r="CF89" s="32"/>
      <c r="CG89" s="54"/>
      <c r="CH89" s="56" t="str">
        <f>IFERROR(VLOOKUP(December[[#This Row],[Drug Name9]],'Data Options'!$R$1:$S$100,2,FALSE), " ")</f>
        <v xml:space="preserve"> </v>
      </c>
      <c r="CI89" s="55"/>
      <c r="CJ89" s="32"/>
      <c r="CK89" s="32"/>
      <c r="CL89" s="55"/>
      <c r="CM89" s="32"/>
    </row>
    <row r="90" spans="1:91">
      <c r="A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1"/>
      <c r="Q90" s="54"/>
      <c r="R90" s="56" t="str">
        <f>IFERROR(VLOOKUP(December[[#This Row],[Drug Name]],'Data Options'!$R$1:$S$100,2,FALSE), " ")</f>
        <v xml:space="preserve"> </v>
      </c>
      <c r="S90" s="55"/>
      <c r="T90" s="32"/>
      <c r="U90" s="32"/>
      <c r="V90" s="55"/>
      <c r="W90" s="32"/>
      <c r="X90" s="54"/>
      <c r="Y90" s="56" t="str">
        <f>IFERROR(VLOOKUP(December[[#This Row],[Drug Name2]],'Data Options'!$R$1:$S$100,2,FALSE), " ")</f>
        <v xml:space="preserve"> </v>
      </c>
      <c r="Z90" s="55"/>
      <c r="AA90" s="32"/>
      <c r="AB90" s="32"/>
      <c r="AC90" s="55"/>
      <c r="AD90" s="32"/>
      <c r="AE90" s="54"/>
      <c r="AF90" s="56" t="str">
        <f>IFERROR(VLOOKUP(December[[#This Row],[Drug Name3]],'Data Options'!$R$1:$S$100,2,FALSE), " ")</f>
        <v xml:space="preserve"> </v>
      </c>
      <c r="AG90" s="55"/>
      <c r="AH90" s="32"/>
      <c r="AI90" s="32"/>
      <c r="AJ90" s="55"/>
      <c r="AK90" s="32"/>
      <c r="AL90" s="32"/>
      <c r="AM90" s="32"/>
      <c r="AN90" s="32"/>
      <c r="AO90" s="32"/>
      <c r="AP90" s="31"/>
      <c r="AQ90" s="31"/>
      <c r="AR90" s="54"/>
      <c r="AS90" s="56" t="str">
        <f>IFERROR(VLOOKUP(December[[#This Row],[Drug Name4]],'Data Options'!$R$1:$S$100,2,FALSE), " ")</f>
        <v xml:space="preserve"> </v>
      </c>
      <c r="AT90" s="55"/>
      <c r="AU90" s="32"/>
      <c r="AV90" s="32"/>
      <c r="AW90" s="55"/>
      <c r="AX90" s="32"/>
      <c r="AY90" s="54"/>
      <c r="AZ90" s="56" t="str">
        <f>IFERROR(VLOOKUP(December[[#This Row],[Drug Name5]],'Data Options'!$R$1:$S$100,2,FALSE), " ")</f>
        <v xml:space="preserve"> </v>
      </c>
      <c r="BA90" s="55"/>
      <c r="BB90" s="32"/>
      <c r="BC90" s="32"/>
      <c r="BD90" s="55"/>
      <c r="BE90" s="32"/>
      <c r="BF90" s="54"/>
      <c r="BG90" s="56" t="str">
        <f>IFERROR(VLOOKUP(December[[#This Row],[Drug Name6]],'Data Options'!$R$1:$S$100,2,FALSE), " ")</f>
        <v xml:space="preserve"> </v>
      </c>
      <c r="BH90" s="55"/>
      <c r="BI90" s="32"/>
      <c r="BJ90" s="32"/>
      <c r="BK90" s="55"/>
      <c r="BL90" s="32"/>
      <c r="BM90" s="32"/>
      <c r="BN90" s="32"/>
      <c r="BO90" s="32"/>
      <c r="BP90" s="32"/>
      <c r="BQ90" s="31"/>
      <c r="BR90" s="31"/>
      <c r="BS90" s="54"/>
      <c r="BT90" s="56" t="str">
        <f>IFERROR(VLOOKUP(December[[#This Row],[Drug Name7]],'Data Options'!$R$1:$S$100,2,FALSE), " ")</f>
        <v xml:space="preserve"> </v>
      </c>
      <c r="BU90" s="55"/>
      <c r="BV90" s="32"/>
      <c r="BW90" s="32"/>
      <c r="BX90" s="55"/>
      <c r="BY90" s="32"/>
      <c r="BZ90" s="54"/>
      <c r="CA90" s="56" t="str">
        <f>IFERROR(VLOOKUP(December[[#This Row],[Drug Name8]],'Data Options'!$R$1:$S$100,2,FALSE), " ")</f>
        <v xml:space="preserve"> </v>
      </c>
      <c r="CB90" s="55"/>
      <c r="CC90" s="32"/>
      <c r="CD90" s="32"/>
      <c r="CE90" s="55"/>
      <c r="CF90" s="32"/>
      <c r="CG90" s="54"/>
      <c r="CH90" s="56" t="str">
        <f>IFERROR(VLOOKUP(December[[#This Row],[Drug Name9]],'Data Options'!$R$1:$S$100,2,FALSE), " ")</f>
        <v xml:space="preserve"> </v>
      </c>
      <c r="CI90" s="55"/>
      <c r="CJ90" s="32"/>
      <c r="CK90" s="32"/>
      <c r="CL90" s="55"/>
      <c r="CM90" s="32"/>
    </row>
    <row r="91" spans="1:91">
      <c r="A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1"/>
      <c r="Q91" s="54"/>
      <c r="R91" s="56" t="str">
        <f>IFERROR(VLOOKUP(December[[#This Row],[Drug Name]],'Data Options'!$R$1:$S$100,2,FALSE), " ")</f>
        <v xml:space="preserve"> </v>
      </c>
      <c r="S91" s="55"/>
      <c r="T91" s="32"/>
      <c r="U91" s="32"/>
      <c r="V91" s="55"/>
      <c r="W91" s="32"/>
      <c r="X91" s="54"/>
      <c r="Y91" s="56" t="str">
        <f>IFERROR(VLOOKUP(December[[#This Row],[Drug Name2]],'Data Options'!$R$1:$S$100,2,FALSE), " ")</f>
        <v xml:space="preserve"> </v>
      </c>
      <c r="Z91" s="55"/>
      <c r="AA91" s="32"/>
      <c r="AB91" s="32"/>
      <c r="AC91" s="55"/>
      <c r="AD91" s="32"/>
      <c r="AE91" s="54"/>
      <c r="AF91" s="56" t="str">
        <f>IFERROR(VLOOKUP(December[[#This Row],[Drug Name3]],'Data Options'!$R$1:$S$100,2,FALSE), " ")</f>
        <v xml:space="preserve"> </v>
      </c>
      <c r="AG91" s="55"/>
      <c r="AH91" s="32"/>
      <c r="AI91" s="32"/>
      <c r="AJ91" s="55"/>
      <c r="AK91" s="32"/>
      <c r="AL91" s="32"/>
      <c r="AM91" s="32"/>
      <c r="AN91" s="32"/>
      <c r="AO91" s="32"/>
      <c r="AP91" s="31"/>
      <c r="AQ91" s="31"/>
      <c r="AR91" s="54"/>
      <c r="AS91" s="56" t="str">
        <f>IFERROR(VLOOKUP(December[[#This Row],[Drug Name4]],'Data Options'!$R$1:$S$100,2,FALSE), " ")</f>
        <v xml:space="preserve"> </v>
      </c>
      <c r="AT91" s="55"/>
      <c r="AU91" s="32"/>
      <c r="AV91" s="32"/>
      <c r="AW91" s="55"/>
      <c r="AX91" s="32"/>
      <c r="AY91" s="54"/>
      <c r="AZ91" s="56" t="str">
        <f>IFERROR(VLOOKUP(December[[#This Row],[Drug Name5]],'Data Options'!$R$1:$S$100,2,FALSE), " ")</f>
        <v xml:space="preserve"> </v>
      </c>
      <c r="BA91" s="55"/>
      <c r="BB91" s="32"/>
      <c r="BC91" s="32"/>
      <c r="BD91" s="55"/>
      <c r="BE91" s="32"/>
      <c r="BF91" s="54"/>
      <c r="BG91" s="56" t="str">
        <f>IFERROR(VLOOKUP(December[[#This Row],[Drug Name6]],'Data Options'!$R$1:$S$100,2,FALSE), " ")</f>
        <v xml:space="preserve"> </v>
      </c>
      <c r="BH91" s="55"/>
      <c r="BI91" s="32"/>
      <c r="BJ91" s="32"/>
      <c r="BK91" s="55"/>
      <c r="BL91" s="32"/>
      <c r="BM91" s="32"/>
      <c r="BN91" s="32"/>
      <c r="BO91" s="32"/>
      <c r="BP91" s="32"/>
      <c r="BQ91" s="31"/>
      <c r="BR91" s="31"/>
      <c r="BS91" s="54"/>
      <c r="BT91" s="56" t="str">
        <f>IFERROR(VLOOKUP(December[[#This Row],[Drug Name7]],'Data Options'!$R$1:$S$100,2,FALSE), " ")</f>
        <v xml:space="preserve"> </v>
      </c>
      <c r="BU91" s="55"/>
      <c r="BV91" s="32"/>
      <c r="BW91" s="32"/>
      <c r="BX91" s="55"/>
      <c r="BY91" s="32"/>
      <c r="BZ91" s="54"/>
      <c r="CA91" s="56" t="str">
        <f>IFERROR(VLOOKUP(December[[#This Row],[Drug Name8]],'Data Options'!$R$1:$S$100,2,FALSE), " ")</f>
        <v xml:space="preserve"> </v>
      </c>
      <c r="CB91" s="55"/>
      <c r="CC91" s="32"/>
      <c r="CD91" s="32"/>
      <c r="CE91" s="55"/>
      <c r="CF91" s="32"/>
      <c r="CG91" s="54"/>
      <c r="CH91" s="56" t="str">
        <f>IFERROR(VLOOKUP(December[[#This Row],[Drug Name9]],'Data Options'!$R$1:$S$100,2,FALSE), " ")</f>
        <v xml:space="preserve"> </v>
      </c>
      <c r="CI91" s="55"/>
      <c r="CJ91" s="32"/>
      <c r="CK91" s="32"/>
      <c r="CL91" s="55"/>
      <c r="CM91" s="32"/>
    </row>
    <row r="92" spans="1:91">
      <c r="A92" s="5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1"/>
      <c r="Q92" s="54"/>
      <c r="R92" s="56" t="str">
        <f>IFERROR(VLOOKUP(December[[#This Row],[Drug Name]],'Data Options'!$R$1:$S$100,2,FALSE), " ")</f>
        <v xml:space="preserve"> </v>
      </c>
      <c r="S92" s="55"/>
      <c r="T92" s="32"/>
      <c r="U92" s="32"/>
      <c r="V92" s="55"/>
      <c r="W92" s="32"/>
      <c r="X92" s="54"/>
      <c r="Y92" s="56" t="str">
        <f>IFERROR(VLOOKUP(December[[#This Row],[Drug Name2]],'Data Options'!$R$1:$S$100,2,FALSE), " ")</f>
        <v xml:space="preserve"> </v>
      </c>
      <c r="Z92" s="55"/>
      <c r="AA92" s="32"/>
      <c r="AB92" s="32"/>
      <c r="AC92" s="55"/>
      <c r="AD92" s="32"/>
      <c r="AE92" s="54"/>
      <c r="AF92" s="56" t="str">
        <f>IFERROR(VLOOKUP(December[[#This Row],[Drug Name3]],'Data Options'!$R$1:$S$100,2,FALSE), " ")</f>
        <v xml:space="preserve"> </v>
      </c>
      <c r="AG92" s="55"/>
      <c r="AH92" s="32"/>
      <c r="AI92" s="32"/>
      <c r="AJ92" s="55"/>
      <c r="AK92" s="32"/>
      <c r="AL92" s="32"/>
      <c r="AM92" s="32"/>
      <c r="AN92" s="32"/>
      <c r="AO92" s="32"/>
      <c r="AP92" s="31"/>
      <c r="AQ92" s="31"/>
      <c r="AR92" s="54"/>
      <c r="AS92" s="56" t="str">
        <f>IFERROR(VLOOKUP(December[[#This Row],[Drug Name4]],'Data Options'!$R$1:$S$100,2,FALSE), " ")</f>
        <v xml:space="preserve"> </v>
      </c>
      <c r="AT92" s="55"/>
      <c r="AU92" s="32"/>
      <c r="AV92" s="32"/>
      <c r="AW92" s="55"/>
      <c r="AX92" s="32"/>
      <c r="AY92" s="54"/>
      <c r="AZ92" s="56" t="str">
        <f>IFERROR(VLOOKUP(December[[#This Row],[Drug Name5]],'Data Options'!$R$1:$S$100,2,FALSE), " ")</f>
        <v xml:space="preserve"> </v>
      </c>
      <c r="BA92" s="55"/>
      <c r="BB92" s="32"/>
      <c r="BC92" s="32"/>
      <c r="BD92" s="55"/>
      <c r="BE92" s="32"/>
      <c r="BF92" s="54"/>
      <c r="BG92" s="56" t="str">
        <f>IFERROR(VLOOKUP(December[[#This Row],[Drug Name6]],'Data Options'!$R$1:$S$100,2,FALSE), " ")</f>
        <v xml:space="preserve"> </v>
      </c>
      <c r="BH92" s="55"/>
      <c r="BI92" s="32"/>
      <c r="BJ92" s="32"/>
      <c r="BK92" s="55"/>
      <c r="BL92" s="32"/>
      <c r="BM92" s="32"/>
      <c r="BN92" s="32"/>
      <c r="BO92" s="32"/>
      <c r="BP92" s="32"/>
      <c r="BQ92" s="31"/>
      <c r="BR92" s="31"/>
      <c r="BS92" s="54"/>
      <c r="BT92" s="56" t="str">
        <f>IFERROR(VLOOKUP(December[[#This Row],[Drug Name7]],'Data Options'!$R$1:$S$100,2,FALSE), " ")</f>
        <v xml:space="preserve"> </v>
      </c>
      <c r="BU92" s="55"/>
      <c r="BV92" s="32"/>
      <c r="BW92" s="32"/>
      <c r="BX92" s="55"/>
      <c r="BY92" s="32"/>
      <c r="BZ92" s="54"/>
      <c r="CA92" s="56" t="str">
        <f>IFERROR(VLOOKUP(December[[#This Row],[Drug Name8]],'Data Options'!$R$1:$S$100,2,FALSE), " ")</f>
        <v xml:space="preserve"> </v>
      </c>
      <c r="CB92" s="55"/>
      <c r="CC92" s="32"/>
      <c r="CD92" s="32"/>
      <c r="CE92" s="55"/>
      <c r="CF92" s="32"/>
      <c r="CG92" s="54"/>
      <c r="CH92" s="56" t="str">
        <f>IFERROR(VLOOKUP(December[[#This Row],[Drug Name9]],'Data Options'!$R$1:$S$100,2,FALSE), " ")</f>
        <v xml:space="preserve"> </v>
      </c>
      <c r="CI92" s="55"/>
      <c r="CJ92" s="32"/>
      <c r="CK92" s="32"/>
      <c r="CL92" s="55"/>
      <c r="CM92" s="32"/>
    </row>
    <row r="93" spans="1:91">
      <c r="A93" s="5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1"/>
      <c r="Q93" s="54"/>
      <c r="R93" s="56" t="str">
        <f>IFERROR(VLOOKUP(December[[#This Row],[Drug Name]],'Data Options'!$R$1:$S$100,2,FALSE), " ")</f>
        <v xml:space="preserve"> </v>
      </c>
      <c r="S93" s="55"/>
      <c r="T93" s="32"/>
      <c r="U93" s="32"/>
      <c r="V93" s="55"/>
      <c r="W93" s="32"/>
      <c r="X93" s="54"/>
      <c r="Y93" s="56" t="str">
        <f>IFERROR(VLOOKUP(December[[#This Row],[Drug Name2]],'Data Options'!$R$1:$S$100,2,FALSE), " ")</f>
        <v xml:space="preserve"> </v>
      </c>
      <c r="Z93" s="55"/>
      <c r="AA93" s="32"/>
      <c r="AB93" s="32"/>
      <c r="AC93" s="55"/>
      <c r="AD93" s="32"/>
      <c r="AE93" s="54"/>
      <c r="AF93" s="56" t="str">
        <f>IFERROR(VLOOKUP(December[[#This Row],[Drug Name3]],'Data Options'!$R$1:$S$100,2,FALSE), " ")</f>
        <v xml:space="preserve"> </v>
      </c>
      <c r="AG93" s="55"/>
      <c r="AH93" s="32"/>
      <c r="AI93" s="32"/>
      <c r="AJ93" s="55"/>
      <c r="AK93" s="32"/>
      <c r="AL93" s="32"/>
      <c r="AM93" s="32"/>
      <c r="AN93" s="32"/>
      <c r="AO93" s="32"/>
      <c r="AP93" s="31"/>
      <c r="AQ93" s="31"/>
      <c r="AR93" s="54"/>
      <c r="AS93" s="56" t="str">
        <f>IFERROR(VLOOKUP(December[[#This Row],[Drug Name4]],'Data Options'!$R$1:$S$100,2,FALSE), " ")</f>
        <v xml:space="preserve"> </v>
      </c>
      <c r="AT93" s="55"/>
      <c r="AU93" s="32"/>
      <c r="AV93" s="32"/>
      <c r="AW93" s="55"/>
      <c r="AX93" s="32"/>
      <c r="AY93" s="54"/>
      <c r="AZ93" s="56" t="str">
        <f>IFERROR(VLOOKUP(December[[#This Row],[Drug Name5]],'Data Options'!$R$1:$S$100,2,FALSE), " ")</f>
        <v xml:space="preserve"> </v>
      </c>
      <c r="BA93" s="55"/>
      <c r="BB93" s="32"/>
      <c r="BC93" s="32"/>
      <c r="BD93" s="55"/>
      <c r="BE93" s="32"/>
      <c r="BF93" s="54"/>
      <c r="BG93" s="56" t="str">
        <f>IFERROR(VLOOKUP(December[[#This Row],[Drug Name6]],'Data Options'!$R$1:$S$100,2,FALSE), " ")</f>
        <v xml:space="preserve"> </v>
      </c>
      <c r="BH93" s="55"/>
      <c r="BI93" s="32"/>
      <c r="BJ93" s="32"/>
      <c r="BK93" s="55"/>
      <c r="BL93" s="32"/>
      <c r="BM93" s="32"/>
      <c r="BN93" s="32"/>
      <c r="BO93" s="32"/>
      <c r="BP93" s="32"/>
      <c r="BQ93" s="31"/>
      <c r="BR93" s="31"/>
      <c r="BS93" s="54"/>
      <c r="BT93" s="56" t="str">
        <f>IFERROR(VLOOKUP(December[[#This Row],[Drug Name7]],'Data Options'!$R$1:$S$100,2,FALSE), " ")</f>
        <v xml:space="preserve"> </v>
      </c>
      <c r="BU93" s="55"/>
      <c r="BV93" s="32"/>
      <c r="BW93" s="32"/>
      <c r="BX93" s="55"/>
      <c r="BY93" s="32"/>
      <c r="BZ93" s="54"/>
      <c r="CA93" s="56" t="str">
        <f>IFERROR(VLOOKUP(December[[#This Row],[Drug Name8]],'Data Options'!$R$1:$S$100,2,FALSE), " ")</f>
        <v xml:space="preserve"> </v>
      </c>
      <c r="CB93" s="55"/>
      <c r="CC93" s="32"/>
      <c r="CD93" s="32"/>
      <c r="CE93" s="55"/>
      <c r="CF93" s="32"/>
      <c r="CG93" s="54"/>
      <c r="CH93" s="56" t="str">
        <f>IFERROR(VLOOKUP(December[[#This Row],[Drug Name9]],'Data Options'!$R$1:$S$100,2,FALSE), " ")</f>
        <v xml:space="preserve"> </v>
      </c>
      <c r="CI93" s="55"/>
      <c r="CJ93" s="32"/>
      <c r="CK93" s="32"/>
      <c r="CL93" s="55"/>
      <c r="CM93" s="32"/>
    </row>
    <row r="94" spans="1:91">
      <c r="A94" s="5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1"/>
      <c r="Q94" s="54"/>
      <c r="R94" s="56" t="str">
        <f>IFERROR(VLOOKUP(December[[#This Row],[Drug Name]],'Data Options'!$R$1:$S$100,2,FALSE), " ")</f>
        <v xml:space="preserve"> </v>
      </c>
      <c r="S94" s="55"/>
      <c r="T94" s="32"/>
      <c r="U94" s="32"/>
      <c r="V94" s="55"/>
      <c r="W94" s="32"/>
      <c r="X94" s="54"/>
      <c r="Y94" s="56" t="str">
        <f>IFERROR(VLOOKUP(December[[#This Row],[Drug Name2]],'Data Options'!$R$1:$S$100,2,FALSE), " ")</f>
        <v xml:space="preserve"> </v>
      </c>
      <c r="Z94" s="55"/>
      <c r="AA94" s="32"/>
      <c r="AB94" s="32"/>
      <c r="AC94" s="55"/>
      <c r="AD94" s="32"/>
      <c r="AE94" s="54"/>
      <c r="AF94" s="56" t="str">
        <f>IFERROR(VLOOKUP(December[[#This Row],[Drug Name3]],'Data Options'!$R$1:$S$100,2,FALSE), " ")</f>
        <v xml:space="preserve"> </v>
      </c>
      <c r="AG94" s="55"/>
      <c r="AH94" s="32"/>
      <c r="AI94" s="32"/>
      <c r="AJ94" s="55"/>
      <c r="AK94" s="32"/>
      <c r="AL94" s="32"/>
      <c r="AM94" s="32"/>
      <c r="AN94" s="32"/>
      <c r="AO94" s="32"/>
      <c r="AP94" s="31"/>
      <c r="AQ94" s="31"/>
      <c r="AR94" s="54"/>
      <c r="AS94" s="56" t="str">
        <f>IFERROR(VLOOKUP(December[[#This Row],[Drug Name4]],'Data Options'!$R$1:$S$100,2,FALSE), " ")</f>
        <v xml:space="preserve"> </v>
      </c>
      <c r="AT94" s="55"/>
      <c r="AU94" s="32"/>
      <c r="AV94" s="32"/>
      <c r="AW94" s="55"/>
      <c r="AX94" s="32"/>
      <c r="AY94" s="54"/>
      <c r="AZ94" s="56" t="str">
        <f>IFERROR(VLOOKUP(December[[#This Row],[Drug Name5]],'Data Options'!$R$1:$S$100,2,FALSE), " ")</f>
        <v xml:space="preserve"> </v>
      </c>
      <c r="BA94" s="55"/>
      <c r="BB94" s="32"/>
      <c r="BC94" s="32"/>
      <c r="BD94" s="55"/>
      <c r="BE94" s="32"/>
      <c r="BF94" s="54"/>
      <c r="BG94" s="56" t="str">
        <f>IFERROR(VLOOKUP(December[[#This Row],[Drug Name6]],'Data Options'!$R$1:$S$100,2,FALSE), " ")</f>
        <v xml:space="preserve"> </v>
      </c>
      <c r="BH94" s="55"/>
      <c r="BI94" s="32"/>
      <c r="BJ94" s="32"/>
      <c r="BK94" s="55"/>
      <c r="BL94" s="32"/>
      <c r="BM94" s="32"/>
      <c r="BN94" s="32"/>
      <c r="BO94" s="32"/>
      <c r="BP94" s="32"/>
      <c r="BQ94" s="31"/>
      <c r="BR94" s="31"/>
      <c r="BS94" s="54"/>
      <c r="BT94" s="56" t="str">
        <f>IFERROR(VLOOKUP(December[[#This Row],[Drug Name7]],'Data Options'!$R$1:$S$100,2,FALSE), " ")</f>
        <v xml:space="preserve"> </v>
      </c>
      <c r="BU94" s="55"/>
      <c r="BV94" s="32"/>
      <c r="BW94" s="32"/>
      <c r="BX94" s="55"/>
      <c r="BY94" s="32"/>
      <c r="BZ94" s="54"/>
      <c r="CA94" s="56" t="str">
        <f>IFERROR(VLOOKUP(December[[#This Row],[Drug Name8]],'Data Options'!$R$1:$S$100,2,FALSE), " ")</f>
        <v xml:space="preserve"> </v>
      </c>
      <c r="CB94" s="55"/>
      <c r="CC94" s="32"/>
      <c r="CD94" s="32"/>
      <c r="CE94" s="55"/>
      <c r="CF94" s="32"/>
      <c r="CG94" s="54"/>
      <c r="CH94" s="56" t="str">
        <f>IFERROR(VLOOKUP(December[[#This Row],[Drug Name9]],'Data Options'!$R$1:$S$100,2,FALSE), " ")</f>
        <v xml:space="preserve"> </v>
      </c>
      <c r="CI94" s="55"/>
      <c r="CJ94" s="32"/>
      <c r="CK94" s="32"/>
      <c r="CL94" s="55"/>
      <c r="CM94" s="32"/>
    </row>
    <row r="95" spans="1:91">
      <c r="A95" s="5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1"/>
      <c r="P95" s="31"/>
      <c r="Q95" s="54"/>
      <c r="R95" s="56" t="str">
        <f>IFERROR(VLOOKUP(December[[#This Row],[Drug Name]],'Data Options'!$R$1:$S$100,2,FALSE), " ")</f>
        <v xml:space="preserve"> </v>
      </c>
      <c r="S95" s="55"/>
      <c r="T95" s="32"/>
      <c r="U95" s="32"/>
      <c r="V95" s="55"/>
      <c r="W95" s="32"/>
      <c r="X95" s="54"/>
      <c r="Y95" s="56" t="str">
        <f>IFERROR(VLOOKUP(December[[#This Row],[Drug Name2]],'Data Options'!$R$1:$S$100,2,FALSE), " ")</f>
        <v xml:space="preserve"> </v>
      </c>
      <c r="Z95" s="55"/>
      <c r="AA95" s="32"/>
      <c r="AB95" s="32"/>
      <c r="AC95" s="55"/>
      <c r="AD95" s="32"/>
      <c r="AE95" s="54"/>
      <c r="AF95" s="56" t="str">
        <f>IFERROR(VLOOKUP(December[[#This Row],[Drug Name3]],'Data Options'!$R$1:$S$100,2,FALSE), " ")</f>
        <v xml:space="preserve"> </v>
      </c>
      <c r="AG95" s="55"/>
      <c r="AH95" s="32"/>
      <c r="AI95" s="32"/>
      <c r="AJ95" s="55"/>
      <c r="AK95" s="32"/>
      <c r="AL95" s="32"/>
      <c r="AM95" s="32"/>
      <c r="AN95" s="32"/>
      <c r="AO95" s="32"/>
      <c r="AP95" s="31"/>
      <c r="AQ95" s="31"/>
      <c r="AR95" s="54"/>
      <c r="AS95" s="56" t="str">
        <f>IFERROR(VLOOKUP(December[[#This Row],[Drug Name4]],'Data Options'!$R$1:$S$100,2,FALSE), " ")</f>
        <v xml:space="preserve"> </v>
      </c>
      <c r="AT95" s="55"/>
      <c r="AU95" s="32"/>
      <c r="AV95" s="32"/>
      <c r="AW95" s="55"/>
      <c r="AX95" s="32"/>
      <c r="AY95" s="54"/>
      <c r="AZ95" s="56" t="str">
        <f>IFERROR(VLOOKUP(December[[#This Row],[Drug Name5]],'Data Options'!$R$1:$S$100,2,FALSE), " ")</f>
        <v xml:space="preserve"> </v>
      </c>
      <c r="BA95" s="55"/>
      <c r="BB95" s="32"/>
      <c r="BC95" s="32"/>
      <c r="BD95" s="55"/>
      <c r="BE95" s="32"/>
      <c r="BF95" s="54"/>
      <c r="BG95" s="56" t="str">
        <f>IFERROR(VLOOKUP(December[[#This Row],[Drug Name6]],'Data Options'!$R$1:$S$100,2,FALSE), " ")</f>
        <v xml:space="preserve"> </v>
      </c>
      <c r="BH95" s="55"/>
      <c r="BI95" s="32"/>
      <c r="BJ95" s="32"/>
      <c r="BK95" s="55"/>
      <c r="BL95" s="32"/>
      <c r="BM95" s="32"/>
      <c r="BN95" s="32"/>
      <c r="BO95" s="32"/>
      <c r="BP95" s="32"/>
      <c r="BQ95" s="31"/>
      <c r="BR95" s="31"/>
      <c r="BS95" s="54"/>
      <c r="BT95" s="56" t="str">
        <f>IFERROR(VLOOKUP(December[[#This Row],[Drug Name7]],'Data Options'!$R$1:$S$100,2,FALSE), " ")</f>
        <v xml:space="preserve"> </v>
      </c>
      <c r="BU95" s="55"/>
      <c r="BV95" s="32"/>
      <c r="BW95" s="32"/>
      <c r="BX95" s="55"/>
      <c r="BY95" s="32"/>
      <c r="BZ95" s="54"/>
      <c r="CA95" s="56" t="str">
        <f>IFERROR(VLOOKUP(December[[#This Row],[Drug Name8]],'Data Options'!$R$1:$S$100,2,FALSE), " ")</f>
        <v xml:space="preserve"> </v>
      </c>
      <c r="CB95" s="55"/>
      <c r="CC95" s="32"/>
      <c r="CD95" s="32"/>
      <c r="CE95" s="55"/>
      <c r="CF95" s="32"/>
      <c r="CG95" s="54"/>
      <c r="CH95" s="56" t="str">
        <f>IFERROR(VLOOKUP(December[[#This Row],[Drug Name9]],'Data Options'!$R$1:$S$100,2,FALSE), " ")</f>
        <v xml:space="preserve"> </v>
      </c>
      <c r="CI95" s="55"/>
      <c r="CJ95" s="32"/>
      <c r="CK95" s="32"/>
      <c r="CL95" s="55"/>
      <c r="CM95" s="32"/>
    </row>
    <row r="96" spans="1:91">
      <c r="A96" s="5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1"/>
      <c r="P96" s="31"/>
      <c r="Q96" s="54"/>
      <c r="R96" s="56" t="str">
        <f>IFERROR(VLOOKUP(December[[#This Row],[Drug Name]],'Data Options'!$R$1:$S$100,2,FALSE), " ")</f>
        <v xml:space="preserve"> </v>
      </c>
      <c r="S96" s="55"/>
      <c r="T96" s="32"/>
      <c r="U96" s="32"/>
      <c r="V96" s="55"/>
      <c r="W96" s="32"/>
      <c r="X96" s="54"/>
      <c r="Y96" s="56" t="str">
        <f>IFERROR(VLOOKUP(December[[#This Row],[Drug Name2]],'Data Options'!$R$1:$S$100,2,FALSE), " ")</f>
        <v xml:space="preserve"> </v>
      </c>
      <c r="Z96" s="55"/>
      <c r="AA96" s="32"/>
      <c r="AB96" s="32"/>
      <c r="AC96" s="55"/>
      <c r="AD96" s="32"/>
      <c r="AE96" s="54"/>
      <c r="AF96" s="56" t="str">
        <f>IFERROR(VLOOKUP(December[[#This Row],[Drug Name3]],'Data Options'!$R$1:$S$100,2,FALSE), " ")</f>
        <v xml:space="preserve"> </v>
      </c>
      <c r="AG96" s="55"/>
      <c r="AH96" s="32"/>
      <c r="AI96" s="32"/>
      <c r="AJ96" s="55"/>
      <c r="AK96" s="32"/>
      <c r="AL96" s="32"/>
      <c r="AM96" s="32"/>
      <c r="AN96" s="32"/>
      <c r="AO96" s="32"/>
      <c r="AP96" s="31"/>
      <c r="AQ96" s="31"/>
      <c r="AR96" s="54"/>
      <c r="AS96" s="56" t="str">
        <f>IFERROR(VLOOKUP(December[[#This Row],[Drug Name4]],'Data Options'!$R$1:$S$100,2,FALSE), " ")</f>
        <v xml:space="preserve"> </v>
      </c>
      <c r="AT96" s="55"/>
      <c r="AU96" s="32"/>
      <c r="AV96" s="32"/>
      <c r="AW96" s="55"/>
      <c r="AX96" s="32"/>
      <c r="AY96" s="54"/>
      <c r="AZ96" s="56" t="str">
        <f>IFERROR(VLOOKUP(December[[#This Row],[Drug Name5]],'Data Options'!$R$1:$S$100,2,FALSE), " ")</f>
        <v xml:space="preserve"> </v>
      </c>
      <c r="BA96" s="55"/>
      <c r="BB96" s="32"/>
      <c r="BC96" s="32"/>
      <c r="BD96" s="55"/>
      <c r="BE96" s="32"/>
      <c r="BF96" s="54"/>
      <c r="BG96" s="56" t="str">
        <f>IFERROR(VLOOKUP(December[[#This Row],[Drug Name6]],'Data Options'!$R$1:$S$100,2,FALSE), " ")</f>
        <v xml:space="preserve"> </v>
      </c>
      <c r="BH96" s="55"/>
      <c r="BI96" s="32"/>
      <c r="BJ96" s="32"/>
      <c r="BK96" s="55"/>
      <c r="BL96" s="32"/>
      <c r="BM96" s="32"/>
      <c r="BN96" s="32"/>
      <c r="BO96" s="32"/>
      <c r="BP96" s="32"/>
      <c r="BQ96" s="31"/>
      <c r="BR96" s="31"/>
      <c r="BS96" s="54"/>
      <c r="BT96" s="56" t="str">
        <f>IFERROR(VLOOKUP(December[[#This Row],[Drug Name7]],'Data Options'!$R$1:$S$100,2,FALSE), " ")</f>
        <v xml:space="preserve"> </v>
      </c>
      <c r="BU96" s="55"/>
      <c r="BV96" s="32"/>
      <c r="BW96" s="32"/>
      <c r="BX96" s="55"/>
      <c r="BY96" s="32"/>
      <c r="BZ96" s="54"/>
      <c r="CA96" s="56" t="str">
        <f>IFERROR(VLOOKUP(December[[#This Row],[Drug Name8]],'Data Options'!$R$1:$S$100,2,FALSE), " ")</f>
        <v xml:space="preserve"> </v>
      </c>
      <c r="CB96" s="55"/>
      <c r="CC96" s="32"/>
      <c r="CD96" s="32"/>
      <c r="CE96" s="55"/>
      <c r="CF96" s="32"/>
      <c r="CG96" s="54"/>
      <c r="CH96" s="56" t="str">
        <f>IFERROR(VLOOKUP(December[[#This Row],[Drug Name9]],'Data Options'!$R$1:$S$100,2,FALSE), " ")</f>
        <v xml:space="preserve"> </v>
      </c>
      <c r="CI96" s="55"/>
      <c r="CJ96" s="32"/>
      <c r="CK96" s="32"/>
      <c r="CL96" s="55"/>
      <c r="CM96" s="32"/>
    </row>
    <row r="97" spans="1:91">
      <c r="A97" s="5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1"/>
      <c r="P97" s="31"/>
      <c r="Q97" s="54"/>
      <c r="R97" s="56" t="str">
        <f>IFERROR(VLOOKUP(December[[#This Row],[Drug Name]],'Data Options'!$R$1:$S$100,2,FALSE), " ")</f>
        <v xml:space="preserve"> </v>
      </c>
      <c r="S97" s="55"/>
      <c r="T97" s="32"/>
      <c r="U97" s="32"/>
      <c r="V97" s="55"/>
      <c r="W97" s="32"/>
      <c r="X97" s="54"/>
      <c r="Y97" s="56" t="str">
        <f>IFERROR(VLOOKUP(December[[#This Row],[Drug Name2]],'Data Options'!$R$1:$S$100,2,FALSE), " ")</f>
        <v xml:space="preserve"> </v>
      </c>
      <c r="Z97" s="55"/>
      <c r="AA97" s="32"/>
      <c r="AB97" s="32"/>
      <c r="AC97" s="55"/>
      <c r="AD97" s="32"/>
      <c r="AE97" s="54"/>
      <c r="AF97" s="56" t="str">
        <f>IFERROR(VLOOKUP(December[[#This Row],[Drug Name3]],'Data Options'!$R$1:$S$100,2,FALSE), " ")</f>
        <v xml:space="preserve"> </v>
      </c>
      <c r="AG97" s="55"/>
      <c r="AH97" s="32"/>
      <c r="AI97" s="32"/>
      <c r="AJ97" s="55"/>
      <c r="AK97" s="32"/>
      <c r="AL97" s="32"/>
      <c r="AM97" s="32"/>
      <c r="AN97" s="32"/>
      <c r="AO97" s="32"/>
      <c r="AP97" s="31"/>
      <c r="AQ97" s="31"/>
      <c r="AR97" s="54"/>
      <c r="AS97" s="56" t="str">
        <f>IFERROR(VLOOKUP(December[[#This Row],[Drug Name4]],'Data Options'!$R$1:$S$100,2,FALSE), " ")</f>
        <v xml:space="preserve"> </v>
      </c>
      <c r="AT97" s="55"/>
      <c r="AU97" s="32"/>
      <c r="AV97" s="32"/>
      <c r="AW97" s="55"/>
      <c r="AX97" s="32"/>
      <c r="AY97" s="54"/>
      <c r="AZ97" s="56" t="str">
        <f>IFERROR(VLOOKUP(December[[#This Row],[Drug Name5]],'Data Options'!$R$1:$S$100,2,FALSE), " ")</f>
        <v xml:space="preserve"> </v>
      </c>
      <c r="BA97" s="55"/>
      <c r="BB97" s="32"/>
      <c r="BC97" s="32"/>
      <c r="BD97" s="55"/>
      <c r="BE97" s="32"/>
      <c r="BF97" s="54"/>
      <c r="BG97" s="56" t="str">
        <f>IFERROR(VLOOKUP(December[[#This Row],[Drug Name6]],'Data Options'!$R$1:$S$100,2,FALSE), " ")</f>
        <v xml:space="preserve"> </v>
      </c>
      <c r="BH97" s="55"/>
      <c r="BI97" s="32"/>
      <c r="BJ97" s="32"/>
      <c r="BK97" s="55"/>
      <c r="BL97" s="32"/>
      <c r="BM97" s="32"/>
      <c r="BN97" s="32"/>
      <c r="BO97" s="32"/>
      <c r="BP97" s="32"/>
      <c r="BQ97" s="31"/>
      <c r="BR97" s="31"/>
      <c r="BS97" s="54"/>
      <c r="BT97" s="56" t="str">
        <f>IFERROR(VLOOKUP(December[[#This Row],[Drug Name7]],'Data Options'!$R$1:$S$100,2,FALSE), " ")</f>
        <v xml:space="preserve"> </v>
      </c>
      <c r="BU97" s="55"/>
      <c r="BV97" s="32"/>
      <c r="BW97" s="32"/>
      <c r="BX97" s="55"/>
      <c r="BY97" s="32"/>
      <c r="BZ97" s="54"/>
      <c r="CA97" s="56" t="str">
        <f>IFERROR(VLOOKUP(December[[#This Row],[Drug Name8]],'Data Options'!$R$1:$S$100,2,FALSE), " ")</f>
        <v xml:space="preserve"> </v>
      </c>
      <c r="CB97" s="55"/>
      <c r="CC97" s="32"/>
      <c r="CD97" s="32"/>
      <c r="CE97" s="55"/>
      <c r="CF97" s="32"/>
      <c r="CG97" s="54"/>
      <c r="CH97" s="56" t="str">
        <f>IFERROR(VLOOKUP(December[[#This Row],[Drug Name9]],'Data Options'!$R$1:$S$100,2,FALSE), " ")</f>
        <v xml:space="preserve"> </v>
      </c>
      <c r="CI97" s="55"/>
      <c r="CJ97" s="32"/>
      <c r="CK97" s="32"/>
      <c r="CL97" s="55"/>
      <c r="CM97" s="32"/>
    </row>
    <row r="98" spans="1:91">
      <c r="A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1"/>
      <c r="P98" s="31"/>
      <c r="Q98" s="54"/>
      <c r="R98" s="56" t="str">
        <f>IFERROR(VLOOKUP(December[[#This Row],[Drug Name]],'Data Options'!$R$1:$S$100,2,FALSE), " ")</f>
        <v xml:space="preserve"> </v>
      </c>
      <c r="S98" s="55"/>
      <c r="T98" s="32"/>
      <c r="U98" s="32"/>
      <c r="V98" s="55"/>
      <c r="W98" s="32"/>
      <c r="X98" s="54"/>
      <c r="Y98" s="56" t="str">
        <f>IFERROR(VLOOKUP(December[[#This Row],[Drug Name2]],'Data Options'!$R$1:$S$100,2,FALSE), " ")</f>
        <v xml:space="preserve"> </v>
      </c>
      <c r="Z98" s="55"/>
      <c r="AA98" s="32"/>
      <c r="AB98" s="32"/>
      <c r="AC98" s="55"/>
      <c r="AD98" s="32"/>
      <c r="AE98" s="54"/>
      <c r="AF98" s="56" t="str">
        <f>IFERROR(VLOOKUP(December[[#This Row],[Drug Name3]],'Data Options'!$R$1:$S$100,2,FALSE), " ")</f>
        <v xml:space="preserve"> </v>
      </c>
      <c r="AG98" s="55"/>
      <c r="AH98" s="32"/>
      <c r="AI98" s="32"/>
      <c r="AJ98" s="55"/>
      <c r="AK98" s="32"/>
      <c r="AL98" s="32"/>
      <c r="AM98" s="32"/>
      <c r="AN98" s="32"/>
      <c r="AO98" s="32"/>
      <c r="AP98" s="31"/>
      <c r="AQ98" s="31"/>
      <c r="AR98" s="54"/>
      <c r="AS98" s="56" t="str">
        <f>IFERROR(VLOOKUP(December[[#This Row],[Drug Name4]],'Data Options'!$R$1:$S$100,2,FALSE), " ")</f>
        <v xml:space="preserve"> </v>
      </c>
      <c r="AT98" s="55"/>
      <c r="AU98" s="32"/>
      <c r="AV98" s="32"/>
      <c r="AW98" s="55"/>
      <c r="AX98" s="32"/>
      <c r="AY98" s="54"/>
      <c r="AZ98" s="56" t="str">
        <f>IFERROR(VLOOKUP(December[[#This Row],[Drug Name5]],'Data Options'!$R$1:$S$100,2,FALSE), " ")</f>
        <v xml:space="preserve"> </v>
      </c>
      <c r="BA98" s="55"/>
      <c r="BB98" s="32"/>
      <c r="BC98" s="32"/>
      <c r="BD98" s="55"/>
      <c r="BE98" s="32"/>
      <c r="BF98" s="54"/>
      <c r="BG98" s="56" t="str">
        <f>IFERROR(VLOOKUP(December[[#This Row],[Drug Name6]],'Data Options'!$R$1:$S$100,2,FALSE), " ")</f>
        <v xml:space="preserve"> </v>
      </c>
      <c r="BH98" s="55"/>
      <c r="BI98" s="32"/>
      <c r="BJ98" s="32"/>
      <c r="BK98" s="55"/>
      <c r="BL98" s="32"/>
      <c r="BM98" s="32"/>
      <c r="BN98" s="32"/>
      <c r="BO98" s="32"/>
      <c r="BP98" s="32"/>
      <c r="BQ98" s="31"/>
      <c r="BR98" s="31"/>
      <c r="BS98" s="54"/>
      <c r="BT98" s="56" t="str">
        <f>IFERROR(VLOOKUP(December[[#This Row],[Drug Name7]],'Data Options'!$R$1:$S$100,2,FALSE), " ")</f>
        <v xml:space="preserve"> </v>
      </c>
      <c r="BU98" s="55"/>
      <c r="BV98" s="32"/>
      <c r="BW98" s="32"/>
      <c r="BX98" s="55"/>
      <c r="BY98" s="32"/>
      <c r="BZ98" s="54"/>
      <c r="CA98" s="56" t="str">
        <f>IFERROR(VLOOKUP(December[[#This Row],[Drug Name8]],'Data Options'!$R$1:$S$100,2,FALSE), " ")</f>
        <v xml:space="preserve"> </v>
      </c>
      <c r="CB98" s="55"/>
      <c r="CC98" s="32"/>
      <c r="CD98" s="32"/>
      <c r="CE98" s="55"/>
      <c r="CF98" s="32"/>
      <c r="CG98" s="54"/>
      <c r="CH98" s="56" t="str">
        <f>IFERROR(VLOOKUP(December[[#This Row],[Drug Name9]],'Data Options'!$R$1:$S$100,2,FALSE), " ")</f>
        <v xml:space="preserve"> </v>
      </c>
      <c r="CI98" s="55"/>
      <c r="CJ98" s="32"/>
      <c r="CK98" s="32"/>
      <c r="CL98" s="55"/>
      <c r="CM98" s="32"/>
    </row>
    <row r="99" spans="1:91">
      <c r="A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1"/>
      <c r="P99" s="31"/>
      <c r="Q99" s="54"/>
      <c r="R99" s="56" t="str">
        <f>IFERROR(VLOOKUP(December[[#This Row],[Drug Name]],'Data Options'!$R$1:$S$100,2,FALSE), " ")</f>
        <v xml:space="preserve"> </v>
      </c>
      <c r="S99" s="55"/>
      <c r="T99" s="32"/>
      <c r="U99" s="32"/>
      <c r="V99" s="55"/>
      <c r="W99" s="32"/>
      <c r="X99" s="54"/>
      <c r="Y99" s="56" t="str">
        <f>IFERROR(VLOOKUP(December[[#This Row],[Drug Name2]],'Data Options'!$R$1:$S$100,2,FALSE), " ")</f>
        <v xml:space="preserve"> </v>
      </c>
      <c r="Z99" s="55"/>
      <c r="AA99" s="32"/>
      <c r="AB99" s="32"/>
      <c r="AC99" s="55"/>
      <c r="AD99" s="32"/>
      <c r="AE99" s="54"/>
      <c r="AF99" s="56" t="str">
        <f>IFERROR(VLOOKUP(December[[#This Row],[Drug Name3]],'Data Options'!$R$1:$S$100,2,FALSE), " ")</f>
        <v xml:space="preserve"> </v>
      </c>
      <c r="AG99" s="55"/>
      <c r="AH99" s="32"/>
      <c r="AI99" s="32"/>
      <c r="AJ99" s="55"/>
      <c r="AK99" s="32"/>
      <c r="AL99" s="32"/>
      <c r="AM99" s="32"/>
      <c r="AN99" s="32"/>
      <c r="AO99" s="32"/>
      <c r="AP99" s="31"/>
      <c r="AQ99" s="31"/>
      <c r="AR99" s="54"/>
      <c r="AS99" s="56" t="str">
        <f>IFERROR(VLOOKUP(December[[#This Row],[Drug Name4]],'Data Options'!$R$1:$S$100,2,FALSE), " ")</f>
        <v xml:space="preserve"> </v>
      </c>
      <c r="AT99" s="55"/>
      <c r="AU99" s="32"/>
      <c r="AV99" s="32"/>
      <c r="AW99" s="55"/>
      <c r="AX99" s="32"/>
      <c r="AY99" s="54"/>
      <c r="AZ99" s="56" t="str">
        <f>IFERROR(VLOOKUP(December[[#This Row],[Drug Name5]],'Data Options'!$R$1:$S$100,2,FALSE), " ")</f>
        <v xml:space="preserve"> </v>
      </c>
      <c r="BA99" s="55"/>
      <c r="BB99" s="32"/>
      <c r="BC99" s="32"/>
      <c r="BD99" s="55"/>
      <c r="BE99" s="32"/>
      <c r="BF99" s="54"/>
      <c r="BG99" s="56" t="str">
        <f>IFERROR(VLOOKUP(December[[#This Row],[Drug Name6]],'Data Options'!$R$1:$S$100,2,FALSE), " ")</f>
        <v xml:space="preserve"> </v>
      </c>
      <c r="BH99" s="55"/>
      <c r="BI99" s="32"/>
      <c r="BJ99" s="32"/>
      <c r="BK99" s="55"/>
      <c r="BL99" s="32"/>
      <c r="BM99" s="32"/>
      <c r="BN99" s="32"/>
      <c r="BO99" s="32"/>
      <c r="BP99" s="32"/>
      <c r="BQ99" s="31"/>
      <c r="BR99" s="31"/>
      <c r="BS99" s="54"/>
      <c r="BT99" s="56" t="str">
        <f>IFERROR(VLOOKUP(December[[#This Row],[Drug Name7]],'Data Options'!$R$1:$S$100,2,FALSE), " ")</f>
        <v xml:space="preserve"> </v>
      </c>
      <c r="BU99" s="55"/>
      <c r="BV99" s="32"/>
      <c r="BW99" s="32"/>
      <c r="BX99" s="55"/>
      <c r="BY99" s="32"/>
      <c r="BZ99" s="54"/>
      <c r="CA99" s="56" t="str">
        <f>IFERROR(VLOOKUP(December[[#This Row],[Drug Name8]],'Data Options'!$R$1:$S$100,2,FALSE), " ")</f>
        <v xml:space="preserve"> </v>
      </c>
      <c r="CB99" s="55"/>
      <c r="CC99" s="32"/>
      <c r="CD99" s="32"/>
      <c r="CE99" s="55"/>
      <c r="CF99" s="32"/>
      <c r="CG99" s="54"/>
      <c r="CH99" s="56" t="str">
        <f>IFERROR(VLOOKUP(December[[#This Row],[Drug Name9]],'Data Options'!$R$1:$S$100,2,FALSE), " ")</f>
        <v xml:space="preserve"> </v>
      </c>
      <c r="CI99" s="55"/>
      <c r="CJ99" s="32"/>
      <c r="CK99" s="32"/>
      <c r="CL99" s="55"/>
      <c r="CM99" s="32"/>
    </row>
    <row r="100" spans="1:91">
      <c r="A100" s="5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1"/>
      <c r="P100" s="31"/>
      <c r="Q100" s="54"/>
      <c r="R100" s="56" t="str">
        <f>IFERROR(VLOOKUP(December[[#This Row],[Drug Name]],'Data Options'!$R$1:$S$100,2,FALSE), " ")</f>
        <v xml:space="preserve"> </v>
      </c>
      <c r="S100" s="55"/>
      <c r="T100" s="32"/>
      <c r="U100" s="32"/>
      <c r="V100" s="55"/>
      <c r="W100" s="32"/>
      <c r="X100" s="54"/>
      <c r="Y100" s="56" t="str">
        <f>IFERROR(VLOOKUP(December[[#This Row],[Drug Name2]],'Data Options'!$R$1:$S$100,2,FALSE), " ")</f>
        <v xml:space="preserve"> </v>
      </c>
      <c r="Z100" s="55"/>
      <c r="AA100" s="32"/>
      <c r="AB100" s="32"/>
      <c r="AC100" s="55"/>
      <c r="AD100" s="32"/>
      <c r="AE100" s="54"/>
      <c r="AF100" s="56" t="str">
        <f>IFERROR(VLOOKUP(December[[#This Row],[Drug Name3]],'Data Options'!$R$1:$S$100,2,FALSE), " ")</f>
        <v xml:space="preserve"> </v>
      </c>
      <c r="AG100" s="55"/>
      <c r="AH100" s="32"/>
      <c r="AI100" s="32"/>
      <c r="AJ100" s="55"/>
      <c r="AK100" s="32"/>
      <c r="AL100" s="32"/>
      <c r="AM100" s="32"/>
      <c r="AN100" s="32"/>
      <c r="AO100" s="32"/>
      <c r="AP100" s="31"/>
      <c r="AQ100" s="31"/>
      <c r="AR100" s="54"/>
      <c r="AS100" s="56" t="str">
        <f>IFERROR(VLOOKUP(December[[#This Row],[Drug Name4]],'Data Options'!$R$1:$S$100,2,FALSE), " ")</f>
        <v xml:space="preserve"> </v>
      </c>
      <c r="AT100" s="55"/>
      <c r="AU100" s="32"/>
      <c r="AV100" s="32"/>
      <c r="AW100" s="55"/>
      <c r="AX100" s="32"/>
      <c r="AY100" s="54"/>
      <c r="AZ100" s="56" t="str">
        <f>IFERROR(VLOOKUP(December[[#This Row],[Drug Name5]],'Data Options'!$R$1:$S$100,2,FALSE), " ")</f>
        <v xml:space="preserve"> </v>
      </c>
      <c r="BA100" s="55"/>
      <c r="BB100" s="32"/>
      <c r="BC100" s="32"/>
      <c r="BD100" s="55"/>
      <c r="BE100" s="32"/>
      <c r="BF100" s="54"/>
      <c r="BG100" s="56" t="str">
        <f>IFERROR(VLOOKUP(December[[#This Row],[Drug Name6]],'Data Options'!$R$1:$S$100,2,FALSE), " ")</f>
        <v xml:space="preserve"> </v>
      </c>
      <c r="BH100" s="55"/>
      <c r="BI100" s="32"/>
      <c r="BJ100" s="32"/>
      <c r="BK100" s="55"/>
      <c r="BL100" s="32"/>
      <c r="BM100" s="32"/>
      <c r="BN100" s="32"/>
      <c r="BO100" s="32"/>
      <c r="BP100" s="32"/>
      <c r="BQ100" s="31"/>
      <c r="BR100" s="31"/>
      <c r="BS100" s="54"/>
      <c r="BT100" s="56" t="str">
        <f>IFERROR(VLOOKUP(December[[#This Row],[Drug Name7]],'Data Options'!$R$1:$S$100,2,FALSE), " ")</f>
        <v xml:space="preserve"> </v>
      </c>
      <c r="BU100" s="55"/>
      <c r="BV100" s="32"/>
      <c r="BW100" s="32"/>
      <c r="BX100" s="55"/>
      <c r="BY100" s="32"/>
      <c r="BZ100" s="54"/>
      <c r="CA100" s="56" t="str">
        <f>IFERROR(VLOOKUP(December[[#This Row],[Drug Name8]],'Data Options'!$R$1:$S$100,2,FALSE), " ")</f>
        <v xml:space="preserve"> </v>
      </c>
      <c r="CB100" s="55"/>
      <c r="CC100" s="32"/>
      <c r="CD100" s="32"/>
      <c r="CE100" s="55"/>
      <c r="CF100" s="32"/>
      <c r="CG100" s="54"/>
      <c r="CH100" s="56" t="str">
        <f>IFERROR(VLOOKUP(December[[#This Row],[Drug Name9]],'Data Options'!$R$1:$S$100,2,FALSE), " ")</f>
        <v xml:space="preserve"> </v>
      </c>
      <c r="CI100" s="55"/>
      <c r="CJ100" s="32"/>
      <c r="CK100" s="32"/>
      <c r="CL100" s="55"/>
      <c r="CM100" s="32"/>
    </row>
    <row r="101" spans="1:91">
      <c r="A101" s="5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1"/>
      <c r="P101" s="31"/>
      <c r="Q101" s="54"/>
      <c r="R101" s="56" t="str">
        <f>IFERROR(VLOOKUP(December[[#This Row],[Drug Name]],'Data Options'!$R$1:$S$100,2,FALSE), " ")</f>
        <v xml:space="preserve"> </v>
      </c>
      <c r="S101" s="55"/>
      <c r="T101" s="32"/>
      <c r="U101" s="32"/>
      <c r="V101" s="55"/>
      <c r="W101" s="32"/>
      <c r="X101" s="54"/>
      <c r="Y101" s="56" t="str">
        <f>IFERROR(VLOOKUP(December[[#This Row],[Drug Name2]],'Data Options'!$R$1:$S$100,2,FALSE), " ")</f>
        <v xml:space="preserve"> </v>
      </c>
      <c r="Z101" s="55"/>
      <c r="AA101" s="32"/>
      <c r="AB101" s="32"/>
      <c r="AC101" s="55"/>
      <c r="AD101" s="32"/>
      <c r="AE101" s="54"/>
      <c r="AF101" s="56" t="str">
        <f>IFERROR(VLOOKUP(December[[#This Row],[Drug Name3]],'Data Options'!$R$1:$S$100,2,FALSE), " ")</f>
        <v xml:space="preserve"> </v>
      </c>
      <c r="AG101" s="55"/>
      <c r="AH101" s="32"/>
      <c r="AI101" s="32"/>
      <c r="AJ101" s="55"/>
      <c r="AK101" s="32"/>
      <c r="AL101" s="32"/>
      <c r="AM101" s="32"/>
      <c r="AN101" s="32"/>
      <c r="AO101" s="32"/>
      <c r="AP101" s="31"/>
      <c r="AQ101" s="31"/>
      <c r="AR101" s="54"/>
      <c r="AS101" s="56" t="str">
        <f>IFERROR(VLOOKUP(December[[#This Row],[Drug Name4]],'Data Options'!$R$1:$S$100,2,FALSE), " ")</f>
        <v xml:space="preserve"> </v>
      </c>
      <c r="AT101" s="55"/>
      <c r="AU101" s="32"/>
      <c r="AV101" s="32"/>
      <c r="AW101" s="55"/>
      <c r="AX101" s="32"/>
      <c r="AY101" s="54"/>
      <c r="AZ101" s="56" t="str">
        <f>IFERROR(VLOOKUP(December[[#This Row],[Drug Name5]],'Data Options'!$R$1:$S$100,2,FALSE), " ")</f>
        <v xml:space="preserve"> </v>
      </c>
      <c r="BA101" s="55"/>
      <c r="BB101" s="32"/>
      <c r="BC101" s="32"/>
      <c r="BD101" s="55"/>
      <c r="BE101" s="32"/>
      <c r="BF101" s="54"/>
      <c r="BG101" s="56" t="str">
        <f>IFERROR(VLOOKUP(December[[#This Row],[Drug Name6]],'Data Options'!$R$1:$S$100,2,FALSE), " ")</f>
        <v xml:space="preserve"> </v>
      </c>
      <c r="BH101" s="55"/>
      <c r="BI101" s="32"/>
      <c r="BJ101" s="32"/>
      <c r="BK101" s="55"/>
      <c r="BL101" s="32"/>
      <c r="BM101" s="32"/>
      <c r="BN101" s="32"/>
      <c r="BO101" s="32"/>
      <c r="BP101" s="32"/>
      <c r="BQ101" s="31"/>
      <c r="BR101" s="31"/>
      <c r="BS101" s="54"/>
      <c r="BT101" s="56" t="str">
        <f>IFERROR(VLOOKUP(December[[#This Row],[Drug Name7]],'Data Options'!$R$1:$S$100,2,FALSE), " ")</f>
        <v xml:space="preserve"> </v>
      </c>
      <c r="BU101" s="55"/>
      <c r="BV101" s="32"/>
      <c r="BW101" s="32"/>
      <c r="BX101" s="55"/>
      <c r="BY101" s="32"/>
      <c r="BZ101" s="54"/>
      <c r="CA101" s="56" t="str">
        <f>IFERROR(VLOOKUP(December[[#This Row],[Drug Name8]],'Data Options'!$R$1:$S$100,2,FALSE), " ")</f>
        <v xml:space="preserve"> </v>
      </c>
      <c r="CB101" s="55"/>
      <c r="CC101" s="32"/>
      <c r="CD101" s="32"/>
      <c r="CE101" s="55"/>
      <c r="CF101" s="32"/>
      <c r="CG101" s="54"/>
      <c r="CH101" s="56" t="str">
        <f>IFERROR(VLOOKUP(December[[#This Row],[Drug Name9]],'Data Options'!$R$1:$S$100,2,FALSE), " ")</f>
        <v xml:space="preserve"> </v>
      </c>
      <c r="CI101" s="55"/>
      <c r="CJ101" s="32"/>
      <c r="CK101" s="32"/>
      <c r="CL101" s="55"/>
      <c r="CM101" s="32"/>
    </row>
    <row r="102" spans="1:91">
      <c r="A102" s="5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1"/>
      <c r="P102" s="31"/>
      <c r="Q102" s="54"/>
      <c r="R102" s="56" t="str">
        <f>IFERROR(VLOOKUP(December[[#This Row],[Drug Name]],'Data Options'!$R$1:$S$100,2,FALSE), " ")</f>
        <v xml:space="preserve"> </v>
      </c>
      <c r="S102" s="55"/>
      <c r="T102" s="32"/>
      <c r="U102" s="32"/>
      <c r="V102" s="55"/>
      <c r="W102" s="32"/>
      <c r="X102" s="54"/>
      <c r="Y102" s="56" t="str">
        <f>IFERROR(VLOOKUP(December[[#This Row],[Drug Name2]],'Data Options'!$R$1:$S$100,2,FALSE), " ")</f>
        <v xml:space="preserve"> </v>
      </c>
      <c r="Z102" s="55"/>
      <c r="AA102" s="32"/>
      <c r="AB102" s="32"/>
      <c r="AC102" s="55"/>
      <c r="AD102" s="32"/>
      <c r="AE102" s="54"/>
      <c r="AF102" s="56" t="str">
        <f>IFERROR(VLOOKUP(December[[#This Row],[Drug Name3]],'Data Options'!$R$1:$S$100,2,FALSE), " ")</f>
        <v xml:space="preserve"> </v>
      </c>
      <c r="AG102" s="55"/>
      <c r="AH102" s="32"/>
      <c r="AI102" s="32"/>
      <c r="AJ102" s="55"/>
      <c r="AK102" s="32"/>
      <c r="AL102" s="32"/>
      <c r="AM102" s="32"/>
      <c r="AN102" s="32"/>
      <c r="AO102" s="32"/>
      <c r="AP102" s="31"/>
      <c r="AQ102" s="31"/>
      <c r="AR102" s="54"/>
      <c r="AS102" s="56" t="str">
        <f>IFERROR(VLOOKUP(December[[#This Row],[Drug Name4]],'Data Options'!$R$1:$S$100,2,FALSE), " ")</f>
        <v xml:space="preserve"> </v>
      </c>
      <c r="AT102" s="55"/>
      <c r="AU102" s="32"/>
      <c r="AV102" s="32"/>
      <c r="AW102" s="55"/>
      <c r="AX102" s="32"/>
      <c r="AY102" s="54"/>
      <c r="AZ102" s="56" t="str">
        <f>IFERROR(VLOOKUP(December[[#This Row],[Drug Name5]],'Data Options'!$R$1:$S$100,2,FALSE), " ")</f>
        <v xml:space="preserve"> </v>
      </c>
      <c r="BA102" s="55"/>
      <c r="BB102" s="32"/>
      <c r="BC102" s="32"/>
      <c r="BD102" s="55"/>
      <c r="BE102" s="32"/>
      <c r="BF102" s="54"/>
      <c r="BG102" s="56" t="str">
        <f>IFERROR(VLOOKUP(December[[#This Row],[Drug Name6]],'Data Options'!$R$1:$S$100,2,FALSE), " ")</f>
        <v xml:space="preserve"> </v>
      </c>
      <c r="BH102" s="55"/>
      <c r="BI102" s="32"/>
      <c r="BJ102" s="32"/>
      <c r="BK102" s="55"/>
      <c r="BL102" s="32"/>
      <c r="BM102" s="32"/>
      <c r="BN102" s="32"/>
      <c r="BO102" s="32"/>
      <c r="BP102" s="32"/>
      <c r="BQ102" s="31"/>
      <c r="BR102" s="31"/>
      <c r="BS102" s="54"/>
      <c r="BT102" s="56" t="str">
        <f>IFERROR(VLOOKUP(December[[#This Row],[Drug Name7]],'Data Options'!$R$1:$S$100,2,FALSE), " ")</f>
        <v xml:space="preserve"> </v>
      </c>
      <c r="BU102" s="55"/>
      <c r="BV102" s="32"/>
      <c r="BW102" s="32"/>
      <c r="BX102" s="55"/>
      <c r="BY102" s="32"/>
      <c r="BZ102" s="54"/>
      <c r="CA102" s="56" t="str">
        <f>IFERROR(VLOOKUP(December[[#This Row],[Drug Name8]],'Data Options'!$R$1:$S$100,2,FALSE), " ")</f>
        <v xml:space="preserve"> </v>
      </c>
      <c r="CB102" s="55"/>
      <c r="CC102" s="32"/>
      <c r="CD102" s="32"/>
      <c r="CE102" s="55"/>
      <c r="CF102" s="32"/>
      <c r="CG102" s="54"/>
      <c r="CH102" s="56" t="str">
        <f>IFERROR(VLOOKUP(December[[#This Row],[Drug Name9]],'Data Options'!$R$1:$S$100,2,FALSE), " ")</f>
        <v xml:space="preserve"> </v>
      </c>
      <c r="CI102" s="55"/>
      <c r="CJ102" s="32"/>
      <c r="CK102" s="32"/>
      <c r="CL102" s="55"/>
      <c r="CM102" s="32"/>
    </row>
    <row r="103" spans="1:91">
      <c r="A103" s="5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1"/>
      <c r="Q103" s="54"/>
      <c r="R103" s="56" t="str">
        <f>IFERROR(VLOOKUP(December[[#This Row],[Drug Name]],'Data Options'!$R$1:$S$100,2,FALSE), " ")</f>
        <v xml:space="preserve"> </v>
      </c>
      <c r="S103" s="55"/>
      <c r="T103" s="32"/>
      <c r="U103" s="32"/>
      <c r="V103" s="55"/>
      <c r="W103" s="32"/>
      <c r="X103" s="54"/>
      <c r="Y103" s="56" t="str">
        <f>IFERROR(VLOOKUP(December[[#This Row],[Drug Name2]],'Data Options'!$R$1:$S$100,2,FALSE), " ")</f>
        <v xml:space="preserve"> </v>
      </c>
      <c r="Z103" s="55"/>
      <c r="AA103" s="32"/>
      <c r="AB103" s="32"/>
      <c r="AC103" s="55"/>
      <c r="AD103" s="32"/>
      <c r="AE103" s="54"/>
      <c r="AF103" s="56" t="str">
        <f>IFERROR(VLOOKUP(December[[#This Row],[Drug Name3]],'Data Options'!$R$1:$S$100,2,FALSE), " ")</f>
        <v xml:space="preserve"> </v>
      </c>
      <c r="AG103" s="55"/>
      <c r="AH103" s="32"/>
      <c r="AI103" s="32"/>
      <c r="AJ103" s="55"/>
      <c r="AK103" s="32"/>
      <c r="AL103" s="32"/>
      <c r="AM103" s="32"/>
      <c r="AN103" s="32"/>
      <c r="AO103" s="32"/>
      <c r="AP103" s="31"/>
      <c r="AQ103" s="31"/>
      <c r="AR103" s="54"/>
      <c r="AS103" s="56" t="str">
        <f>IFERROR(VLOOKUP(December[[#This Row],[Drug Name4]],'Data Options'!$R$1:$S$100,2,FALSE), " ")</f>
        <v xml:space="preserve"> </v>
      </c>
      <c r="AT103" s="55"/>
      <c r="AU103" s="32"/>
      <c r="AV103" s="32"/>
      <c r="AW103" s="55"/>
      <c r="AX103" s="32"/>
      <c r="AY103" s="54"/>
      <c r="AZ103" s="56" t="str">
        <f>IFERROR(VLOOKUP(December[[#This Row],[Drug Name5]],'Data Options'!$R$1:$S$100,2,FALSE), " ")</f>
        <v xml:space="preserve"> </v>
      </c>
      <c r="BA103" s="55"/>
      <c r="BB103" s="32"/>
      <c r="BC103" s="32"/>
      <c r="BD103" s="55"/>
      <c r="BE103" s="32"/>
      <c r="BF103" s="54"/>
      <c r="BG103" s="56" t="str">
        <f>IFERROR(VLOOKUP(December[[#This Row],[Drug Name6]],'Data Options'!$R$1:$S$100,2,FALSE), " ")</f>
        <v xml:space="preserve"> </v>
      </c>
      <c r="BH103" s="55"/>
      <c r="BI103" s="32"/>
      <c r="BJ103" s="32"/>
      <c r="BK103" s="55"/>
      <c r="BL103" s="32"/>
      <c r="BM103" s="32"/>
      <c r="BN103" s="32"/>
      <c r="BO103" s="32"/>
      <c r="BP103" s="32"/>
      <c r="BQ103" s="31"/>
      <c r="BR103" s="31"/>
      <c r="BS103" s="54"/>
      <c r="BT103" s="56" t="str">
        <f>IFERROR(VLOOKUP(December[[#This Row],[Drug Name7]],'Data Options'!$R$1:$S$100,2,FALSE), " ")</f>
        <v xml:space="preserve"> </v>
      </c>
      <c r="BU103" s="55"/>
      <c r="BV103" s="32"/>
      <c r="BW103" s="32"/>
      <c r="BX103" s="55"/>
      <c r="BY103" s="32"/>
      <c r="BZ103" s="54"/>
      <c r="CA103" s="56" t="str">
        <f>IFERROR(VLOOKUP(December[[#This Row],[Drug Name8]],'Data Options'!$R$1:$S$100,2,FALSE), " ")</f>
        <v xml:space="preserve"> </v>
      </c>
      <c r="CB103" s="55"/>
      <c r="CC103" s="32"/>
      <c r="CD103" s="32"/>
      <c r="CE103" s="55"/>
      <c r="CF103" s="32"/>
      <c r="CG103" s="54"/>
      <c r="CH103" s="56" t="str">
        <f>IFERROR(VLOOKUP(December[[#This Row],[Drug Name9]],'Data Options'!$R$1:$S$100,2,FALSE), " ")</f>
        <v xml:space="preserve"> </v>
      </c>
      <c r="CI103" s="55"/>
      <c r="CJ103" s="32"/>
      <c r="CK103" s="32"/>
      <c r="CL103" s="55"/>
      <c r="CM103" s="32"/>
    </row>
    <row r="104" spans="1:91">
      <c r="A104" s="5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Q104" s="54"/>
      <c r="R104" s="56" t="str">
        <f>IFERROR(VLOOKUP(December[[#This Row],[Drug Name]],'Data Options'!$R$1:$S$100,2,FALSE), " ")</f>
        <v xml:space="preserve"> </v>
      </c>
      <c r="S104" s="55"/>
      <c r="T104" s="32"/>
      <c r="U104" s="32"/>
      <c r="V104" s="55"/>
      <c r="W104" s="32"/>
      <c r="X104" s="54"/>
      <c r="Y104" s="56" t="str">
        <f>IFERROR(VLOOKUP(December[[#This Row],[Drug Name2]],'Data Options'!$R$1:$S$100,2,FALSE), " ")</f>
        <v xml:space="preserve"> </v>
      </c>
      <c r="Z104" s="55"/>
      <c r="AA104" s="32"/>
      <c r="AB104" s="32"/>
      <c r="AC104" s="55"/>
      <c r="AD104" s="32"/>
      <c r="AE104" s="54"/>
      <c r="AF104" s="56" t="str">
        <f>IFERROR(VLOOKUP(December[[#This Row],[Drug Name3]],'Data Options'!$R$1:$S$100,2,FALSE), " ")</f>
        <v xml:space="preserve"> </v>
      </c>
      <c r="AG104" s="55"/>
      <c r="AH104" s="32"/>
      <c r="AI104" s="32"/>
      <c r="AJ104" s="55"/>
      <c r="AK104" s="32"/>
      <c r="AL104" s="32"/>
      <c r="AM104" s="32"/>
      <c r="AN104" s="32"/>
      <c r="AO104" s="32"/>
      <c r="AP104" s="31"/>
      <c r="AQ104" s="31"/>
      <c r="AR104" s="54"/>
      <c r="AS104" s="56" t="str">
        <f>IFERROR(VLOOKUP(December[[#This Row],[Drug Name4]],'Data Options'!$R$1:$S$100,2,FALSE), " ")</f>
        <v xml:space="preserve"> </v>
      </c>
      <c r="AT104" s="55"/>
      <c r="AU104" s="32"/>
      <c r="AV104" s="32"/>
      <c r="AW104" s="55"/>
      <c r="AX104" s="32"/>
      <c r="AY104" s="54"/>
      <c r="AZ104" s="56" t="str">
        <f>IFERROR(VLOOKUP(December[[#This Row],[Drug Name5]],'Data Options'!$R$1:$S$100,2,FALSE), " ")</f>
        <v xml:space="preserve"> </v>
      </c>
      <c r="BA104" s="55"/>
      <c r="BB104" s="32"/>
      <c r="BC104" s="32"/>
      <c r="BD104" s="55"/>
      <c r="BE104" s="32"/>
      <c r="BF104" s="54"/>
      <c r="BG104" s="56" t="str">
        <f>IFERROR(VLOOKUP(December[[#This Row],[Drug Name6]],'Data Options'!$R$1:$S$100,2,FALSE), " ")</f>
        <v xml:space="preserve"> </v>
      </c>
      <c r="BH104" s="55"/>
      <c r="BI104" s="32"/>
      <c r="BJ104" s="32"/>
      <c r="BK104" s="55"/>
      <c r="BL104" s="32"/>
      <c r="BM104" s="32"/>
      <c r="BN104" s="32"/>
      <c r="BO104" s="32"/>
      <c r="BP104" s="32"/>
      <c r="BQ104" s="31"/>
      <c r="BR104" s="31"/>
      <c r="BS104" s="54"/>
      <c r="BT104" s="56" t="str">
        <f>IFERROR(VLOOKUP(December[[#This Row],[Drug Name7]],'Data Options'!$R$1:$S$100,2,FALSE), " ")</f>
        <v xml:space="preserve"> </v>
      </c>
      <c r="BU104" s="55"/>
      <c r="BV104" s="32"/>
      <c r="BW104" s="32"/>
      <c r="BX104" s="55"/>
      <c r="BY104" s="32"/>
      <c r="BZ104" s="54"/>
      <c r="CA104" s="56" t="str">
        <f>IFERROR(VLOOKUP(December[[#This Row],[Drug Name8]],'Data Options'!$R$1:$S$100,2,FALSE), " ")</f>
        <v xml:space="preserve"> </v>
      </c>
      <c r="CB104" s="55"/>
      <c r="CC104" s="32"/>
      <c r="CD104" s="32"/>
      <c r="CE104" s="55"/>
      <c r="CF104" s="32"/>
      <c r="CG104" s="54"/>
      <c r="CH104" s="56" t="str">
        <f>IFERROR(VLOOKUP(December[[#This Row],[Drug Name9]],'Data Options'!$R$1:$S$100,2,FALSE), " ")</f>
        <v xml:space="preserve"> </v>
      </c>
      <c r="CI104" s="55"/>
      <c r="CJ104" s="32"/>
      <c r="CK104" s="32"/>
      <c r="CL104" s="55"/>
      <c r="CM104" s="32"/>
    </row>
    <row r="105" spans="1:91">
      <c r="A105" s="5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1"/>
      <c r="Q105" s="54"/>
      <c r="R105" s="56" t="str">
        <f>IFERROR(VLOOKUP(December[[#This Row],[Drug Name]],'Data Options'!$R$1:$S$100,2,FALSE), " ")</f>
        <v xml:space="preserve"> </v>
      </c>
      <c r="S105" s="55"/>
      <c r="T105" s="32"/>
      <c r="U105" s="32"/>
      <c r="V105" s="55"/>
      <c r="W105" s="32"/>
      <c r="X105" s="54"/>
      <c r="Y105" s="56" t="str">
        <f>IFERROR(VLOOKUP(December[[#This Row],[Drug Name2]],'Data Options'!$R$1:$S$100,2,FALSE), " ")</f>
        <v xml:space="preserve"> </v>
      </c>
      <c r="Z105" s="55"/>
      <c r="AA105" s="32"/>
      <c r="AB105" s="32"/>
      <c r="AC105" s="55"/>
      <c r="AD105" s="32"/>
      <c r="AE105" s="54"/>
      <c r="AF105" s="56" t="str">
        <f>IFERROR(VLOOKUP(December[[#This Row],[Drug Name3]],'Data Options'!$R$1:$S$100,2,FALSE), " ")</f>
        <v xml:space="preserve"> </v>
      </c>
      <c r="AG105" s="55"/>
      <c r="AH105" s="32"/>
      <c r="AI105" s="32"/>
      <c r="AJ105" s="55"/>
      <c r="AK105" s="32"/>
      <c r="AL105" s="32"/>
      <c r="AM105" s="32"/>
      <c r="AN105" s="32"/>
      <c r="AO105" s="32"/>
      <c r="AP105" s="31"/>
      <c r="AQ105" s="31"/>
      <c r="AR105" s="54"/>
      <c r="AS105" s="56" t="str">
        <f>IFERROR(VLOOKUP(December[[#This Row],[Drug Name4]],'Data Options'!$R$1:$S$100,2,FALSE), " ")</f>
        <v xml:space="preserve"> </v>
      </c>
      <c r="AT105" s="55"/>
      <c r="AU105" s="32"/>
      <c r="AV105" s="32"/>
      <c r="AW105" s="55"/>
      <c r="AX105" s="32"/>
      <c r="AY105" s="54"/>
      <c r="AZ105" s="56" t="str">
        <f>IFERROR(VLOOKUP(December[[#This Row],[Drug Name5]],'Data Options'!$R$1:$S$100,2,FALSE), " ")</f>
        <v xml:space="preserve"> </v>
      </c>
      <c r="BA105" s="55"/>
      <c r="BB105" s="32"/>
      <c r="BC105" s="32"/>
      <c r="BD105" s="55"/>
      <c r="BE105" s="32"/>
      <c r="BF105" s="54"/>
      <c r="BG105" s="56" t="str">
        <f>IFERROR(VLOOKUP(December[[#This Row],[Drug Name6]],'Data Options'!$R$1:$S$100,2,FALSE), " ")</f>
        <v xml:space="preserve"> </v>
      </c>
      <c r="BH105" s="55"/>
      <c r="BI105" s="32"/>
      <c r="BJ105" s="32"/>
      <c r="BK105" s="55"/>
      <c r="BL105" s="32"/>
      <c r="BM105" s="32"/>
      <c r="BN105" s="32"/>
      <c r="BO105" s="32"/>
      <c r="BP105" s="32"/>
      <c r="BQ105" s="31"/>
      <c r="BR105" s="31"/>
      <c r="BS105" s="54"/>
      <c r="BT105" s="56" t="str">
        <f>IFERROR(VLOOKUP(December[[#This Row],[Drug Name7]],'Data Options'!$R$1:$S$100,2,FALSE), " ")</f>
        <v xml:space="preserve"> </v>
      </c>
      <c r="BU105" s="55"/>
      <c r="BV105" s="32"/>
      <c r="BW105" s="32"/>
      <c r="BX105" s="55"/>
      <c r="BY105" s="32"/>
      <c r="BZ105" s="54"/>
      <c r="CA105" s="56" t="str">
        <f>IFERROR(VLOOKUP(December[[#This Row],[Drug Name8]],'Data Options'!$R$1:$S$100,2,FALSE), " ")</f>
        <v xml:space="preserve"> </v>
      </c>
      <c r="CB105" s="55"/>
      <c r="CC105" s="32"/>
      <c r="CD105" s="32"/>
      <c r="CE105" s="55"/>
      <c r="CF105" s="32"/>
      <c r="CG105" s="54"/>
      <c r="CH105" s="56" t="str">
        <f>IFERROR(VLOOKUP(December[[#This Row],[Drug Name9]],'Data Options'!$R$1:$S$100,2,FALSE), " ")</f>
        <v xml:space="preserve"> </v>
      </c>
      <c r="CI105" s="55"/>
      <c r="CJ105" s="32"/>
      <c r="CK105" s="32"/>
      <c r="CL105" s="55"/>
      <c r="CM105" s="32"/>
    </row>
    <row r="106" spans="1:91">
      <c r="A106" s="5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1"/>
      <c r="P106" s="31"/>
      <c r="Q106" s="54"/>
      <c r="R106" s="56" t="str">
        <f>IFERROR(VLOOKUP(December[[#This Row],[Drug Name]],'Data Options'!$R$1:$S$100,2,FALSE), " ")</f>
        <v xml:space="preserve"> </v>
      </c>
      <c r="S106" s="55"/>
      <c r="T106" s="32"/>
      <c r="U106" s="32"/>
      <c r="V106" s="55"/>
      <c r="W106" s="32"/>
      <c r="X106" s="54"/>
      <c r="Y106" s="56" t="str">
        <f>IFERROR(VLOOKUP(December[[#This Row],[Drug Name2]],'Data Options'!$R$1:$S$100,2,FALSE), " ")</f>
        <v xml:space="preserve"> </v>
      </c>
      <c r="Z106" s="55"/>
      <c r="AA106" s="32"/>
      <c r="AB106" s="32"/>
      <c r="AC106" s="55"/>
      <c r="AD106" s="32"/>
      <c r="AE106" s="54"/>
      <c r="AF106" s="56" t="str">
        <f>IFERROR(VLOOKUP(December[[#This Row],[Drug Name3]],'Data Options'!$R$1:$S$100,2,FALSE), " ")</f>
        <v xml:space="preserve"> </v>
      </c>
      <c r="AG106" s="55"/>
      <c r="AH106" s="32"/>
      <c r="AI106" s="32"/>
      <c r="AJ106" s="55"/>
      <c r="AK106" s="32"/>
      <c r="AL106" s="32"/>
      <c r="AM106" s="32"/>
      <c r="AN106" s="32"/>
      <c r="AO106" s="32"/>
      <c r="AP106" s="31"/>
      <c r="AQ106" s="31"/>
      <c r="AR106" s="54"/>
      <c r="AS106" s="56" t="str">
        <f>IFERROR(VLOOKUP(December[[#This Row],[Drug Name4]],'Data Options'!$R$1:$S$100,2,FALSE), " ")</f>
        <v xml:space="preserve"> </v>
      </c>
      <c r="AT106" s="55"/>
      <c r="AU106" s="32"/>
      <c r="AV106" s="32"/>
      <c r="AW106" s="55"/>
      <c r="AX106" s="32"/>
      <c r="AY106" s="54"/>
      <c r="AZ106" s="56" t="str">
        <f>IFERROR(VLOOKUP(December[[#This Row],[Drug Name5]],'Data Options'!$R$1:$S$100,2,FALSE), " ")</f>
        <v xml:space="preserve"> </v>
      </c>
      <c r="BA106" s="55"/>
      <c r="BB106" s="32"/>
      <c r="BC106" s="32"/>
      <c r="BD106" s="55"/>
      <c r="BE106" s="32"/>
      <c r="BF106" s="54"/>
      <c r="BG106" s="56" t="str">
        <f>IFERROR(VLOOKUP(December[[#This Row],[Drug Name6]],'Data Options'!$R$1:$S$100,2,FALSE), " ")</f>
        <v xml:space="preserve"> </v>
      </c>
      <c r="BH106" s="55"/>
      <c r="BI106" s="32"/>
      <c r="BJ106" s="32"/>
      <c r="BK106" s="55"/>
      <c r="BL106" s="32"/>
      <c r="BM106" s="32"/>
      <c r="BN106" s="32"/>
      <c r="BO106" s="32"/>
      <c r="BP106" s="32"/>
      <c r="BQ106" s="31"/>
      <c r="BR106" s="31"/>
      <c r="BS106" s="54"/>
      <c r="BT106" s="56" t="str">
        <f>IFERROR(VLOOKUP(December[[#This Row],[Drug Name7]],'Data Options'!$R$1:$S$100,2,FALSE), " ")</f>
        <v xml:space="preserve"> </v>
      </c>
      <c r="BU106" s="55"/>
      <c r="BV106" s="32"/>
      <c r="BW106" s="32"/>
      <c r="BX106" s="55"/>
      <c r="BY106" s="32"/>
      <c r="BZ106" s="54"/>
      <c r="CA106" s="56" t="str">
        <f>IFERROR(VLOOKUP(December[[#This Row],[Drug Name8]],'Data Options'!$R$1:$S$100,2,FALSE), " ")</f>
        <v xml:space="preserve"> </v>
      </c>
      <c r="CB106" s="55"/>
      <c r="CC106" s="32"/>
      <c r="CD106" s="32"/>
      <c r="CE106" s="55"/>
      <c r="CF106" s="32"/>
      <c r="CG106" s="54"/>
      <c r="CH106" s="56" t="str">
        <f>IFERROR(VLOOKUP(December[[#This Row],[Drug Name9]],'Data Options'!$R$1:$S$100,2,FALSE), " ")</f>
        <v xml:space="preserve"> </v>
      </c>
      <c r="CI106" s="55"/>
      <c r="CJ106" s="32"/>
      <c r="CK106" s="32"/>
      <c r="CL106" s="55"/>
      <c r="CM106" s="32"/>
    </row>
    <row r="107" spans="1:91">
      <c r="A107" s="5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1"/>
      <c r="P107" s="31"/>
      <c r="Q107" s="54"/>
      <c r="R107" s="56" t="str">
        <f>IFERROR(VLOOKUP(December[[#This Row],[Drug Name]],'Data Options'!$R$1:$S$100,2,FALSE), " ")</f>
        <v xml:space="preserve"> </v>
      </c>
      <c r="S107" s="55"/>
      <c r="T107" s="32"/>
      <c r="U107" s="32"/>
      <c r="V107" s="55"/>
      <c r="W107" s="32"/>
      <c r="X107" s="54"/>
      <c r="Y107" s="56" t="str">
        <f>IFERROR(VLOOKUP(December[[#This Row],[Drug Name2]],'Data Options'!$R$1:$S$100,2,FALSE), " ")</f>
        <v xml:space="preserve"> </v>
      </c>
      <c r="Z107" s="55"/>
      <c r="AA107" s="32"/>
      <c r="AB107" s="32"/>
      <c r="AC107" s="55"/>
      <c r="AD107" s="32"/>
      <c r="AE107" s="54"/>
      <c r="AF107" s="56" t="str">
        <f>IFERROR(VLOOKUP(December[[#This Row],[Drug Name3]],'Data Options'!$R$1:$S$100,2,FALSE), " ")</f>
        <v xml:space="preserve"> </v>
      </c>
      <c r="AG107" s="55"/>
      <c r="AH107" s="32"/>
      <c r="AI107" s="32"/>
      <c r="AJ107" s="55"/>
      <c r="AK107" s="32"/>
      <c r="AL107" s="32"/>
      <c r="AM107" s="32"/>
      <c r="AN107" s="32"/>
      <c r="AO107" s="32"/>
      <c r="AP107" s="31"/>
      <c r="AQ107" s="31"/>
      <c r="AR107" s="54"/>
      <c r="AS107" s="56" t="str">
        <f>IFERROR(VLOOKUP(December[[#This Row],[Drug Name4]],'Data Options'!$R$1:$S$100,2,FALSE), " ")</f>
        <v xml:space="preserve"> </v>
      </c>
      <c r="AT107" s="55"/>
      <c r="AU107" s="32"/>
      <c r="AV107" s="32"/>
      <c r="AW107" s="55"/>
      <c r="AX107" s="32"/>
      <c r="AY107" s="54"/>
      <c r="AZ107" s="56" t="str">
        <f>IFERROR(VLOOKUP(December[[#This Row],[Drug Name5]],'Data Options'!$R$1:$S$100,2,FALSE), " ")</f>
        <v xml:space="preserve"> </v>
      </c>
      <c r="BA107" s="55"/>
      <c r="BB107" s="32"/>
      <c r="BC107" s="32"/>
      <c r="BD107" s="55"/>
      <c r="BE107" s="32"/>
      <c r="BF107" s="54"/>
      <c r="BG107" s="56" t="str">
        <f>IFERROR(VLOOKUP(December[[#This Row],[Drug Name6]],'Data Options'!$R$1:$S$100,2,FALSE), " ")</f>
        <v xml:space="preserve"> </v>
      </c>
      <c r="BH107" s="55"/>
      <c r="BI107" s="32"/>
      <c r="BJ107" s="32"/>
      <c r="BK107" s="55"/>
      <c r="BL107" s="32"/>
      <c r="BM107" s="32"/>
      <c r="BN107" s="32"/>
      <c r="BO107" s="32"/>
      <c r="BP107" s="32"/>
      <c r="BQ107" s="31"/>
      <c r="BR107" s="31"/>
      <c r="BS107" s="54"/>
      <c r="BT107" s="56" t="str">
        <f>IFERROR(VLOOKUP(December[[#This Row],[Drug Name7]],'Data Options'!$R$1:$S$100,2,FALSE), " ")</f>
        <v xml:space="preserve"> </v>
      </c>
      <c r="BU107" s="55"/>
      <c r="BV107" s="32"/>
      <c r="BW107" s="32"/>
      <c r="BX107" s="55"/>
      <c r="BY107" s="32"/>
      <c r="BZ107" s="54"/>
      <c r="CA107" s="56" t="str">
        <f>IFERROR(VLOOKUP(December[[#This Row],[Drug Name8]],'Data Options'!$R$1:$S$100,2,FALSE), " ")</f>
        <v xml:space="preserve"> </v>
      </c>
      <c r="CB107" s="55"/>
      <c r="CC107" s="32"/>
      <c r="CD107" s="32"/>
      <c r="CE107" s="55"/>
      <c r="CF107" s="32"/>
      <c r="CG107" s="54"/>
      <c r="CH107" s="56" t="str">
        <f>IFERROR(VLOOKUP(December[[#This Row],[Drug Name9]],'Data Options'!$R$1:$S$100,2,FALSE), " ")</f>
        <v xml:space="preserve"> </v>
      </c>
      <c r="CI107" s="55"/>
      <c r="CJ107" s="32"/>
      <c r="CK107" s="32"/>
      <c r="CL107" s="55"/>
      <c r="CM107" s="32"/>
    </row>
    <row r="108" spans="1:91">
      <c r="A108" s="5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1"/>
      <c r="P108" s="31"/>
      <c r="Q108" s="54"/>
      <c r="R108" s="56" t="str">
        <f>IFERROR(VLOOKUP(December[[#This Row],[Drug Name]],'Data Options'!$R$1:$S$100,2,FALSE), " ")</f>
        <v xml:space="preserve"> </v>
      </c>
      <c r="S108" s="55"/>
      <c r="T108" s="32"/>
      <c r="U108" s="32"/>
      <c r="V108" s="55"/>
      <c r="W108" s="32"/>
      <c r="X108" s="54"/>
      <c r="Y108" s="56" t="str">
        <f>IFERROR(VLOOKUP(December[[#This Row],[Drug Name2]],'Data Options'!$R$1:$S$100,2,FALSE), " ")</f>
        <v xml:space="preserve"> </v>
      </c>
      <c r="Z108" s="55"/>
      <c r="AA108" s="32"/>
      <c r="AB108" s="32"/>
      <c r="AC108" s="55"/>
      <c r="AD108" s="32"/>
      <c r="AE108" s="54"/>
      <c r="AF108" s="56" t="str">
        <f>IFERROR(VLOOKUP(December[[#This Row],[Drug Name3]],'Data Options'!$R$1:$S$100,2,FALSE), " ")</f>
        <v xml:space="preserve"> </v>
      </c>
      <c r="AG108" s="55"/>
      <c r="AH108" s="32"/>
      <c r="AI108" s="32"/>
      <c r="AJ108" s="55"/>
      <c r="AK108" s="32"/>
      <c r="AL108" s="32"/>
      <c r="AM108" s="32"/>
      <c r="AN108" s="32"/>
      <c r="AO108" s="32"/>
      <c r="AP108" s="31"/>
      <c r="AQ108" s="31"/>
      <c r="AR108" s="54"/>
      <c r="AS108" s="56" t="str">
        <f>IFERROR(VLOOKUP(December[[#This Row],[Drug Name4]],'Data Options'!$R$1:$S$100,2,FALSE), " ")</f>
        <v xml:space="preserve"> </v>
      </c>
      <c r="AT108" s="55"/>
      <c r="AU108" s="32"/>
      <c r="AV108" s="32"/>
      <c r="AW108" s="55"/>
      <c r="AX108" s="32"/>
      <c r="AY108" s="54"/>
      <c r="AZ108" s="56" t="str">
        <f>IFERROR(VLOOKUP(December[[#This Row],[Drug Name5]],'Data Options'!$R$1:$S$100,2,FALSE), " ")</f>
        <v xml:space="preserve"> </v>
      </c>
      <c r="BA108" s="55"/>
      <c r="BB108" s="32"/>
      <c r="BC108" s="32"/>
      <c r="BD108" s="55"/>
      <c r="BE108" s="32"/>
      <c r="BF108" s="54"/>
      <c r="BG108" s="56" t="str">
        <f>IFERROR(VLOOKUP(December[[#This Row],[Drug Name6]],'Data Options'!$R$1:$S$100,2,FALSE), " ")</f>
        <v xml:space="preserve"> </v>
      </c>
      <c r="BH108" s="55"/>
      <c r="BI108" s="32"/>
      <c r="BJ108" s="32"/>
      <c r="BK108" s="55"/>
      <c r="BL108" s="32"/>
      <c r="BM108" s="32"/>
      <c r="BN108" s="32"/>
      <c r="BO108" s="32"/>
      <c r="BP108" s="32"/>
      <c r="BQ108" s="31"/>
      <c r="BR108" s="31"/>
      <c r="BS108" s="54"/>
      <c r="BT108" s="56" t="str">
        <f>IFERROR(VLOOKUP(December[[#This Row],[Drug Name7]],'Data Options'!$R$1:$S$100,2,FALSE), " ")</f>
        <v xml:space="preserve"> </v>
      </c>
      <c r="BU108" s="55"/>
      <c r="BV108" s="32"/>
      <c r="BW108" s="32"/>
      <c r="BX108" s="55"/>
      <c r="BY108" s="32"/>
      <c r="BZ108" s="54"/>
      <c r="CA108" s="56" t="str">
        <f>IFERROR(VLOOKUP(December[[#This Row],[Drug Name8]],'Data Options'!$R$1:$S$100,2,FALSE), " ")</f>
        <v xml:space="preserve"> </v>
      </c>
      <c r="CB108" s="55"/>
      <c r="CC108" s="32"/>
      <c r="CD108" s="32"/>
      <c r="CE108" s="55"/>
      <c r="CF108" s="32"/>
      <c r="CG108" s="54"/>
      <c r="CH108" s="56" t="str">
        <f>IFERROR(VLOOKUP(December[[#This Row],[Drug Name9]],'Data Options'!$R$1:$S$100,2,FALSE), " ")</f>
        <v xml:space="preserve"> </v>
      </c>
      <c r="CI108" s="55"/>
      <c r="CJ108" s="32"/>
      <c r="CK108" s="32"/>
      <c r="CL108" s="55"/>
      <c r="CM108" s="32"/>
    </row>
    <row r="109" spans="1:91">
      <c r="A109" s="5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1"/>
      <c r="P109" s="31"/>
      <c r="Q109" s="54"/>
      <c r="R109" s="56" t="str">
        <f>IFERROR(VLOOKUP(December[[#This Row],[Drug Name]],'Data Options'!$R$1:$S$100,2,FALSE), " ")</f>
        <v xml:space="preserve"> </v>
      </c>
      <c r="S109" s="55"/>
      <c r="T109" s="32"/>
      <c r="U109" s="32"/>
      <c r="V109" s="55"/>
      <c r="W109" s="32"/>
      <c r="X109" s="54"/>
      <c r="Y109" s="56" t="str">
        <f>IFERROR(VLOOKUP(December[[#This Row],[Drug Name2]],'Data Options'!$R$1:$S$100,2,FALSE), " ")</f>
        <v xml:space="preserve"> </v>
      </c>
      <c r="Z109" s="55"/>
      <c r="AA109" s="32"/>
      <c r="AB109" s="32"/>
      <c r="AC109" s="55"/>
      <c r="AD109" s="32"/>
      <c r="AE109" s="54"/>
      <c r="AF109" s="56" t="str">
        <f>IFERROR(VLOOKUP(December[[#This Row],[Drug Name3]],'Data Options'!$R$1:$S$100,2,FALSE), " ")</f>
        <v xml:space="preserve"> </v>
      </c>
      <c r="AG109" s="55"/>
      <c r="AH109" s="32"/>
      <c r="AI109" s="32"/>
      <c r="AJ109" s="55"/>
      <c r="AK109" s="32"/>
      <c r="AL109" s="32"/>
      <c r="AM109" s="32"/>
      <c r="AN109" s="32"/>
      <c r="AO109" s="32"/>
      <c r="AP109" s="31"/>
      <c r="AQ109" s="31"/>
      <c r="AR109" s="54"/>
      <c r="AS109" s="56" t="str">
        <f>IFERROR(VLOOKUP(December[[#This Row],[Drug Name4]],'Data Options'!$R$1:$S$100,2,FALSE), " ")</f>
        <v xml:space="preserve"> </v>
      </c>
      <c r="AT109" s="55"/>
      <c r="AU109" s="32"/>
      <c r="AV109" s="32"/>
      <c r="AW109" s="55"/>
      <c r="AX109" s="32"/>
      <c r="AY109" s="54"/>
      <c r="AZ109" s="56" t="str">
        <f>IFERROR(VLOOKUP(December[[#This Row],[Drug Name5]],'Data Options'!$R$1:$S$100,2,FALSE), " ")</f>
        <v xml:space="preserve"> </v>
      </c>
      <c r="BA109" s="55"/>
      <c r="BB109" s="32"/>
      <c r="BC109" s="32"/>
      <c r="BD109" s="55"/>
      <c r="BE109" s="32"/>
      <c r="BF109" s="54"/>
      <c r="BG109" s="56" t="str">
        <f>IFERROR(VLOOKUP(December[[#This Row],[Drug Name6]],'Data Options'!$R$1:$S$100,2,FALSE), " ")</f>
        <v xml:space="preserve"> </v>
      </c>
      <c r="BH109" s="55"/>
      <c r="BI109" s="32"/>
      <c r="BJ109" s="32"/>
      <c r="BK109" s="55"/>
      <c r="BL109" s="32"/>
      <c r="BM109" s="32"/>
      <c r="BN109" s="32"/>
      <c r="BO109" s="32"/>
      <c r="BP109" s="32"/>
      <c r="BQ109" s="31"/>
      <c r="BR109" s="31"/>
      <c r="BS109" s="54"/>
      <c r="BT109" s="56" t="str">
        <f>IFERROR(VLOOKUP(December[[#This Row],[Drug Name7]],'Data Options'!$R$1:$S$100,2,FALSE), " ")</f>
        <v xml:space="preserve"> </v>
      </c>
      <c r="BU109" s="55"/>
      <c r="BV109" s="32"/>
      <c r="BW109" s="32"/>
      <c r="BX109" s="55"/>
      <c r="BY109" s="32"/>
      <c r="BZ109" s="54"/>
      <c r="CA109" s="56" t="str">
        <f>IFERROR(VLOOKUP(December[[#This Row],[Drug Name8]],'Data Options'!$R$1:$S$100,2,FALSE), " ")</f>
        <v xml:space="preserve"> </v>
      </c>
      <c r="CB109" s="55"/>
      <c r="CC109" s="32"/>
      <c r="CD109" s="32"/>
      <c r="CE109" s="55"/>
      <c r="CF109" s="32"/>
      <c r="CG109" s="54"/>
      <c r="CH109" s="56" t="str">
        <f>IFERROR(VLOOKUP(December[[#This Row],[Drug Name9]],'Data Options'!$R$1:$S$100,2,FALSE), " ")</f>
        <v xml:space="preserve"> </v>
      </c>
      <c r="CI109" s="55"/>
      <c r="CJ109" s="32"/>
      <c r="CK109" s="32"/>
      <c r="CL109" s="55"/>
      <c r="CM109" s="32"/>
    </row>
    <row r="110" spans="1:91">
      <c r="A110" s="5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54"/>
      <c r="R110" s="56" t="str">
        <f>IFERROR(VLOOKUP(December[[#This Row],[Drug Name]],'Data Options'!$R$1:$S$100,2,FALSE), " ")</f>
        <v xml:space="preserve"> </v>
      </c>
      <c r="S110" s="55"/>
      <c r="T110" s="32"/>
      <c r="U110" s="32"/>
      <c r="V110" s="55"/>
      <c r="W110" s="32"/>
      <c r="X110" s="54"/>
      <c r="Y110" s="56" t="str">
        <f>IFERROR(VLOOKUP(December[[#This Row],[Drug Name2]],'Data Options'!$R$1:$S$100,2,FALSE), " ")</f>
        <v xml:space="preserve"> </v>
      </c>
      <c r="Z110" s="55"/>
      <c r="AA110" s="32"/>
      <c r="AB110" s="32"/>
      <c r="AC110" s="55"/>
      <c r="AD110" s="32"/>
      <c r="AE110" s="54"/>
      <c r="AF110" s="56" t="str">
        <f>IFERROR(VLOOKUP(December[[#This Row],[Drug Name3]],'Data Options'!$R$1:$S$100,2,FALSE), " ")</f>
        <v xml:space="preserve"> </v>
      </c>
      <c r="AG110" s="55"/>
      <c r="AH110" s="32"/>
      <c r="AI110" s="32"/>
      <c r="AJ110" s="55"/>
      <c r="AK110" s="32"/>
      <c r="AL110" s="32"/>
      <c r="AM110" s="32"/>
      <c r="AN110" s="32"/>
      <c r="AO110" s="32"/>
      <c r="AP110" s="31"/>
      <c r="AQ110" s="31"/>
      <c r="AR110" s="54"/>
      <c r="AS110" s="56" t="str">
        <f>IFERROR(VLOOKUP(December[[#This Row],[Drug Name4]],'Data Options'!$R$1:$S$100,2,FALSE), " ")</f>
        <v xml:space="preserve"> </v>
      </c>
      <c r="AT110" s="55"/>
      <c r="AU110" s="32"/>
      <c r="AV110" s="32"/>
      <c r="AW110" s="55"/>
      <c r="AX110" s="32"/>
      <c r="AY110" s="54"/>
      <c r="AZ110" s="56" t="str">
        <f>IFERROR(VLOOKUP(December[[#This Row],[Drug Name5]],'Data Options'!$R$1:$S$100,2,FALSE), " ")</f>
        <v xml:space="preserve"> </v>
      </c>
      <c r="BA110" s="55"/>
      <c r="BB110" s="32"/>
      <c r="BC110" s="32"/>
      <c r="BD110" s="55"/>
      <c r="BE110" s="32"/>
      <c r="BF110" s="54"/>
      <c r="BG110" s="56" t="str">
        <f>IFERROR(VLOOKUP(December[[#This Row],[Drug Name6]],'Data Options'!$R$1:$S$100,2,FALSE), " ")</f>
        <v xml:space="preserve"> </v>
      </c>
      <c r="BH110" s="55"/>
      <c r="BI110" s="32"/>
      <c r="BJ110" s="32"/>
      <c r="BK110" s="55"/>
      <c r="BL110" s="32"/>
      <c r="BM110" s="32"/>
      <c r="BN110" s="32"/>
      <c r="BO110" s="32"/>
      <c r="BP110" s="32"/>
      <c r="BQ110" s="31"/>
      <c r="BR110" s="31"/>
      <c r="BS110" s="54"/>
      <c r="BT110" s="56" t="str">
        <f>IFERROR(VLOOKUP(December[[#This Row],[Drug Name7]],'Data Options'!$R$1:$S$100,2,FALSE), " ")</f>
        <v xml:space="preserve"> </v>
      </c>
      <c r="BU110" s="55"/>
      <c r="BV110" s="32"/>
      <c r="BW110" s="32"/>
      <c r="BX110" s="55"/>
      <c r="BY110" s="32"/>
      <c r="BZ110" s="54"/>
      <c r="CA110" s="56" t="str">
        <f>IFERROR(VLOOKUP(December[[#This Row],[Drug Name8]],'Data Options'!$R$1:$S$100,2,FALSE), " ")</f>
        <v xml:space="preserve"> </v>
      </c>
      <c r="CB110" s="55"/>
      <c r="CC110" s="32"/>
      <c r="CD110" s="32"/>
      <c r="CE110" s="55"/>
      <c r="CF110" s="32"/>
      <c r="CG110" s="54"/>
      <c r="CH110" s="56" t="str">
        <f>IFERROR(VLOOKUP(December[[#This Row],[Drug Name9]],'Data Options'!$R$1:$S$100,2,FALSE), " ")</f>
        <v xml:space="preserve"> </v>
      </c>
      <c r="CI110" s="55"/>
      <c r="CJ110" s="32"/>
      <c r="CK110" s="32"/>
      <c r="CL110" s="55"/>
      <c r="CM110" s="32"/>
    </row>
    <row r="111" spans="1:91">
      <c r="A111" s="5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1"/>
      <c r="P111" s="31"/>
      <c r="Q111" s="54"/>
      <c r="R111" s="56" t="str">
        <f>IFERROR(VLOOKUP(December[[#This Row],[Drug Name]],'Data Options'!$R$1:$S$100,2,FALSE), " ")</f>
        <v xml:space="preserve"> </v>
      </c>
      <c r="S111" s="55"/>
      <c r="T111" s="32"/>
      <c r="U111" s="32"/>
      <c r="V111" s="55"/>
      <c r="W111" s="32"/>
      <c r="X111" s="54"/>
      <c r="Y111" s="56" t="str">
        <f>IFERROR(VLOOKUP(December[[#This Row],[Drug Name2]],'Data Options'!$R$1:$S$100,2,FALSE), " ")</f>
        <v xml:space="preserve"> </v>
      </c>
      <c r="Z111" s="55"/>
      <c r="AA111" s="32"/>
      <c r="AB111" s="32"/>
      <c r="AC111" s="55"/>
      <c r="AD111" s="32"/>
      <c r="AE111" s="54"/>
      <c r="AF111" s="56" t="str">
        <f>IFERROR(VLOOKUP(December[[#This Row],[Drug Name3]],'Data Options'!$R$1:$S$100,2,FALSE), " ")</f>
        <v xml:space="preserve"> </v>
      </c>
      <c r="AG111" s="55"/>
      <c r="AH111" s="32"/>
      <c r="AI111" s="32"/>
      <c r="AJ111" s="55"/>
      <c r="AK111" s="32"/>
      <c r="AL111" s="32"/>
      <c r="AM111" s="32"/>
      <c r="AN111" s="32"/>
      <c r="AO111" s="32"/>
      <c r="AP111" s="31"/>
      <c r="AQ111" s="31"/>
      <c r="AR111" s="54"/>
      <c r="AS111" s="56" t="str">
        <f>IFERROR(VLOOKUP(December[[#This Row],[Drug Name4]],'Data Options'!$R$1:$S$100,2,FALSE), " ")</f>
        <v xml:space="preserve"> </v>
      </c>
      <c r="AT111" s="55"/>
      <c r="AU111" s="32"/>
      <c r="AV111" s="32"/>
      <c r="AW111" s="55"/>
      <c r="AX111" s="32"/>
      <c r="AY111" s="54"/>
      <c r="AZ111" s="56" t="str">
        <f>IFERROR(VLOOKUP(December[[#This Row],[Drug Name5]],'Data Options'!$R$1:$S$100,2,FALSE), " ")</f>
        <v xml:space="preserve"> </v>
      </c>
      <c r="BA111" s="55"/>
      <c r="BB111" s="32"/>
      <c r="BC111" s="32"/>
      <c r="BD111" s="55"/>
      <c r="BE111" s="32"/>
      <c r="BF111" s="54"/>
      <c r="BG111" s="56" t="str">
        <f>IFERROR(VLOOKUP(December[[#This Row],[Drug Name6]],'Data Options'!$R$1:$S$100,2,FALSE), " ")</f>
        <v xml:space="preserve"> </v>
      </c>
      <c r="BH111" s="55"/>
      <c r="BI111" s="32"/>
      <c r="BJ111" s="32"/>
      <c r="BK111" s="55"/>
      <c r="BL111" s="32"/>
      <c r="BM111" s="32"/>
      <c r="BN111" s="32"/>
      <c r="BO111" s="32"/>
      <c r="BP111" s="32"/>
      <c r="BQ111" s="31"/>
      <c r="BR111" s="31"/>
      <c r="BS111" s="54"/>
      <c r="BT111" s="56" t="str">
        <f>IFERROR(VLOOKUP(December[[#This Row],[Drug Name7]],'Data Options'!$R$1:$S$100,2,FALSE), " ")</f>
        <v xml:space="preserve"> </v>
      </c>
      <c r="BU111" s="55"/>
      <c r="BV111" s="32"/>
      <c r="BW111" s="32"/>
      <c r="BX111" s="55"/>
      <c r="BY111" s="32"/>
      <c r="BZ111" s="54"/>
      <c r="CA111" s="56" t="str">
        <f>IFERROR(VLOOKUP(December[[#This Row],[Drug Name8]],'Data Options'!$R$1:$S$100,2,FALSE), " ")</f>
        <v xml:space="preserve"> </v>
      </c>
      <c r="CB111" s="55"/>
      <c r="CC111" s="32"/>
      <c r="CD111" s="32"/>
      <c r="CE111" s="55"/>
      <c r="CF111" s="32"/>
      <c r="CG111" s="54"/>
      <c r="CH111" s="56" t="str">
        <f>IFERROR(VLOOKUP(December[[#This Row],[Drug Name9]],'Data Options'!$R$1:$S$100,2,FALSE), " ")</f>
        <v xml:space="preserve"> </v>
      </c>
      <c r="CI111" s="55"/>
      <c r="CJ111" s="32"/>
      <c r="CK111" s="32"/>
      <c r="CL111" s="55"/>
      <c r="CM111" s="32"/>
    </row>
    <row r="112" spans="1:91">
      <c r="A112" s="5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1"/>
      <c r="P112" s="31"/>
      <c r="Q112" s="54"/>
      <c r="R112" s="56" t="str">
        <f>IFERROR(VLOOKUP(December[[#This Row],[Drug Name]],'Data Options'!$R$1:$S$100,2,FALSE), " ")</f>
        <v xml:space="preserve"> </v>
      </c>
      <c r="S112" s="55"/>
      <c r="T112" s="32"/>
      <c r="U112" s="32"/>
      <c r="V112" s="55"/>
      <c r="W112" s="32"/>
      <c r="X112" s="54"/>
      <c r="Y112" s="56" t="str">
        <f>IFERROR(VLOOKUP(December[[#This Row],[Drug Name2]],'Data Options'!$R$1:$S$100,2,FALSE), " ")</f>
        <v xml:space="preserve"> </v>
      </c>
      <c r="Z112" s="55"/>
      <c r="AA112" s="32"/>
      <c r="AB112" s="32"/>
      <c r="AC112" s="55"/>
      <c r="AD112" s="32"/>
      <c r="AE112" s="54"/>
      <c r="AF112" s="56" t="str">
        <f>IFERROR(VLOOKUP(December[[#This Row],[Drug Name3]],'Data Options'!$R$1:$S$100,2,FALSE), " ")</f>
        <v xml:space="preserve"> </v>
      </c>
      <c r="AG112" s="55"/>
      <c r="AH112" s="32"/>
      <c r="AI112" s="32"/>
      <c r="AJ112" s="55"/>
      <c r="AK112" s="32"/>
      <c r="AL112" s="32"/>
      <c r="AM112" s="32"/>
      <c r="AN112" s="32"/>
      <c r="AO112" s="32"/>
      <c r="AP112" s="31"/>
      <c r="AQ112" s="31"/>
      <c r="AR112" s="54"/>
      <c r="AS112" s="56" t="str">
        <f>IFERROR(VLOOKUP(December[[#This Row],[Drug Name4]],'Data Options'!$R$1:$S$100,2,FALSE), " ")</f>
        <v xml:space="preserve"> </v>
      </c>
      <c r="AT112" s="55"/>
      <c r="AU112" s="32"/>
      <c r="AV112" s="32"/>
      <c r="AW112" s="55"/>
      <c r="AX112" s="32"/>
      <c r="AY112" s="54"/>
      <c r="AZ112" s="56" t="str">
        <f>IFERROR(VLOOKUP(December[[#This Row],[Drug Name5]],'Data Options'!$R$1:$S$100,2,FALSE), " ")</f>
        <v xml:space="preserve"> </v>
      </c>
      <c r="BA112" s="55"/>
      <c r="BB112" s="32"/>
      <c r="BC112" s="32"/>
      <c r="BD112" s="55"/>
      <c r="BE112" s="32"/>
      <c r="BF112" s="54"/>
      <c r="BG112" s="56" t="str">
        <f>IFERROR(VLOOKUP(December[[#This Row],[Drug Name6]],'Data Options'!$R$1:$S$100,2,FALSE), " ")</f>
        <v xml:space="preserve"> </v>
      </c>
      <c r="BH112" s="55"/>
      <c r="BI112" s="32"/>
      <c r="BJ112" s="32"/>
      <c r="BK112" s="55"/>
      <c r="BL112" s="32"/>
      <c r="BM112" s="32"/>
      <c r="BN112" s="32"/>
      <c r="BO112" s="32"/>
      <c r="BP112" s="32"/>
      <c r="BQ112" s="31"/>
      <c r="BR112" s="31"/>
      <c r="BS112" s="54"/>
      <c r="BT112" s="56" t="str">
        <f>IFERROR(VLOOKUP(December[[#This Row],[Drug Name7]],'Data Options'!$R$1:$S$100,2,FALSE), " ")</f>
        <v xml:space="preserve"> </v>
      </c>
      <c r="BU112" s="55"/>
      <c r="BV112" s="32"/>
      <c r="BW112" s="32"/>
      <c r="BX112" s="55"/>
      <c r="BY112" s="32"/>
      <c r="BZ112" s="54"/>
      <c r="CA112" s="56" t="str">
        <f>IFERROR(VLOOKUP(December[[#This Row],[Drug Name8]],'Data Options'!$R$1:$S$100,2,FALSE), " ")</f>
        <v xml:space="preserve"> </v>
      </c>
      <c r="CB112" s="55"/>
      <c r="CC112" s="32"/>
      <c r="CD112" s="32"/>
      <c r="CE112" s="55"/>
      <c r="CF112" s="32"/>
      <c r="CG112" s="54"/>
      <c r="CH112" s="56" t="str">
        <f>IFERROR(VLOOKUP(December[[#This Row],[Drug Name9]],'Data Options'!$R$1:$S$100,2,FALSE), " ")</f>
        <v xml:space="preserve"> </v>
      </c>
      <c r="CI112" s="55"/>
      <c r="CJ112" s="32"/>
      <c r="CK112" s="32"/>
      <c r="CL112" s="55"/>
      <c r="CM112" s="32"/>
    </row>
    <row r="113" spans="1:91">
      <c r="A113" s="5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1"/>
      <c r="P113" s="31"/>
      <c r="Q113" s="54"/>
      <c r="R113" s="56" t="str">
        <f>IFERROR(VLOOKUP(December[[#This Row],[Drug Name]],'Data Options'!$R$1:$S$100,2,FALSE), " ")</f>
        <v xml:space="preserve"> </v>
      </c>
      <c r="S113" s="55"/>
      <c r="T113" s="32"/>
      <c r="U113" s="32"/>
      <c r="V113" s="55"/>
      <c r="W113" s="32"/>
      <c r="X113" s="54"/>
      <c r="Y113" s="56" t="str">
        <f>IFERROR(VLOOKUP(December[[#This Row],[Drug Name2]],'Data Options'!$R$1:$S$100,2,FALSE), " ")</f>
        <v xml:space="preserve"> </v>
      </c>
      <c r="Z113" s="55"/>
      <c r="AA113" s="32"/>
      <c r="AB113" s="32"/>
      <c r="AC113" s="55"/>
      <c r="AD113" s="32"/>
      <c r="AE113" s="54"/>
      <c r="AF113" s="56" t="str">
        <f>IFERROR(VLOOKUP(December[[#This Row],[Drug Name3]],'Data Options'!$R$1:$S$100,2,FALSE), " ")</f>
        <v xml:space="preserve"> </v>
      </c>
      <c r="AG113" s="55"/>
      <c r="AH113" s="32"/>
      <c r="AI113" s="32"/>
      <c r="AJ113" s="55"/>
      <c r="AK113" s="32"/>
      <c r="AL113" s="32"/>
      <c r="AM113" s="32"/>
      <c r="AN113" s="32"/>
      <c r="AO113" s="32"/>
      <c r="AP113" s="31"/>
      <c r="AQ113" s="31"/>
      <c r="AR113" s="54"/>
      <c r="AS113" s="56" t="str">
        <f>IFERROR(VLOOKUP(December[[#This Row],[Drug Name4]],'Data Options'!$R$1:$S$100,2,FALSE), " ")</f>
        <v xml:space="preserve"> </v>
      </c>
      <c r="AT113" s="55"/>
      <c r="AU113" s="32"/>
      <c r="AV113" s="32"/>
      <c r="AW113" s="55"/>
      <c r="AX113" s="32"/>
      <c r="AY113" s="54"/>
      <c r="AZ113" s="56" t="str">
        <f>IFERROR(VLOOKUP(December[[#This Row],[Drug Name5]],'Data Options'!$R$1:$S$100,2,FALSE), " ")</f>
        <v xml:space="preserve"> </v>
      </c>
      <c r="BA113" s="55"/>
      <c r="BB113" s="32"/>
      <c r="BC113" s="32"/>
      <c r="BD113" s="55"/>
      <c r="BE113" s="32"/>
      <c r="BF113" s="54"/>
      <c r="BG113" s="56" t="str">
        <f>IFERROR(VLOOKUP(December[[#This Row],[Drug Name6]],'Data Options'!$R$1:$S$100,2,FALSE), " ")</f>
        <v xml:space="preserve"> </v>
      </c>
      <c r="BH113" s="55"/>
      <c r="BI113" s="32"/>
      <c r="BJ113" s="32"/>
      <c r="BK113" s="55"/>
      <c r="BL113" s="32"/>
      <c r="BM113" s="32"/>
      <c r="BN113" s="32"/>
      <c r="BO113" s="32"/>
      <c r="BP113" s="32"/>
      <c r="BQ113" s="31"/>
      <c r="BR113" s="31"/>
      <c r="BS113" s="54"/>
      <c r="BT113" s="56" t="str">
        <f>IFERROR(VLOOKUP(December[[#This Row],[Drug Name7]],'Data Options'!$R$1:$S$100,2,FALSE), " ")</f>
        <v xml:space="preserve"> </v>
      </c>
      <c r="BU113" s="55"/>
      <c r="BV113" s="32"/>
      <c r="BW113" s="32"/>
      <c r="BX113" s="55"/>
      <c r="BY113" s="32"/>
      <c r="BZ113" s="54"/>
      <c r="CA113" s="56" t="str">
        <f>IFERROR(VLOOKUP(December[[#This Row],[Drug Name8]],'Data Options'!$R$1:$S$100,2,FALSE), " ")</f>
        <v xml:space="preserve"> </v>
      </c>
      <c r="CB113" s="55"/>
      <c r="CC113" s="32"/>
      <c r="CD113" s="32"/>
      <c r="CE113" s="55"/>
      <c r="CF113" s="32"/>
      <c r="CG113" s="54"/>
      <c r="CH113" s="56" t="str">
        <f>IFERROR(VLOOKUP(December[[#This Row],[Drug Name9]],'Data Options'!$R$1:$S$100,2,FALSE), " ")</f>
        <v xml:space="preserve"> </v>
      </c>
      <c r="CI113" s="55"/>
      <c r="CJ113" s="32"/>
      <c r="CK113" s="32"/>
      <c r="CL113" s="55"/>
      <c r="CM113" s="32"/>
    </row>
    <row r="114" spans="1:91">
      <c r="A114" s="5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1"/>
      <c r="P114" s="31"/>
      <c r="Q114" s="54"/>
      <c r="R114" s="56" t="str">
        <f>IFERROR(VLOOKUP(December[[#This Row],[Drug Name]],'Data Options'!$R$1:$S$100,2,FALSE), " ")</f>
        <v xml:space="preserve"> </v>
      </c>
      <c r="S114" s="55"/>
      <c r="T114" s="32"/>
      <c r="U114" s="32"/>
      <c r="V114" s="55"/>
      <c r="W114" s="32"/>
      <c r="X114" s="54"/>
      <c r="Y114" s="56" t="str">
        <f>IFERROR(VLOOKUP(December[[#This Row],[Drug Name2]],'Data Options'!$R$1:$S$100,2,FALSE), " ")</f>
        <v xml:space="preserve"> </v>
      </c>
      <c r="Z114" s="55"/>
      <c r="AA114" s="32"/>
      <c r="AB114" s="32"/>
      <c r="AC114" s="55"/>
      <c r="AD114" s="32"/>
      <c r="AE114" s="54"/>
      <c r="AF114" s="56" t="str">
        <f>IFERROR(VLOOKUP(December[[#This Row],[Drug Name3]],'Data Options'!$R$1:$S$100,2,FALSE), " ")</f>
        <v xml:space="preserve"> </v>
      </c>
      <c r="AG114" s="55"/>
      <c r="AH114" s="32"/>
      <c r="AI114" s="32"/>
      <c r="AJ114" s="55"/>
      <c r="AK114" s="32"/>
      <c r="AL114" s="32"/>
      <c r="AM114" s="32"/>
      <c r="AN114" s="32"/>
      <c r="AO114" s="32"/>
      <c r="AP114" s="31"/>
      <c r="AQ114" s="31"/>
      <c r="AR114" s="54"/>
      <c r="AS114" s="56" t="str">
        <f>IFERROR(VLOOKUP(December[[#This Row],[Drug Name4]],'Data Options'!$R$1:$S$100,2,FALSE), " ")</f>
        <v xml:space="preserve"> </v>
      </c>
      <c r="AT114" s="55"/>
      <c r="AU114" s="32"/>
      <c r="AV114" s="32"/>
      <c r="AW114" s="55"/>
      <c r="AX114" s="32"/>
      <c r="AY114" s="54"/>
      <c r="AZ114" s="56" t="str">
        <f>IFERROR(VLOOKUP(December[[#This Row],[Drug Name5]],'Data Options'!$R$1:$S$100,2,FALSE), " ")</f>
        <v xml:space="preserve"> </v>
      </c>
      <c r="BA114" s="55"/>
      <c r="BB114" s="32"/>
      <c r="BC114" s="32"/>
      <c r="BD114" s="55"/>
      <c r="BE114" s="32"/>
      <c r="BF114" s="54"/>
      <c r="BG114" s="56" t="str">
        <f>IFERROR(VLOOKUP(December[[#This Row],[Drug Name6]],'Data Options'!$R$1:$S$100,2,FALSE), " ")</f>
        <v xml:space="preserve"> </v>
      </c>
      <c r="BH114" s="55"/>
      <c r="BI114" s="32"/>
      <c r="BJ114" s="32"/>
      <c r="BK114" s="55"/>
      <c r="BL114" s="32"/>
      <c r="BM114" s="32"/>
      <c r="BN114" s="32"/>
      <c r="BO114" s="32"/>
      <c r="BP114" s="32"/>
      <c r="BQ114" s="31"/>
      <c r="BR114" s="31"/>
      <c r="BS114" s="54"/>
      <c r="BT114" s="56" t="str">
        <f>IFERROR(VLOOKUP(December[[#This Row],[Drug Name7]],'Data Options'!$R$1:$S$100,2,FALSE), " ")</f>
        <v xml:space="preserve"> </v>
      </c>
      <c r="BU114" s="55"/>
      <c r="BV114" s="32"/>
      <c r="BW114" s="32"/>
      <c r="BX114" s="55"/>
      <c r="BY114" s="32"/>
      <c r="BZ114" s="54"/>
      <c r="CA114" s="56" t="str">
        <f>IFERROR(VLOOKUP(December[[#This Row],[Drug Name8]],'Data Options'!$R$1:$S$100,2,FALSE), " ")</f>
        <v xml:space="preserve"> </v>
      </c>
      <c r="CB114" s="55"/>
      <c r="CC114" s="32"/>
      <c r="CD114" s="32"/>
      <c r="CE114" s="55"/>
      <c r="CF114" s="32"/>
      <c r="CG114" s="54"/>
      <c r="CH114" s="56" t="str">
        <f>IFERROR(VLOOKUP(December[[#This Row],[Drug Name9]],'Data Options'!$R$1:$S$100,2,FALSE), " ")</f>
        <v xml:space="preserve"> </v>
      </c>
      <c r="CI114" s="55"/>
      <c r="CJ114" s="32"/>
      <c r="CK114" s="32"/>
      <c r="CL114" s="55"/>
      <c r="CM114" s="32"/>
    </row>
    <row r="115" spans="1:91">
      <c r="A115" s="5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1"/>
      <c r="P115" s="31"/>
      <c r="Q115" s="54"/>
      <c r="R115" s="56" t="str">
        <f>IFERROR(VLOOKUP(December[[#This Row],[Drug Name]],'Data Options'!$R$1:$S$100,2,FALSE), " ")</f>
        <v xml:space="preserve"> </v>
      </c>
      <c r="S115" s="55"/>
      <c r="T115" s="32"/>
      <c r="U115" s="32"/>
      <c r="V115" s="55"/>
      <c r="W115" s="32"/>
      <c r="X115" s="54"/>
      <c r="Y115" s="56" t="str">
        <f>IFERROR(VLOOKUP(December[[#This Row],[Drug Name2]],'Data Options'!$R$1:$S$100,2,FALSE), " ")</f>
        <v xml:space="preserve"> </v>
      </c>
      <c r="Z115" s="55"/>
      <c r="AA115" s="32"/>
      <c r="AB115" s="32"/>
      <c r="AC115" s="55"/>
      <c r="AD115" s="32"/>
      <c r="AE115" s="54"/>
      <c r="AF115" s="56" t="str">
        <f>IFERROR(VLOOKUP(December[[#This Row],[Drug Name3]],'Data Options'!$R$1:$S$100,2,FALSE), " ")</f>
        <v xml:space="preserve"> </v>
      </c>
      <c r="AG115" s="55"/>
      <c r="AH115" s="32"/>
      <c r="AI115" s="32"/>
      <c r="AJ115" s="55"/>
      <c r="AK115" s="32"/>
      <c r="AL115" s="32"/>
      <c r="AM115" s="32"/>
      <c r="AN115" s="32"/>
      <c r="AO115" s="32"/>
      <c r="AP115" s="31"/>
      <c r="AQ115" s="31"/>
      <c r="AR115" s="54"/>
      <c r="AS115" s="56" t="str">
        <f>IFERROR(VLOOKUP(December[[#This Row],[Drug Name4]],'Data Options'!$R$1:$S$100,2,FALSE), " ")</f>
        <v xml:space="preserve"> </v>
      </c>
      <c r="AT115" s="55"/>
      <c r="AU115" s="32"/>
      <c r="AV115" s="32"/>
      <c r="AW115" s="55"/>
      <c r="AX115" s="32"/>
      <c r="AY115" s="54"/>
      <c r="AZ115" s="56" t="str">
        <f>IFERROR(VLOOKUP(December[[#This Row],[Drug Name5]],'Data Options'!$R$1:$S$100,2,FALSE), " ")</f>
        <v xml:space="preserve"> </v>
      </c>
      <c r="BA115" s="55"/>
      <c r="BB115" s="32"/>
      <c r="BC115" s="32"/>
      <c r="BD115" s="55"/>
      <c r="BE115" s="32"/>
      <c r="BF115" s="54"/>
      <c r="BG115" s="56" t="str">
        <f>IFERROR(VLOOKUP(December[[#This Row],[Drug Name6]],'Data Options'!$R$1:$S$100,2,FALSE), " ")</f>
        <v xml:space="preserve"> </v>
      </c>
      <c r="BH115" s="55"/>
      <c r="BI115" s="32"/>
      <c r="BJ115" s="32"/>
      <c r="BK115" s="55"/>
      <c r="BL115" s="32"/>
      <c r="BM115" s="32"/>
      <c r="BN115" s="32"/>
      <c r="BO115" s="32"/>
      <c r="BP115" s="32"/>
      <c r="BQ115" s="31"/>
      <c r="BR115" s="31"/>
      <c r="BS115" s="54"/>
      <c r="BT115" s="56" t="str">
        <f>IFERROR(VLOOKUP(December[[#This Row],[Drug Name7]],'Data Options'!$R$1:$S$100,2,FALSE), " ")</f>
        <v xml:space="preserve"> </v>
      </c>
      <c r="BU115" s="55"/>
      <c r="BV115" s="32"/>
      <c r="BW115" s="32"/>
      <c r="BX115" s="55"/>
      <c r="BY115" s="32"/>
      <c r="BZ115" s="54"/>
      <c r="CA115" s="56" t="str">
        <f>IFERROR(VLOOKUP(December[[#This Row],[Drug Name8]],'Data Options'!$R$1:$S$100,2,FALSE), " ")</f>
        <v xml:space="preserve"> </v>
      </c>
      <c r="CB115" s="55"/>
      <c r="CC115" s="32"/>
      <c r="CD115" s="32"/>
      <c r="CE115" s="55"/>
      <c r="CF115" s="32"/>
      <c r="CG115" s="54"/>
      <c r="CH115" s="56" t="str">
        <f>IFERROR(VLOOKUP(December[[#This Row],[Drug Name9]],'Data Options'!$R$1:$S$100,2,FALSE), " ")</f>
        <v xml:space="preserve"> </v>
      </c>
      <c r="CI115" s="55"/>
      <c r="CJ115" s="32"/>
      <c r="CK115" s="32"/>
      <c r="CL115" s="55"/>
      <c r="CM115" s="32"/>
    </row>
    <row r="116" spans="1:91">
      <c r="A116" s="5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1"/>
      <c r="P116" s="31"/>
      <c r="Q116" s="54"/>
      <c r="R116" s="56" t="str">
        <f>IFERROR(VLOOKUP(December[[#This Row],[Drug Name]],'Data Options'!$R$1:$S$100,2,FALSE), " ")</f>
        <v xml:space="preserve"> </v>
      </c>
      <c r="S116" s="55"/>
      <c r="T116" s="32"/>
      <c r="U116" s="32"/>
      <c r="V116" s="55"/>
      <c r="W116" s="32"/>
      <c r="X116" s="54"/>
      <c r="Y116" s="56" t="str">
        <f>IFERROR(VLOOKUP(December[[#This Row],[Drug Name2]],'Data Options'!$R$1:$S$100,2,FALSE), " ")</f>
        <v xml:space="preserve"> </v>
      </c>
      <c r="Z116" s="55"/>
      <c r="AA116" s="32"/>
      <c r="AB116" s="32"/>
      <c r="AC116" s="55"/>
      <c r="AD116" s="32"/>
      <c r="AE116" s="54"/>
      <c r="AF116" s="56" t="str">
        <f>IFERROR(VLOOKUP(December[[#This Row],[Drug Name3]],'Data Options'!$R$1:$S$100,2,FALSE), " ")</f>
        <v xml:space="preserve"> </v>
      </c>
      <c r="AG116" s="55"/>
      <c r="AH116" s="32"/>
      <c r="AI116" s="32"/>
      <c r="AJ116" s="55"/>
      <c r="AK116" s="32"/>
      <c r="AL116" s="32"/>
      <c r="AM116" s="32"/>
      <c r="AN116" s="32"/>
      <c r="AO116" s="32"/>
      <c r="AP116" s="31"/>
      <c r="AQ116" s="31"/>
      <c r="AR116" s="54"/>
      <c r="AS116" s="56" t="str">
        <f>IFERROR(VLOOKUP(December[[#This Row],[Drug Name4]],'Data Options'!$R$1:$S$100,2,FALSE), " ")</f>
        <v xml:space="preserve"> </v>
      </c>
      <c r="AT116" s="55"/>
      <c r="AU116" s="32"/>
      <c r="AV116" s="32"/>
      <c r="AW116" s="55"/>
      <c r="AX116" s="32"/>
      <c r="AY116" s="54"/>
      <c r="AZ116" s="56" t="str">
        <f>IFERROR(VLOOKUP(December[[#This Row],[Drug Name5]],'Data Options'!$R$1:$S$100,2,FALSE), " ")</f>
        <v xml:space="preserve"> </v>
      </c>
      <c r="BA116" s="55"/>
      <c r="BB116" s="32"/>
      <c r="BC116" s="32"/>
      <c r="BD116" s="55"/>
      <c r="BE116" s="32"/>
      <c r="BF116" s="54"/>
      <c r="BG116" s="56" t="str">
        <f>IFERROR(VLOOKUP(December[[#This Row],[Drug Name6]],'Data Options'!$R$1:$S$100,2,FALSE), " ")</f>
        <v xml:space="preserve"> </v>
      </c>
      <c r="BH116" s="55"/>
      <c r="BI116" s="32"/>
      <c r="BJ116" s="32"/>
      <c r="BK116" s="55"/>
      <c r="BL116" s="32"/>
      <c r="BM116" s="32"/>
      <c r="BN116" s="32"/>
      <c r="BO116" s="32"/>
      <c r="BP116" s="32"/>
      <c r="BQ116" s="31"/>
      <c r="BR116" s="31"/>
      <c r="BS116" s="54"/>
      <c r="BT116" s="56" t="str">
        <f>IFERROR(VLOOKUP(December[[#This Row],[Drug Name7]],'Data Options'!$R$1:$S$100,2,FALSE), " ")</f>
        <v xml:space="preserve"> </v>
      </c>
      <c r="BU116" s="55"/>
      <c r="BV116" s="32"/>
      <c r="BW116" s="32"/>
      <c r="BX116" s="55"/>
      <c r="BY116" s="32"/>
      <c r="BZ116" s="54"/>
      <c r="CA116" s="56" t="str">
        <f>IFERROR(VLOOKUP(December[[#This Row],[Drug Name8]],'Data Options'!$R$1:$S$100,2,FALSE), " ")</f>
        <v xml:space="preserve"> </v>
      </c>
      <c r="CB116" s="55"/>
      <c r="CC116" s="32"/>
      <c r="CD116" s="32"/>
      <c r="CE116" s="55"/>
      <c r="CF116" s="32"/>
      <c r="CG116" s="54"/>
      <c r="CH116" s="56" t="str">
        <f>IFERROR(VLOOKUP(December[[#This Row],[Drug Name9]],'Data Options'!$R$1:$S$100,2,FALSE), " ")</f>
        <v xml:space="preserve"> </v>
      </c>
      <c r="CI116" s="55"/>
      <c r="CJ116" s="32"/>
      <c r="CK116" s="32"/>
      <c r="CL116" s="55"/>
      <c r="CM116" s="32"/>
    </row>
    <row r="117" spans="1:91">
      <c r="A117" s="5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1"/>
      <c r="P117" s="31"/>
      <c r="Q117" s="54"/>
      <c r="R117" s="56" t="str">
        <f>IFERROR(VLOOKUP(December[[#This Row],[Drug Name]],'Data Options'!$R$1:$S$100,2,FALSE), " ")</f>
        <v xml:space="preserve"> </v>
      </c>
      <c r="S117" s="55"/>
      <c r="T117" s="32"/>
      <c r="U117" s="32"/>
      <c r="V117" s="55"/>
      <c r="W117" s="32"/>
      <c r="X117" s="54"/>
      <c r="Y117" s="56" t="str">
        <f>IFERROR(VLOOKUP(December[[#This Row],[Drug Name2]],'Data Options'!$R$1:$S$100,2,FALSE), " ")</f>
        <v xml:space="preserve"> </v>
      </c>
      <c r="Z117" s="55"/>
      <c r="AA117" s="32"/>
      <c r="AB117" s="32"/>
      <c r="AC117" s="55"/>
      <c r="AD117" s="32"/>
      <c r="AE117" s="54"/>
      <c r="AF117" s="56" t="str">
        <f>IFERROR(VLOOKUP(December[[#This Row],[Drug Name3]],'Data Options'!$R$1:$S$100,2,FALSE), " ")</f>
        <v xml:space="preserve"> </v>
      </c>
      <c r="AG117" s="55"/>
      <c r="AH117" s="32"/>
      <c r="AI117" s="32"/>
      <c r="AJ117" s="55"/>
      <c r="AK117" s="32"/>
      <c r="AL117" s="32"/>
      <c r="AM117" s="32"/>
      <c r="AN117" s="32"/>
      <c r="AO117" s="32"/>
      <c r="AP117" s="31"/>
      <c r="AQ117" s="31"/>
      <c r="AR117" s="54"/>
      <c r="AS117" s="56" t="str">
        <f>IFERROR(VLOOKUP(December[[#This Row],[Drug Name4]],'Data Options'!$R$1:$S$100,2,FALSE), " ")</f>
        <v xml:space="preserve"> </v>
      </c>
      <c r="AT117" s="55"/>
      <c r="AU117" s="32"/>
      <c r="AV117" s="32"/>
      <c r="AW117" s="55"/>
      <c r="AX117" s="32"/>
      <c r="AY117" s="54"/>
      <c r="AZ117" s="56" t="str">
        <f>IFERROR(VLOOKUP(December[[#This Row],[Drug Name5]],'Data Options'!$R$1:$S$100,2,FALSE), " ")</f>
        <v xml:space="preserve"> </v>
      </c>
      <c r="BA117" s="55"/>
      <c r="BB117" s="32"/>
      <c r="BC117" s="32"/>
      <c r="BD117" s="55"/>
      <c r="BE117" s="32"/>
      <c r="BF117" s="54"/>
      <c r="BG117" s="56" t="str">
        <f>IFERROR(VLOOKUP(December[[#This Row],[Drug Name6]],'Data Options'!$R$1:$S$100,2,FALSE), " ")</f>
        <v xml:space="preserve"> </v>
      </c>
      <c r="BH117" s="55"/>
      <c r="BI117" s="32"/>
      <c r="BJ117" s="32"/>
      <c r="BK117" s="55"/>
      <c r="BL117" s="32"/>
      <c r="BM117" s="32"/>
      <c r="BN117" s="32"/>
      <c r="BO117" s="32"/>
      <c r="BP117" s="32"/>
      <c r="BQ117" s="31"/>
      <c r="BR117" s="31"/>
      <c r="BS117" s="54"/>
      <c r="BT117" s="56" t="str">
        <f>IFERROR(VLOOKUP(December[[#This Row],[Drug Name7]],'Data Options'!$R$1:$S$100,2,FALSE), " ")</f>
        <v xml:space="preserve"> </v>
      </c>
      <c r="BU117" s="55"/>
      <c r="BV117" s="32"/>
      <c r="BW117" s="32"/>
      <c r="BX117" s="55"/>
      <c r="BY117" s="32"/>
      <c r="BZ117" s="54"/>
      <c r="CA117" s="56" t="str">
        <f>IFERROR(VLOOKUP(December[[#This Row],[Drug Name8]],'Data Options'!$R$1:$S$100,2,FALSE), " ")</f>
        <v xml:space="preserve"> </v>
      </c>
      <c r="CB117" s="55"/>
      <c r="CC117" s="32"/>
      <c r="CD117" s="32"/>
      <c r="CE117" s="55"/>
      <c r="CF117" s="32"/>
      <c r="CG117" s="54"/>
      <c r="CH117" s="56" t="str">
        <f>IFERROR(VLOOKUP(December[[#This Row],[Drug Name9]],'Data Options'!$R$1:$S$100,2,FALSE), " ")</f>
        <v xml:space="preserve"> </v>
      </c>
      <c r="CI117" s="55"/>
      <c r="CJ117" s="32"/>
      <c r="CK117" s="32"/>
      <c r="CL117" s="55"/>
      <c r="CM117" s="32"/>
    </row>
    <row r="118" spans="1:91">
      <c r="A118" s="5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/>
      <c r="P118" s="31"/>
      <c r="Q118" s="54"/>
      <c r="R118" s="56" t="str">
        <f>IFERROR(VLOOKUP(December[[#This Row],[Drug Name]],'Data Options'!$R$1:$S$100,2,FALSE), " ")</f>
        <v xml:space="preserve"> </v>
      </c>
      <c r="S118" s="55"/>
      <c r="T118" s="32"/>
      <c r="U118" s="32"/>
      <c r="V118" s="55"/>
      <c r="W118" s="32"/>
      <c r="X118" s="54"/>
      <c r="Y118" s="56" t="str">
        <f>IFERROR(VLOOKUP(December[[#This Row],[Drug Name2]],'Data Options'!$R$1:$S$100,2,FALSE), " ")</f>
        <v xml:space="preserve"> </v>
      </c>
      <c r="Z118" s="55"/>
      <c r="AA118" s="32"/>
      <c r="AB118" s="32"/>
      <c r="AC118" s="55"/>
      <c r="AD118" s="32"/>
      <c r="AE118" s="54"/>
      <c r="AF118" s="56" t="str">
        <f>IFERROR(VLOOKUP(December[[#This Row],[Drug Name3]],'Data Options'!$R$1:$S$100,2,FALSE), " ")</f>
        <v xml:space="preserve"> </v>
      </c>
      <c r="AG118" s="55"/>
      <c r="AH118" s="32"/>
      <c r="AI118" s="32"/>
      <c r="AJ118" s="55"/>
      <c r="AK118" s="32"/>
      <c r="AL118" s="32"/>
      <c r="AM118" s="32"/>
      <c r="AN118" s="32"/>
      <c r="AO118" s="32"/>
      <c r="AP118" s="31"/>
      <c r="AQ118" s="31"/>
      <c r="AR118" s="54"/>
      <c r="AS118" s="56" t="str">
        <f>IFERROR(VLOOKUP(December[[#This Row],[Drug Name4]],'Data Options'!$R$1:$S$100,2,FALSE), " ")</f>
        <v xml:space="preserve"> </v>
      </c>
      <c r="AT118" s="55"/>
      <c r="AU118" s="32"/>
      <c r="AV118" s="32"/>
      <c r="AW118" s="55"/>
      <c r="AX118" s="32"/>
      <c r="AY118" s="54"/>
      <c r="AZ118" s="56" t="str">
        <f>IFERROR(VLOOKUP(December[[#This Row],[Drug Name5]],'Data Options'!$R$1:$S$100,2,FALSE), " ")</f>
        <v xml:space="preserve"> </v>
      </c>
      <c r="BA118" s="55"/>
      <c r="BB118" s="32"/>
      <c r="BC118" s="32"/>
      <c r="BD118" s="55"/>
      <c r="BE118" s="32"/>
      <c r="BF118" s="54"/>
      <c r="BG118" s="56" t="str">
        <f>IFERROR(VLOOKUP(December[[#This Row],[Drug Name6]],'Data Options'!$R$1:$S$100,2,FALSE), " ")</f>
        <v xml:space="preserve"> </v>
      </c>
      <c r="BH118" s="55"/>
      <c r="BI118" s="32"/>
      <c r="BJ118" s="32"/>
      <c r="BK118" s="55"/>
      <c r="BL118" s="32"/>
      <c r="BM118" s="32"/>
      <c r="BN118" s="32"/>
      <c r="BO118" s="32"/>
      <c r="BP118" s="32"/>
      <c r="BQ118" s="31"/>
      <c r="BR118" s="31"/>
      <c r="BS118" s="54"/>
      <c r="BT118" s="56" t="str">
        <f>IFERROR(VLOOKUP(December[[#This Row],[Drug Name7]],'Data Options'!$R$1:$S$100,2,FALSE), " ")</f>
        <v xml:space="preserve"> </v>
      </c>
      <c r="BU118" s="55"/>
      <c r="BV118" s="32"/>
      <c r="BW118" s="32"/>
      <c r="BX118" s="55"/>
      <c r="BY118" s="32"/>
      <c r="BZ118" s="54"/>
      <c r="CA118" s="56" t="str">
        <f>IFERROR(VLOOKUP(December[[#This Row],[Drug Name8]],'Data Options'!$R$1:$S$100,2,FALSE), " ")</f>
        <v xml:space="preserve"> </v>
      </c>
      <c r="CB118" s="55"/>
      <c r="CC118" s="32"/>
      <c r="CD118" s="32"/>
      <c r="CE118" s="55"/>
      <c r="CF118" s="32"/>
      <c r="CG118" s="54"/>
      <c r="CH118" s="56" t="str">
        <f>IFERROR(VLOOKUP(December[[#This Row],[Drug Name9]],'Data Options'!$R$1:$S$100,2,FALSE), " ")</f>
        <v xml:space="preserve"> </v>
      </c>
      <c r="CI118" s="55"/>
      <c r="CJ118" s="32"/>
      <c r="CK118" s="32"/>
      <c r="CL118" s="55"/>
      <c r="CM118" s="32"/>
    </row>
    <row r="119" spans="1:91">
      <c r="A119" s="5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1"/>
      <c r="P119" s="31"/>
      <c r="Q119" s="54"/>
      <c r="R119" s="56" t="str">
        <f>IFERROR(VLOOKUP(December[[#This Row],[Drug Name]],'Data Options'!$R$1:$S$100,2,FALSE), " ")</f>
        <v xml:space="preserve"> </v>
      </c>
      <c r="S119" s="55"/>
      <c r="T119" s="32"/>
      <c r="U119" s="32"/>
      <c r="V119" s="55"/>
      <c r="W119" s="32"/>
      <c r="X119" s="54"/>
      <c r="Y119" s="56" t="str">
        <f>IFERROR(VLOOKUP(December[[#This Row],[Drug Name2]],'Data Options'!$R$1:$S$100,2,FALSE), " ")</f>
        <v xml:space="preserve"> </v>
      </c>
      <c r="Z119" s="55"/>
      <c r="AA119" s="32"/>
      <c r="AB119" s="32"/>
      <c r="AC119" s="55"/>
      <c r="AD119" s="32"/>
      <c r="AE119" s="54"/>
      <c r="AF119" s="56" t="str">
        <f>IFERROR(VLOOKUP(December[[#This Row],[Drug Name3]],'Data Options'!$R$1:$S$100,2,FALSE), " ")</f>
        <v xml:space="preserve"> </v>
      </c>
      <c r="AG119" s="55"/>
      <c r="AH119" s="32"/>
      <c r="AI119" s="32"/>
      <c r="AJ119" s="55"/>
      <c r="AK119" s="32"/>
      <c r="AL119" s="32"/>
      <c r="AM119" s="32"/>
      <c r="AN119" s="32"/>
      <c r="AO119" s="32"/>
      <c r="AP119" s="31"/>
      <c r="AQ119" s="31"/>
      <c r="AR119" s="54"/>
      <c r="AS119" s="56" t="str">
        <f>IFERROR(VLOOKUP(December[[#This Row],[Drug Name4]],'Data Options'!$R$1:$S$100,2,FALSE), " ")</f>
        <v xml:space="preserve"> </v>
      </c>
      <c r="AT119" s="55"/>
      <c r="AU119" s="32"/>
      <c r="AV119" s="32"/>
      <c r="AW119" s="55"/>
      <c r="AX119" s="32"/>
      <c r="AY119" s="54"/>
      <c r="AZ119" s="56" t="str">
        <f>IFERROR(VLOOKUP(December[[#This Row],[Drug Name5]],'Data Options'!$R$1:$S$100,2,FALSE), " ")</f>
        <v xml:space="preserve"> </v>
      </c>
      <c r="BA119" s="55"/>
      <c r="BB119" s="32"/>
      <c r="BC119" s="32"/>
      <c r="BD119" s="55"/>
      <c r="BE119" s="32"/>
      <c r="BF119" s="54"/>
      <c r="BG119" s="56" t="str">
        <f>IFERROR(VLOOKUP(December[[#This Row],[Drug Name6]],'Data Options'!$R$1:$S$100,2,FALSE), " ")</f>
        <v xml:space="preserve"> </v>
      </c>
      <c r="BH119" s="55"/>
      <c r="BI119" s="32"/>
      <c r="BJ119" s="32"/>
      <c r="BK119" s="55"/>
      <c r="BL119" s="32"/>
      <c r="BM119" s="32"/>
      <c r="BN119" s="32"/>
      <c r="BO119" s="32"/>
      <c r="BP119" s="32"/>
      <c r="BQ119" s="31"/>
      <c r="BR119" s="31"/>
      <c r="BS119" s="54"/>
      <c r="BT119" s="56" t="str">
        <f>IFERROR(VLOOKUP(December[[#This Row],[Drug Name7]],'Data Options'!$R$1:$S$100,2,FALSE), " ")</f>
        <v xml:space="preserve"> </v>
      </c>
      <c r="BU119" s="55"/>
      <c r="BV119" s="32"/>
      <c r="BW119" s="32"/>
      <c r="BX119" s="55"/>
      <c r="BY119" s="32"/>
      <c r="BZ119" s="54"/>
      <c r="CA119" s="56" t="str">
        <f>IFERROR(VLOOKUP(December[[#This Row],[Drug Name8]],'Data Options'!$R$1:$S$100,2,FALSE), " ")</f>
        <v xml:space="preserve"> </v>
      </c>
      <c r="CB119" s="55"/>
      <c r="CC119" s="32"/>
      <c r="CD119" s="32"/>
      <c r="CE119" s="55"/>
      <c r="CF119" s="32"/>
      <c r="CG119" s="54"/>
      <c r="CH119" s="56" t="str">
        <f>IFERROR(VLOOKUP(December[[#This Row],[Drug Name9]],'Data Options'!$R$1:$S$100,2,FALSE), " ")</f>
        <v xml:space="preserve"> </v>
      </c>
      <c r="CI119" s="55"/>
      <c r="CJ119" s="32"/>
      <c r="CK119" s="32"/>
      <c r="CL119" s="55"/>
      <c r="CM119" s="32"/>
    </row>
    <row r="120" spans="1:91">
      <c r="A120" s="5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/>
      <c r="P120" s="31"/>
      <c r="Q120" s="54"/>
      <c r="R120" s="56" t="str">
        <f>IFERROR(VLOOKUP(December[[#This Row],[Drug Name]],'Data Options'!$R$1:$S$100,2,FALSE), " ")</f>
        <v xml:space="preserve"> </v>
      </c>
      <c r="S120" s="55"/>
      <c r="T120" s="32"/>
      <c r="U120" s="32"/>
      <c r="V120" s="55"/>
      <c r="W120" s="32"/>
      <c r="X120" s="54"/>
      <c r="Y120" s="56" t="str">
        <f>IFERROR(VLOOKUP(December[[#This Row],[Drug Name2]],'Data Options'!$R$1:$S$100,2,FALSE), " ")</f>
        <v xml:space="preserve"> </v>
      </c>
      <c r="Z120" s="55"/>
      <c r="AA120" s="32"/>
      <c r="AB120" s="32"/>
      <c r="AC120" s="55"/>
      <c r="AD120" s="32"/>
      <c r="AE120" s="54"/>
      <c r="AF120" s="56" t="str">
        <f>IFERROR(VLOOKUP(December[[#This Row],[Drug Name3]],'Data Options'!$R$1:$S$100,2,FALSE), " ")</f>
        <v xml:space="preserve"> </v>
      </c>
      <c r="AG120" s="55"/>
      <c r="AH120" s="32"/>
      <c r="AI120" s="32"/>
      <c r="AJ120" s="55"/>
      <c r="AK120" s="32"/>
      <c r="AL120" s="32"/>
      <c r="AM120" s="32"/>
      <c r="AN120" s="32"/>
      <c r="AO120" s="32"/>
      <c r="AP120" s="31"/>
      <c r="AQ120" s="31"/>
      <c r="AR120" s="54"/>
      <c r="AS120" s="56" t="str">
        <f>IFERROR(VLOOKUP(December[[#This Row],[Drug Name4]],'Data Options'!$R$1:$S$100,2,FALSE), " ")</f>
        <v xml:space="preserve"> </v>
      </c>
      <c r="AT120" s="55"/>
      <c r="AU120" s="32"/>
      <c r="AV120" s="32"/>
      <c r="AW120" s="55"/>
      <c r="AX120" s="32"/>
      <c r="AY120" s="54"/>
      <c r="AZ120" s="56" t="str">
        <f>IFERROR(VLOOKUP(December[[#This Row],[Drug Name5]],'Data Options'!$R$1:$S$100,2,FALSE), " ")</f>
        <v xml:space="preserve"> </v>
      </c>
      <c r="BA120" s="55"/>
      <c r="BB120" s="32"/>
      <c r="BC120" s="32"/>
      <c r="BD120" s="55"/>
      <c r="BE120" s="32"/>
      <c r="BF120" s="54"/>
      <c r="BG120" s="56" t="str">
        <f>IFERROR(VLOOKUP(December[[#This Row],[Drug Name6]],'Data Options'!$R$1:$S$100,2,FALSE), " ")</f>
        <v xml:space="preserve"> </v>
      </c>
      <c r="BH120" s="55"/>
      <c r="BI120" s="32"/>
      <c r="BJ120" s="32"/>
      <c r="BK120" s="55"/>
      <c r="BL120" s="32"/>
      <c r="BM120" s="32"/>
      <c r="BN120" s="32"/>
      <c r="BO120" s="32"/>
      <c r="BP120" s="32"/>
      <c r="BQ120" s="31"/>
      <c r="BR120" s="31"/>
      <c r="BS120" s="54"/>
      <c r="BT120" s="56" t="str">
        <f>IFERROR(VLOOKUP(December[[#This Row],[Drug Name7]],'Data Options'!$R$1:$S$100,2,FALSE), " ")</f>
        <v xml:space="preserve"> </v>
      </c>
      <c r="BU120" s="55"/>
      <c r="BV120" s="32"/>
      <c r="BW120" s="32"/>
      <c r="BX120" s="55"/>
      <c r="BY120" s="32"/>
      <c r="BZ120" s="54"/>
      <c r="CA120" s="56" t="str">
        <f>IFERROR(VLOOKUP(December[[#This Row],[Drug Name8]],'Data Options'!$R$1:$S$100,2,FALSE), " ")</f>
        <v xml:space="preserve"> </v>
      </c>
      <c r="CB120" s="55"/>
      <c r="CC120" s="32"/>
      <c r="CD120" s="32"/>
      <c r="CE120" s="55"/>
      <c r="CF120" s="32"/>
      <c r="CG120" s="54"/>
      <c r="CH120" s="56" t="str">
        <f>IFERROR(VLOOKUP(December[[#This Row],[Drug Name9]],'Data Options'!$R$1:$S$100,2,FALSE), " ")</f>
        <v xml:space="preserve"> </v>
      </c>
      <c r="CI120" s="55"/>
      <c r="CJ120" s="32"/>
      <c r="CK120" s="32"/>
      <c r="CL120" s="55"/>
      <c r="CM120" s="32"/>
    </row>
    <row r="121" spans="1:91">
      <c r="A121" s="5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1"/>
      <c r="P121" s="31"/>
      <c r="Q121" s="54"/>
      <c r="R121" s="56" t="str">
        <f>IFERROR(VLOOKUP(December[[#This Row],[Drug Name]],'Data Options'!$R$1:$S$100,2,FALSE), " ")</f>
        <v xml:space="preserve"> </v>
      </c>
      <c r="S121" s="55"/>
      <c r="T121" s="32"/>
      <c r="U121" s="32"/>
      <c r="V121" s="55"/>
      <c r="W121" s="32"/>
      <c r="X121" s="54"/>
      <c r="Y121" s="56" t="str">
        <f>IFERROR(VLOOKUP(December[[#This Row],[Drug Name2]],'Data Options'!$R$1:$S$100,2,FALSE), " ")</f>
        <v xml:space="preserve"> </v>
      </c>
      <c r="Z121" s="55"/>
      <c r="AA121" s="32"/>
      <c r="AB121" s="32"/>
      <c r="AC121" s="55"/>
      <c r="AD121" s="32"/>
      <c r="AE121" s="54"/>
      <c r="AF121" s="56" t="str">
        <f>IFERROR(VLOOKUP(December[[#This Row],[Drug Name3]],'Data Options'!$R$1:$S$100,2,FALSE), " ")</f>
        <v xml:space="preserve"> </v>
      </c>
      <c r="AG121" s="55"/>
      <c r="AH121" s="32"/>
      <c r="AI121" s="32"/>
      <c r="AJ121" s="55"/>
      <c r="AK121" s="32"/>
      <c r="AL121" s="32"/>
      <c r="AM121" s="32"/>
      <c r="AN121" s="32"/>
      <c r="AO121" s="32"/>
      <c r="AP121" s="31"/>
      <c r="AQ121" s="31"/>
      <c r="AR121" s="54"/>
      <c r="AS121" s="56" t="str">
        <f>IFERROR(VLOOKUP(December[[#This Row],[Drug Name4]],'Data Options'!$R$1:$S$100,2,FALSE), " ")</f>
        <v xml:space="preserve"> </v>
      </c>
      <c r="AT121" s="55"/>
      <c r="AU121" s="32"/>
      <c r="AV121" s="32"/>
      <c r="AW121" s="55"/>
      <c r="AX121" s="32"/>
      <c r="AY121" s="54"/>
      <c r="AZ121" s="56" t="str">
        <f>IFERROR(VLOOKUP(December[[#This Row],[Drug Name5]],'Data Options'!$R$1:$S$100,2,FALSE), " ")</f>
        <v xml:space="preserve"> </v>
      </c>
      <c r="BA121" s="55"/>
      <c r="BB121" s="32"/>
      <c r="BC121" s="32"/>
      <c r="BD121" s="55"/>
      <c r="BE121" s="32"/>
      <c r="BF121" s="54"/>
      <c r="BG121" s="56" t="str">
        <f>IFERROR(VLOOKUP(December[[#This Row],[Drug Name6]],'Data Options'!$R$1:$S$100,2,FALSE), " ")</f>
        <v xml:space="preserve"> </v>
      </c>
      <c r="BH121" s="55"/>
      <c r="BI121" s="32"/>
      <c r="BJ121" s="32"/>
      <c r="BK121" s="55"/>
      <c r="BL121" s="32"/>
      <c r="BM121" s="32"/>
      <c r="BN121" s="32"/>
      <c r="BO121" s="32"/>
      <c r="BP121" s="32"/>
      <c r="BQ121" s="31"/>
      <c r="BR121" s="31"/>
      <c r="BS121" s="54"/>
      <c r="BT121" s="56" t="str">
        <f>IFERROR(VLOOKUP(December[[#This Row],[Drug Name7]],'Data Options'!$R$1:$S$100,2,FALSE), " ")</f>
        <v xml:space="preserve"> </v>
      </c>
      <c r="BU121" s="55"/>
      <c r="BV121" s="32"/>
      <c r="BW121" s="32"/>
      <c r="BX121" s="55"/>
      <c r="BY121" s="32"/>
      <c r="BZ121" s="54"/>
      <c r="CA121" s="56" t="str">
        <f>IFERROR(VLOOKUP(December[[#This Row],[Drug Name8]],'Data Options'!$R$1:$S$100,2,FALSE), " ")</f>
        <v xml:space="preserve"> </v>
      </c>
      <c r="CB121" s="55"/>
      <c r="CC121" s="32"/>
      <c r="CD121" s="32"/>
      <c r="CE121" s="55"/>
      <c r="CF121" s="32"/>
      <c r="CG121" s="54"/>
      <c r="CH121" s="56" t="str">
        <f>IFERROR(VLOOKUP(December[[#This Row],[Drug Name9]],'Data Options'!$R$1:$S$100,2,FALSE), " ")</f>
        <v xml:space="preserve"> </v>
      </c>
      <c r="CI121" s="55"/>
      <c r="CJ121" s="32"/>
      <c r="CK121" s="32"/>
      <c r="CL121" s="55"/>
      <c r="CM121" s="32"/>
    </row>
    <row r="122" spans="1:91">
      <c r="A122" s="5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1"/>
      <c r="P122" s="31"/>
      <c r="Q122" s="54"/>
      <c r="R122" s="56" t="str">
        <f>IFERROR(VLOOKUP(December[[#This Row],[Drug Name]],'Data Options'!$R$1:$S$100,2,FALSE), " ")</f>
        <v xml:space="preserve"> </v>
      </c>
      <c r="S122" s="55"/>
      <c r="T122" s="32"/>
      <c r="U122" s="32"/>
      <c r="V122" s="55"/>
      <c r="W122" s="32"/>
      <c r="X122" s="54"/>
      <c r="Y122" s="56" t="str">
        <f>IFERROR(VLOOKUP(December[[#This Row],[Drug Name2]],'Data Options'!$R$1:$S$100,2,FALSE), " ")</f>
        <v xml:space="preserve"> </v>
      </c>
      <c r="Z122" s="55"/>
      <c r="AA122" s="32"/>
      <c r="AB122" s="32"/>
      <c r="AC122" s="55"/>
      <c r="AD122" s="32"/>
      <c r="AE122" s="54"/>
      <c r="AF122" s="56" t="str">
        <f>IFERROR(VLOOKUP(December[[#This Row],[Drug Name3]],'Data Options'!$R$1:$S$100,2,FALSE), " ")</f>
        <v xml:space="preserve"> </v>
      </c>
      <c r="AG122" s="55"/>
      <c r="AH122" s="32"/>
      <c r="AI122" s="32"/>
      <c r="AJ122" s="55"/>
      <c r="AK122" s="32"/>
      <c r="AL122" s="32"/>
      <c r="AM122" s="32"/>
      <c r="AN122" s="32"/>
      <c r="AO122" s="32"/>
      <c r="AP122" s="31"/>
      <c r="AQ122" s="31"/>
      <c r="AR122" s="54"/>
      <c r="AS122" s="56" t="str">
        <f>IFERROR(VLOOKUP(December[[#This Row],[Drug Name4]],'Data Options'!$R$1:$S$100,2,FALSE), " ")</f>
        <v xml:space="preserve"> </v>
      </c>
      <c r="AT122" s="55"/>
      <c r="AU122" s="32"/>
      <c r="AV122" s="32"/>
      <c r="AW122" s="55"/>
      <c r="AX122" s="32"/>
      <c r="AY122" s="54"/>
      <c r="AZ122" s="56" t="str">
        <f>IFERROR(VLOOKUP(December[[#This Row],[Drug Name5]],'Data Options'!$R$1:$S$100,2,FALSE), " ")</f>
        <v xml:space="preserve"> </v>
      </c>
      <c r="BA122" s="55"/>
      <c r="BB122" s="32"/>
      <c r="BC122" s="32"/>
      <c r="BD122" s="55"/>
      <c r="BE122" s="32"/>
      <c r="BF122" s="54"/>
      <c r="BG122" s="56" t="str">
        <f>IFERROR(VLOOKUP(December[[#This Row],[Drug Name6]],'Data Options'!$R$1:$S$100,2,FALSE), " ")</f>
        <v xml:space="preserve"> </v>
      </c>
      <c r="BH122" s="55"/>
      <c r="BI122" s="32"/>
      <c r="BJ122" s="32"/>
      <c r="BK122" s="55"/>
      <c r="BL122" s="32"/>
      <c r="BM122" s="32"/>
      <c r="BN122" s="32"/>
      <c r="BO122" s="32"/>
      <c r="BP122" s="32"/>
      <c r="BQ122" s="31"/>
      <c r="BR122" s="31"/>
      <c r="BS122" s="54"/>
      <c r="BT122" s="56" t="str">
        <f>IFERROR(VLOOKUP(December[[#This Row],[Drug Name7]],'Data Options'!$R$1:$S$100,2,FALSE), " ")</f>
        <v xml:space="preserve"> </v>
      </c>
      <c r="BU122" s="55"/>
      <c r="BV122" s="32"/>
      <c r="BW122" s="32"/>
      <c r="BX122" s="55"/>
      <c r="BY122" s="32"/>
      <c r="BZ122" s="54"/>
      <c r="CA122" s="56" t="str">
        <f>IFERROR(VLOOKUP(December[[#This Row],[Drug Name8]],'Data Options'!$R$1:$S$100,2,FALSE), " ")</f>
        <v xml:space="preserve"> </v>
      </c>
      <c r="CB122" s="55"/>
      <c r="CC122" s="32"/>
      <c r="CD122" s="32"/>
      <c r="CE122" s="55"/>
      <c r="CF122" s="32"/>
      <c r="CG122" s="54"/>
      <c r="CH122" s="56" t="str">
        <f>IFERROR(VLOOKUP(December[[#This Row],[Drug Name9]],'Data Options'!$R$1:$S$100,2,FALSE), " ")</f>
        <v xml:space="preserve"> </v>
      </c>
      <c r="CI122" s="55"/>
      <c r="CJ122" s="32"/>
      <c r="CK122" s="32"/>
      <c r="CL122" s="55"/>
      <c r="CM122" s="32"/>
    </row>
    <row r="123" spans="1:91">
      <c r="A123" s="5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1"/>
      <c r="P123" s="31"/>
      <c r="Q123" s="54"/>
      <c r="R123" s="56" t="str">
        <f>IFERROR(VLOOKUP(December[[#This Row],[Drug Name]],'Data Options'!$R$1:$S$100,2,FALSE), " ")</f>
        <v xml:space="preserve"> </v>
      </c>
      <c r="S123" s="55"/>
      <c r="T123" s="32"/>
      <c r="U123" s="32"/>
      <c r="V123" s="55"/>
      <c r="W123" s="32"/>
      <c r="X123" s="54"/>
      <c r="Y123" s="56" t="str">
        <f>IFERROR(VLOOKUP(December[[#This Row],[Drug Name2]],'Data Options'!$R$1:$S$100,2,FALSE), " ")</f>
        <v xml:space="preserve"> </v>
      </c>
      <c r="Z123" s="55"/>
      <c r="AA123" s="32"/>
      <c r="AB123" s="32"/>
      <c r="AC123" s="55"/>
      <c r="AD123" s="32"/>
      <c r="AE123" s="54"/>
      <c r="AF123" s="56" t="str">
        <f>IFERROR(VLOOKUP(December[[#This Row],[Drug Name3]],'Data Options'!$R$1:$S$100,2,FALSE), " ")</f>
        <v xml:space="preserve"> </v>
      </c>
      <c r="AG123" s="55"/>
      <c r="AH123" s="32"/>
      <c r="AI123" s="32"/>
      <c r="AJ123" s="55"/>
      <c r="AK123" s="32"/>
      <c r="AL123" s="32"/>
      <c r="AM123" s="32"/>
      <c r="AN123" s="32"/>
      <c r="AO123" s="32"/>
      <c r="AP123" s="31"/>
      <c r="AQ123" s="31"/>
      <c r="AR123" s="54"/>
      <c r="AS123" s="56" t="str">
        <f>IFERROR(VLOOKUP(December[[#This Row],[Drug Name4]],'Data Options'!$R$1:$S$100,2,FALSE), " ")</f>
        <v xml:space="preserve"> </v>
      </c>
      <c r="AT123" s="55"/>
      <c r="AU123" s="32"/>
      <c r="AV123" s="32"/>
      <c r="AW123" s="55"/>
      <c r="AX123" s="32"/>
      <c r="AY123" s="54"/>
      <c r="AZ123" s="56" t="str">
        <f>IFERROR(VLOOKUP(December[[#This Row],[Drug Name5]],'Data Options'!$R$1:$S$100,2,FALSE), " ")</f>
        <v xml:space="preserve"> </v>
      </c>
      <c r="BA123" s="55"/>
      <c r="BB123" s="32"/>
      <c r="BC123" s="32"/>
      <c r="BD123" s="55"/>
      <c r="BE123" s="32"/>
      <c r="BF123" s="54"/>
      <c r="BG123" s="56" t="str">
        <f>IFERROR(VLOOKUP(December[[#This Row],[Drug Name6]],'Data Options'!$R$1:$S$100,2,FALSE), " ")</f>
        <v xml:space="preserve"> </v>
      </c>
      <c r="BH123" s="55"/>
      <c r="BI123" s="32"/>
      <c r="BJ123" s="32"/>
      <c r="BK123" s="55"/>
      <c r="BL123" s="32"/>
      <c r="BM123" s="32"/>
      <c r="BN123" s="32"/>
      <c r="BO123" s="32"/>
      <c r="BP123" s="32"/>
      <c r="BQ123" s="31"/>
      <c r="BR123" s="31"/>
      <c r="BS123" s="54"/>
      <c r="BT123" s="56" t="str">
        <f>IFERROR(VLOOKUP(December[[#This Row],[Drug Name7]],'Data Options'!$R$1:$S$100,2,FALSE), " ")</f>
        <v xml:space="preserve"> </v>
      </c>
      <c r="BU123" s="55"/>
      <c r="BV123" s="32"/>
      <c r="BW123" s="32"/>
      <c r="BX123" s="55"/>
      <c r="BY123" s="32"/>
      <c r="BZ123" s="54"/>
      <c r="CA123" s="56" t="str">
        <f>IFERROR(VLOOKUP(December[[#This Row],[Drug Name8]],'Data Options'!$R$1:$S$100,2,FALSE), " ")</f>
        <v xml:space="preserve"> </v>
      </c>
      <c r="CB123" s="55"/>
      <c r="CC123" s="32"/>
      <c r="CD123" s="32"/>
      <c r="CE123" s="55"/>
      <c r="CF123" s="32"/>
      <c r="CG123" s="54"/>
      <c r="CH123" s="56" t="str">
        <f>IFERROR(VLOOKUP(December[[#This Row],[Drug Name9]],'Data Options'!$R$1:$S$100,2,FALSE), " ")</f>
        <v xml:space="preserve"> </v>
      </c>
      <c r="CI123" s="55"/>
      <c r="CJ123" s="32"/>
      <c r="CK123" s="32"/>
      <c r="CL123" s="55"/>
      <c r="CM123" s="32"/>
    </row>
    <row r="124" spans="1:91">
      <c r="A124" s="5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1"/>
      <c r="P124" s="31"/>
      <c r="Q124" s="54"/>
      <c r="R124" s="56" t="str">
        <f>IFERROR(VLOOKUP(December[[#This Row],[Drug Name]],'Data Options'!$R$1:$S$100,2,FALSE), " ")</f>
        <v xml:space="preserve"> </v>
      </c>
      <c r="S124" s="55"/>
      <c r="T124" s="32"/>
      <c r="U124" s="32"/>
      <c r="V124" s="55"/>
      <c r="W124" s="32"/>
      <c r="X124" s="54"/>
      <c r="Y124" s="56" t="str">
        <f>IFERROR(VLOOKUP(December[[#This Row],[Drug Name2]],'Data Options'!$R$1:$S$100,2,FALSE), " ")</f>
        <v xml:space="preserve"> </v>
      </c>
      <c r="Z124" s="55"/>
      <c r="AA124" s="32"/>
      <c r="AB124" s="32"/>
      <c r="AC124" s="55"/>
      <c r="AD124" s="32"/>
      <c r="AE124" s="54"/>
      <c r="AF124" s="56" t="str">
        <f>IFERROR(VLOOKUP(December[[#This Row],[Drug Name3]],'Data Options'!$R$1:$S$100,2,FALSE), " ")</f>
        <v xml:space="preserve"> </v>
      </c>
      <c r="AG124" s="55"/>
      <c r="AH124" s="32"/>
      <c r="AI124" s="32"/>
      <c r="AJ124" s="55"/>
      <c r="AK124" s="32"/>
      <c r="AL124" s="32"/>
      <c r="AM124" s="32"/>
      <c r="AN124" s="32"/>
      <c r="AO124" s="32"/>
      <c r="AP124" s="31"/>
      <c r="AQ124" s="31"/>
      <c r="AR124" s="54"/>
      <c r="AS124" s="56" t="str">
        <f>IFERROR(VLOOKUP(December[[#This Row],[Drug Name4]],'Data Options'!$R$1:$S$100,2,FALSE), " ")</f>
        <v xml:space="preserve"> </v>
      </c>
      <c r="AT124" s="55"/>
      <c r="AU124" s="32"/>
      <c r="AV124" s="32"/>
      <c r="AW124" s="55"/>
      <c r="AX124" s="32"/>
      <c r="AY124" s="54"/>
      <c r="AZ124" s="56" t="str">
        <f>IFERROR(VLOOKUP(December[[#This Row],[Drug Name5]],'Data Options'!$R$1:$S$100,2,FALSE), " ")</f>
        <v xml:space="preserve"> </v>
      </c>
      <c r="BA124" s="55"/>
      <c r="BB124" s="32"/>
      <c r="BC124" s="32"/>
      <c r="BD124" s="55"/>
      <c r="BE124" s="32"/>
      <c r="BF124" s="54"/>
      <c r="BG124" s="56" t="str">
        <f>IFERROR(VLOOKUP(December[[#This Row],[Drug Name6]],'Data Options'!$R$1:$S$100,2,FALSE), " ")</f>
        <v xml:space="preserve"> </v>
      </c>
      <c r="BH124" s="55"/>
      <c r="BI124" s="32"/>
      <c r="BJ124" s="32"/>
      <c r="BK124" s="55"/>
      <c r="BL124" s="32"/>
      <c r="BM124" s="32"/>
      <c r="BN124" s="32"/>
      <c r="BO124" s="32"/>
      <c r="BP124" s="32"/>
      <c r="BQ124" s="31"/>
      <c r="BR124" s="31"/>
      <c r="BS124" s="54"/>
      <c r="BT124" s="56" t="str">
        <f>IFERROR(VLOOKUP(December[[#This Row],[Drug Name7]],'Data Options'!$R$1:$S$100,2,FALSE), " ")</f>
        <v xml:space="preserve"> </v>
      </c>
      <c r="BU124" s="55"/>
      <c r="BV124" s="32"/>
      <c r="BW124" s="32"/>
      <c r="BX124" s="55"/>
      <c r="BY124" s="32"/>
      <c r="BZ124" s="54"/>
      <c r="CA124" s="56" t="str">
        <f>IFERROR(VLOOKUP(December[[#This Row],[Drug Name8]],'Data Options'!$R$1:$S$100,2,FALSE), " ")</f>
        <v xml:space="preserve"> </v>
      </c>
      <c r="CB124" s="55"/>
      <c r="CC124" s="32"/>
      <c r="CD124" s="32"/>
      <c r="CE124" s="55"/>
      <c r="CF124" s="32"/>
      <c r="CG124" s="54"/>
      <c r="CH124" s="56" t="str">
        <f>IFERROR(VLOOKUP(December[[#This Row],[Drug Name9]],'Data Options'!$R$1:$S$100,2,FALSE), " ")</f>
        <v xml:space="preserve"> </v>
      </c>
      <c r="CI124" s="55"/>
      <c r="CJ124" s="32"/>
      <c r="CK124" s="32"/>
      <c r="CL124" s="55"/>
      <c r="CM124" s="32"/>
    </row>
    <row r="125" spans="1:91">
      <c r="A125" s="5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1"/>
      <c r="P125" s="31"/>
      <c r="Q125" s="54"/>
      <c r="R125" s="56" t="str">
        <f>IFERROR(VLOOKUP(December[[#This Row],[Drug Name]],'Data Options'!$R$1:$S$100,2,FALSE), " ")</f>
        <v xml:space="preserve"> </v>
      </c>
      <c r="S125" s="55"/>
      <c r="T125" s="32"/>
      <c r="U125" s="32"/>
      <c r="V125" s="55"/>
      <c r="W125" s="32"/>
      <c r="X125" s="54"/>
      <c r="Y125" s="56" t="str">
        <f>IFERROR(VLOOKUP(December[[#This Row],[Drug Name2]],'Data Options'!$R$1:$S$100,2,FALSE), " ")</f>
        <v xml:space="preserve"> </v>
      </c>
      <c r="Z125" s="55"/>
      <c r="AA125" s="32"/>
      <c r="AB125" s="32"/>
      <c r="AC125" s="55"/>
      <c r="AD125" s="32"/>
      <c r="AE125" s="54"/>
      <c r="AF125" s="56" t="str">
        <f>IFERROR(VLOOKUP(December[[#This Row],[Drug Name3]],'Data Options'!$R$1:$S$100,2,FALSE), " ")</f>
        <v xml:space="preserve"> </v>
      </c>
      <c r="AG125" s="55"/>
      <c r="AH125" s="32"/>
      <c r="AI125" s="32"/>
      <c r="AJ125" s="55"/>
      <c r="AK125" s="32"/>
      <c r="AL125" s="32"/>
      <c r="AM125" s="32"/>
      <c r="AN125" s="32"/>
      <c r="AO125" s="32"/>
      <c r="AP125" s="31"/>
      <c r="AQ125" s="31"/>
      <c r="AR125" s="54"/>
      <c r="AS125" s="56" t="str">
        <f>IFERROR(VLOOKUP(December[[#This Row],[Drug Name4]],'Data Options'!$R$1:$S$100,2,FALSE), " ")</f>
        <v xml:space="preserve"> </v>
      </c>
      <c r="AT125" s="55"/>
      <c r="AU125" s="32"/>
      <c r="AV125" s="32"/>
      <c r="AW125" s="55"/>
      <c r="AX125" s="32"/>
      <c r="AY125" s="54"/>
      <c r="AZ125" s="56" t="str">
        <f>IFERROR(VLOOKUP(December[[#This Row],[Drug Name5]],'Data Options'!$R$1:$S$100,2,FALSE), " ")</f>
        <v xml:space="preserve"> </v>
      </c>
      <c r="BA125" s="55"/>
      <c r="BB125" s="32"/>
      <c r="BC125" s="32"/>
      <c r="BD125" s="55"/>
      <c r="BE125" s="32"/>
      <c r="BF125" s="54"/>
      <c r="BG125" s="56" t="str">
        <f>IFERROR(VLOOKUP(December[[#This Row],[Drug Name6]],'Data Options'!$R$1:$S$100,2,FALSE), " ")</f>
        <v xml:space="preserve"> </v>
      </c>
      <c r="BH125" s="55"/>
      <c r="BI125" s="32"/>
      <c r="BJ125" s="32"/>
      <c r="BK125" s="55"/>
      <c r="BL125" s="32"/>
      <c r="BM125" s="32"/>
      <c r="BN125" s="32"/>
      <c r="BO125" s="32"/>
      <c r="BP125" s="32"/>
      <c r="BQ125" s="31"/>
      <c r="BR125" s="31"/>
      <c r="BS125" s="54"/>
      <c r="BT125" s="56" t="str">
        <f>IFERROR(VLOOKUP(December[[#This Row],[Drug Name7]],'Data Options'!$R$1:$S$100,2,FALSE), " ")</f>
        <v xml:space="preserve"> </v>
      </c>
      <c r="BU125" s="55"/>
      <c r="BV125" s="32"/>
      <c r="BW125" s="32"/>
      <c r="BX125" s="55"/>
      <c r="BY125" s="32"/>
      <c r="BZ125" s="54"/>
      <c r="CA125" s="56" t="str">
        <f>IFERROR(VLOOKUP(December[[#This Row],[Drug Name8]],'Data Options'!$R$1:$S$100,2,FALSE), " ")</f>
        <v xml:space="preserve"> </v>
      </c>
      <c r="CB125" s="55"/>
      <c r="CC125" s="32"/>
      <c r="CD125" s="32"/>
      <c r="CE125" s="55"/>
      <c r="CF125" s="32"/>
      <c r="CG125" s="54"/>
      <c r="CH125" s="56" t="str">
        <f>IFERROR(VLOOKUP(December[[#This Row],[Drug Name9]],'Data Options'!$R$1:$S$100,2,FALSE), " ")</f>
        <v xml:space="preserve"> </v>
      </c>
      <c r="CI125" s="55"/>
      <c r="CJ125" s="32"/>
      <c r="CK125" s="32"/>
      <c r="CL125" s="55"/>
      <c r="CM125" s="32"/>
    </row>
    <row r="126" spans="1:91">
      <c r="A126" s="5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1"/>
      <c r="P126" s="31"/>
      <c r="Q126" s="54"/>
      <c r="R126" s="56" t="str">
        <f>IFERROR(VLOOKUP(December[[#This Row],[Drug Name]],'Data Options'!$R$1:$S$100,2,FALSE), " ")</f>
        <v xml:space="preserve"> </v>
      </c>
      <c r="S126" s="55"/>
      <c r="T126" s="32"/>
      <c r="U126" s="32"/>
      <c r="V126" s="55"/>
      <c r="W126" s="32"/>
      <c r="X126" s="54"/>
      <c r="Y126" s="56" t="str">
        <f>IFERROR(VLOOKUP(December[[#This Row],[Drug Name2]],'Data Options'!$R$1:$S$100,2,FALSE), " ")</f>
        <v xml:space="preserve"> </v>
      </c>
      <c r="Z126" s="55"/>
      <c r="AA126" s="32"/>
      <c r="AB126" s="32"/>
      <c r="AC126" s="55"/>
      <c r="AD126" s="32"/>
      <c r="AE126" s="54"/>
      <c r="AF126" s="56" t="str">
        <f>IFERROR(VLOOKUP(December[[#This Row],[Drug Name3]],'Data Options'!$R$1:$S$100,2,FALSE), " ")</f>
        <v xml:space="preserve"> </v>
      </c>
      <c r="AG126" s="55"/>
      <c r="AH126" s="32"/>
      <c r="AI126" s="32"/>
      <c r="AJ126" s="55"/>
      <c r="AK126" s="32"/>
      <c r="AL126" s="32"/>
      <c r="AM126" s="32"/>
      <c r="AN126" s="32"/>
      <c r="AO126" s="32"/>
      <c r="AP126" s="31"/>
      <c r="AQ126" s="31"/>
      <c r="AR126" s="54"/>
      <c r="AS126" s="56" t="str">
        <f>IFERROR(VLOOKUP(December[[#This Row],[Drug Name4]],'Data Options'!$R$1:$S$100,2,FALSE), " ")</f>
        <v xml:space="preserve"> </v>
      </c>
      <c r="AT126" s="55"/>
      <c r="AU126" s="32"/>
      <c r="AV126" s="32"/>
      <c r="AW126" s="55"/>
      <c r="AX126" s="32"/>
      <c r="AY126" s="54"/>
      <c r="AZ126" s="56" t="str">
        <f>IFERROR(VLOOKUP(December[[#This Row],[Drug Name5]],'Data Options'!$R$1:$S$100,2,FALSE), " ")</f>
        <v xml:space="preserve"> </v>
      </c>
      <c r="BA126" s="55"/>
      <c r="BB126" s="32"/>
      <c r="BC126" s="32"/>
      <c r="BD126" s="55"/>
      <c r="BE126" s="32"/>
      <c r="BF126" s="54"/>
      <c r="BG126" s="56" t="str">
        <f>IFERROR(VLOOKUP(December[[#This Row],[Drug Name6]],'Data Options'!$R$1:$S$100,2,FALSE), " ")</f>
        <v xml:space="preserve"> </v>
      </c>
      <c r="BH126" s="55"/>
      <c r="BI126" s="32"/>
      <c r="BJ126" s="32"/>
      <c r="BK126" s="55"/>
      <c r="BL126" s="32"/>
      <c r="BM126" s="32"/>
      <c r="BN126" s="32"/>
      <c r="BO126" s="32"/>
      <c r="BP126" s="32"/>
      <c r="BQ126" s="31"/>
      <c r="BR126" s="31"/>
      <c r="BS126" s="54"/>
      <c r="BT126" s="56" t="str">
        <f>IFERROR(VLOOKUP(December[[#This Row],[Drug Name7]],'Data Options'!$R$1:$S$100,2,FALSE), " ")</f>
        <v xml:space="preserve"> </v>
      </c>
      <c r="BU126" s="55"/>
      <c r="BV126" s="32"/>
      <c r="BW126" s="32"/>
      <c r="BX126" s="55"/>
      <c r="BY126" s="32"/>
      <c r="BZ126" s="54"/>
      <c r="CA126" s="56" t="str">
        <f>IFERROR(VLOOKUP(December[[#This Row],[Drug Name8]],'Data Options'!$R$1:$S$100,2,FALSE), " ")</f>
        <v xml:space="preserve"> </v>
      </c>
      <c r="CB126" s="55"/>
      <c r="CC126" s="32"/>
      <c r="CD126" s="32"/>
      <c r="CE126" s="55"/>
      <c r="CF126" s="32"/>
      <c r="CG126" s="54"/>
      <c r="CH126" s="56" t="str">
        <f>IFERROR(VLOOKUP(December[[#This Row],[Drug Name9]],'Data Options'!$R$1:$S$100,2,FALSE), " ")</f>
        <v xml:space="preserve"> </v>
      </c>
      <c r="CI126" s="55"/>
      <c r="CJ126" s="32"/>
      <c r="CK126" s="32"/>
      <c r="CL126" s="55"/>
      <c r="CM126" s="32"/>
    </row>
    <row r="127" spans="1:91">
      <c r="A127" s="5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1"/>
      <c r="P127" s="31"/>
      <c r="Q127" s="54"/>
      <c r="R127" s="56" t="str">
        <f>IFERROR(VLOOKUP(December[[#This Row],[Drug Name]],'Data Options'!$R$1:$S$100,2,FALSE), " ")</f>
        <v xml:space="preserve"> </v>
      </c>
      <c r="S127" s="55"/>
      <c r="T127" s="32"/>
      <c r="U127" s="32"/>
      <c r="V127" s="55"/>
      <c r="W127" s="32"/>
      <c r="X127" s="54"/>
      <c r="Y127" s="56" t="str">
        <f>IFERROR(VLOOKUP(December[[#This Row],[Drug Name2]],'Data Options'!$R$1:$S$100,2,FALSE), " ")</f>
        <v xml:space="preserve"> </v>
      </c>
      <c r="Z127" s="55"/>
      <c r="AA127" s="32"/>
      <c r="AB127" s="32"/>
      <c r="AC127" s="55"/>
      <c r="AD127" s="32"/>
      <c r="AE127" s="54"/>
      <c r="AF127" s="56" t="str">
        <f>IFERROR(VLOOKUP(December[[#This Row],[Drug Name3]],'Data Options'!$R$1:$S$100,2,FALSE), " ")</f>
        <v xml:space="preserve"> </v>
      </c>
      <c r="AG127" s="55"/>
      <c r="AH127" s="32"/>
      <c r="AI127" s="32"/>
      <c r="AJ127" s="55"/>
      <c r="AK127" s="32"/>
      <c r="AL127" s="32"/>
      <c r="AM127" s="32"/>
      <c r="AN127" s="32"/>
      <c r="AO127" s="32"/>
      <c r="AP127" s="31"/>
      <c r="AQ127" s="31"/>
      <c r="AR127" s="54"/>
      <c r="AS127" s="56" t="str">
        <f>IFERROR(VLOOKUP(December[[#This Row],[Drug Name4]],'Data Options'!$R$1:$S$100,2,FALSE), " ")</f>
        <v xml:space="preserve"> </v>
      </c>
      <c r="AT127" s="55"/>
      <c r="AU127" s="32"/>
      <c r="AV127" s="32"/>
      <c r="AW127" s="55"/>
      <c r="AX127" s="32"/>
      <c r="AY127" s="54"/>
      <c r="AZ127" s="56" t="str">
        <f>IFERROR(VLOOKUP(December[[#This Row],[Drug Name5]],'Data Options'!$R$1:$S$100,2,FALSE), " ")</f>
        <v xml:space="preserve"> </v>
      </c>
      <c r="BA127" s="55"/>
      <c r="BB127" s="32"/>
      <c r="BC127" s="32"/>
      <c r="BD127" s="55"/>
      <c r="BE127" s="32"/>
      <c r="BF127" s="54"/>
      <c r="BG127" s="56" t="str">
        <f>IFERROR(VLOOKUP(December[[#This Row],[Drug Name6]],'Data Options'!$R$1:$S$100,2,FALSE), " ")</f>
        <v xml:space="preserve"> </v>
      </c>
      <c r="BH127" s="55"/>
      <c r="BI127" s="32"/>
      <c r="BJ127" s="32"/>
      <c r="BK127" s="55"/>
      <c r="BL127" s="32"/>
      <c r="BM127" s="32"/>
      <c r="BN127" s="32"/>
      <c r="BO127" s="32"/>
      <c r="BP127" s="32"/>
      <c r="BQ127" s="31"/>
      <c r="BR127" s="31"/>
      <c r="BS127" s="54"/>
      <c r="BT127" s="56" t="str">
        <f>IFERROR(VLOOKUP(December[[#This Row],[Drug Name7]],'Data Options'!$R$1:$S$100,2,FALSE), " ")</f>
        <v xml:space="preserve"> </v>
      </c>
      <c r="BU127" s="55"/>
      <c r="BV127" s="32"/>
      <c r="BW127" s="32"/>
      <c r="BX127" s="55"/>
      <c r="BY127" s="32"/>
      <c r="BZ127" s="54"/>
      <c r="CA127" s="56" t="str">
        <f>IFERROR(VLOOKUP(December[[#This Row],[Drug Name8]],'Data Options'!$R$1:$S$100,2,FALSE), " ")</f>
        <v xml:space="preserve"> </v>
      </c>
      <c r="CB127" s="55"/>
      <c r="CC127" s="32"/>
      <c r="CD127" s="32"/>
      <c r="CE127" s="55"/>
      <c r="CF127" s="32"/>
      <c r="CG127" s="54"/>
      <c r="CH127" s="56" t="str">
        <f>IFERROR(VLOOKUP(December[[#This Row],[Drug Name9]],'Data Options'!$R$1:$S$100,2,FALSE), " ")</f>
        <v xml:space="preserve"> </v>
      </c>
      <c r="CI127" s="55"/>
      <c r="CJ127" s="32"/>
      <c r="CK127" s="32"/>
      <c r="CL127" s="55"/>
      <c r="CM127" s="32"/>
    </row>
    <row r="128" spans="1:91">
      <c r="A128" s="5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1"/>
      <c r="P128" s="31"/>
      <c r="Q128" s="54"/>
      <c r="R128" s="56" t="str">
        <f>IFERROR(VLOOKUP(December[[#This Row],[Drug Name]],'Data Options'!$R$1:$S$100,2,FALSE), " ")</f>
        <v xml:space="preserve"> </v>
      </c>
      <c r="S128" s="55"/>
      <c r="T128" s="32"/>
      <c r="U128" s="32"/>
      <c r="V128" s="55"/>
      <c r="W128" s="32"/>
      <c r="X128" s="54"/>
      <c r="Y128" s="56" t="str">
        <f>IFERROR(VLOOKUP(December[[#This Row],[Drug Name2]],'Data Options'!$R$1:$S$100,2,FALSE), " ")</f>
        <v xml:space="preserve"> </v>
      </c>
      <c r="Z128" s="55"/>
      <c r="AA128" s="32"/>
      <c r="AB128" s="32"/>
      <c r="AC128" s="55"/>
      <c r="AD128" s="32"/>
      <c r="AE128" s="54"/>
      <c r="AF128" s="56" t="str">
        <f>IFERROR(VLOOKUP(December[[#This Row],[Drug Name3]],'Data Options'!$R$1:$S$100,2,FALSE), " ")</f>
        <v xml:space="preserve"> </v>
      </c>
      <c r="AG128" s="55"/>
      <c r="AH128" s="32"/>
      <c r="AI128" s="32"/>
      <c r="AJ128" s="55"/>
      <c r="AK128" s="32"/>
      <c r="AL128" s="32"/>
      <c r="AM128" s="32"/>
      <c r="AN128" s="32"/>
      <c r="AO128" s="32"/>
      <c r="AP128" s="31"/>
      <c r="AQ128" s="31"/>
      <c r="AR128" s="54"/>
      <c r="AS128" s="56" t="str">
        <f>IFERROR(VLOOKUP(December[[#This Row],[Drug Name4]],'Data Options'!$R$1:$S$100,2,FALSE), " ")</f>
        <v xml:space="preserve"> </v>
      </c>
      <c r="AT128" s="55"/>
      <c r="AU128" s="32"/>
      <c r="AV128" s="32"/>
      <c r="AW128" s="55"/>
      <c r="AX128" s="32"/>
      <c r="AY128" s="54"/>
      <c r="AZ128" s="56" t="str">
        <f>IFERROR(VLOOKUP(December[[#This Row],[Drug Name5]],'Data Options'!$R$1:$S$100,2,FALSE), " ")</f>
        <v xml:space="preserve"> </v>
      </c>
      <c r="BA128" s="55"/>
      <c r="BB128" s="32"/>
      <c r="BC128" s="32"/>
      <c r="BD128" s="55"/>
      <c r="BE128" s="32"/>
      <c r="BF128" s="54"/>
      <c r="BG128" s="56" t="str">
        <f>IFERROR(VLOOKUP(December[[#This Row],[Drug Name6]],'Data Options'!$R$1:$S$100,2,FALSE), " ")</f>
        <v xml:space="preserve"> </v>
      </c>
      <c r="BH128" s="55"/>
      <c r="BI128" s="32"/>
      <c r="BJ128" s="32"/>
      <c r="BK128" s="55"/>
      <c r="BL128" s="32"/>
      <c r="BM128" s="32"/>
      <c r="BN128" s="32"/>
      <c r="BO128" s="32"/>
      <c r="BP128" s="32"/>
      <c r="BQ128" s="31"/>
      <c r="BR128" s="31"/>
      <c r="BS128" s="54"/>
      <c r="BT128" s="56" t="str">
        <f>IFERROR(VLOOKUP(December[[#This Row],[Drug Name7]],'Data Options'!$R$1:$S$100,2,FALSE), " ")</f>
        <v xml:space="preserve"> </v>
      </c>
      <c r="BU128" s="55"/>
      <c r="BV128" s="32"/>
      <c r="BW128" s="32"/>
      <c r="BX128" s="55"/>
      <c r="BY128" s="32"/>
      <c r="BZ128" s="54"/>
      <c r="CA128" s="56" t="str">
        <f>IFERROR(VLOOKUP(December[[#This Row],[Drug Name8]],'Data Options'!$R$1:$S$100,2,FALSE), " ")</f>
        <v xml:space="preserve"> </v>
      </c>
      <c r="CB128" s="55"/>
      <c r="CC128" s="32"/>
      <c r="CD128" s="32"/>
      <c r="CE128" s="55"/>
      <c r="CF128" s="32"/>
      <c r="CG128" s="54"/>
      <c r="CH128" s="56" t="str">
        <f>IFERROR(VLOOKUP(December[[#This Row],[Drug Name9]],'Data Options'!$R$1:$S$100,2,FALSE), " ")</f>
        <v xml:space="preserve"> </v>
      </c>
      <c r="CI128" s="55"/>
      <c r="CJ128" s="32"/>
      <c r="CK128" s="32"/>
      <c r="CL128" s="55"/>
      <c r="CM128" s="32"/>
    </row>
    <row r="129" spans="1:91">
      <c r="A129" s="5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1"/>
      <c r="P129" s="31"/>
      <c r="Q129" s="54"/>
      <c r="R129" s="56" t="str">
        <f>IFERROR(VLOOKUP(December[[#This Row],[Drug Name]],'Data Options'!$R$1:$S$100,2,FALSE), " ")</f>
        <v xml:space="preserve"> </v>
      </c>
      <c r="S129" s="55"/>
      <c r="T129" s="32"/>
      <c r="U129" s="32"/>
      <c r="V129" s="55"/>
      <c r="W129" s="32"/>
      <c r="X129" s="54"/>
      <c r="Y129" s="56" t="str">
        <f>IFERROR(VLOOKUP(December[[#This Row],[Drug Name2]],'Data Options'!$R$1:$S$100,2,FALSE), " ")</f>
        <v xml:space="preserve"> </v>
      </c>
      <c r="Z129" s="55"/>
      <c r="AA129" s="32"/>
      <c r="AB129" s="32"/>
      <c r="AC129" s="55"/>
      <c r="AD129" s="32"/>
      <c r="AE129" s="54"/>
      <c r="AF129" s="56" t="str">
        <f>IFERROR(VLOOKUP(December[[#This Row],[Drug Name3]],'Data Options'!$R$1:$S$100,2,FALSE), " ")</f>
        <v xml:space="preserve"> </v>
      </c>
      <c r="AG129" s="55"/>
      <c r="AH129" s="32"/>
      <c r="AI129" s="32"/>
      <c r="AJ129" s="55"/>
      <c r="AK129" s="32"/>
      <c r="AL129" s="32"/>
      <c r="AM129" s="32"/>
      <c r="AN129" s="32"/>
      <c r="AO129" s="32"/>
      <c r="AP129" s="31"/>
      <c r="AQ129" s="31"/>
      <c r="AR129" s="54"/>
      <c r="AS129" s="56" t="str">
        <f>IFERROR(VLOOKUP(December[[#This Row],[Drug Name4]],'Data Options'!$R$1:$S$100,2,FALSE), " ")</f>
        <v xml:space="preserve"> </v>
      </c>
      <c r="AT129" s="55"/>
      <c r="AU129" s="32"/>
      <c r="AV129" s="32"/>
      <c r="AW129" s="55"/>
      <c r="AX129" s="32"/>
      <c r="AY129" s="54"/>
      <c r="AZ129" s="56" t="str">
        <f>IFERROR(VLOOKUP(December[[#This Row],[Drug Name5]],'Data Options'!$R$1:$S$100,2,FALSE), " ")</f>
        <v xml:space="preserve"> </v>
      </c>
      <c r="BA129" s="55"/>
      <c r="BB129" s="32"/>
      <c r="BC129" s="32"/>
      <c r="BD129" s="55"/>
      <c r="BE129" s="32"/>
      <c r="BF129" s="54"/>
      <c r="BG129" s="56" t="str">
        <f>IFERROR(VLOOKUP(December[[#This Row],[Drug Name6]],'Data Options'!$R$1:$S$100,2,FALSE), " ")</f>
        <v xml:space="preserve"> </v>
      </c>
      <c r="BH129" s="55"/>
      <c r="BI129" s="32"/>
      <c r="BJ129" s="32"/>
      <c r="BK129" s="55"/>
      <c r="BL129" s="32"/>
      <c r="BM129" s="32"/>
      <c r="BN129" s="32"/>
      <c r="BO129" s="32"/>
      <c r="BP129" s="32"/>
      <c r="BQ129" s="31"/>
      <c r="BR129" s="31"/>
      <c r="BS129" s="54"/>
      <c r="BT129" s="56" t="str">
        <f>IFERROR(VLOOKUP(December[[#This Row],[Drug Name7]],'Data Options'!$R$1:$S$100,2,FALSE), " ")</f>
        <v xml:space="preserve"> </v>
      </c>
      <c r="BU129" s="55"/>
      <c r="BV129" s="32"/>
      <c r="BW129" s="32"/>
      <c r="BX129" s="55"/>
      <c r="BY129" s="32"/>
      <c r="BZ129" s="54"/>
      <c r="CA129" s="56" t="str">
        <f>IFERROR(VLOOKUP(December[[#This Row],[Drug Name8]],'Data Options'!$R$1:$S$100,2,FALSE), " ")</f>
        <v xml:space="preserve"> </v>
      </c>
      <c r="CB129" s="55"/>
      <c r="CC129" s="32"/>
      <c r="CD129" s="32"/>
      <c r="CE129" s="55"/>
      <c r="CF129" s="32"/>
      <c r="CG129" s="54"/>
      <c r="CH129" s="56" t="str">
        <f>IFERROR(VLOOKUP(December[[#This Row],[Drug Name9]],'Data Options'!$R$1:$S$100,2,FALSE), " ")</f>
        <v xml:space="preserve"> </v>
      </c>
      <c r="CI129" s="55"/>
      <c r="CJ129" s="32"/>
      <c r="CK129" s="32"/>
      <c r="CL129" s="55"/>
      <c r="CM129" s="32"/>
    </row>
    <row r="130" spans="1:91">
      <c r="A130" s="5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1"/>
      <c r="P130" s="31"/>
      <c r="Q130" s="54"/>
      <c r="R130" s="56" t="str">
        <f>IFERROR(VLOOKUP(December[[#This Row],[Drug Name]],'Data Options'!$R$1:$S$100,2,FALSE), " ")</f>
        <v xml:space="preserve"> </v>
      </c>
      <c r="S130" s="55"/>
      <c r="T130" s="32"/>
      <c r="U130" s="32"/>
      <c r="V130" s="55"/>
      <c r="W130" s="32"/>
      <c r="X130" s="54"/>
      <c r="Y130" s="56" t="str">
        <f>IFERROR(VLOOKUP(December[[#This Row],[Drug Name2]],'Data Options'!$R$1:$S$100,2,FALSE), " ")</f>
        <v xml:space="preserve"> </v>
      </c>
      <c r="Z130" s="55"/>
      <c r="AA130" s="32"/>
      <c r="AB130" s="32"/>
      <c r="AC130" s="55"/>
      <c r="AD130" s="32"/>
      <c r="AE130" s="54"/>
      <c r="AF130" s="56" t="str">
        <f>IFERROR(VLOOKUP(December[[#This Row],[Drug Name3]],'Data Options'!$R$1:$S$100,2,FALSE), " ")</f>
        <v xml:space="preserve"> </v>
      </c>
      <c r="AG130" s="55"/>
      <c r="AH130" s="32"/>
      <c r="AI130" s="32"/>
      <c r="AJ130" s="55"/>
      <c r="AK130" s="32"/>
      <c r="AL130" s="32"/>
      <c r="AM130" s="32"/>
      <c r="AN130" s="32"/>
      <c r="AO130" s="32"/>
      <c r="AP130" s="31"/>
      <c r="AQ130" s="31"/>
      <c r="AR130" s="54"/>
      <c r="AS130" s="56" t="str">
        <f>IFERROR(VLOOKUP(December[[#This Row],[Drug Name4]],'Data Options'!$R$1:$S$100,2,FALSE), " ")</f>
        <v xml:space="preserve"> </v>
      </c>
      <c r="AT130" s="55"/>
      <c r="AU130" s="32"/>
      <c r="AV130" s="32"/>
      <c r="AW130" s="55"/>
      <c r="AX130" s="32"/>
      <c r="AY130" s="54"/>
      <c r="AZ130" s="56" t="str">
        <f>IFERROR(VLOOKUP(December[[#This Row],[Drug Name5]],'Data Options'!$R$1:$S$100,2,FALSE), " ")</f>
        <v xml:space="preserve"> </v>
      </c>
      <c r="BA130" s="55"/>
      <c r="BB130" s="32"/>
      <c r="BC130" s="32"/>
      <c r="BD130" s="55"/>
      <c r="BE130" s="32"/>
      <c r="BF130" s="54"/>
      <c r="BG130" s="56" t="str">
        <f>IFERROR(VLOOKUP(December[[#This Row],[Drug Name6]],'Data Options'!$R$1:$S$100,2,FALSE), " ")</f>
        <v xml:space="preserve"> </v>
      </c>
      <c r="BH130" s="55"/>
      <c r="BI130" s="32"/>
      <c r="BJ130" s="32"/>
      <c r="BK130" s="55"/>
      <c r="BL130" s="32"/>
      <c r="BM130" s="32"/>
      <c r="BN130" s="32"/>
      <c r="BO130" s="32"/>
      <c r="BP130" s="32"/>
      <c r="BQ130" s="31"/>
      <c r="BR130" s="31"/>
      <c r="BS130" s="54"/>
      <c r="BT130" s="56" t="str">
        <f>IFERROR(VLOOKUP(December[[#This Row],[Drug Name7]],'Data Options'!$R$1:$S$100,2,FALSE), " ")</f>
        <v xml:space="preserve"> </v>
      </c>
      <c r="BU130" s="55"/>
      <c r="BV130" s="32"/>
      <c r="BW130" s="32"/>
      <c r="BX130" s="55"/>
      <c r="BY130" s="32"/>
      <c r="BZ130" s="54"/>
      <c r="CA130" s="56" t="str">
        <f>IFERROR(VLOOKUP(December[[#This Row],[Drug Name8]],'Data Options'!$R$1:$S$100,2,FALSE), " ")</f>
        <v xml:space="preserve"> </v>
      </c>
      <c r="CB130" s="55"/>
      <c r="CC130" s="32"/>
      <c r="CD130" s="32"/>
      <c r="CE130" s="55"/>
      <c r="CF130" s="32"/>
      <c r="CG130" s="54"/>
      <c r="CH130" s="56" t="str">
        <f>IFERROR(VLOOKUP(December[[#This Row],[Drug Name9]],'Data Options'!$R$1:$S$100,2,FALSE), " ")</f>
        <v xml:space="preserve"> </v>
      </c>
      <c r="CI130" s="55"/>
      <c r="CJ130" s="32"/>
      <c r="CK130" s="32"/>
      <c r="CL130" s="55"/>
      <c r="CM130" s="32"/>
    </row>
    <row r="131" spans="1:91">
      <c r="A131" s="5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1"/>
      <c r="P131" s="31"/>
      <c r="Q131" s="54"/>
      <c r="R131" s="56" t="str">
        <f>IFERROR(VLOOKUP(December[[#This Row],[Drug Name]],'Data Options'!$R$1:$S$100,2,FALSE), " ")</f>
        <v xml:space="preserve"> </v>
      </c>
      <c r="S131" s="55"/>
      <c r="T131" s="32"/>
      <c r="U131" s="32"/>
      <c r="V131" s="55"/>
      <c r="W131" s="32"/>
      <c r="X131" s="54"/>
      <c r="Y131" s="56" t="str">
        <f>IFERROR(VLOOKUP(December[[#This Row],[Drug Name2]],'Data Options'!$R$1:$S$100,2,FALSE), " ")</f>
        <v xml:space="preserve"> </v>
      </c>
      <c r="Z131" s="55"/>
      <c r="AA131" s="32"/>
      <c r="AB131" s="32"/>
      <c r="AC131" s="55"/>
      <c r="AD131" s="32"/>
      <c r="AE131" s="54"/>
      <c r="AF131" s="56" t="str">
        <f>IFERROR(VLOOKUP(December[[#This Row],[Drug Name3]],'Data Options'!$R$1:$S$100,2,FALSE), " ")</f>
        <v xml:space="preserve"> </v>
      </c>
      <c r="AG131" s="55"/>
      <c r="AH131" s="32"/>
      <c r="AI131" s="32"/>
      <c r="AJ131" s="55"/>
      <c r="AK131" s="32"/>
      <c r="AL131" s="32"/>
      <c r="AM131" s="32"/>
      <c r="AN131" s="32"/>
      <c r="AO131" s="32"/>
      <c r="AP131" s="31"/>
      <c r="AQ131" s="31"/>
      <c r="AR131" s="54"/>
      <c r="AS131" s="56" t="str">
        <f>IFERROR(VLOOKUP(December[[#This Row],[Drug Name4]],'Data Options'!$R$1:$S$100,2,FALSE), " ")</f>
        <v xml:space="preserve"> </v>
      </c>
      <c r="AT131" s="55"/>
      <c r="AU131" s="32"/>
      <c r="AV131" s="32"/>
      <c r="AW131" s="55"/>
      <c r="AX131" s="32"/>
      <c r="AY131" s="54"/>
      <c r="AZ131" s="56" t="str">
        <f>IFERROR(VLOOKUP(December[[#This Row],[Drug Name5]],'Data Options'!$R$1:$S$100,2,FALSE), " ")</f>
        <v xml:space="preserve"> </v>
      </c>
      <c r="BA131" s="55"/>
      <c r="BB131" s="32"/>
      <c r="BC131" s="32"/>
      <c r="BD131" s="55"/>
      <c r="BE131" s="32"/>
      <c r="BF131" s="54"/>
      <c r="BG131" s="56" t="str">
        <f>IFERROR(VLOOKUP(December[[#This Row],[Drug Name6]],'Data Options'!$R$1:$S$100,2,FALSE), " ")</f>
        <v xml:space="preserve"> </v>
      </c>
      <c r="BH131" s="55"/>
      <c r="BI131" s="32"/>
      <c r="BJ131" s="32"/>
      <c r="BK131" s="55"/>
      <c r="BL131" s="32"/>
      <c r="BM131" s="32"/>
      <c r="BN131" s="32"/>
      <c r="BO131" s="32"/>
      <c r="BP131" s="32"/>
      <c r="BQ131" s="31"/>
      <c r="BR131" s="31"/>
      <c r="BS131" s="54"/>
      <c r="BT131" s="56" t="str">
        <f>IFERROR(VLOOKUP(December[[#This Row],[Drug Name7]],'Data Options'!$R$1:$S$100,2,FALSE), " ")</f>
        <v xml:space="preserve"> </v>
      </c>
      <c r="BU131" s="55"/>
      <c r="BV131" s="32"/>
      <c r="BW131" s="32"/>
      <c r="BX131" s="55"/>
      <c r="BY131" s="32"/>
      <c r="BZ131" s="54"/>
      <c r="CA131" s="56" t="str">
        <f>IFERROR(VLOOKUP(December[[#This Row],[Drug Name8]],'Data Options'!$R$1:$S$100,2,FALSE), " ")</f>
        <v xml:space="preserve"> </v>
      </c>
      <c r="CB131" s="55"/>
      <c r="CC131" s="32"/>
      <c r="CD131" s="32"/>
      <c r="CE131" s="55"/>
      <c r="CF131" s="32"/>
      <c r="CG131" s="54"/>
      <c r="CH131" s="56" t="str">
        <f>IFERROR(VLOOKUP(December[[#This Row],[Drug Name9]],'Data Options'!$R$1:$S$100,2,FALSE), " ")</f>
        <v xml:space="preserve"> </v>
      </c>
      <c r="CI131" s="55"/>
      <c r="CJ131" s="32"/>
      <c r="CK131" s="32"/>
      <c r="CL131" s="55"/>
      <c r="CM131" s="32"/>
    </row>
    <row r="132" spans="1:91">
      <c r="A132" s="5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1"/>
      <c r="P132" s="31"/>
      <c r="Q132" s="54"/>
      <c r="R132" s="56" t="str">
        <f>IFERROR(VLOOKUP(December[[#This Row],[Drug Name]],'Data Options'!$R$1:$S$100,2,FALSE), " ")</f>
        <v xml:space="preserve"> </v>
      </c>
      <c r="S132" s="55"/>
      <c r="T132" s="32"/>
      <c r="U132" s="32"/>
      <c r="V132" s="55"/>
      <c r="W132" s="32"/>
      <c r="X132" s="54"/>
      <c r="Y132" s="56" t="str">
        <f>IFERROR(VLOOKUP(December[[#This Row],[Drug Name2]],'Data Options'!$R$1:$S$100,2,FALSE), " ")</f>
        <v xml:space="preserve"> </v>
      </c>
      <c r="Z132" s="55"/>
      <c r="AA132" s="32"/>
      <c r="AB132" s="32"/>
      <c r="AC132" s="55"/>
      <c r="AD132" s="32"/>
      <c r="AE132" s="54"/>
      <c r="AF132" s="56" t="str">
        <f>IFERROR(VLOOKUP(December[[#This Row],[Drug Name3]],'Data Options'!$R$1:$S$100,2,FALSE), " ")</f>
        <v xml:space="preserve"> </v>
      </c>
      <c r="AG132" s="55"/>
      <c r="AH132" s="32"/>
      <c r="AI132" s="32"/>
      <c r="AJ132" s="55"/>
      <c r="AK132" s="32"/>
      <c r="AL132" s="32"/>
      <c r="AM132" s="32"/>
      <c r="AN132" s="32"/>
      <c r="AO132" s="32"/>
      <c r="AP132" s="31"/>
      <c r="AQ132" s="31"/>
      <c r="AR132" s="54"/>
      <c r="AS132" s="56" t="str">
        <f>IFERROR(VLOOKUP(December[[#This Row],[Drug Name4]],'Data Options'!$R$1:$S$100,2,FALSE), " ")</f>
        <v xml:space="preserve"> </v>
      </c>
      <c r="AT132" s="55"/>
      <c r="AU132" s="32"/>
      <c r="AV132" s="32"/>
      <c r="AW132" s="55"/>
      <c r="AX132" s="32"/>
      <c r="AY132" s="54"/>
      <c r="AZ132" s="56" t="str">
        <f>IFERROR(VLOOKUP(December[[#This Row],[Drug Name5]],'Data Options'!$R$1:$S$100,2,FALSE), " ")</f>
        <v xml:space="preserve"> </v>
      </c>
      <c r="BA132" s="55"/>
      <c r="BB132" s="32"/>
      <c r="BC132" s="32"/>
      <c r="BD132" s="55"/>
      <c r="BE132" s="32"/>
      <c r="BF132" s="54"/>
      <c r="BG132" s="56" t="str">
        <f>IFERROR(VLOOKUP(December[[#This Row],[Drug Name6]],'Data Options'!$R$1:$S$100,2,FALSE), " ")</f>
        <v xml:space="preserve"> </v>
      </c>
      <c r="BH132" s="55"/>
      <c r="BI132" s="32"/>
      <c r="BJ132" s="32"/>
      <c r="BK132" s="55"/>
      <c r="BL132" s="32"/>
      <c r="BM132" s="32"/>
      <c r="BN132" s="32"/>
      <c r="BO132" s="32"/>
      <c r="BP132" s="32"/>
      <c r="BQ132" s="31"/>
      <c r="BR132" s="31"/>
      <c r="BS132" s="54"/>
      <c r="BT132" s="56" t="str">
        <f>IFERROR(VLOOKUP(December[[#This Row],[Drug Name7]],'Data Options'!$R$1:$S$100,2,FALSE), " ")</f>
        <v xml:space="preserve"> </v>
      </c>
      <c r="BU132" s="55"/>
      <c r="BV132" s="32"/>
      <c r="BW132" s="32"/>
      <c r="BX132" s="55"/>
      <c r="BY132" s="32"/>
      <c r="BZ132" s="54"/>
      <c r="CA132" s="56" t="str">
        <f>IFERROR(VLOOKUP(December[[#This Row],[Drug Name8]],'Data Options'!$R$1:$S$100,2,FALSE), " ")</f>
        <v xml:space="preserve"> </v>
      </c>
      <c r="CB132" s="55"/>
      <c r="CC132" s="32"/>
      <c r="CD132" s="32"/>
      <c r="CE132" s="55"/>
      <c r="CF132" s="32"/>
      <c r="CG132" s="54"/>
      <c r="CH132" s="56" t="str">
        <f>IFERROR(VLOOKUP(December[[#This Row],[Drug Name9]],'Data Options'!$R$1:$S$100,2,FALSE), " ")</f>
        <v xml:space="preserve"> </v>
      </c>
      <c r="CI132" s="55"/>
      <c r="CJ132" s="32"/>
      <c r="CK132" s="32"/>
      <c r="CL132" s="55"/>
      <c r="CM132" s="32"/>
    </row>
    <row r="133" spans="1:91">
      <c r="A133" s="5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54"/>
      <c r="R133" s="56" t="str">
        <f>IFERROR(VLOOKUP(December[[#This Row],[Drug Name]],'Data Options'!$R$1:$S$100,2,FALSE), " ")</f>
        <v xml:space="preserve"> </v>
      </c>
      <c r="S133" s="55"/>
      <c r="T133" s="32"/>
      <c r="U133" s="32"/>
      <c r="V133" s="55"/>
      <c r="W133" s="32"/>
      <c r="X133" s="54"/>
      <c r="Y133" s="56" t="str">
        <f>IFERROR(VLOOKUP(December[[#This Row],[Drug Name2]],'Data Options'!$R$1:$S$100,2,FALSE), " ")</f>
        <v xml:space="preserve"> </v>
      </c>
      <c r="Z133" s="55"/>
      <c r="AA133" s="32"/>
      <c r="AB133" s="32"/>
      <c r="AC133" s="55"/>
      <c r="AD133" s="32"/>
      <c r="AE133" s="54"/>
      <c r="AF133" s="56" t="str">
        <f>IFERROR(VLOOKUP(December[[#This Row],[Drug Name3]],'Data Options'!$R$1:$S$100,2,FALSE), " ")</f>
        <v xml:space="preserve"> </v>
      </c>
      <c r="AG133" s="55"/>
      <c r="AH133" s="32"/>
      <c r="AI133" s="32"/>
      <c r="AJ133" s="55"/>
      <c r="AK133" s="32"/>
      <c r="AL133" s="32"/>
      <c r="AM133" s="32"/>
      <c r="AN133" s="32"/>
      <c r="AO133" s="32"/>
      <c r="AP133" s="31"/>
      <c r="AQ133" s="31"/>
      <c r="AR133" s="54"/>
      <c r="AS133" s="56" t="str">
        <f>IFERROR(VLOOKUP(December[[#This Row],[Drug Name4]],'Data Options'!$R$1:$S$100,2,FALSE), " ")</f>
        <v xml:space="preserve"> </v>
      </c>
      <c r="AT133" s="55"/>
      <c r="AU133" s="32"/>
      <c r="AV133" s="32"/>
      <c r="AW133" s="55"/>
      <c r="AX133" s="32"/>
      <c r="AY133" s="54"/>
      <c r="AZ133" s="56" t="str">
        <f>IFERROR(VLOOKUP(December[[#This Row],[Drug Name5]],'Data Options'!$R$1:$S$100,2,FALSE), " ")</f>
        <v xml:space="preserve"> </v>
      </c>
      <c r="BA133" s="55"/>
      <c r="BB133" s="32"/>
      <c r="BC133" s="32"/>
      <c r="BD133" s="55"/>
      <c r="BE133" s="32"/>
      <c r="BF133" s="54"/>
      <c r="BG133" s="56" t="str">
        <f>IFERROR(VLOOKUP(December[[#This Row],[Drug Name6]],'Data Options'!$R$1:$S$100,2,FALSE), " ")</f>
        <v xml:space="preserve"> </v>
      </c>
      <c r="BH133" s="55"/>
      <c r="BI133" s="32"/>
      <c r="BJ133" s="32"/>
      <c r="BK133" s="55"/>
      <c r="BL133" s="32"/>
      <c r="BM133" s="32"/>
      <c r="BN133" s="32"/>
      <c r="BO133" s="32"/>
      <c r="BP133" s="32"/>
      <c r="BQ133" s="31"/>
      <c r="BR133" s="31"/>
      <c r="BS133" s="54"/>
      <c r="BT133" s="56" t="str">
        <f>IFERROR(VLOOKUP(December[[#This Row],[Drug Name7]],'Data Options'!$R$1:$S$100,2,FALSE), " ")</f>
        <v xml:space="preserve"> </v>
      </c>
      <c r="BU133" s="55"/>
      <c r="BV133" s="32"/>
      <c r="BW133" s="32"/>
      <c r="BX133" s="55"/>
      <c r="BY133" s="32"/>
      <c r="BZ133" s="54"/>
      <c r="CA133" s="56" t="str">
        <f>IFERROR(VLOOKUP(December[[#This Row],[Drug Name8]],'Data Options'!$R$1:$S$100,2,FALSE), " ")</f>
        <v xml:space="preserve"> </v>
      </c>
      <c r="CB133" s="55"/>
      <c r="CC133" s="32"/>
      <c r="CD133" s="32"/>
      <c r="CE133" s="55"/>
      <c r="CF133" s="32"/>
      <c r="CG133" s="54"/>
      <c r="CH133" s="56" t="str">
        <f>IFERROR(VLOOKUP(December[[#This Row],[Drug Name9]],'Data Options'!$R$1:$S$100,2,FALSE), " ")</f>
        <v xml:space="preserve"> </v>
      </c>
      <c r="CI133" s="55"/>
      <c r="CJ133" s="32"/>
      <c r="CK133" s="32"/>
      <c r="CL133" s="55"/>
      <c r="CM133" s="32"/>
    </row>
    <row r="134" spans="1:91">
      <c r="A134" s="5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54"/>
      <c r="R134" s="56" t="str">
        <f>IFERROR(VLOOKUP(December[[#This Row],[Drug Name]],'Data Options'!$R$1:$S$100,2,FALSE), " ")</f>
        <v xml:space="preserve"> </v>
      </c>
      <c r="S134" s="55"/>
      <c r="T134" s="32"/>
      <c r="U134" s="32"/>
      <c r="V134" s="55"/>
      <c r="W134" s="32"/>
      <c r="X134" s="54"/>
      <c r="Y134" s="56" t="str">
        <f>IFERROR(VLOOKUP(December[[#This Row],[Drug Name2]],'Data Options'!$R$1:$S$100,2,FALSE), " ")</f>
        <v xml:space="preserve"> </v>
      </c>
      <c r="Z134" s="55"/>
      <c r="AA134" s="32"/>
      <c r="AB134" s="32"/>
      <c r="AC134" s="55"/>
      <c r="AD134" s="32"/>
      <c r="AE134" s="54"/>
      <c r="AF134" s="56" t="str">
        <f>IFERROR(VLOOKUP(December[[#This Row],[Drug Name3]],'Data Options'!$R$1:$S$100,2,FALSE), " ")</f>
        <v xml:space="preserve"> </v>
      </c>
      <c r="AG134" s="55"/>
      <c r="AH134" s="32"/>
      <c r="AI134" s="32"/>
      <c r="AJ134" s="55"/>
      <c r="AK134" s="32"/>
      <c r="AL134" s="32"/>
      <c r="AM134" s="32"/>
      <c r="AN134" s="32"/>
      <c r="AO134" s="32"/>
      <c r="AP134" s="31"/>
      <c r="AQ134" s="31"/>
      <c r="AR134" s="54"/>
      <c r="AS134" s="56" t="str">
        <f>IFERROR(VLOOKUP(December[[#This Row],[Drug Name4]],'Data Options'!$R$1:$S$100,2,FALSE), " ")</f>
        <v xml:space="preserve"> </v>
      </c>
      <c r="AT134" s="55"/>
      <c r="AU134" s="32"/>
      <c r="AV134" s="32"/>
      <c r="AW134" s="55"/>
      <c r="AX134" s="32"/>
      <c r="AY134" s="54"/>
      <c r="AZ134" s="56" t="str">
        <f>IFERROR(VLOOKUP(December[[#This Row],[Drug Name5]],'Data Options'!$R$1:$S$100,2,FALSE), " ")</f>
        <v xml:space="preserve"> </v>
      </c>
      <c r="BA134" s="55"/>
      <c r="BB134" s="32"/>
      <c r="BC134" s="32"/>
      <c r="BD134" s="55"/>
      <c r="BE134" s="32"/>
      <c r="BF134" s="54"/>
      <c r="BG134" s="56" t="str">
        <f>IFERROR(VLOOKUP(December[[#This Row],[Drug Name6]],'Data Options'!$R$1:$S$100,2,FALSE), " ")</f>
        <v xml:space="preserve"> </v>
      </c>
      <c r="BH134" s="55"/>
      <c r="BI134" s="32"/>
      <c r="BJ134" s="32"/>
      <c r="BK134" s="55"/>
      <c r="BL134" s="32"/>
      <c r="BM134" s="32"/>
      <c r="BN134" s="32"/>
      <c r="BO134" s="32"/>
      <c r="BP134" s="32"/>
      <c r="BQ134" s="31"/>
      <c r="BR134" s="31"/>
      <c r="BS134" s="54"/>
      <c r="BT134" s="56" t="str">
        <f>IFERROR(VLOOKUP(December[[#This Row],[Drug Name7]],'Data Options'!$R$1:$S$100,2,FALSE), " ")</f>
        <v xml:space="preserve"> </v>
      </c>
      <c r="BU134" s="55"/>
      <c r="BV134" s="32"/>
      <c r="BW134" s="32"/>
      <c r="BX134" s="55"/>
      <c r="BY134" s="32"/>
      <c r="BZ134" s="54"/>
      <c r="CA134" s="56" t="str">
        <f>IFERROR(VLOOKUP(December[[#This Row],[Drug Name8]],'Data Options'!$R$1:$S$100,2,FALSE), " ")</f>
        <v xml:space="preserve"> </v>
      </c>
      <c r="CB134" s="55"/>
      <c r="CC134" s="32"/>
      <c r="CD134" s="32"/>
      <c r="CE134" s="55"/>
      <c r="CF134" s="32"/>
      <c r="CG134" s="54"/>
      <c r="CH134" s="56" t="str">
        <f>IFERROR(VLOOKUP(December[[#This Row],[Drug Name9]],'Data Options'!$R$1:$S$100,2,FALSE), " ")</f>
        <v xml:space="preserve"> </v>
      </c>
      <c r="CI134" s="55"/>
      <c r="CJ134" s="32"/>
      <c r="CK134" s="32"/>
      <c r="CL134" s="55"/>
      <c r="CM134" s="32"/>
    </row>
    <row r="135" spans="1:91">
      <c r="A135" s="5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1"/>
      <c r="P135" s="31"/>
      <c r="Q135" s="54"/>
      <c r="R135" s="56" t="str">
        <f>IFERROR(VLOOKUP(December[[#This Row],[Drug Name]],'Data Options'!$R$1:$S$100,2,FALSE), " ")</f>
        <v xml:space="preserve"> </v>
      </c>
      <c r="S135" s="55"/>
      <c r="T135" s="32"/>
      <c r="U135" s="32"/>
      <c r="V135" s="55"/>
      <c r="W135" s="32"/>
      <c r="X135" s="54"/>
      <c r="Y135" s="56" t="str">
        <f>IFERROR(VLOOKUP(December[[#This Row],[Drug Name2]],'Data Options'!$R$1:$S$100,2,FALSE), " ")</f>
        <v xml:space="preserve"> </v>
      </c>
      <c r="Z135" s="55"/>
      <c r="AA135" s="32"/>
      <c r="AB135" s="32"/>
      <c r="AC135" s="55"/>
      <c r="AD135" s="32"/>
      <c r="AE135" s="54"/>
      <c r="AF135" s="56" t="str">
        <f>IFERROR(VLOOKUP(December[[#This Row],[Drug Name3]],'Data Options'!$R$1:$S$100,2,FALSE), " ")</f>
        <v xml:space="preserve"> </v>
      </c>
      <c r="AG135" s="55"/>
      <c r="AH135" s="32"/>
      <c r="AI135" s="32"/>
      <c r="AJ135" s="55"/>
      <c r="AK135" s="32"/>
      <c r="AL135" s="32"/>
      <c r="AM135" s="32"/>
      <c r="AN135" s="32"/>
      <c r="AO135" s="32"/>
      <c r="AP135" s="31"/>
      <c r="AQ135" s="31"/>
      <c r="AR135" s="54"/>
      <c r="AS135" s="56" t="str">
        <f>IFERROR(VLOOKUP(December[[#This Row],[Drug Name4]],'Data Options'!$R$1:$S$100,2,FALSE), " ")</f>
        <v xml:space="preserve"> </v>
      </c>
      <c r="AT135" s="55"/>
      <c r="AU135" s="32"/>
      <c r="AV135" s="32"/>
      <c r="AW135" s="55"/>
      <c r="AX135" s="32"/>
      <c r="AY135" s="54"/>
      <c r="AZ135" s="56" t="str">
        <f>IFERROR(VLOOKUP(December[[#This Row],[Drug Name5]],'Data Options'!$R$1:$S$100,2,FALSE), " ")</f>
        <v xml:space="preserve"> </v>
      </c>
      <c r="BA135" s="55"/>
      <c r="BB135" s="32"/>
      <c r="BC135" s="32"/>
      <c r="BD135" s="55"/>
      <c r="BE135" s="32"/>
      <c r="BF135" s="54"/>
      <c r="BG135" s="56" t="str">
        <f>IFERROR(VLOOKUP(December[[#This Row],[Drug Name6]],'Data Options'!$R$1:$S$100,2,FALSE), " ")</f>
        <v xml:space="preserve"> </v>
      </c>
      <c r="BH135" s="55"/>
      <c r="BI135" s="32"/>
      <c r="BJ135" s="32"/>
      <c r="BK135" s="55"/>
      <c r="BL135" s="32"/>
      <c r="BM135" s="32"/>
      <c r="BN135" s="32"/>
      <c r="BO135" s="32"/>
      <c r="BP135" s="32"/>
      <c r="BQ135" s="31"/>
      <c r="BR135" s="31"/>
      <c r="BS135" s="54"/>
      <c r="BT135" s="56" t="str">
        <f>IFERROR(VLOOKUP(December[[#This Row],[Drug Name7]],'Data Options'!$R$1:$S$100,2,FALSE), " ")</f>
        <v xml:space="preserve"> </v>
      </c>
      <c r="BU135" s="55"/>
      <c r="BV135" s="32"/>
      <c r="BW135" s="32"/>
      <c r="BX135" s="55"/>
      <c r="BY135" s="32"/>
      <c r="BZ135" s="54"/>
      <c r="CA135" s="56" t="str">
        <f>IFERROR(VLOOKUP(December[[#This Row],[Drug Name8]],'Data Options'!$R$1:$S$100,2,FALSE), " ")</f>
        <v xml:space="preserve"> </v>
      </c>
      <c r="CB135" s="55"/>
      <c r="CC135" s="32"/>
      <c r="CD135" s="32"/>
      <c r="CE135" s="55"/>
      <c r="CF135" s="32"/>
      <c r="CG135" s="54"/>
      <c r="CH135" s="56" t="str">
        <f>IFERROR(VLOOKUP(December[[#This Row],[Drug Name9]],'Data Options'!$R$1:$S$100,2,FALSE), " ")</f>
        <v xml:space="preserve"> </v>
      </c>
      <c r="CI135" s="55"/>
      <c r="CJ135" s="32"/>
      <c r="CK135" s="32"/>
      <c r="CL135" s="55"/>
      <c r="CM135" s="32"/>
    </row>
    <row r="136" spans="1:91">
      <c r="A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1"/>
      <c r="P136" s="31"/>
      <c r="Q136" s="54"/>
      <c r="R136" s="56" t="str">
        <f>IFERROR(VLOOKUP(December[[#This Row],[Drug Name]],'Data Options'!$R$1:$S$100,2,FALSE), " ")</f>
        <v xml:space="preserve"> </v>
      </c>
      <c r="S136" s="55"/>
      <c r="T136" s="32"/>
      <c r="U136" s="32"/>
      <c r="V136" s="55"/>
      <c r="W136" s="32"/>
      <c r="X136" s="54"/>
      <c r="Y136" s="56" t="str">
        <f>IFERROR(VLOOKUP(December[[#This Row],[Drug Name2]],'Data Options'!$R$1:$S$100,2,FALSE), " ")</f>
        <v xml:space="preserve"> </v>
      </c>
      <c r="Z136" s="55"/>
      <c r="AA136" s="32"/>
      <c r="AB136" s="32"/>
      <c r="AC136" s="55"/>
      <c r="AD136" s="32"/>
      <c r="AE136" s="54"/>
      <c r="AF136" s="56" t="str">
        <f>IFERROR(VLOOKUP(December[[#This Row],[Drug Name3]],'Data Options'!$R$1:$S$100,2,FALSE), " ")</f>
        <v xml:space="preserve"> </v>
      </c>
      <c r="AG136" s="55"/>
      <c r="AH136" s="32"/>
      <c r="AI136" s="32"/>
      <c r="AJ136" s="55"/>
      <c r="AK136" s="32"/>
      <c r="AL136" s="32"/>
      <c r="AM136" s="32"/>
      <c r="AN136" s="32"/>
      <c r="AO136" s="32"/>
      <c r="AP136" s="31"/>
      <c r="AQ136" s="31"/>
      <c r="AR136" s="54"/>
      <c r="AS136" s="56" t="str">
        <f>IFERROR(VLOOKUP(December[[#This Row],[Drug Name4]],'Data Options'!$R$1:$S$100,2,FALSE), " ")</f>
        <v xml:space="preserve"> </v>
      </c>
      <c r="AT136" s="55"/>
      <c r="AU136" s="32"/>
      <c r="AV136" s="32"/>
      <c r="AW136" s="55"/>
      <c r="AX136" s="32"/>
      <c r="AY136" s="54"/>
      <c r="AZ136" s="56" t="str">
        <f>IFERROR(VLOOKUP(December[[#This Row],[Drug Name5]],'Data Options'!$R$1:$S$100,2,FALSE), " ")</f>
        <v xml:space="preserve"> </v>
      </c>
      <c r="BA136" s="55"/>
      <c r="BB136" s="32"/>
      <c r="BC136" s="32"/>
      <c r="BD136" s="55"/>
      <c r="BE136" s="32"/>
      <c r="BF136" s="54"/>
      <c r="BG136" s="56" t="str">
        <f>IFERROR(VLOOKUP(December[[#This Row],[Drug Name6]],'Data Options'!$R$1:$S$100,2,FALSE), " ")</f>
        <v xml:space="preserve"> </v>
      </c>
      <c r="BH136" s="55"/>
      <c r="BI136" s="32"/>
      <c r="BJ136" s="32"/>
      <c r="BK136" s="55"/>
      <c r="BL136" s="32"/>
      <c r="BM136" s="32"/>
      <c r="BN136" s="32"/>
      <c r="BO136" s="32"/>
      <c r="BP136" s="32"/>
      <c r="BQ136" s="31"/>
      <c r="BR136" s="31"/>
      <c r="BS136" s="54"/>
      <c r="BT136" s="56" t="str">
        <f>IFERROR(VLOOKUP(December[[#This Row],[Drug Name7]],'Data Options'!$R$1:$S$100,2,FALSE), " ")</f>
        <v xml:space="preserve"> </v>
      </c>
      <c r="BU136" s="55"/>
      <c r="BV136" s="32"/>
      <c r="BW136" s="32"/>
      <c r="BX136" s="55"/>
      <c r="BY136" s="32"/>
      <c r="BZ136" s="54"/>
      <c r="CA136" s="56" t="str">
        <f>IFERROR(VLOOKUP(December[[#This Row],[Drug Name8]],'Data Options'!$R$1:$S$100,2,FALSE), " ")</f>
        <v xml:space="preserve"> </v>
      </c>
      <c r="CB136" s="55"/>
      <c r="CC136" s="32"/>
      <c r="CD136" s="32"/>
      <c r="CE136" s="55"/>
      <c r="CF136" s="32"/>
      <c r="CG136" s="54"/>
      <c r="CH136" s="56" t="str">
        <f>IFERROR(VLOOKUP(December[[#This Row],[Drug Name9]],'Data Options'!$R$1:$S$100,2,FALSE), " ")</f>
        <v xml:space="preserve"> </v>
      </c>
      <c r="CI136" s="55"/>
      <c r="CJ136" s="32"/>
      <c r="CK136" s="32"/>
      <c r="CL136" s="55"/>
      <c r="CM136" s="32"/>
    </row>
    <row r="137" spans="1:91">
      <c r="A137" s="5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/>
      <c r="P137" s="31"/>
      <c r="Q137" s="54"/>
      <c r="R137" s="56" t="str">
        <f>IFERROR(VLOOKUP(December[[#This Row],[Drug Name]],'Data Options'!$R$1:$S$100,2,FALSE), " ")</f>
        <v xml:space="preserve"> </v>
      </c>
      <c r="S137" s="55"/>
      <c r="T137" s="32"/>
      <c r="U137" s="32"/>
      <c r="V137" s="55"/>
      <c r="W137" s="32"/>
      <c r="X137" s="54"/>
      <c r="Y137" s="56" t="str">
        <f>IFERROR(VLOOKUP(December[[#This Row],[Drug Name2]],'Data Options'!$R$1:$S$100,2,FALSE), " ")</f>
        <v xml:space="preserve"> </v>
      </c>
      <c r="Z137" s="55"/>
      <c r="AA137" s="32"/>
      <c r="AB137" s="32"/>
      <c r="AC137" s="55"/>
      <c r="AD137" s="32"/>
      <c r="AE137" s="54"/>
      <c r="AF137" s="56" t="str">
        <f>IFERROR(VLOOKUP(December[[#This Row],[Drug Name3]],'Data Options'!$R$1:$S$100,2,FALSE), " ")</f>
        <v xml:space="preserve"> </v>
      </c>
      <c r="AG137" s="55"/>
      <c r="AH137" s="32"/>
      <c r="AI137" s="32"/>
      <c r="AJ137" s="55"/>
      <c r="AK137" s="32"/>
      <c r="AL137" s="32"/>
      <c r="AM137" s="32"/>
      <c r="AN137" s="32"/>
      <c r="AO137" s="32"/>
      <c r="AP137" s="31"/>
      <c r="AQ137" s="31"/>
      <c r="AR137" s="54"/>
      <c r="AS137" s="56" t="str">
        <f>IFERROR(VLOOKUP(December[[#This Row],[Drug Name4]],'Data Options'!$R$1:$S$100,2,FALSE), " ")</f>
        <v xml:space="preserve"> </v>
      </c>
      <c r="AT137" s="55"/>
      <c r="AU137" s="32"/>
      <c r="AV137" s="32"/>
      <c r="AW137" s="55"/>
      <c r="AX137" s="32"/>
      <c r="AY137" s="54"/>
      <c r="AZ137" s="56" t="str">
        <f>IFERROR(VLOOKUP(December[[#This Row],[Drug Name5]],'Data Options'!$R$1:$S$100,2,FALSE), " ")</f>
        <v xml:space="preserve"> </v>
      </c>
      <c r="BA137" s="55"/>
      <c r="BB137" s="32"/>
      <c r="BC137" s="32"/>
      <c r="BD137" s="55"/>
      <c r="BE137" s="32"/>
      <c r="BF137" s="54"/>
      <c r="BG137" s="56" t="str">
        <f>IFERROR(VLOOKUP(December[[#This Row],[Drug Name6]],'Data Options'!$R$1:$S$100,2,FALSE), " ")</f>
        <v xml:space="preserve"> </v>
      </c>
      <c r="BH137" s="55"/>
      <c r="BI137" s="32"/>
      <c r="BJ137" s="32"/>
      <c r="BK137" s="55"/>
      <c r="BL137" s="32"/>
      <c r="BM137" s="32"/>
      <c r="BN137" s="32"/>
      <c r="BO137" s="32"/>
      <c r="BP137" s="32"/>
      <c r="BQ137" s="31"/>
      <c r="BR137" s="31"/>
      <c r="BS137" s="54"/>
      <c r="BT137" s="56" t="str">
        <f>IFERROR(VLOOKUP(December[[#This Row],[Drug Name7]],'Data Options'!$R$1:$S$100,2,FALSE), " ")</f>
        <v xml:space="preserve"> </v>
      </c>
      <c r="BU137" s="55"/>
      <c r="BV137" s="32"/>
      <c r="BW137" s="32"/>
      <c r="BX137" s="55"/>
      <c r="BY137" s="32"/>
      <c r="BZ137" s="54"/>
      <c r="CA137" s="56" t="str">
        <f>IFERROR(VLOOKUP(December[[#This Row],[Drug Name8]],'Data Options'!$R$1:$S$100,2,FALSE), " ")</f>
        <v xml:space="preserve"> </v>
      </c>
      <c r="CB137" s="55"/>
      <c r="CC137" s="32"/>
      <c r="CD137" s="32"/>
      <c r="CE137" s="55"/>
      <c r="CF137" s="32"/>
      <c r="CG137" s="54"/>
      <c r="CH137" s="56" t="str">
        <f>IFERROR(VLOOKUP(December[[#This Row],[Drug Name9]],'Data Options'!$R$1:$S$100,2,FALSE), " ")</f>
        <v xml:space="preserve"> </v>
      </c>
      <c r="CI137" s="55"/>
      <c r="CJ137" s="32"/>
      <c r="CK137" s="32"/>
      <c r="CL137" s="55"/>
      <c r="CM137" s="32"/>
    </row>
    <row r="138" spans="1:91">
      <c r="A138" s="5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1"/>
      <c r="P138" s="31"/>
      <c r="Q138" s="54"/>
      <c r="R138" s="56" t="str">
        <f>IFERROR(VLOOKUP(December[[#This Row],[Drug Name]],'Data Options'!$R$1:$S$100,2,FALSE), " ")</f>
        <v xml:space="preserve"> </v>
      </c>
      <c r="S138" s="55"/>
      <c r="T138" s="32"/>
      <c r="U138" s="32"/>
      <c r="V138" s="55"/>
      <c r="W138" s="32"/>
      <c r="X138" s="54"/>
      <c r="Y138" s="56" t="str">
        <f>IFERROR(VLOOKUP(December[[#This Row],[Drug Name2]],'Data Options'!$R$1:$S$100,2,FALSE), " ")</f>
        <v xml:space="preserve"> </v>
      </c>
      <c r="Z138" s="55"/>
      <c r="AA138" s="32"/>
      <c r="AB138" s="32"/>
      <c r="AC138" s="55"/>
      <c r="AD138" s="32"/>
      <c r="AE138" s="54"/>
      <c r="AF138" s="56" t="str">
        <f>IFERROR(VLOOKUP(December[[#This Row],[Drug Name3]],'Data Options'!$R$1:$S$100,2,FALSE), " ")</f>
        <v xml:space="preserve"> </v>
      </c>
      <c r="AG138" s="55"/>
      <c r="AH138" s="32"/>
      <c r="AI138" s="32"/>
      <c r="AJ138" s="55"/>
      <c r="AK138" s="32"/>
      <c r="AL138" s="32"/>
      <c r="AM138" s="32"/>
      <c r="AN138" s="32"/>
      <c r="AO138" s="32"/>
      <c r="AP138" s="31"/>
      <c r="AQ138" s="31"/>
      <c r="AR138" s="54"/>
      <c r="AS138" s="56" t="str">
        <f>IFERROR(VLOOKUP(December[[#This Row],[Drug Name4]],'Data Options'!$R$1:$S$100,2,FALSE), " ")</f>
        <v xml:space="preserve"> </v>
      </c>
      <c r="AT138" s="55"/>
      <c r="AU138" s="32"/>
      <c r="AV138" s="32"/>
      <c r="AW138" s="55"/>
      <c r="AX138" s="32"/>
      <c r="AY138" s="54"/>
      <c r="AZ138" s="56" t="str">
        <f>IFERROR(VLOOKUP(December[[#This Row],[Drug Name5]],'Data Options'!$R$1:$S$100,2,FALSE), " ")</f>
        <v xml:space="preserve"> </v>
      </c>
      <c r="BA138" s="55"/>
      <c r="BB138" s="32"/>
      <c r="BC138" s="32"/>
      <c r="BD138" s="55"/>
      <c r="BE138" s="32"/>
      <c r="BF138" s="54"/>
      <c r="BG138" s="56" t="str">
        <f>IFERROR(VLOOKUP(December[[#This Row],[Drug Name6]],'Data Options'!$R$1:$S$100,2,FALSE), " ")</f>
        <v xml:space="preserve"> </v>
      </c>
      <c r="BH138" s="55"/>
      <c r="BI138" s="32"/>
      <c r="BJ138" s="32"/>
      <c r="BK138" s="55"/>
      <c r="BL138" s="32"/>
      <c r="BM138" s="32"/>
      <c r="BN138" s="32"/>
      <c r="BO138" s="32"/>
      <c r="BP138" s="32"/>
      <c r="BQ138" s="31"/>
      <c r="BR138" s="31"/>
      <c r="BS138" s="54"/>
      <c r="BT138" s="56" t="str">
        <f>IFERROR(VLOOKUP(December[[#This Row],[Drug Name7]],'Data Options'!$R$1:$S$100,2,FALSE), " ")</f>
        <v xml:space="preserve"> </v>
      </c>
      <c r="BU138" s="55"/>
      <c r="BV138" s="32"/>
      <c r="BW138" s="32"/>
      <c r="BX138" s="55"/>
      <c r="BY138" s="32"/>
      <c r="BZ138" s="54"/>
      <c r="CA138" s="56" t="str">
        <f>IFERROR(VLOOKUP(December[[#This Row],[Drug Name8]],'Data Options'!$R$1:$S$100,2,FALSE), " ")</f>
        <v xml:space="preserve"> </v>
      </c>
      <c r="CB138" s="55"/>
      <c r="CC138" s="32"/>
      <c r="CD138" s="32"/>
      <c r="CE138" s="55"/>
      <c r="CF138" s="32"/>
      <c r="CG138" s="54"/>
      <c r="CH138" s="56" t="str">
        <f>IFERROR(VLOOKUP(December[[#This Row],[Drug Name9]],'Data Options'!$R$1:$S$100,2,FALSE), " ")</f>
        <v xml:space="preserve"> </v>
      </c>
      <c r="CI138" s="55"/>
      <c r="CJ138" s="32"/>
      <c r="CK138" s="32"/>
      <c r="CL138" s="55"/>
      <c r="CM138" s="32"/>
    </row>
    <row r="139" spans="1:91">
      <c r="A139" s="5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1"/>
      <c r="P139" s="31"/>
      <c r="Q139" s="54"/>
      <c r="R139" s="56" t="str">
        <f>IFERROR(VLOOKUP(December[[#This Row],[Drug Name]],'Data Options'!$R$1:$S$100,2,FALSE), " ")</f>
        <v xml:space="preserve"> </v>
      </c>
      <c r="S139" s="55"/>
      <c r="T139" s="32"/>
      <c r="U139" s="32"/>
      <c r="V139" s="55"/>
      <c r="W139" s="32"/>
      <c r="X139" s="54"/>
      <c r="Y139" s="56" t="str">
        <f>IFERROR(VLOOKUP(December[[#This Row],[Drug Name2]],'Data Options'!$R$1:$S$100,2,FALSE), " ")</f>
        <v xml:space="preserve"> </v>
      </c>
      <c r="Z139" s="55"/>
      <c r="AA139" s="32"/>
      <c r="AB139" s="32"/>
      <c r="AC139" s="55"/>
      <c r="AD139" s="32"/>
      <c r="AE139" s="54"/>
      <c r="AF139" s="56" t="str">
        <f>IFERROR(VLOOKUP(December[[#This Row],[Drug Name3]],'Data Options'!$R$1:$S$100,2,FALSE), " ")</f>
        <v xml:space="preserve"> </v>
      </c>
      <c r="AG139" s="55"/>
      <c r="AH139" s="32"/>
      <c r="AI139" s="32"/>
      <c r="AJ139" s="55"/>
      <c r="AK139" s="32"/>
      <c r="AL139" s="32"/>
      <c r="AM139" s="32"/>
      <c r="AN139" s="32"/>
      <c r="AO139" s="32"/>
      <c r="AP139" s="31"/>
      <c r="AQ139" s="31"/>
      <c r="AR139" s="54"/>
      <c r="AS139" s="56" t="str">
        <f>IFERROR(VLOOKUP(December[[#This Row],[Drug Name4]],'Data Options'!$R$1:$S$100,2,FALSE), " ")</f>
        <v xml:space="preserve"> </v>
      </c>
      <c r="AT139" s="55"/>
      <c r="AU139" s="32"/>
      <c r="AV139" s="32"/>
      <c r="AW139" s="55"/>
      <c r="AX139" s="32"/>
      <c r="AY139" s="54"/>
      <c r="AZ139" s="56" t="str">
        <f>IFERROR(VLOOKUP(December[[#This Row],[Drug Name5]],'Data Options'!$R$1:$S$100,2,FALSE), " ")</f>
        <v xml:space="preserve"> </v>
      </c>
      <c r="BA139" s="55"/>
      <c r="BB139" s="32"/>
      <c r="BC139" s="32"/>
      <c r="BD139" s="55"/>
      <c r="BE139" s="32"/>
      <c r="BF139" s="54"/>
      <c r="BG139" s="56" t="str">
        <f>IFERROR(VLOOKUP(December[[#This Row],[Drug Name6]],'Data Options'!$R$1:$S$100,2,FALSE), " ")</f>
        <v xml:space="preserve"> </v>
      </c>
      <c r="BH139" s="55"/>
      <c r="BI139" s="32"/>
      <c r="BJ139" s="32"/>
      <c r="BK139" s="55"/>
      <c r="BL139" s="32"/>
      <c r="BM139" s="32"/>
      <c r="BN139" s="32"/>
      <c r="BO139" s="32"/>
      <c r="BP139" s="32"/>
      <c r="BQ139" s="31"/>
      <c r="BR139" s="31"/>
      <c r="BS139" s="54"/>
      <c r="BT139" s="56" t="str">
        <f>IFERROR(VLOOKUP(December[[#This Row],[Drug Name7]],'Data Options'!$R$1:$S$100,2,FALSE), " ")</f>
        <v xml:space="preserve"> </v>
      </c>
      <c r="BU139" s="55"/>
      <c r="BV139" s="32"/>
      <c r="BW139" s="32"/>
      <c r="BX139" s="55"/>
      <c r="BY139" s="32"/>
      <c r="BZ139" s="54"/>
      <c r="CA139" s="56" t="str">
        <f>IFERROR(VLOOKUP(December[[#This Row],[Drug Name8]],'Data Options'!$R$1:$S$100,2,FALSE), " ")</f>
        <v xml:space="preserve"> </v>
      </c>
      <c r="CB139" s="55"/>
      <c r="CC139" s="32"/>
      <c r="CD139" s="32"/>
      <c r="CE139" s="55"/>
      <c r="CF139" s="32"/>
      <c r="CG139" s="54"/>
      <c r="CH139" s="56" t="str">
        <f>IFERROR(VLOOKUP(December[[#This Row],[Drug Name9]],'Data Options'!$R$1:$S$100,2,FALSE), " ")</f>
        <v xml:space="preserve"> </v>
      </c>
      <c r="CI139" s="55"/>
      <c r="CJ139" s="32"/>
      <c r="CK139" s="32"/>
      <c r="CL139" s="55"/>
      <c r="CM139" s="32"/>
    </row>
    <row r="140" spans="1:91">
      <c r="A140" s="5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1"/>
      <c r="P140" s="31"/>
      <c r="Q140" s="54"/>
      <c r="R140" s="56" t="str">
        <f>IFERROR(VLOOKUP(December[[#This Row],[Drug Name]],'Data Options'!$R$1:$S$100,2,FALSE), " ")</f>
        <v xml:space="preserve"> </v>
      </c>
      <c r="S140" s="55"/>
      <c r="T140" s="32"/>
      <c r="U140" s="32"/>
      <c r="V140" s="55"/>
      <c r="W140" s="32"/>
      <c r="X140" s="54"/>
      <c r="Y140" s="56" t="str">
        <f>IFERROR(VLOOKUP(December[[#This Row],[Drug Name2]],'Data Options'!$R$1:$S$100,2,FALSE), " ")</f>
        <v xml:space="preserve"> </v>
      </c>
      <c r="Z140" s="55"/>
      <c r="AA140" s="32"/>
      <c r="AB140" s="32"/>
      <c r="AC140" s="55"/>
      <c r="AD140" s="32"/>
      <c r="AE140" s="54"/>
      <c r="AF140" s="56" t="str">
        <f>IFERROR(VLOOKUP(December[[#This Row],[Drug Name3]],'Data Options'!$R$1:$S$100,2,FALSE), " ")</f>
        <v xml:space="preserve"> </v>
      </c>
      <c r="AG140" s="55"/>
      <c r="AH140" s="32"/>
      <c r="AI140" s="32"/>
      <c r="AJ140" s="55"/>
      <c r="AK140" s="32"/>
      <c r="AL140" s="32"/>
      <c r="AM140" s="32"/>
      <c r="AN140" s="32"/>
      <c r="AO140" s="32"/>
      <c r="AP140" s="31"/>
      <c r="AQ140" s="31"/>
      <c r="AR140" s="54"/>
      <c r="AS140" s="56" t="str">
        <f>IFERROR(VLOOKUP(December[[#This Row],[Drug Name4]],'Data Options'!$R$1:$S$100,2,FALSE), " ")</f>
        <v xml:space="preserve"> </v>
      </c>
      <c r="AT140" s="55"/>
      <c r="AU140" s="32"/>
      <c r="AV140" s="32"/>
      <c r="AW140" s="55"/>
      <c r="AX140" s="32"/>
      <c r="AY140" s="54"/>
      <c r="AZ140" s="56" t="str">
        <f>IFERROR(VLOOKUP(December[[#This Row],[Drug Name5]],'Data Options'!$R$1:$S$100,2,FALSE), " ")</f>
        <v xml:space="preserve"> </v>
      </c>
      <c r="BA140" s="55"/>
      <c r="BB140" s="32"/>
      <c r="BC140" s="32"/>
      <c r="BD140" s="55"/>
      <c r="BE140" s="32"/>
      <c r="BF140" s="54"/>
      <c r="BG140" s="56" t="str">
        <f>IFERROR(VLOOKUP(December[[#This Row],[Drug Name6]],'Data Options'!$R$1:$S$100,2,FALSE), " ")</f>
        <v xml:space="preserve"> </v>
      </c>
      <c r="BH140" s="55"/>
      <c r="BI140" s="32"/>
      <c r="BJ140" s="32"/>
      <c r="BK140" s="55"/>
      <c r="BL140" s="32"/>
      <c r="BM140" s="32"/>
      <c r="BN140" s="32"/>
      <c r="BO140" s="32"/>
      <c r="BP140" s="32"/>
      <c r="BQ140" s="31"/>
      <c r="BR140" s="31"/>
      <c r="BS140" s="54"/>
      <c r="BT140" s="56" t="str">
        <f>IFERROR(VLOOKUP(December[[#This Row],[Drug Name7]],'Data Options'!$R$1:$S$100,2,FALSE), " ")</f>
        <v xml:space="preserve"> </v>
      </c>
      <c r="BU140" s="55"/>
      <c r="BV140" s="32"/>
      <c r="BW140" s="32"/>
      <c r="BX140" s="55"/>
      <c r="BY140" s="32"/>
      <c r="BZ140" s="54"/>
      <c r="CA140" s="56" t="str">
        <f>IFERROR(VLOOKUP(December[[#This Row],[Drug Name8]],'Data Options'!$R$1:$S$100,2,FALSE), " ")</f>
        <v xml:space="preserve"> </v>
      </c>
      <c r="CB140" s="55"/>
      <c r="CC140" s="32"/>
      <c r="CD140" s="32"/>
      <c r="CE140" s="55"/>
      <c r="CF140" s="32"/>
      <c r="CG140" s="54"/>
      <c r="CH140" s="56" t="str">
        <f>IFERROR(VLOOKUP(December[[#This Row],[Drug Name9]],'Data Options'!$R$1:$S$100,2,FALSE), " ")</f>
        <v xml:space="preserve"> </v>
      </c>
      <c r="CI140" s="55"/>
      <c r="CJ140" s="32"/>
      <c r="CK140" s="32"/>
      <c r="CL140" s="55"/>
      <c r="CM140" s="32"/>
    </row>
    <row r="141" spans="1:91">
      <c r="A141" s="5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1"/>
      <c r="Q141" s="54"/>
      <c r="R141" s="56" t="str">
        <f>IFERROR(VLOOKUP(December[[#This Row],[Drug Name]],'Data Options'!$R$1:$S$100,2,FALSE), " ")</f>
        <v xml:space="preserve"> </v>
      </c>
      <c r="S141" s="55"/>
      <c r="T141" s="32"/>
      <c r="U141" s="32"/>
      <c r="V141" s="55"/>
      <c r="W141" s="32"/>
      <c r="X141" s="54"/>
      <c r="Y141" s="56" t="str">
        <f>IFERROR(VLOOKUP(December[[#This Row],[Drug Name2]],'Data Options'!$R$1:$S$100,2,FALSE), " ")</f>
        <v xml:space="preserve"> </v>
      </c>
      <c r="Z141" s="55"/>
      <c r="AA141" s="32"/>
      <c r="AB141" s="32"/>
      <c r="AC141" s="55"/>
      <c r="AD141" s="32"/>
      <c r="AE141" s="54"/>
      <c r="AF141" s="56" t="str">
        <f>IFERROR(VLOOKUP(December[[#This Row],[Drug Name3]],'Data Options'!$R$1:$S$100,2,FALSE), " ")</f>
        <v xml:space="preserve"> </v>
      </c>
      <c r="AG141" s="55"/>
      <c r="AH141" s="32"/>
      <c r="AI141" s="32"/>
      <c r="AJ141" s="55"/>
      <c r="AK141" s="32"/>
      <c r="AL141" s="32"/>
      <c r="AM141" s="32"/>
      <c r="AN141" s="32"/>
      <c r="AO141" s="32"/>
      <c r="AP141" s="31"/>
      <c r="AQ141" s="31"/>
      <c r="AR141" s="54"/>
      <c r="AS141" s="56" t="str">
        <f>IFERROR(VLOOKUP(December[[#This Row],[Drug Name4]],'Data Options'!$R$1:$S$100,2,FALSE), " ")</f>
        <v xml:space="preserve"> </v>
      </c>
      <c r="AT141" s="55"/>
      <c r="AU141" s="32"/>
      <c r="AV141" s="32"/>
      <c r="AW141" s="55"/>
      <c r="AX141" s="32"/>
      <c r="AY141" s="54"/>
      <c r="AZ141" s="56" t="str">
        <f>IFERROR(VLOOKUP(December[[#This Row],[Drug Name5]],'Data Options'!$R$1:$S$100,2,FALSE), " ")</f>
        <v xml:space="preserve"> </v>
      </c>
      <c r="BA141" s="55"/>
      <c r="BB141" s="32"/>
      <c r="BC141" s="32"/>
      <c r="BD141" s="55"/>
      <c r="BE141" s="32"/>
      <c r="BF141" s="54"/>
      <c r="BG141" s="56" t="str">
        <f>IFERROR(VLOOKUP(December[[#This Row],[Drug Name6]],'Data Options'!$R$1:$S$100,2,FALSE), " ")</f>
        <v xml:space="preserve"> </v>
      </c>
      <c r="BH141" s="55"/>
      <c r="BI141" s="32"/>
      <c r="BJ141" s="32"/>
      <c r="BK141" s="55"/>
      <c r="BL141" s="32"/>
      <c r="BM141" s="32"/>
      <c r="BN141" s="32"/>
      <c r="BO141" s="32"/>
      <c r="BP141" s="32"/>
      <c r="BQ141" s="31"/>
      <c r="BR141" s="31"/>
      <c r="BS141" s="54"/>
      <c r="BT141" s="56" t="str">
        <f>IFERROR(VLOOKUP(December[[#This Row],[Drug Name7]],'Data Options'!$R$1:$S$100,2,FALSE), " ")</f>
        <v xml:space="preserve"> </v>
      </c>
      <c r="BU141" s="55"/>
      <c r="BV141" s="32"/>
      <c r="BW141" s="32"/>
      <c r="BX141" s="55"/>
      <c r="BY141" s="32"/>
      <c r="BZ141" s="54"/>
      <c r="CA141" s="56" t="str">
        <f>IFERROR(VLOOKUP(December[[#This Row],[Drug Name8]],'Data Options'!$R$1:$S$100,2,FALSE), " ")</f>
        <v xml:space="preserve"> </v>
      </c>
      <c r="CB141" s="55"/>
      <c r="CC141" s="32"/>
      <c r="CD141" s="32"/>
      <c r="CE141" s="55"/>
      <c r="CF141" s="32"/>
      <c r="CG141" s="54"/>
      <c r="CH141" s="56" t="str">
        <f>IFERROR(VLOOKUP(December[[#This Row],[Drug Name9]],'Data Options'!$R$1:$S$100,2,FALSE), " ")</f>
        <v xml:space="preserve"> </v>
      </c>
      <c r="CI141" s="55"/>
      <c r="CJ141" s="32"/>
      <c r="CK141" s="32"/>
      <c r="CL141" s="55"/>
      <c r="CM141" s="32"/>
    </row>
    <row r="142" spans="1:91">
      <c r="A142" s="5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1"/>
      <c r="P142" s="31"/>
      <c r="Q142" s="54"/>
      <c r="R142" s="56" t="str">
        <f>IFERROR(VLOOKUP(December[[#This Row],[Drug Name]],'Data Options'!$R$1:$S$100,2,FALSE), " ")</f>
        <v xml:space="preserve"> </v>
      </c>
      <c r="S142" s="55"/>
      <c r="T142" s="32"/>
      <c r="U142" s="32"/>
      <c r="V142" s="55"/>
      <c r="W142" s="32"/>
      <c r="X142" s="54"/>
      <c r="Y142" s="56" t="str">
        <f>IFERROR(VLOOKUP(December[[#This Row],[Drug Name2]],'Data Options'!$R$1:$S$100,2,FALSE), " ")</f>
        <v xml:space="preserve"> </v>
      </c>
      <c r="Z142" s="55"/>
      <c r="AA142" s="32"/>
      <c r="AB142" s="32"/>
      <c r="AC142" s="55"/>
      <c r="AD142" s="32"/>
      <c r="AE142" s="54"/>
      <c r="AF142" s="56" t="str">
        <f>IFERROR(VLOOKUP(December[[#This Row],[Drug Name3]],'Data Options'!$R$1:$S$100,2,FALSE), " ")</f>
        <v xml:space="preserve"> </v>
      </c>
      <c r="AG142" s="55"/>
      <c r="AH142" s="32"/>
      <c r="AI142" s="32"/>
      <c r="AJ142" s="55"/>
      <c r="AK142" s="32"/>
      <c r="AL142" s="32"/>
      <c r="AM142" s="32"/>
      <c r="AN142" s="32"/>
      <c r="AO142" s="32"/>
      <c r="AP142" s="31"/>
      <c r="AQ142" s="31"/>
      <c r="AR142" s="54"/>
      <c r="AS142" s="56" t="str">
        <f>IFERROR(VLOOKUP(December[[#This Row],[Drug Name4]],'Data Options'!$R$1:$S$100,2,FALSE), " ")</f>
        <v xml:space="preserve"> </v>
      </c>
      <c r="AT142" s="55"/>
      <c r="AU142" s="32"/>
      <c r="AV142" s="32"/>
      <c r="AW142" s="55"/>
      <c r="AX142" s="32"/>
      <c r="AY142" s="54"/>
      <c r="AZ142" s="56" t="str">
        <f>IFERROR(VLOOKUP(December[[#This Row],[Drug Name5]],'Data Options'!$R$1:$S$100,2,FALSE), " ")</f>
        <v xml:space="preserve"> </v>
      </c>
      <c r="BA142" s="55"/>
      <c r="BB142" s="32"/>
      <c r="BC142" s="32"/>
      <c r="BD142" s="55"/>
      <c r="BE142" s="32"/>
      <c r="BF142" s="54"/>
      <c r="BG142" s="56" t="str">
        <f>IFERROR(VLOOKUP(December[[#This Row],[Drug Name6]],'Data Options'!$R$1:$S$100,2,FALSE), " ")</f>
        <v xml:space="preserve"> </v>
      </c>
      <c r="BH142" s="55"/>
      <c r="BI142" s="32"/>
      <c r="BJ142" s="32"/>
      <c r="BK142" s="55"/>
      <c r="BL142" s="32"/>
      <c r="BM142" s="32"/>
      <c r="BN142" s="32"/>
      <c r="BO142" s="32"/>
      <c r="BP142" s="32"/>
      <c r="BQ142" s="31"/>
      <c r="BR142" s="31"/>
      <c r="BS142" s="54"/>
      <c r="BT142" s="56" t="str">
        <f>IFERROR(VLOOKUP(December[[#This Row],[Drug Name7]],'Data Options'!$R$1:$S$100,2,FALSE), " ")</f>
        <v xml:space="preserve"> </v>
      </c>
      <c r="BU142" s="55"/>
      <c r="BV142" s="32"/>
      <c r="BW142" s="32"/>
      <c r="BX142" s="55"/>
      <c r="BY142" s="32"/>
      <c r="BZ142" s="54"/>
      <c r="CA142" s="56" t="str">
        <f>IFERROR(VLOOKUP(December[[#This Row],[Drug Name8]],'Data Options'!$R$1:$S$100,2,FALSE), " ")</f>
        <v xml:space="preserve"> </v>
      </c>
      <c r="CB142" s="55"/>
      <c r="CC142" s="32"/>
      <c r="CD142" s="32"/>
      <c r="CE142" s="55"/>
      <c r="CF142" s="32"/>
      <c r="CG142" s="54"/>
      <c r="CH142" s="56" t="str">
        <f>IFERROR(VLOOKUP(December[[#This Row],[Drug Name9]],'Data Options'!$R$1:$S$100,2,FALSE), " ")</f>
        <v xml:space="preserve"> </v>
      </c>
      <c r="CI142" s="55"/>
      <c r="CJ142" s="32"/>
      <c r="CK142" s="32"/>
      <c r="CL142" s="55"/>
      <c r="CM142" s="32"/>
    </row>
    <row r="143" spans="1:91">
      <c r="A143" s="5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1"/>
      <c r="P143" s="31"/>
      <c r="Q143" s="54"/>
      <c r="R143" s="56" t="str">
        <f>IFERROR(VLOOKUP(December[[#This Row],[Drug Name]],'Data Options'!$R$1:$S$100,2,FALSE), " ")</f>
        <v xml:space="preserve"> </v>
      </c>
      <c r="S143" s="55"/>
      <c r="T143" s="32"/>
      <c r="U143" s="32"/>
      <c r="V143" s="55"/>
      <c r="W143" s="32"/>
      <c r="X143" s="54"/>
      <c r="Y143" s="56" t="str">
        <f>IFERROR(VLOOKUP(December[[#This Row],[Drug Name2]],'Data Options'!$R$1:$S$100,2,FALSE), " ")</f>
        <v xml:space="preserve"> </v>
      </c>
      <c r="Z143" s="55"/>
      <c r="AA143" s="32"/>
      <c r="AB143" s="32"/>
      <c r="AC143" s="55"/>
      <c r="AD143" s="32"/>
      <c r="AE143" s="54"/>
      <c r="AF143" s="56" t="str">
        <f>IFERROR(VLOOKUP(December[[#This Row],[Drug Name3]],'Data Options'!$R$1:$S$100,2,FALSE), " ")</f>
        <v xml:space="preserve"> </v>
      </c>
      <c r="AG143" s="55"/>
      <c r="AH143" s="32"/>
      <c r="AI143" s="32"/>
      <c r="AJ143" s="55"/>
      <c r="AK143" s="32"/>
      <c r="AL143" s="32"/>
      <c r="AM143" s="32"/>
      <c r="AN143" s="32"/>
      <c r="AO143" s="32"/>
      <c r="AP143" s="31"/>
      <c r="AQ143" s="31"/>
      <c r="AR143" s="54"/>
      <c r="AS143" s="56" t="str">
        <f>IFERROR(VLOOKUP(December[[#This Row],[Drug Name4]],'Data Options'!$R$1:$S$100,2,FALSE), " ")</f>
        <v xml:space="preserve"> </v>
      </c>
      <c r="AT143" s="55"/>
      <c r="AU143" s="32"/>
      <c r="AV143" s="32"/>
      <c r="AW143" s="55"/>
      <c r="AX143" s="32"/>
      <c r="AY143" s="54"/>
      <c r="AZ143" s="56" t="str">
        <f>IFERROR(VLOOKUP(December[[#This Row],[Drug Name5]],'Data Options'!$R$1:$S$100,2,FALSE), " ")</f>
        <v xml:space="preserve"> </v>
      </c>
      <c r="BA143" s="55"/>
      <c r="BB143" s="32"/>
      <c r="BC143" s="32"/>
      <c r="BD143" s="55"/>
      <c r="BE143" s="32"/>
      <c r="BF143" s="54"/>
      <c r="BG143" s="56" t="str">
        <f>IFERROR(VLOOKUP(December[[#This Row],[Drug Name6]],'Data Options'!$R$1:$S$100,2,FALSE), " ")</f>
        <v xml:space="preserve"> </v>
      </c>
      <c r="BH143" s="55"/>
      <c r="BI143" s="32"/>
      <c r="BJ143" s="32"/>
      <c r="BK143" s="55"/>
      <c r="BL143" s="32"/>
      <c r="BM143" s="32"/>
      <c r="BN143" s="32"/>
      <c r="BO143" s="32"/>
      <c r="BP143" s="32"/>
      <c r="BQ143" s="31"/>
      <c r="BR143" s="31"/>
      <c r="BS143" s="54"/>
      <c r="BT143" s="56" t="str">
        <f>IFERROR(VLOOKUP(December[[#This Row],[Drug Name7]],'Data Options'!$R$1:$S$100,2,FALSE), " ")</f>
        <v xml:space="preserve"> </v>
      </c>
      <c r="BU143" s="55"/>
      <c r="BV143" s="32"/>
      <c r="BW143" s="32"/>
      <c r="BX143" s="55"/>
      <c r="BY143" s="32"/>
      <c r="BZ143" s="54"/>
      <c r="CA143" s="56" t="str">
        <f>IFERROR(VLOOKUP(December[[#This Row],[Drug Name8]],'Data Options'!$R$1:$S$100,2,FALSE), " ")</f>
        <v xml:space="preserve"> </v>
      </c>
      <c r="CB143" s="55"/>
      <c r="CC143" s="32"/>
      <c r="CD143" s="32"/>
      <c r="CE143" s="55"/>
      <c r="CF143" s="32"/>
      <c r="CG143" s="54"/>
      <c r="CH143" s="56" t="str">
        <f>IFERROR(VLOOKUP(December[[#This Row],[Drug Name9]],'Data Options'!$R$1:$S$100,2,FALSE), " ")</f>
        <v xml:space="preserve"> </v>
      </c>
      <c r="CI143" s="55"/>
      <c r="CJ143" s="32"/>
      <c r="CK143" s="32"/>
      <c r="CL143" s="55"/>
      <c r="CM143" s="32"/>
    </row>
    <row r="144" spans="1:91">
      <c r="A144" s="5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1"/>
      <c r="P144" s="31"/>
      <c r="Q144" s="54"/>
      <c r="R144" s="56" t="str">
        <f>IFERROR(VLOOKUP(December[[#This Row],[Drug Name]],'Data Options'!$R$1:$S$100,2,FALSE), " ")</f>
        <v xml:space="preserve"> </v>
      </c>
      <c r="S144" s="55"/>
      <c r="T144" s="32"/>
      <c r="U144" s="32"/>
      <c r="V144" s="55"/>
      <c r="W144" s="32"/>
      <c r="X144" s="54"/>
      <c r="Y144" s="56" t="str">
        <f>IFERROR(VLOOKUP(December[[#This Row],[Drug Name2]],'Data Options'!$R$1:$S$100,2,FALSE), " ")</f>
        <v xml:space="preserve"> </v>
      </c>
      <c r="Z144" s="55"/>
      <c r="AA144" s="32"/>
      <c r="AB144" s="32"/>
      <c r="AC144" s="55"/>
      <c r="AD144" s="32"/>
      <c r="AE144" s="54"/>
      <c r="AF144" s="56" t="str">
        <f>IFERROR(VLOOKUP(December[[#This Row],[Drug Name3]],'Data Options'!$R$1:$S$100,2,FALSE), " ")</f>
        <v xml:space="preserve"> </v>
      </c>
      <c r="AG144" s="55"/>
      <c r="AH144" s="32"/>
      <c r="AI144" s="32"/>
      <c r="AJ144" s="55"/>
      <c r="AK144" s="32"/>
      <c r="AL144" s="32"/>
      <c r="AM144" s="32"/>
      <c r="AN144" s="32"/>
      <c r="AO144" s="32"/>
      <c r="AP144" s="31"/>
      <c r="AQ144" s="31"/>
      <c r="AR144" s="54"/>
      <c r="AS144" s="56" t="str">
        <f>IFERROR(VLOOKUP(December[[#This Row],[Drug Name4]],'Data Options'!$R$1:$S$100,2,FALSE), " ")</f>
        <v xml:space="preserve"> </v>
      </c>
      <c r="AT144" s="55"/>
      <c r="AU144" s="32"/>
      <c r="AV144" s="32"/>
      <c r="AW144" s="55"/>
      <c r="AX144" s="32"/>
      <c r="AY144" s="54"/>
      <c r="AZ144" s="56" t="str">
        <f>IFERROR(VLOOKUP(December[[#This Row],[Drug Name5]],'Data Options'!$R$1:$S$100,2,FALSE), " ")</f>
        <v xml:space="preserve"> </v>
      </c>
      <c r="BA144" s="55"/>
      <c r="BB144" s="32"/>
      <c r="BC144" s="32"/>
      <c r="BD144" s="55"/>
      <c r="BE144" s="32"/>
      <c r="BF144" s="54"/>
      <c r="BG144" s="56" t="str">
        <f>IFERROR(VLOOKUP(December[[#This Row],[Drug Name6]],'Data Options'!$R$1:$S$100,2,FALSE), " ")</f>
        <v xml:space="preserve"> </v>
      </c>
      <c r="BH144" s="55"/>
      <c r="BI144" s="32"/>
      <c r="BJ144" s="32"/>
      <c r="BK144" s="55"/>
      <c r="BL144" s="32"/>
      <c r="BM144" s="32"/>
      <c r="BN144" s="32"/>
      <c r="BO144" s="32"/>
      <c r="BP144" s="32"/>
      <c r="BQ144" s="31"/>
      <c r="BR144" s="31"/>
      <c r="BS144" s="54"/>
      <c r="BT144" s="56" t="str">
        <f>IFERROR(VLOOKUP(December[[#This Row],[Drug Name7]],'Data Options'!$R$1:$S$100,2,FALSE), " ")</f>
        <v xml:space="preserve"> </v>
      </c>
      <c r="BU144" s="55"/>
      <c r="BV144" s="32"/>
      <c r="BW144" s="32"/>
      <c r="BX144" s="55"/>
      <c r="BY144" s="32"/>
      <c r="BZ144" s="54"/>
      <c r="CA144" s="56" t="str">
        <f>IFERROR(VLOOKUP(December[[#This Row],[Drug Name8]],'Data Options'!$R$1:$S$100,2,FALSE), " ")</f>
        <v xml:space="preserve"> </v>
      </c>
      <c r="CB144" s="55"/>
      <c r="CC144" s="32"/>
      <c r="CD144" s="32"/>
      <c r="CE144" s="55"/>
      <c r="CF144" s="32"/>
      <c r="CG144" s="54"/>
      <c r="CH144" s="56" t="str">
        <f>IFERROR(VLOOKUP(December[[#This Row],[Drug Name9]],'Data Options'!$R$1:$S$100,2,FALSE), " ")</f>
        <v xml:space="preserve"> </v>
      </c>
      <c r="CI144" s="55"/>
      <c r="CJ144" s="32"/>
      <c r="CK144" s="32"/>
      <c r="CL144" s="55"/>
      <c r="CM144" s="32"/>
    </row>
    <row r="145" spans="1:91">
      <c r="A145" s="5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1"/>
      <c r="P145" s="31"/>
      <c r="Q145" s="54"/>
      <c r="R145" s="56" t="str">
        <f>IFERROR(VLOOKUP(December[[#This Row],[Drug Name]],'Data Options'!$R$1:$S$100,2,FALSE), " ")</f>
        <v xml:space="preserve"> </v>
      </c>
      <c r="S145" s="55"/>
      <c r="T145" s="32"/>
      <c r="U145" s="32"/>
      <c r="V145" s="55"/>
      <c r="W145" s="32"/>
      <c r="X145" s="54"/>
      <c r="Y145" s="56" t="str">
        <f>IFERROR(VLOOKUP(December[[#This Row],[Drug Name2]],'Data Options'!$R$1:$S$100,2,FALSE), " ")</f>
        <v xml:space="preserve"> </v>
      </c>
      <c r="Z145" s="55"/>
      <c r="AA145" s="32"/>
      <c r="AB145" s="32"/>
      <c r="AC145" s="55"/>
      <c r="AD145" s="32"/>
      <c r="AE145" s="54"/>
      <c r="AF145" s="56" t="str">
        <f>IFERROR(VLOOKUP(December[[#This Row],[Drug Name3]],'Data Options'!$R$1:$S$100,2,FALSE), " ")</f>
        <v xml:space="preserve"> </v>
      </c>
      <c r="AG145" s="55"/>
      <c r="AH145" s="32"/>
      <c r="AI145" s="32"/>
      <c r="AJ145" s="55"/>
      <c r="AK145" s="32"/>
      <c r="AL145" s="32"/>
      <c r="AM145" s="32"/>
      <c r="AN145" s="32"/>
      <c r="AO145" s="32"/>
      <c r="AP145" s="31"/>
      <c r="AQ145" s="31"/>
      <c r="AR145" s="54"/>
      <c r="AS145" s="56" t="str">
        <f>IFERROR(VLOOKUP(December[[#This Row],[Drug Name4]],'Data Options'!$R$1:$S$100,2,FALSE), " ")</f>
        <v xml:space="preserve"> </v>
      </c>
      <c r="AT145" s="55"/>
      <c r="AU145" s="32"/>
      <c r="AV145" s="32"/>
      <c r="AW145" s="55"/>
      <c r="AX145" s="32"/>
      <c r="AY145" s="54"/>
      <c r="AZ145" s="56" t="str">
        <f>IFERROR(VLOOKUP(December[[#This Row],[Drug Name5]],'Data Options'!$R$1:$S$100,2,FALSE), " ")</f>
        <v xml:space="preserve"> </v>
      </c>
      <c r="BA145" s="55"/>
      <c r="BB145" s="32"/>
      <c r="BC145" s="32"/>
      <c r="BD145" s="55"/>
      <c r="BE145" s="32"/>
      <c r="BF145" s="54"/>
      <c r="BG145" s="56" t="str">
        <f>IFERROR(VLOOKUP(December[[#This Row],[Drug Name6]],'Data Options'!$R$1:$S$100,2,FALSE), " ")</f>
        <v xml:space="preserve"> </v>
      </c>
      <c r="BH145" s="55"/>
      <c r="BI145" s="32"/>
      <c r="BJ145" s="32"/>
      <c r="BK145" s="55"/>
      <c r="BL145" s="32"/>
      <c r="BM145" s="32"/>
      <c r="BN145" s="32"/>
      <c r="BO145" s="32"/>
      <c r="BP145" s="32"/>
      <c r="BQ145" s="31"/>
      <c r="BR145" s="31"/>
      <c r="BS145" s="54"/>
      <c r="BT145" s="56" t="str">
        <f>IFERROR(VLOOKUP(December[[#This Row],[Drug Name7]],'Data Options'!$R$1:$S$100,2,FALSE), " ")</f>
        <v xml:space="preserve"> </v>
      </c>
      <c r="BU145" s="55"/>
      <c r="BV145" s="32"/>
      <c r="BW145" s="32"/>
      <c r="BX145" s="55"/>
      <c r="BY145" s="32"/>
      <c r="BZ145" s="54"/>
      <c r="CA145" s="56" t="str">
        <f>IFERROR(VLOOKUP(December[[#This Row],[Drug Name8]],'Data Options'!$R$1:$S$100,2,FALSE), " ")</f>
        <v xml:space="preserve"> </v>
      </c>
      <c r="CB145" s="55"/>
      <c r="CC145" s="32"/>
      <c r="CD145" s="32"/>
      <c r="CE145" s="55"/>
      <c r="CF145" s="32"/>
      <c r="CG145" s="54"/>
      <c r="CH145" s="56" t="str">
        <f>IFERROR(VLOOKUP(December[[#This Row],[Drug Name9]],'Data Options'!$R$1:$S$100,2,FALSE), " ")</f>
        <v xml:space="preserve"> </v>
      </c>
      <c r="CI145" s="55"/>
      <c r="CJ145" s="32"/>
      <c r="CK145" s="32"/>
      <c r="CL145" s="55"/>
      <c r="CM145" s="32"/>
    </row>
    <row r="146" spans="1:91">
      <c r="A146" s="5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1"/>
      <c r="P146" s="31"/>
      <c r="Q146" s="54"/>
      <c r="R146" s="56" t="str">
        <f>IFERROR(VLOOKUP(December[[#This Row],[Drug Name]],'Data Options'!$R$1:$S$100,2,FALSE), " ")</f>
        <v xml:space="preserve"> </v>
      </c>
      <c r="S146" s="55"/>
      <c r="T146" s="32"/>
      <c r="U146" s="32"/>
      <c r="V146" s="55"/>
      <c r="W146" s="32"/>
      <c r="X146" s="54"/>
      <c r="Y146" s="56" t="str">
        <f>IFERROR(VLOOKUP(December[[#This Row],[Drug Name2]],'Data Options'!$R$1:$S$100,2,FALSE), " ")</f>
        <v xml:space="preserve"> </v>
      </c>
      <c r="Z146" s="55"/>
      <c r="AA146" s="32"/>
      <c r="AB146" s="32"/>
      <c r="AC146" s="55"/>
      <c r="AD146" s="32"/>
      <c r="AE146" s="54"/>
      <c r="AF146" s="56" t="str">
        <f>IFERROR(VLOOKUP(December[[#This Row],[Drug Name3]],'Data Options'!$R$1:$S$100,2,FALSE), " ")</f>
        <v xml:space="preserve"> </v>
      </c>
      <c r="AG146" s="55"/>
      <c r="AH146" s="32"/>
      <c r="AI146" s="32"/>
      <c r="AJ146" s="55"/>
      <c r="AK146" s="32"/>
      <c r="AL146" s="32"/>
      <c r="AM146" s="32"/>
      <c r="AN146" s="32"/>
      <c r="AO146" s="32"/>
      <c r="AP146" s="31"/>
      <c r="AQ146" s="31"/>
      <c r="AR146" s="54"/>
      <c r="AS146" s="56" t="str">
        <f>IFERROR(VLOOKUP(December[[#This Row],[Drug Name4]],'Data Options'!$R$1:$S$100,2,FALSE), " ")</f>
        <v xml:space="preserve"> </v>
      </c>
      <c r="AT146" s="55"/>
      <c r="AU146" s="32"/>
      <c r="AV146" s="32"/>
      <c r="AW146" s="55"/>
      <c r="AX146" s="32"/>
      <c r="AY146" s="54"/>
      <c r="AZ146" s="56" t="str">
        <f>IFERROR(VLOOKUP(December[[#This Row],[Drug Name5]],'Data Options'!$R$1:$S$100,2,FALSE), " ")</f>
        <v xml:space="preserve"> </v>
      </c>
      <c r="BA146" s="55"/>
      <c r="BB146" s="32"/>
      <c r="BC146" s="32"/>
      <c r="BD146" s="55"/>
      <c r="BE146" s="32"/>
      <c r="BF146" s="54"/>
      <c r="BG146" s="56" t="str">
        <f>IFERROR(VLOOKUP(December[[#This Row],[Drug Name6]],'Data Options'!$R$1:$S$100,2,FALSE), " ")</f>
        <v xml:space="preserve"> </v>
      </c>
      <c r="BH146" s="55"/>
      <c r="BI146" s="32"/>
      <c r="BJ146" s="32"/>
      <c r="BK146" s="55"/>
      <c r="BL146" s="32"/>
      <c r="BM146" s="32"/>
      <c r="BN146" s="32"/>
      <c r="BO146" s="32"/>
      <c r="BP146" s="32"/>
      <c r="BQ146" s="31"/>
      <c r="BR146" s="31"/>
      <c r="BS146" s="54"/>
      <c r="BT146" s="56" t="str">
        <f>IFERROR(VLOOKUP(December[[#This Row],[Drug Name7]],'Data Options'!$R$1:$S$100,2,FALSE), " ")</f>
        <v xml:space="preserve"> </v>
      </c>
      <c r="BU146" s="55"/>
      <c r="BV146" s="32"/>
      <c r="BW146" s="32"/>
      <c r="BX146" s="55"/>
      <c r="BY146" s="32"/>
      <c r="BZ146" s="54"/>
      <c r="CA146" s="56" t="str">
        <f>IFERROR(VLOOKUP(December[[#This Row],[Drug Name8]],'Data Options'!$R$1:$S$100,2,FALSE), " ")</f>
        <v xml:space="preserve"> </v>
      </c>
      <c r="CB146" s="55"/>
      <c r="CC146" s="32"/>
      <c r="CD146" s="32"/>
      <c r="CE146" s="55"/>
      <c r="CF146" s="32"/>
      <c r="CG146" s="54"/>
      <c r="CH146" s="56" t="str">
        <f>IFERROR(VLOOKUP(December[[#This Row],[Drug Name9]],'Data Options'!$R$1:$S$100,2,FALSE), " ")</f>
        <v xml:space="preserve"> </v>
      </c>
      <c r="CI146" s="55"/>
      <c r="CJ146" s="32"/>
      <c r="CK146" s="32"/>
      <c r="CL146" s="55"/>
      <c r="CM146" s="32"/>
    </row>
    <row r="147" spans="1:91">
      <c r="A147" s="5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1"/>
      <c r="P147" s="31"/>
      <c r="Q147" s="54"/>
      <c r="R147" s="56" t="str">
        <f>IFERROR(VLOOKUP(December[[#This Row],[Drug Name]],'Data Options'!$R$1:$S$100,2,FALSE), " ")</f>
        <v xml:space="preserve"> </v>
      </c>
      <c r="S147" s="55"/>
      <c r="T147" s="32"/>
      <c r="U147" s="32"/>
      <c r="V147" s="55"/>
      <c r="W147" s="32"/>
      <c r="X147" s="54"/>
      <c r="Y147" s="56" t="str">
        <f>IFERROR(VLOOKUP(December[[#This Row],[Drug Name2]],'Data Options'!$R$1:$S$100,2,FALSE), " ")</f>
        <v xml:space="preserve"> </v>
      </c>
      <c r="Z147" s="55"/>
      <c r="AA147" s="32"/>
      <c r="AB147" s="32"/>
      <c r="AC147" s="55"/>
      <c r="AD147" s="32"/>
      <c r="AE147" s="54"/>
      <c r="AF147" s="56" t="str">
        <f>IFERROR(VLOOKUP(December[[#This Row],[Drug Name3]],'Data Options'!$R$1:$S$100,2,FALSE), " ")</f>
        <v xml:space="preserve"> </v>
      </c>
      <c r="AG147" s="55"/>
      <c r="AH147" s="32"/>
      <c r="AI147" s="32"/>
      <c r="AJ147" s="55"/>
      <c r="AK147" s="32"/>
      <c r="AL147" s="32"/>
      <c r="AM147" s="32"/>
      <c r="AN147" s="32"/>
      <c r="AO147" s="32"/>
      <c r="AP147" s="31"/>
      <c r="AQ147" s="31"/>
      <c r="AR147" s="54"/>
      <c r="AS147" s="56" t="str">
        <f>IFERROR(VLOOKUP(December[[#This Row],[Drug Name4]],'Data Options'!$R$1:$S$100,2,FALSE), " ")</f>
        <v xml:space="preserve"> </v>
      </c>
      <c r="AT147" s="55"/>
      <c r="AU147" s="32"/>
      <c r="AV147" s="32"/>
      <c r="AW147" s="55"/>
      <c r="AX147" s="32"/>
      <c r="AY147" s="54"/>
      <c r="AZ147" s="56" t="str">
        <f>IFERROR(VLOOKUP(December[[#This Row],[Drug Name5]],'Data Options'!$R$1:$S$100,2,FALSE), " ")</f>
        <v xml:space="preserve"> </v>
      </c>
      <c r="BA147" s="55"/>
      <c r="BB147" s="32"/>
      <c r="BC147" s="32"/>
      <c r="BD147" s="55"/>
      <c r="BE147" s="32"/>
      <c r="BF147" s="54"/>
      <c r="BG147" s="56" t="str">
        <f>IFERROR(VLOOKUP(December[[#This Row],[Drug Name6]],'Data Options'!$R$1:$S$100,2,FALSE), " ")</f>
        <v xml:space="preserve"> </v>
      </c>
      <c r="BH147" s="55"/>
      <c r="BI147" s="32"/>
      <c r="BJ147" s="32"/>
      <c r="BK147" s="55"/>
      <c r="BL147" s="32"/>
      <c r="BM147" s="32"/>
      <c r="BN147" s="32"/>
      <c r="BO147" s="32"/>
      <c r="BP147" s="32"/>
      <c r="BQ147" s="31"/>
      <c r="BR147" s="31"/>
      <c r="BS147" s="54"/>
      <c r="BT147" s="56" t="str">
        <f>IFERROR(VLOOKUP(December[[#This Row],[Drug Name7]],'Data Options'!$R$1:$S$100,2,FALSE), " ")</f>
        <v xml:space="preserve"> </v>
      </c>
      <c r="BU147" s="55"/>
      <c r="BV147" s="32"/>
      <c r="BW147" s="32"/>
      <c r="BX147" s="55"/>
      <c r="BY147" s="32"/>
      <c r="BZ147" s="54"/>
      <c r="CA147" s="56" t="str">
        <f>IFERROR(VLOOKUP(December[[#This Row],[Drug Name8]],'Data Options'!$R$1:$S$100,2,FALSE), " ")</f>
        <v xml:space="preserve"> </v>
      </c>
      <c r="CB147" s="55"/>
      <c r="CC147" s="32"/>
      <c r="CD147" s="32"/>
      <c r="CE147" s="55"/>
      <c r="CF147" s="32"/>
      <c r="CG147" s="54"/>
      <c r="CH147" s="56" t="str">
        <f>IFERROR(VLOOKUP(December[[#This Row],[Drug Name9]],'Data Options'!$R$1:$S$100,2,FALSE), " ")</f>
        <v xml:space="preserve"> </v>
      </c>
      <c r="CI147" s="55"/>
      <c r="CJ147" s="32"/>
      <c r="CK147" s="32"/>
      <c r="CL147" s="55"/>
      <c r="CM147" s="32"/>
    </row>
    <row r="148" spans="1:91">
      <c r="A148" s="5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1"/>
      <c r="P148" s="31"/>
      <c r="Q148" s="54"/>
      <c r="R148" s="56" t="str">
        <f>IFERROR(VLOOKUP(December[[#This Row],[Drug Name]],'Data Options'!$R$1:$S$100,2,FALSE), " ")</f>
        <v xml:space="preserve"> </v>
      </c>
      <c r="S148" s="55"/>
      <c r="T148" s="32"/>
      <c r="U148" s="32"/>
      <c r="V148" s="55"/>
      <c r="W148" s="32"/>
      <c r="X148" s="54"/>
      <c r="Y148" s="56" t="str">
        <f>IFERROR(VLOOKUP(December[[#This Row],[Drug Name2]],'Data Options'!$R$1:$S$100,2,FALSE), " ")</f>
        <v xml:space="preserve"> </v>
      </c>
      <c r="Z148" s="55"/>
      <c r="AA148" s="32"/>
      <c r="AB148" s="32"/>
      <c r="AC148" s="55"/>
      <c r="AD148" s="32"/>
      <c r="AE148" s="54"/>
      <c r="AF148" s="56" t="str">
        <f>IFERROR(VLOOKUP(December[[#This Row],[Drug Name3]],'Data Options'!$R$1:$S$100,2,FALSE), " ")</f>
        <v xml:space="preserve"> </v>
      </c>
      <c r="AG148" s="55"/>
      <c r="AH148" s="32"/>
      <c r="AI148" s="32"/>
      <c r="AJ148" s="55"/>
      <c r="AK148" s="32"/>
      <c r="AL148" s="32"/>
      <c r="AM148" s="32"/>
      <c r="AN148" s="32"/>
      <c r="AO148" s="32"/>
      <c r="AP148" s="31"/>
      <c r="AQ148" s="31"/>
      <c r="AR148" s="54"/>
      <c r="AS148" s="56" t="str">
        <f>IFERROR(VLOOKUP(December[[#This Row],[Drug Name4]],'Data Options'!$R$1:$S$100,2,FALSE), " ")</f>
        <v xml:space="preserve"> </v>
      </c>
      <c r="AT148" s="55"/>
      <c r="AU148" s="32"/>
      <c r="AV148" s="32"/>
      <c r="AW148" s="55"/>
      <c r="AX148" s="32"/>
      <c r="AY148" s="54"/>
      <c r="AZ148" s="56" t="str">
        <f>IFERROR(VLOOKUP(December[[#This Row],[Drug Name5]],'Data Options'!$R$1:$S$100,2,FALSE), " ")</f>
        <v xml:space="preserve"> </v>
      </c>
      <c r="BA148" s="55"/>
      <c r="BB148" s="32"/>
      <c r="BC148" s="32"/>
      <c r="BD148" s="55"/>
      <c r="BE148" s="32"/>
      <c r="BF148" s="54"/>
      <c r="BG148" s="56" t="str">
        <f>IFERROR(VLOOKUP(December[[#This Row],[Drug Name6]],'Data Options'!$R$1:$S$100,2,FALSE), " ")</f>
        <v xml:space="preserve"> </v>
      </c>
      <c r="BH148" s="55"/>
      <c r="BI148" s="32"/>
      <c r="BJ148" s="32"/>
      <c r="BK148" s="55"/>
      <c r="BL148" s="32"/>
      <c r="BM148" s="32"/>
      <c r="BN148" s="32"/>
      <c r="BO148" s="32"/>
      <c r="BP148" s="32"/>
      <c r="BQ148" s="31"/>
      <c r="BR148" s="31"/>
      <c r="BS148" s="54"/>
      <c r="BT148" s="56" t="str">
        <f>IFERROR(VLOOKUP(December[[#This Row],[Drug Name7]],'Data Options'!$R$1:$S$100,2,FALSE), " ")</f>
        <v xml:space="preserve"> </v>
      </c>
      <c r="BU148" s="55"/>
      <c r="BV148" s="32"/>
      <c r="BW148" s="32"/>
      <c r="BX148" s="55"/>
      <c r="BY148" s="32"/>
      <c r="BZ148" s="54"/>
      <c r="CA148" s="56" t="str">
        <f>IFERROR(VLOOKUP(December[[#This Row],[Drug Name8]],'Data Options'!$R$1:$S$100,2,FALSE), " ")</f>
        <v xml:space="preserve"> </v>
      </c>
      <c r="CB148" s="55"/>
      <c r="CC148" s="32"/>
      <c r="CD148" s="32"/>
      <c r="CE148" s="55"/>
      <c r="CF148" s="32"/>
      <c r="CG148" s="54"/>
      <c r="CH148" s="56" t="str">
        <f>IFERROR(VLOOKUP(December[[#This Row],[Drug Name9]],'Data Options'!$R$1:$S$100,2,FALSE), " ")</f>
        <v xml:space="preserve"> </v>
      </c>
      <c r="CI148" s="55"/>
      <c r="CJ148" s="32"/>
      <c r="CK148" s="32"/>
      <c r="CL148" s="55"/>
      <c r="CM148" s="32"/>
    </row>
    <row r="149" spans="1:91">
      <c r="A149" s="5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1"/>
      <c r="P149" s="31"/>
      <c r="Q149" s="54"/>
      <c r="R149" s="56" t="str">
        <f>IFERROR(VLOOKUP(December[[#This Row],[Drug Name]],'Data Options'!$R$1:$S$100,2,FALSE), " ")</f>
        <v xml:space="preserve"> </v>
      </c>
      <c r="S149" s="55"/>
      <c r="T149" s="32"/>
      <c r="U149" s="32"/>
      <c r="V149" s="55"/>
      <c r="W149" s="32"/>
      <c r="X149" s="54"/>
      <c r="Y149" s="56" t="str">
        <f>IFERROR(VLOOKUP(December[[#This Row],[Drug Name2]],'Data Options'!$R$1:$S$100,2,FALSE), " ")</f>
        <v xml:space="preserve"> </v>
      </c>
      <c r="Z149" s="55"/>
      <c r="AA149" s="32"/>
      <c r="AB149" s="32"/>
      <c r="AC149" s="55"/>
      <c r="AD149" s="32"/>
      <c r="AE149" s="54"/>
      <c r="AF149" s="56" t="str">
        <f>IFERROR(VLOOKUP(December[[#This Row],[Drug Name3]],'Data Options'!$R$1:$S$100,2,FALSE), " ")</f>
        <v xml:space="preserve"> </v>
      </c>
      <c r="AG149" s="55"/>
      <c r="AH149" s="32"/>
      <c r="AI149" s="32"/>
      <c r="AJ149" s="55"/>
      <c r="AK149" s="32"/>
      <c r="AL149" s="32"/>
      <c r="AM149" s="32"/>
      <c r="AN149" s="32"/>
      <c r="AO149" s="32"/>
      <c r="AP149" s="31"/>
      <c r="AQ149" s="31"/>
      <c r="AR149" s="54"/>
      <c r="AS149" s="56" t="str">
        <f>IFERROR(VLOOKUP(December[[#This Row],[Drug Name4]],'Data Options'!$R$1:$S$100,2,FALSE), " ")</f>
        <v xml:space="preserve"> </v>
      </c>
      <c r="AT149" s="55"/>
      <c r="AU149" s="32"/>
      <c r="AV149" s="32"/>
      <c r="AW149" s="55"/>
      <c r="AX149" s="32"/>
      <c r="AY149" s="54"/>
      <c r="AZ149" s="56" t="str">
        <f>IFERROR(VLOOKUP(December[[#This Row],[Drug Name5]],'Data Options'!$R$1:$S$100,2,FALSE), " ")</f>
        <v xml:space="preserve"> </v>
      </c>
      <c r="BA149" s="55"/>
      <c r="BB149" s="32"/>
      <c r="BC149" s="32"/>
      <c r="BD149" s="55"/>
      <c r="BE149" s="32"/>
      <c r="BF149" s="54"/>
      <c r="BG149" s="56" t="str">
        <f>IFERROR(VLOOKUP(December[[#This Row],[Drug Name6]],'Data Options'!$R$1:$S$100,2,FALSE), " ")</f>
        <v xml:space="preserve"> </v>
      </c>
      <c r="BH149" s="55"/>
      <c r="BI149" s="32"/>
      <c r="BJ149" s="32"/>
      <c r="BK149" s="55"/>
      <c r="BL149" s="32"/>
      <c r="BM149" s="32"/>
      <c r="BN149" s="32"/>
      <c r="BO149" s="32"/>
      <c r="BP149" s="32"/>
      <c r="BQ149" s="31"/>
      <c r="BR149" s="31"/>
      <c r="BS149" s="54"/>
      <c r="BT149" s="56" t="str">
        <f>IFERROR(VLOOKUP(December[[#This Row],[Drug Name7]],'Data Options'!$R$1:$S$100,2,FALSE), " ")</f>
        <v xml:space="preserve"> </v>
      </c>
      <c r="BU149" s="55"/>
      <c r="BV149" s="32"/>
      <c r="BW149" s="32"/>
      <c r="BX149" s="55"/>
      <c r="BY149" s="32"/>
      <c r="BZ149" s="54"/>
      <c r="CA149" s="56" t="str">
        <f>IFERROR(VLOOKUP(December[[#This Row],[Drug Name8]],'Data Options'!$R$1:$S$100,2,FALSE), " ")</f>
        <v xml:space="preserve"> </v>
      </c>
      <c r="CB149" s="55"/>
      <c r="CC149" s="32"/>
      <c r="CD149" s="32"/>
      <c r="CE149" s="55"/>
      <c r="CF149" s="32"/>
      <c r="CG149" s="54"/>
      <c r="CH149" s="56" t="str">
        <f>IFERROR(VLOOKUP(December[[#This Row],[Drug Name9]],'Data Options'!$R$1:$S$100,2,FALSE), " ")</f>
        <v xml:space="preserve"> </v>
      </c>
      <c r="CI149" s="55"/>
      <c r="CJ149" s="32"/>
      <c r="CK149" s="32"/>
      <c r="CL149" s="55"/>
      <c r="CM149" s="32"/>
    </row>
    <row r="150" spans="1:91">
      <c r="A150" s="5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1"/>
      <c r="P150" s="31"/>
      <c r="Q150" s="54"/>
      <c r="R150" s="56" t="str">
        <f>IFERROR(VLOOKUP(December[[#This Row],[Drug Name]],'Data Options'!$R$1:$S$100,2,FALSE), " ")</f>
        <v xml:space="preserve"> </v>
      </c>
      <c r="S150" s="55"/>
      <c r="T150" s="32"/>
      <c r="U150" s="32"/>
      <c r="V150" s="55"/>
      <c r="W150" s="32"/>
      <c r="X150" s="54"/>
      <c r="Y150" s="56" t="str">
        <f>IFERROR(VLOOKUP(December[[#This Row],[Drug Name2]],'Data Options'!$R$1:$S$100,2,FALSE), " ")</f>
        <v xml:space="preserve"> </v>
      </c>
      <c r="Z150" s="55"/>
      <c r="AA150" s="32"/>
      <c r="AB150" s="32"/>
      <c r="AC150" s="55"/>
      <c r="AD150" s="32"/>
      <c r="AE150" s="54"/>
      <c r="AF150" s="56" t="str">
        <f>IFERROR(VLOOKUP(December[[#This Row],[Drug Name3]],'Data Options'!$R$1:$S$100,2,FALSE), " ")</f>
        <v xml:space="preserve"> </v>
      </c>
      <c r="AG150" s="55"/>
      <c r="AH150" s="32"/>
      <c r="AI150" s="32"/>
      <c r="AJ150" s="55"/>
      <c r="AK150" s="32"/>
      <c r="AL150" s="32"/>
      <c r="AM150" s="32"/>
      <c r="AN150" s="32"/>
      <c r="AO150" s="32"/>
      <c r="AP150" s="31"/>
      <c r="AQ150" s="31"/>
      <c r="AR150" s="54"/>
      <c r="AS150" s="56" t="str">
        <f>IFERROR(VLOOKUP(December[[#This Row],[Drug Name4]],'Data Options'!$R$1:$S$100,2,FALSE), " ")</f>
        <v xml:space="preserve"> </v>
      </c>
      <c r="AT150" s="55"/>
      <c r="AU150" s="32"/>
      <c r="AV150" s="32"/>
      <c r="AW150" s="55"/>
      <c r="AX150" s="32"/>
      <c r="AY150" s="54"/>
      <c r="AZ150" s="56" t="str">
        <f>IFERROR(VLOOKUP(December[[#This Row],[Drug Name5]],'Data Options'!$R$1:$S$100,2,FALSE), " ")</f>
        <v xml:space="preserve"> </v>
      </c>
      <c r="BA150" s="55"/>
      <c r="BB150" s="32"/>
      <c r="BC150" s="32"/>
      <c r="BD150" s="55"/>
      <c r="BE150" s="32"/>
      <c r="BF150" s="54"/>
      <c r="BG150" s="56" t="str">
        <f>IFERROR(VLOOKUP(December[[#This Row],[Drug Name6]],'Data Options'!$R$1:$S$100,2,FALSE), " ")</f>
        <v xml:space="preserve"> </v>
      </c>
      <c r="BH150" s="55"/>
      <c r="BI150" s="32"/>
      <c r="BJ150" s="32"/>
      <c r="BK150" s="55"/>
      <c r="BL150" s="32"/>
      <c r="BM150" s="32"/>
      <c r="BN150" s="32"/>
      <c r="BO150" s="32"/>
      <c r="BP150" s="32"/>
      <c r="BQ150" s="31"/>
      <c r="BR150" s="31"/>
      <c r="BS150" s="54"/>
      <c r="BT150" s="56" t="str">
        <f>IFERROR(VLOOKUP(December[[#This Row],[Drug Name7]],'Data Options'!$R$1:$S$100,2,FALSE), " ")</f>
        <v xml:space="preserve"> </v>
      </c>
      <c r="BU150" s="55"/>
      <c r="BV150" s="32"/>
      <c r="BW150" s="32"/>
      <c r="BX150" s="55"/>
      <c r="BY150" s="32"/>
      <c r="BZ150" s="54"/>
      <c r="CA150" s="56" t="str">
        <f>IFERROR(VLOOKUP(December[[#This Row],[Drug Name8]],'Data Options'!$R$1:$S$100,2,FALSE), " ")</f>
        <v xml:space="preserve"> </v>
      </c>
      <c r="CB150" s="55"/>
      <c r="CC150" s="32"/>
      <c r="CD150" s="32"/>
      <c r="CE150" s="55"/>
      <c r="CF150" s="32"/>
      <c r="CG150" s="54"/>
      <c r="CH150" s="56" t="str">
        <f>IFERROR(VLOOKUP(December[[#This Row],[Drug Name9]],'Data Options'!$R$1:$S$100,2,FALSE), " ")</f>
        <v xml:space="preserve"> </v>
      </c>
      <c r="CI150" s="55"/>
      <c r="CJ150" s="32"/>
      <c r="CK150" s="32"/>
      <c r="CL150" s="55"/>
      <c r="CM150" s="32"/>
    </row>
    <row r="151" spans="1:91">
      <c r="A151" s="5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1"/>
      <c r="P151" s="31"/>
      <c r="Q151" s="54"/>
      <c r="R151" s="56" t="str">
        <f>IFERROR(VLOOKUP(December[[#This Row],[Drug Name]],'Data Options'!$R$1:$S$100,2,FALSE), " ")</f>
        <v xml:space="preserve"> </v>
      </c>
      <c r="S151" s="55"/>
      <c r="T151" s="32"/>
      <c r="U151" s="32"/>
      <c r="V151" s="55"/>
      <c r="W151" s="32"/>
      <c r="X151" s="54"/>
      <c r="Y151" s="56" t="str">
        <f>IFERROR(VLOOKUP(December[[#This Row],[Drug Name2]],'Data Options'!$R$1:$S$100,2,FALSE), " ")</f>
        <v xml:space="preserve"> </v>
      </c>
      <c r="Z151" s="55"/>
      <c r="AA151" s="32"/>
      <c r="AB151" s="32"/>
      <c r="AC151" s="55"/>
      <c r="AD151" s="32"/>
      <c r="AE151" s="54"/>
      <c r="AF151" s="56" t="str">
        <f>IFERROR(VLOOKUP(December[[#This Row],[Drug Name3]],'Data Options'!$R$1:$S$100,2,FALSE), " ")</f>
        <v xml:space="preserve"> </v>
      </c>
      <c r="AG151" s="55"/>
      <c r="AH151" s="32"/>
      <c r="AI151" s="32"/>
      <c r="AJ151" s="55"/>
      <c r="AK151" s="32"/>
      <c r="AL151" s="32"/>
      <c r="AM151" s="32"/>
      <c r="AN151" s="32"/>
      <c r="AO151" s="32"/>
      <c r="AP151" s="31"/>
      <c r="AQ151" s="31"/>
      <c r="AR151" s="54"/>
      <c r="AS151" s="56" t="str">
        <f>IFERROR(VLOOKUP(December[[#This Row],[Drug Name4]],'Data Options'!$R$1:$S$100,2,FALSE), " ")</f>
        <v xml:space="preserve"> </v>
      </c>
      <c r="AT151" s="55"/>
      <c r="AU151" s="32"/>
      <c r="AV151" s="32"/>
      <c r="AW151" s="55"/>
      <c r="AX151" s="32"/>
      <c r="AY151" s="54"/>
      <c r="AZ151" s="56" t="str">
        <f>IFERROR(VLOOKUP(December[[#This Row],[Drug Name5]],'Data Options'!$R$1:$S$100,2,FALSE), " ")</f>
        <v xml:space="preserve"> </v>
      </c>
      <c r="BA151" s="55"/>
      <c r="BB151" s="32"/>
      <c r="BC151" s="32"/>
      <c r="BD151" s="55"/>
      <c r="BE151" s="32"/>
      <c r="BF151" s="54"/>
      <c r="BG151" s="56" t="str">
        <f>IFERROR(VLOOKUP(December[[#This Row],[Drug Name6]],'Data Options'!$R$1:$S$100,2,FALSE), " ")</f>
        <v xml:space="preserve"> </v>
      </c>
      <c r="BH151" s="55"/>
      <c r="BI151" s="32"/>
      <c r="BJ151" s="32"/>
      <c r="BK151" s="55"/>
      <c r="BL151" s="32"/>
      <c r="BM151" s="32"/>
      <c r="BN151" s="32"/>
      <c r="BO151" s="32"/>
      <c r="BP151" s="32"/>
      <c r="BQ151" s="31"/>
      <c r="BR151" s="31"/>
      <c r="BS151" s="54"/>
      <c r="BT151" s="56" t="str">
        <f>IFERROR(VLOOKUP(December[[#This Row],[Drug Name7]],'Data Options'!$R$1:$S$100,2,FALSE), " ")</f>
        <v xml:space="preserve"> </v>
      </c>
      <c r="BU151" s="55"/>
      <c r="BV151" s="32"/>
      <c r="BW151" s="32"/>
      <c r="BX151" s="55"/>
      <c r="BY151" s="32"/>
      <c r="BZ151" s="54"/>
      <c r="CA151" s="56" t="str">
        <f>IFERROR(VLOOKUP(December[[#This Row],[Drug Name8]],'Data Options'!$R$1:$S$100,2,FALSE), " ")</f>
        <v xml:space="preserve"> </v>
      </c>
      <c r="CB151" s="55"/>
      <c r="CC151" s="32"/>
      <c r="CD151" s="32"/>
      <c r="CE151" s="55"/>
      <c r="CF151" s="32"/>
      <c r="CG151" s="54"/>
      <c r="CH151" s="56" t="str">
        <f>IFERROR(VLOOKUP(December[[#This Row],[Drug Name9]],'Data Options'!$R$1:$S$100,2,FALSE), " ")</f>
        <v xml:space="preserve"> </v>
      </c>
      <c r="CI151" s="55"/>
      <c r="CJ151" s="32"/>
      <c r="CK151" s="32"/>
      <c r="CL151" s="55"/>
      <c r="CM151" s="32"/>
    </row>
    <row r="152" spans="1:91">
      <c r="A152" s="5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1"/>
      <c r="P152" s="31"/>
      <c r="Q152" s="54"/>
      <c r="R152" s="56" t="str">
        <f>IFERROR(VLOOKUP(December[[#This Row],[Drug Name]],'Data Options'!$R$1:$S$100,2,FALSE), " ")</f>
        <v xml:space="preserve"> </v>
      </c>
      <c r="S152" s="55"/>
      <c r="T152" s="32"/>
      <c r="U152" s="32"/>
      <c r="V152" s="55"/>
      <c r="W152" s="32"/>
      <c r="X152" s="54"/>
      <c r="Y152" s="56" t="str">
        <f>IFERROR(VLOOKUP(December[[#This Row],[Drug Name2]],'Data Options'!$R$1:$S$100,2,FALSE), " ")</f>
        <v xml:space="preserve"> </v>
      </c>
      <c r="Z152" s="55"/>
      <c r="AA152" s="32"/>
      <c r="AB152" s="32"/>
      <c r="AC152" s="55"/>
      <c r="AD152" s="32"/>
      <c r="AE152" s="54"/>
      <c r="AF152" s="56" t="str">
        <f>IFERROR(VLOOKUP(December[[#This Row],[Drug Name3]],'Data Options'!$R$1:$S$100,2,FALSE), " ")</f>
        <v xml:space="preserve"> </v>
      </c>
      <c r="AG152" s="55"/>
      <c r="AH152" s="32"/>
      <c r="AI152" s="32"/>
      <c r="AJ152" s="55"/>
      <c r="AK152" s="32"/>
      <c r="AL152" s="32"/>
      <c r="AM152" s="32"/>
      <c r="AN152" s="32"/>
      <c r="AO152" s="32"/>
      <c r="AP152" s="31"/>
      <c r="AQ152" s="31"/>
      <c r="AR152" s="54"/>
      <c r="AS152" s="56" t="str">
        <f>IFERROR(VLOOKUP(December[[#This Row],[Drug Name4]],'Data Options'!$R$1:$S$100,2,FALSE), " ")</f>
        <v xml:space="preserve"> </v>
      </c>
      <c r="AT152" s="55"/>
      <c r="AU152" s="32"/>
      <c r="AV152" s="32"/>
      <c r="AW152" s="55"/>
      <c r="AX152" s="32"/>
      <c r="AY152" s="54"/>
      <c r="AZ152" s="56" t="str">
        <f>IFERROR(VLOOKUP(December[[#This Row],[Drug Name5]],'Data Options'!$R$1:$S$100,2,FALSE), " ")</f>
        <v xml:space="preserve"> </v>
      </c>
      <c r="BA152" s="55"/>
      <c r="BB152" s="32"/>
      <c r="BC152" s="32"/>
      <c r="BD152" s="55"/>
      <c r="BE152" s="32"/>
      <c r="BF152" s="54"/>
      <c r="BG152" s="56" t="str">
        <f>IFERROR(VLOOKUP(December[[#This Row],[Drug Name6]],'Data Options'!$R$1:$S$100,2,FALSE), " ")</f>
        <v xml:space="preserve"> </v>
      </c>
      <c r="BH152" s="55"/>
      <c r="BI152" s="32"/>
      <c r="BJ152" s="32"/>
      <c r="BK152" s="55"/>
      <c r="BL152" s="32"/>
      <c r="BM152" s="32"/>
      <c r="BN152" s="32"/>
      <c r="BO152" s="32"/>
      <c r="BP152" s="32"/>
      <c r="BQ152" s="31"/>
      <c r="BR152" s="31"/>
      <c r="BS152" s="54"/>
      <c r="BT152" s="56" t="str">
        <f>IFERROR(VLOOKUP(December[[#This Row],[Drug Name7]],'Data Options'!$R$1:$S$100,2,FALSE), " ")</f>
        <v xml:space="preserve"> </v>
      </c>
      <c r="BU152" s="55"/>
      <c r="BV152" s="32"/>
      <c r="BW152" s="32"/>
      <c r="BX152" s="55"/>
      <c r="BY152" s="32"/>
      <c r="BZ152" s="54"/>
      <c r="CA152" s="56" t="str">
        <f>IFERROR(VLOOKUP(December[[#This Row],[Drug Name8]],'Data Options'!$R$1:$S$100,2,FALSE), " ")</f>
        <v xml:space="preserve"> </v>
      </c>
      <c r="CB152" s="55"/>
      <c r="CC152" s="32"/>
      <c r="CD152" s="32"/>
      <c r="CE152" s="55"/>
      <c r="CF152" s="32"/>
      <c r="CG152" s="54"/>
      <c r="CH152" s="56" t="str">
        <f>IFERROR(VLOOKUP(December[[#This Row],[Drug Name9]],'Data Options'!$R$1:$S$100,2,FALSE), " ")</f>
        <v xml:space="preserve"> </v>
      </c>
      <c r="CI152" s="55"/>
      <c r="CJ152" s="32"/>
      <c r="CK152" s="32"/>
      <c r="CL152" s="55"/>
      <c r="CM152" s="32"/>
    </row>
    <row r="153" spans="1:91">
      <c r="A153" s="5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1"/>
      <c r="P153" s="31"/>
      <c r="Q153" s="54"/>
      <c r="R153" s="56" t="str">
        <f>IFERROR(VLOOKUP(December[[#This Row],[Drug Name]],'Data Options'!$R$1:$S$100,2,FALSE), " ")</f>
        <v xml:space="preserve"> </v>
      </c>
      <c r="S153" s="55"/>
      <c r="T153" s="32"/>
      <c r="U153" s="32"/>
      <c r="V153" s="55"/>
      <c r="W153" s="32"/>
      <c r="X153" s="54"/>
      <c r="Y153" s="56" t="str">
        <f>IFERROR(VLOOKUP(December[[#This Row],[Drug Name2]],'Data Options'!$R$1:$S$100,2,FALSE), " ")</f>
        <v xml:space="preserve"> </v>
      </c>
      <c r="Z153" s="55"/>
      <c r="AA153" s="32"/>
      <c r="AB153" s="32"/>
      <c r="AC153" s="55"/>
      <c r="AD153" s="32"/>
      <c r="AE153" s="54"/>
      <c r="AF153" s="56" t="str">
        <f>IFERROR(VLOOKUP(December[[#This Row],[Drug Name3]],'Data Options'!$R$1:$S$100,2,FALSE), " ")</f>
        <v xml:space="preserve"> </v>
      </c>
      <c r="AG153" s="55"/>
      <c r="AH153" s="32"/>
      <c r="AI153" s="32"/>
      <c r="AJ153" s="55"/>
      <c r="AK153" s="32"/>
      <c r="AL153" s="32"/>
      <c r="AM153" s="32"/>
      <c r="AN153" s="32"/>
      <c r="AO153" s="32"/>
      <c r="AP153" s="31"/>
      <c r="AQ153" s="31"/>
      <c r="AR153" s="54"/>
      <c r="AS153" s="56" t="str">
        <f>IFERROR(VLOOKUP(December[[#This Row],[Drug Name4]],'Data Options'!$R$1:$S$100,2,FALSE), " ")</f>
        <v xml:space="preserve"> </v>
      </c>
      <c r="AT153" s="55"/>
      <c r="AU153" s="32"/>
      <c r="AV153" s="32"/>
      <c r="AW153" s="55"/>
      <c r="AX153" s="32"/>
      <c r="AY153" s="54"/>
      <c r="AZ153" s="56" t="str">
        <f>IFERROR(VLOOKUP(December[[#This Row],[Drug Name5]],'Data Options'!$R$1:$S$100,2,FALSE), " ")</f>
        <v xml:space="preserve"> </v>
      </c>
      <c r="BA153" s="55"/>
      <c r="BB153" s="32"/>
      <c r="BC153" s="32"/>
      <c r="BD153" s="55"/>
      <c r="BE153" s="32"/>
      <c r="BF153" s="54"/>
      <c r="BG153" s="56" t="str">
        <f>IFERROR(VLOOKUP(December[[#This Row],[Drug Name6]],'Data Options'!$R$1:$S$100,2,FALSE), " ")</f>
        <v xml:space="preserve"> </v>
      </c>
      <c r="BH153" s="55"/>
      <c r="BI153" s="32"/>
      <c r="BJ153" s="32"/>
      <c r="BK153" s="55"/>
      <c r="BL153" s="32"/>
      <c r="BM153" s="32"/>
      <c r="BN153" s="32"/>
      <c r="BO153" s="32"/>
      <c r="BP153" s="32"/>
      <c r="BQ153" s="31"/>
      <c r="BR153" s="31"/>
      <c r="BS153" s="54"/>
      <c r="BT153" s="56" t="str">
        <f>IFERROR(VLOOKUP(December[[#This Row],[Drug Name7]],'Data Options'!$R$1:$S$100,2,FALSE), " ")</f>
        <v xml:space="preserve"> </v>
      </c>
      <c r="BU153" s="55"/>
      <c r="BV153" s="32"/>
      <c r="BW153" s="32"/>
      <c r="BX153" s="55"/>
      <c r="BY153" s="32"/>
      <c r="BZ153" s="54"/>
      <c r="CA153" s="56" t="str">
        <f>IFERROR(VLOOKUP(December[[#This Row],[Drug Name8]],'Data Options'!$R$1:$S$100,2,FALSE), " ")</f>
        <v xml:space="preserve"> </v>
      </c>
      <c r="CB153" s="55"/>
      <c r="CC153" s="32"/>
      <c r="CD153" s="32"/>
      <c r="CE153" s="55"/>
      <c r="CF153" s="32"/>
      <c r="CG153" s="54"/>
      <c r="CH153" s="56" t="str">
        <f>IFERROR(VLOOKUP(December[[#This Row],[Drug Name9]],'Data Options'!$R$1:$S$100,2,FALSE), " ")</f>
        <v xml:space="preserve"> </v>
      </c>
      <c r="CI153" s="55"/>
      <c r="CJ153" s="32"/>
      <c r="CK153" s="32"/>
      <c r="CL153" s="55"/>
      <c r="CM153" s="32"/>
    </row>
    <row r="154" spans="1:91">
      <c r="A154" s="5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1"/>
      <c r="P154" s="31"/>
      <c r="Q154" s="54"/>
      <c r="R154" s="56" t="str">
        <f>IFERROR(VLOOKUP(December[[#This Row],[Drug Name]],'Data Options'!$R$1:$S$100,2,FALSE), " ")</f>
        <v xml:space="preserve"> </v>
      </c>
      <c r="S154" s="55"/>
      <c r="T154" s="32"/>
      <c r="U154" s="32"/>
      <c r="V154" s="55"/>
      <c r="W154" s="32"/>
      <c r="X154" s="54"/>
      <c r="Y154" s="56" t="str">
        <f>IFERROR(VLOOKUP(December[[#This Row],[Drug Name2]],'Data Options'!$R$1:$S$100,2,FALSE), " ")</f>
        <v xml:space="preserve"> </v>
      </c>
      <c r="Z154" s="55"/>
      <c r="AA154" s="32"/>
      <c r="AB154" s="32"/>
      <c r="AC154" s="55"/>
      <c r="AD154" s="32"/>
      <c r="AE154" s="54"/>
      <c r="AF154" s="56" t="str">
        <f>IFERROR(VLOOKUP(December[[#This Row],[Drug Name3]],'Data Options'!$R$1:$S$100,2,FALSE), " ")</f>
        <v xml:space="preserve"> </v>
      </c>
      <c r="AG154" s="55"/>
      <c r="AH154" s="32"/>
      <c r="AI154" s="32"/>
      <c r="AJ154" s="55"/>
      <c r="AK154" s="32"/>
      <c r="AL154" s="32"/>
      <c r="AM154" s="32"/>
      <c r="AN154" s="32"/>
      <c r="AO154" s="32"/>
      <c r="AP154" s="31"/>
      <c r="AQ154" s="31"/>
      <c r="AR154" s="54"/>
      <c r="AS154" s="56" t="str">
        <f>IFERROR(VLOOKUP(December[[#This Row],[Drug Name4]],'Data Options'!$R$1:$S$100,2,FALSE), " ")</f>
        <v xml:space="preserve"> </v>
      </c>
      <c r="AT154" s="55"/>
      <c r="AU154" s="32"/>
      <c r="AV154" s="32"/>
      <c r="AW154" s="55"/>
      <c r="AX154" s="32"/>
      <c r="AY154" s="54"/>
      <c r="AZ154" s="56" t="str">
        <f>IFERROR(VLOOKUP(December[[#This Row],[Drug Name5]],'Data Options'!$R$1:$S$100,2,FALSE), " ")</f>
        <v xml:space="preserve"> </v>
      </c>
      <c r="BA154" s="55"/>
      <c r="BB154" s="32"/>
      <c r="BC154" s="32"/>
      <c r="BD154" s="55"/>
      <c r="BE154" s="32"/>
      <c r="BF154" s="54"/>
      <c r="BG154" s="56" t="str">
        <f>IFERROR(VLOOKUP(December[[#This Row],[Drug Name6]],'Data Options'!$R$1:$S$100,2,FALSE), " ")</f>
        <v xml:space="preserve"> </v>
      </c>
      <c r="BH154" s="55"/>
      <c r="BI154" s="32"/>
      <c r="BJ154" s="32"/>
      <c r="BK154" s="55"/>
      <c r="BL154" s="32"/>
      <c r="BM154" s="32"/>
      <c r="BN154" s="32"/>
      <c r="BO154" s="32"/>
      <c r="BP154" s="32"/>
      <c r="BQ154" s="31"/>
      <c r="BR154" s="31"/>
      <c r="BS154" s="54"/>
      <c r="BT154" s="56" t="str">
        <f>IFERROR(VLOOKUP(December[[#This Row],[Drug Name7]],'Data Options'!$R$1:$S$100,2,FALSE), " ")</f>
        <v xml:space="preserve"> </v>
      </c>
      <c r="BU154" s="55"/>
      <c r="BV154" s="32"/>
      <c r="BW154" s="32"/>
      <c r="BX154" s="55"/>
      <c r="BY154" s="32"/>
      <c r="BZ154" s="54"/>
      <c r="CA154" s="56" t="str">
        <f>IFERROR(VLOOKUP(December[[#This Row],[Drug Name8]],'Data Options'!$R$1:$S$100,2,FALSE), " ")</f>
        <v xml:space="preserve"> </v>
      </c>
      <c r="CB154" s="55"/>
      <c r="CC154" s="32"/>
      <c r="CD154" s="32"/>
      <c r="CE154" s="55"/>
      <c r="CF154" s="32"/>
      <c r="CG154" s="54"/>
      <c r="CH154" s="56" t="str">
        <f>IFERROR(VLOOKUP(December[[#This Row],[Drug Name9]],'Data Options'!$R$1:$S$100,2,FALSE), " ")</f>
        <v xml:space="preserve"> </v>
      </c>
      <c r="CI154" s="55"/>
      <c r="CJ154" s="32"/>
      <c r="CK154" s="32"/>
      <c r="CL154" s="55"/>
      <c r="CM154" s="32"/>
    </row>
    <row r="155" spans="1:91">
      <c r="A155" s="5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54"/>
      <c r="R155" s="56" t="str">
        <f>IFERROR(VLOOKUP(December[[#This Row],[Drug Name]],'Data Options'!$R$1:$S$100,2,FALSE), " ")</f>
        <v xml:space="preserve"> </v>
      </c>
      <c r="S155" s="55"/>
      <c r="T155" s="32"/>
      <c r="U155" s="32"/>
      <c r="V155" s="55"/>
      <c r="W155" s="32"/>
      <c r="X155" s="54"/>
      <c r="Y155" s="56" t="str">
        <f>IFERROR(VLOOKUP(December[[#This Row],[Drug Name2]],'Data Options'!$R$1:$S$100,2,FALSE), " ")</f>
        <v xml:space="preserve"> </v>
      </c>
      <c r="Z155" s="55"/>
      <c r="AA155" s="32"/>
      <c r="AB155" s="32"/>
      <c r="AC155" s="55"/>
      <c r="AD155" s="32"/>
      <c r="AE155" s="54"/>
      <c r="AF155" s="56" t="str">
        <f>IFERROR(VLOOKUP(December[[#This Row],[Drug Name3]],'Data Options'!$R$1:$S$100,2,FALSE), " ")</f>
        <v xml:space="preserve"> </v>
      </c>
      <c r="AG155" s="55"/>
      <c r="AH155" s="32"/>
      <c r="AI155" s="32"/>
      <c r="AJ155" s="55"/>
      <c r="AK155" s="32"/>
      <c r="AL155" s="32"/>
      <c r="AM155" s="32"/>
      <c r="AN155" s="32"/>
      <c r="AO155" s="32"/>
      <c r="AP155" s="31"/>
      <c r="AQ155" s="31"/>
      <c r="AR155" s="54"/>
      <c r="AS155" s="56" t="str">
        <f>IFERROR(VLOOKUP(December[[#This Row],[Drug Name4]],'Data Options'!$R$1:$S$100,2,FALSE), " ")</f>
        <v xml:space="preserve"> </v>
      </c>
      <c r="AT155" s="55"/>
      <c r="AU155" s="32"/>
      <c r="AV155" s="32"/>
      <c r="AW155" s="55"/>
      <c r="AX155" s="32"/>
      <c r="AY155" s="54"/>
      <c r="AZ155" s="56" t="str">
        <f>IFERROR(VLOOKUP(December[[#This Row],[Drug Name5]],'Data Options'!$R$1:$S$100,2,FALSE), " ")</f>
        <v xml:space="preserve"> </v>
      </c>
      <c r="BA155" s="55"/>
      <c r="BB155" s="32"/>
      <c r="BC155" s="32"/>
      <c r="BD155" s="55"/>
      <c r="BE155" s="32"/>
      <c r="BF155" s="54"/>
      <c r="BG155" s="56" t="str">
        <f>IFERROR(VLOOKUP(December[[#This Row],[Drug Name6]],'Data Options'!$R$1:$S$100,2,FALSE), " ")</f>
        <v xml:space="preserve"> </v>
      </c>
      <c r="BH155" s="55"/>
      <c r="BI155" s="32"/>
      <c r="BJ155" s="32"/>
      <c r="BK155" s="55"/>
      <c r="BL155" s="32"/>
      <c r="BM155" s="32"/>
      <c r="BN155" s="32"/>
      <c r="BO155" s="32"/>
      <c r="BP155" s="32"/>
      <c r="BQ155" s="31"/>
      <c r="BR155" s="31"/>
      <c r="BS155" s="54"/>
      <c r="BT155" s="56" t="str">
        <f>IFERROR(VLOOKUP(December[[#This Row],[Drug Name7]],'Data Options'!$R$1:$S$100,2,FALSE), " ")</f>
        <v xml:space="preserve"> </v>
      </c>
      <c r="BU155" s="55"/>
      <c r="BV155" s="32"/>
      <c r="BW155" s="32"/>
      <c r="BX155" s="55"/>
      <c r="BY155" s="32"/>
      <c r="BZ155" s="54"/>
      <c r="CA155" s="56" t="str">
        <f>IFERROR(VLOOKUP(December[[#This Row],[Drug Name8]],'Data Options'!$R$1:$S$100,2,FALSE), " ")</f>
        <v xml:space="preserve"> </v>
      </c>
      <c r="CB155" s="55"/>
      <c r="CC155" s="32"/>
      <c r="CD155" s="32"/>
      <c r="CE155" s="55"/>
      <c r="CF155" s="32"/>
      <c r="CG155" s="54"/>
      <c r="CH155" s="56" t="str">
        <f>IFERROR(VLOOKUP(December[[#This Row],[Drug Name9]],'Data Options'!$R$1:$S$100,2,FALSE), " ")</f>
        <v xml:space="preserve"> </v>
      </c>
      <c r="CI155" s="55"/>
      <c r="CJ155" s="32"/>
      <c r="CK155" s="32"/>
      <c r="CL155" s="55"/>
      <c r="CM155" s="32"/>
    </row>
    <row r="156" spans="1:91">
      <c r="A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1"/>
      <c r="P156" s="31"/>
      <c r="Q156" s="54"/>
      <c r="R156" s="56" t="str">
        <f>IFERROR(VLOOKUP(December[[#This Row],[Drug Name]],'Data Options'!$R$1:$S$100,2,FALSE), " ")</f>
        <v xml:space="preserve"> </v>
      </c>
      <c r="S156" s="55"/>
      <c r="T156" s="32"/>
      <c r="U156" s="32"/>
      <c r="V156" s="55"/>
      <c r="W156" s="32"/>
      <c r="X156" s="54"/>
      <c r="Y156" s="56" t="str">
        <f>IFERROR(VLOOKUP(December[[#This Row],[Drug Name2]],'Data Options'!$R$1:$S$100,2,FALSE), " ")</f>
        <v xml:space="preserve"> </v>
      </c>
      <c r="Z156" s="55"/>
      <c r="AA156" s="32"/>
      <c r="AB156" s="32"/>
      <c r="AC156" s="55"/>
      <c r="AD156" s="32"/>
      <c r="AE156" s="54"/>
      <c r="AF156" s="56" t="str">
        <f>IFERROR(VLOOKUP(December[[#This Row],[Drug Name3]],'Data Options'!$R$1:$S$100,2,FALSE), " ")</f>
        <v xml:space="preserve"> </v>
      </c>
      <c r="AG156" s="55"/>
      <c r="AH156" s="32"/>
      <c r="AI156" s="32"/>
      <c r="AJ156" s="55"/>
      <c r="AK156" s="32"/>
      <c r="AL156" s="32"/>
      <c r="AM156" s="32"/>
      <c r="AN156" s="32"/>
      <c r="AO156" s="32"/>
      <c r="AP156" s="31"/>
      <c r="AQ156" s="31"/>
      <c r="AR156" s="54"/>
      <c r="AS156" s="56" t="str">
        <f>IFERROR(VLOOKUP(December[[#This Row],[Drug Name4]],'Data Options'!$R$1:$S$100,2,FALSE), " ")</f>
        <v xml:space="preserve"> </v>
      </c>
      <c r="AT156" s="55"/>
      <c r="AU156" s="32"/>
      <c r="AV156" s="32"/>
      <c r="AW156" s="55"/>
      <c r="AX156" s="32"/>
      <c r="AY156" s="54"/>
      <c r="AZ156" s="56" t="str">
        <f>IFERROR(VLOOKUP(December[[#This Row],[Drug Name5]],'Data Options'!$R$1:$S$100,2,FALSE), " ")</f>
        <v xml:space="preserve"> </v>
      </c>
      <c r="BA156" s="55"/>
      <c r="BB156" s="32"/>
      <c r="BC156" s="32"/>
      <c r="BD156" s="55"/>
      <c r="BE156" s="32"/>
      <c r="BF156" s="54"/>
      <c r="BG156" s="56" t="str">
        <f>IFERROR(VLOOKUP(December[[#This Row],[Drug Name6]],'Data Options'!$R$1:$S$100,2,FALSE), " ")</f>
        <v xml:space="preserve"> </v>
      </c>
      <c r="BH156" s="55"/>
      <c r="BI156" s="32"/>
      <c r="BJ156" s="32"/>
      <c r="BK156" s="55"/>
      <c r="BL156" s="32"/>
      <c r="BM156" s="32"/>
      <c r="BN156" s="32"/>
      <c r="BO156" s="32"/>
      <c r="BP156" s="32"/>
      <c r="BQ156" s="31"/>
      <c r="BR156" s="31"/>
      <c r="BS156" s="54"/>
      <c r="BT156" s="56" t="str">
        <f>IFERROR(VLOOKUP(December[[#This Row],[Drug Name7]],'Data Options'!$R$1:$S$100,2,FALSE), " ")</f>
        <v xml:space="preserve"> </v>
      </c>
      <c r="BU156" s="55"/>
      <c r="BV156" s="32"/>
      <c r="BW156" s="32"/>
      <c r="BX156" s="55"/>
      <c r="BY156" s="32"/>
      <c r="BZ156" s="54"/>
      <c r="CA156" s="56" t="str">
        <f>IFERROR(VLOOKUP(December[[#This Row],[Drug Name8]],'Data Options'!$R$1:$S$100,2,FALSE), " ")</f>
        <v xml:space="preserve"> </v>
      </c>
      <c r="CB156" s="55"/>
      <c r="CC156" s="32"/>
      <c r="CD156" s="32"/>
      <c r="CE156" s="55"/>
      <c r="CF156" s="32"/>
      <c r="CG156" s="54"/>
      <c r="CH156" s="56" t="str">
        <f>IFERROR(VLOOKUP(December[[#This Row],[Drug Name9]],'Data Options'!$R$1:$S$100,2,FALSE), " ")</f>
        <v xml:space="preserve"> </v>
      </c>
      <c r="CI156" s="55"/>
      <c r="CJ156" s="32"/>
      <c r="CK156" s="32"/>
      <c r="CL156" s="55"/>
      <c r="CM156" s="32"/>
    </row>
    <row r="157" spans="1:91">
      <c r="A157" s="5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1"/>
      <c r="P157" s="31"/>
      <c r="Q157" s="54"/>
      <c r="R157" s="56" t="str">
        <f>IFERROR(VLOOKUP(December[[#This Row],[Drug Name]],'Data Options'!$R$1:$S$100,2,FALSE), " ")</f>
        <v xml:space="preserve"> </v>
      </c>
      <c r="S157" s="55"/>
      <c r="T157" s="32"/>
      <c r="U157" s="32"/>
      <c r="V157" s="55"/>
      <c r="W157" s="32"/>
      <c r="X157" s="54"/>
      <c r="Y157" s="56" t="str">
        <f>IFERROR(VLOOKUP(December[[#This Row],[Drug Name2]],'Data Options'!$R$1:$S$100,2,FALSE), " ")</f>
        <v xml:space="preserve"> </v>
      </c>
      <c r="Z157" s="55"/>
      <c r="AA157" s="32"/>
      <c r="AB157" s="32"/>
      <c r="AC157" s="55"/>
      <c r="AD157" s="32"/>
      <c r="AE157" s="54"/>
      <c r="AF157" s="56" t="str">
        <f>IFERROR(VLOOKUP(December[[#This Row],[Drug Name3]],'Data Options'!$R$1:$S$100,2,FALSE), " ")</f>
        <v xml:space="preserve"> </v>
      </c>
      <c r="AG157" s="55"/>
      <c r="AH157" s="32"/>
      <c r="AI157" s="32"/>
      <c r="AJ157" s="55"/>
      <c r="AK157" s="32"/>
      <c r="AL157" s="32"/>
      <c r="AM157" s="32"/>
      <c r="AN157" s="32"/>
      <c r="AO157" s="32"/>
      <c r="AP157" s="31"/>
      <c r="AQ157" s="31"/>
      <c r="AR157" s="54"/>
      <c r="AS157" s="56" t="str">
        <f>IFERROR(VLOOKUP(December[[#This Row],[Drug Name4]],'Data Options'!$R$1:$S$100,2,FALSE), " ")</f>
        <v xml:space="preserve"> </v>
      </c>
      <c r="AT157" s="55"/>
      <c r="AU157" s="32"/>
      <c r="AV157" s="32"/>
      <c r="AW157" s="55"/>
      <c r="AX157" s="32"/>
      <c r="AY157" s="54"/>
      <c r="AZ157" s="56" t="str">
        <f>IFERROR(VLOOKUP(December[[#This Row],[Drug Name5]],'Data Options'!$R$1:$S$100,2,FALSE), " ")</f>
        <v xml:space="preserve"> </v>
      </c>
      <c r="BA157" s="55"/>
      <c r="BB157" s="32"/>
      <c r="BC157" s="32"/>
      <c r="BD157" s="55"/>
      <c r="BE157" s="32"/>
      <c r="BF157" s="54"/>
      <c r="BG157" s="56" t="str">
        <f>IFERROR(VLOOKUP(December[[#This Row],[Drug Name6]],'Data Options'!$R$1:$S$100,2,FALSE), " ")</f>
        <v xml:space="preserve"> </v>
      </c>
      <c r="BH157" s="55"/>
      <c r="BI157" s="32"/>
      <c r="BJ157" s="32"/>
      <c r="BK157" s="55"/>
      <c r="BL157" s="32"/>
      <c r="BM157" s="32"/>
      <c r="BN157" s="32"/>
      <c r="BO157" s="32"/>
      <c r="BP157" s="32"/>
      <c r="BQ157" s="31"/>
      <c r="BR157" s="31"/>
      <c r="BS157" s="54"/>
      <c r="BT157" s="56" t="str">
        <f>IFERROR(VLOOKUP(December[[#This Row],[Drug Name7]],'Data Options'!$R$1:$S$100,2,FALSE), " ")</f>
        <v xml:space="preserve"> </v>
      </c>
      <c r="BU157" s="55"/>
      <c r="BV157" s="32"/>
      <c r="BW157" s="32"/>
      <c r="BX157" s="55"/>
      <c r="BY157" s="32"/>
      <c r="BZ157" s="54"/>
      <c r="CA157" s="56" t="str">
        <f>IFERROR(VLOOKUP(December[[#This Row],[Drug Name8]],'Data Options'!$R$1:$S$100,2,FALSE), " ")</f>
        <v xml:space="preserve"> </v>
      </c>
      <c r="CB157" s="55"/>
      <c r="CC157" s="32"/>
      <c r="CD157" s="32"/>
      <c r="CE157" s="55"/>
      <c r="CF157" s="32"/>
      <c r="CG157" s="54"/>
      <c r="CH157" s="56" t="str">
        <f>IFERROR(VLOOKUP(December[[#This Row],[Drug Name9]],'Data Options'!$R$1:$S$100,2,FALSE), " ")</f>
        <v xml:space="preserve"> </v>
      </c>
      <c r="CI157" s="55"/>
      <c r="CJ157" s="32"/>
      <c r="CK157" s="32"/>
      <c r="CL157" s="55"/>
      <c r="CM157" s="32"/>
    </row>
    <row r="158" spans="1:91">
      <c r="A158" s="5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1"/>
      <c r="P158" s="31"/>
      <c r="Q158" s="54"/>
      <c r="R158" s="56" t="str">
        <f>IFERROR(VLOOKUP(December[[#This Row],[Drug Name]],'Data Options'!$R$1:$S$100,2,FALSE), " ")</f>
        <v xml:space="preserve"> </v>
      </c>
      <c r="S158" s="55"/>
      <c r="T158" s="32"/>
      <c r="U158" s="32"/>
      <c r="V158" s="55"/>
      <c r="W158" s="32"/>
      <c r="X158" s="54"/>
      <c r="Y158" s="56" t="str">
        <f>IFERROR(VLOOKUP(December[[#This Row],[Drug Name2]],'Data Options'!$R$1:$S$100,2,FALSE), " ")</f>
        <v xml:space="preserve"> </v>
      </c>
      <c r="Z158" s="55"/>
      <c r="AA158" s="32"/>
      <c r="AB158" s="32"/>
      <c r="AC158" s="55"/>
      <c r="AD158" s="32"/>
      <c r="AE158" s="54"/>
      <c r="AF158" s="56" t="str">
        <f>IFERROR(VLOOKUP(December[[#This Row],[Drug Name3]],'Data Options'!$R$1:$S$100,2,FALSE), " ")</f>
        <v xml:space="preserve"> </v>
      </c>
      <c r="AG158" s="55"/>
      <c r="AH158" s="32"/>
      <c r="AI158" s="32"/>
      <c r="AJ158" s="55"/>
      <c r="AK158" s="32"/>
      <c r="AL158" s="32"/>
      <c r="AM158" s="32"/>
      <c r="AN158" s="32"/>
      <c r="AO158" s="32"/>
      <c r="AP158" s="31"/>
      <c r="AQ158" s="31"/>
      <c r="AR158" s="54"/>
      <c r="AS158" s="56" t="str">
        <f>IFERROR(VLOOKUP(December[[#This Row],[Drug Name4]],'Data Options'!$R$1:$S$100,2,FALSE), " ")</f>
        <v xml:space="preserve"> </v>
      </c>
      <c r="AT158" s="55"/>
      <c r="AU158" s="32"/>
      <c r="AV158" s="32"/>
      <c r="AW158" s="55"/>
      <c r="AX158" s="32"/>
      <c r="AY158" s="54"/>
      <c r="AZ158" s="56" t="str">
        <f>IFERROR(VLOOKUP(December[[#This Row],[Drug Name5]],'Data Options'!$R$1:$S$100,2,FALSE), " ")</f>
        <v xml:space="preserve"> </v>
      </c>
      <c r="BA158" s="55"/>
      <c r="BB158" s="32"/>
      <c r="BC158" s="32"/>
      <c r="BD158" s="55"/>
      <c r="BE158" s="32"/>
      <c r="BF158" s="54"/>
      <c r="BG158" s="56" t="str">
        <f>IFERROR(VLOOKUP(December[[#This Row],[Drug Name6]],'Data Options'!$R$1:$S$100,2,FALSE), " ")</f>
        <v xml:space="preserve"> </v>
      </c>
      <c r="BH158" s="55"/>
      <c r="BI158" s="32"/>
      <c r="BJ158" s="32"/>
      <c r="BK158" s="55"/>
      <c r="BL158" s="32"/>
      <c r="BM158" s="32"/>
      <c r="BN158" s="32"/>
      <c r="BO158" s="32"/>
      <c r="BP158" s="32"/>
      <c r="BQ158" s="31"/>
      <c r="BR158" s="31"/>
      <c r="BS158" s="54"/>
      <c r="BT158" s="56" t="str">
        <f>IFERROR(VLOOKUP(December[[#This Row],[Drug Name7]],'Data Options'!$R$1:$S$100,2,FALSE), " ")</f>
        <v xml:space="preserve"> </v>
      </c>
      <c r="BU158" s="55"/>
      <c r="BV158" s="32"/>
      <c r="BW158" s="32"/>
      <c r="BX158" s="55"/>
      <c r="BY158" s="32"/>
      <c r="BZ158" s="54"/>
      <c r="CA158" s="56" t="str">
        <f>IFERROR(VLOOKUP(December[[#This Row],[Drug Name8]],'Data Options'!$R$1:$S$100,2,FALSE), " ")</f>
        <v xml:space="preserve"> </v>
      </c>
      <c r="CB158" s="55"/>
      <c r="CC158" s="32"/>
      <c r="CD158" s="32"/>
      <c r="CE158" s="55"/>
      <c r="CF158" s="32"/>
      <c r="CG158" s="54"/>
      <c r="CH158" s="56" t="str">
        <f>IFERROR(VLOOKUP(December[[#This Row],[Drug Name9]],'Data Options'!$R$1:$S$100,2,FALSE), " ")</f>
        <v xml:space="preserve"> </v>
      </c>
      <c r="CI158" s="55"/>
      <c r="CJ158" s="32"/>
      <c r="CK158" s="32"/>
      <c r="CL158" s="55"/>
      <c r="CM158" s="32"/>
    </row>
    <row r="159" spans="1:91">
      <c r="A159" s="5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1"/>
      <c r="P159" s="31"/>
      <c r="Q159" s="54"/>
      <c r="R159" s="56" t="str">
        <f>IFERROR(VLOOKUP(December[[#This Row],[Drug Name]],'Data Options'!$R$1:$S$100,2,FALSE), " ")</f>
        <v xml:space="preserve"> </v>
      </c>
      <c r="S159" s="55"/>
      <c r="T159" s="32"/>
      <c r="U159" s="32"/>
      <c r="V159" s="55"/>
      <c r="W159" s="32"/>
      <c r="X159" s="54"/>
      <c r="Y159" s="56" t="str">
        <f>IFERROR(VLOOKUP(December[[#This Row],[Drug Name2]],'Data Options'!$R$1:$S$100,2,FALSE), " ")</f>
        <v xml:space="preserve"> </v>
      </c>
      <c r="Z159" s="55"/>
      <c r="AA159" s="32"/>
      <c r="AB159" s="32"/>
      <c r="AC159" s="55"/>
      <c r="AD159" s="32"/>
      <c r="AE159" s="54"/>
      <c r="AF159" s="56" t="str">
        <f>IFERROR(VLOOKUP(December[[#This Row],[Drug Name3]],'Data Options'!$R$1:$S$100,2,FALSE), " ")</f>
        <v xml:space="preserve"> </v>
      </c>
      <c r="AG159" s="55"/>
      <c r="AH159" s="32"/>
      <c r="AI159" s="32"/>
      <c r="AJ159" s="55"/>
      <c r="AK159" s="32"/>
      <c r="AL159" s="32"/>
      <c r="AM159" s="32"/>
      <c r="AN159" s="32"/>
      <c r="AO159" s="32"/>
      <c r="AP159" s="31"/>
      <c r="AQ159" s="31"/>
      <c r="AR159" s="54"/>
      <c r="AS159" s="56" t="str">
        <f>IFERROR(VLOOKUP(December[[#This Row],[Drug Name4]],'Data Options'!$R$1:$S$100,2,FALSE), " ")</f>
        <v xml:space="preserve"> </v>
      </c>
      <c r="AT159" s="55"/>
      <c r="AU159" s="32"/>
      <c r="AV159" s="32"/>
      <c r="AW159" s="55"/>
      <c r="AX159" s="32"/>
      <c r="AY159" s="54"/>
      <c r="AZ159" s="56" t="str">
        <f>IFERROR(VLOOKUP(December[[#This Row],[Drug Name5]],'Data Options'!$R$1:$S$100,2,FALSE), " ")</f>
        <v xml:space="preserve"> </v>
      </c>
      <c r="BA159" s="55"/>
      <c r="BB159" s="32"/>
      <c r="BC159" s="32"/>
      <c r="BD159" s="55"/>
      <c r="BE159" s="32"/>
      <c r="BF159" s="54"/>
      <c r="BG159" s="56" t="str">
        <f>IFERROR(VLOOKUP(December[[#This Row],[Drug Name6]],'Data Options'!$R$1:$S$100,2,FALSE), " ")</f>
        <v xml:space="preserve"> </v>
      </c>
      <c r="BH159" s="55"/>
      <c r="BI159" s="32"/>
      <c r="BJ159" s="32"/>
      <c r="BK159" s="55"/>
      <c r="BL159" s="32"/>
      <c r="BM159" s="32"/>
      <c r="BN159" s="32"/>
      <c r="BO159" s="32"/>
      <c r="BP159" s="32"/>
      <c r="BQ159" s="31"/>
      <c r="BR159" s="31"/>
      <c r="BS159" s="54"/>
      <c r="BT159" s="56" t="str">
        <f>IFERROR(VLOOKUP(December[[#This Row],[Drug Name7]],'Data Options'!$R$1:$S$100,2,FALSE), " ")</f>
        <v xml:space="preserve"> </v>
      </c>
      <c r="BU159" s="55"/>
      <c r="BV159" s="32"/>
      <c r="BW159" s="32"/>
      <c r="BX159" s="55"/>
      <c r="BY159" s="32"/>
      <c r="BZ159" s="54"/>
      <c r="CA159" s="56" t="str">
        <f>IFERROR(VLOOKUP(December[[#This Row],[Drug Name8]],'Data Options'!$R$1:$S$100,2,FALSE), " ")</f>
        <v xml:space="preserve"> </v>
      </c>
      <c r="CB159" s="55"/>
      <c r="CC159" s="32"/>
      <c r="CD159" s="32"/>
      <c r="CE159" s="55"/>
      <c r="CF159" s="32"/>
      <c r="CG159" s="54"/>
      <c r="CH159" s="56" t="str">
        <f>IFERROR(VLOOKUP(December[[#This Row],[Drug Name9]],'Data Options'!$R$1:$S$100,2,FALSE), " ")</f>
        <v xml:space="preserve"> </v>
      </c>
      <c r="CI159" s="55"/>
      <c r="CJ159" s="32"/>
      <c r="CK159" s="32"/>
      <c r="CL159" s="55"/>
      <c r="CM159" s="32"/>
    </row>
    <row r="160" spans="1:91">
      <c r="A160" s="5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1"/>
      <c r="P160" s="31"/>
      <c r="Q160" s="54"/>
      <c r="R160" s="56" t="str">
        <f>IFERROR(VLOOKUP(December[[#This Row],[Drug Name]],'Data Options'!$R$1:$S$100,2,FALSE), " ")</f>
        <v xml:space="preserve"> </v>
      </c>
      <c r="S160" s="55"/>
      <c r="T160" s="32"/>
      <c r="U160" s="32"/>
      <c r="V160" s="55"/>
      <c r="W160" s="32"/>
      <c r="X160" s="54"/>
      <c r="Y160" s="56" t="str">
        <f>IFERROR(VLOOKUP(December[[#This Row],[Drug Name2]],'Data Options'!$R$1:$S$100,2,FALSE), " ")</f>
        <v xml:space="preserve"> </v>
      </c>
      <c r="Z160" s="55"/>
      <c r="AA160" s="32"/>
      <c r="AB160" s="32"/>
      <c r="AC160" s="55"/>
      <c r="AD160" s="32"/>
      <c r="AE160" s="54"/>
      <c r="AF160" s="56" t="str">
        <f>IFERROR(VLOOKUP(December[[#This Row],[Drug Name3]],'Data Options'!$R$1:$S$100,2,FALSE), " ")</f>
        <v xml:space="preserve"> </v>
      </c>
      <c r="AG160" s="55"/>
      <c r="AH160" s="32"/>
      <c r="AI160" s="32"/>
      <c r="AJ160" s="55"/>
      <c r="AK160" s="32"/>
      <c r="AL160" s="32"/>
      <c r="AM160" s="32"/>
      <c r="AN160" s="32"/>
      <c r="AO160" s="32"/>
      <c r="AP160" s="31"/>
      <c r="AQ160" s="31"/>
      <c r="AR160" s="54"/>
      <c r="AS160" s="56" t="str">
        <f>IFERROR(VLOOKUP(December[[#This Row],[Drug Name4]],'Data Options'!$R$1:$S$100,2,FALSE), " ")</f>
        <v xml:space="preserve"> </v>
      </c>
      <c r="AT160" s="55"/>
      <c r="AU160" s="32"/>
      <c r="AV160" s="32"/>
      <c r="AW160" s="55"/>
      <c r="AX160" s="32"/>
      <c r="AY160" s="54"/>
      <c r="AZ160" s="56" t="str">
        <f>IFERROR(VLOOKUP(December[[#This Row],[Drug Name5]],'Data Options'!$R$1:$S$100,2,FALSE), " ")</f>
        <v xml:space="preserve"> </v>
      </c>
      <c r="BA160" s="55"/>
      <c r="BB160" s="32"/>
      <c r="BC160" s="32"/>
      <c r="BD160" s="55"/>
      <c r="BE160" s="32"/>
      <c r="BF160" s="54"/>
      <c r="BG160" s="56" t="str">
        <f>IFERROR(VLOOKUP(December[[#This Row],[Drug Name6]],'Data Options'!$R$1:$S$100,2,FALSE), " ")</f>
        <v xml:space="preserve"> </v>
      </c>
      <c r="BH160" s="55"/>
      <c r="BI160" s="32"/>
      <c r="BJ160" s="32"/>
      <c r="BK160" s="55"/>
      <c r="BL160" s="32"/>
      <c r="BM160" s="32"/>
      <c r="BN160" s="32"/>
      <c r="BO160" s="32"/>
      <c r="BP160" s="32"/>
      <c r="BQ160" s="31"/>
      <c r="BR160" s="31"/>
      <c r="BS160" s="54"/>
      <c r="BT160" s="56" t="str">
        <f>IFERROR(VLOOKUP(December[[#This Row],[Drug Name7]],'Data Options'!$R$1:$S$100,2,FALSE), " ")</f>
        <v xml:space="preserve"> </v>
      </c>
      <c r="BU160" s="55"/>
      <c r="BV160" s="32"/>
      <c r="BW160" s="32"/>
      <c r="BX160" s="55"/>
      <c r="BY160" s="32"/>
      <c r="BZ160" s="54"/>
      <c r="CA160" s="56" t="str">
        <f>IFERROR(VLOOKUP(December[[#This Row],[Drug Name8]],'Data Options'!$R$1:$S$100,2,FALSE), " ")</f>
        <v xml:space="preserve"> </v>
      </c>
      <c r="CB160" s="55"/>
      <c r="CC160" s="32"/>
      <c r="CD160" s="32"/>
      <c r="CE160" s="55"/>
      <c r="CF160" s="32"/>
      <c r="CG160" s="54"/>
      <c r="CH160" s="56" t="str">
        <f>IFERROR(VLOOKUP(December[[#This Row],[Drug Name9]],'Data Options'!$R$1:$S$100,2,FALSE), " ")</f>
        <v xml:space="preserve"> </v>
      </c>
      <c r="CI160" s="55"/>
      <c r="CJ160" s="32"/>
      <c r="CK160" s="32"/>
      <c r="CL160" s="55"/>
      <c r="CM160" s="32"/>
    </row>
    <row r="161" spans="1:91">
      <c r="A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1"/>
      <c r="P161" s="31"/>
      <c r="Q161" s="54"/>
      <c r="R161" s="56" t="str">
        <f>IFERROR(VLOOKUP(December[[#This Row],[Drug Name]],'Data Options'!$R$1:$S$100,2,FALSE), " ")</f>
        <v xml:space="preserve"> </v>
      </c>
      <c r="S161" s="55"/>
      <c r="T161" s="32"/>
      <c r="U161" s="32"/>
      <c r="V161" s="55"/>
      <c r="W161" s="32"/>
      <c r="X161" s="54"/>
      <c r="Y161" s="56" t="str">
        <f>IFERROR(VLOOKUP(December[[#This Row],[Drug Name2]],'Data Options'!$R$1:$S$100,2,FALSE), " ")</f>
        <v xml:space="preserve"> </v>
      </c>
      <c r="Z161" s="55"/>
      <c r="AA161" s="32"/>
      <c r="AB161" s="32"/>
      <c r="AC161" s="55"/>
      <c r="AD161" s="32"/>
      <c r="AE161" s="54"/>
      <c r="AF161" s="56" t="str">
        <f>IFERROR(VLOOKUP(December[[#This Row],[Drug Name3]],'Data Options'!$R$1:$S$100,2,FALSE), " ")</f>
        <v xml:space="preserve"> </v>
      </c>
      <c r="AG161" s="55"/>
      <c r="AH161" s="32"/>
      <c r="AI161" s="32"/>
      <c r="AJ161" s="55"/>
      <c r="AK161" s="32"/>
      <c r="AL161" s="32"/>
      <c r="AM161" s="32"/>
      <c r="AN161" s="32"/>
      <c r="AO161" s="32"/>
      <c r="AP161" s="31"/>
      <c r="AQ161" s="31"/>
      <c r="AR161" s="54"/>
      <c r="AS161" s="56" t="str">
        <f>IFERROR(VLOOKUP(December[[#This Row],[Drug Name4]],'Data Options'!$R$1:$S$100,2,FALSE), " ")</f>
        <v xml:space="preserve"> </v>
      </c>
      <c r="AT161" s="55"/>
      <c r="AU161" s="32"/>
      <c r="AV161" s="32"/>
      <c r="AW161" s="55"/>
      <c r="AX161" s="32"/>
      <c r="AY161" s="54"/>
      <c r="AZ161" s="56" t="str">
        <f>IFERROR(VLOOKUP(December[[#This Row],[Drug Name5]],'Data Options'!$R$1:$S$100,2,FALSE), " ")</f>
        <v xml:space="preserve"> </v>
      </c>
      <c r="BA161" s="55"/>
      <c r="BB161" s="32"/>
      <c r="BC161" s="32"/>
      <c r="BD161" s="55"/>
      <c r="BE161" s="32"/>
      <c r="BF161" s="54"/>
      <c r="BG161" s="56" t="str">
        <f>IFERROR(VLOOKUP(December[[#This Row],[Drug Name6]],'Data Options'!$R$1:$S$100,2,FALSE), " ")</f>
        <v xml:space="preserve"> </v>
      </c>
      <c r="BH161" s="55"/>
      <c r="BI161" s="32"/>
      <c r="BJ161" s="32"/>
      <c r="BK161" s="55"/>
      <c r="BL161" s="32"/>
      <c r="BM161" s="32"/>
      <c r="BN161" s="32"/>
      <c r="BO161" s="32"/>
      <c r="BP161" s="32"/>
      <c r="BQ161" s="31"/>
      <c r="BR161" s="31"/>
      <c r="BS161" s="54"/>
      <c r="BT161" s="56" t="str">
        <f>IFERROR(VLOOKUP(December[[#This Row],[Drug Name7]],'Data Options'!$R$1:$S$100,2,FALSE), " ")</f>
        <v xml:space="preserve"> </v>
      </c>
      <c r="BU161" s="55"/>
      <c r="BV161" s="32"/>
      <c r="BW161" s="32"/>
      <c r="BX161" s="55"/>
      <c r="BY161" s="32"/>
      <c r="BZ161" s="54"/>
      <c r="CA161" s="56" t="str">
        <f>IFERROR(VLOOKUP(December[[#This Row],[Drug Name8]],'Data Options'!$R$1:$S$100,2,FALSE), " ")</f>
        <v xml:space="preserve"> </v>
      </c>
      <c r="CB161" s="55"/>
      <c r="CC161" s="32"/>
      <c r="CD161" s="32"/>
      <c r="CE161" s="55"/>
      <c r="CF161" s="32"/>
      <c r="CG161" s="54"/>
      <c r="CH161" s="56" t="str">
        <f>IFERROR(VLOOKUP(December[[#This Row],[Drug Name9]],'Data Options'!$R$1:$S$100,2,FALSE), " ")</f>
        <v xml:space="preserve"> </v>
      </c>
      <c r="CI161" s="55"/>
      <c r="CJ161" s="32"/>
      <c r="CK161" s="32"/>
      <c r="CL161" s="55"/>
      <c r="CM161" s="32"/>
    </row>
    <row r="162" spans="1:91">
      <c r="A162" s="5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1"/>
      <c r="P162" s="31"/>
      <c r="Q162" s="54"/>
      <c r="R162" s="56" t="str">
        <f>IFERROR(VLOOKUP(December[[#This Row],[Drug Name]],'Data Options'!$R$1:$S$100,2,FALSE), " ")</f>
        <v xml:space="preserve"> </v>
      </c>
      <c r="S162" s="55"/>
      <c r="T162" s="32"/>
      <c r="U162" s="32"/>
      <c r="V162" s="55"/>
      <c r="W162" s="32"/>
      <c r="X162" s="54"/>
      <c r="Y162" s="56" t="str">
        <f>IFERROR(VLOOKUP(December[[#This Row],[Drug Name2]],'Data Options'!$R$1:$S$100,2,FALSE), " ")</f>
        <v xml:space="preserve"> </v>
      </c>
      <c r="Z162" s="55"/>
      <c r="AA162" s="32"/>
      <c r="AB162" s="32"/>
      <c r="AC162" s="55"/>
      <c r="AD162" s="32"/>
      <c r="AE162" s="54"/>
      <c r="AF162" s="56" t="str">
        <f>IFERROR(VLOOKUP(December[[#This Row],[Drug Name3]],'Data Options'!$R$1:$S$100,2,FALSE), " ")</f>
        <v xml:space="preserve"> </v>
      </c>
      <c r="AG162" s="55"/>
      <c r="AH162" s="32"/>
      <c r="AI162" s="32"/>
      <c r="AJ162" s="55"/>
      <c r="AK162" s="32"/>
      <c r="AL162" s="32"/>
      <c r="AM162" s="32"/>
      <c r="AN162" s="32"/>
      <c r="AO162" s="32"/>
      <c r="AP162" s="31"/>
      <c r="AQ162" s="31"/>
      <c r="AR162" s="54"/>
      <c r="AS162" s="56" t="str">
        <f>IFERROR(VLOOKUP(December[[#This Row],[Drug Name4]],'Data Options'!$R$1:$S$100,2,FALSE), " ")</f>
        <v xml:space="preserve"> </v>
      </c>
      <c r="AT162" s="55"/>
      <c r="AU162" s="32"/>
      <c r="AV162" s="32"/>
      <c r="AW162" s="55"/>
      <c r="AX162" s="32"/>
      <c r="AY162" s="54"/>
      <c r="AZ162" s="56" t="str">
        <f>IFERROR(VLOOKUP(December[[#This Row],[Drug Name5]],'Data Options'!$R$1:$S$100,2,FALSE), " ")</f>
        <v xml:space="preserve"> </v>
      </c>
      <c r="BA162" s="55"/>
      <c r="BB162" s="32"/>
      <c r="BC162" s="32"/>
      <c r="BD162" s="55"/>
      <c r="BE162" s="32"/>
      <c r="BF162" s="54"/>
      <c r="BG162" s="56" t="str">
        <f>IFERROR(VLOOKUP(December[[#This Row],[Drug Name6]],'Data Options'!$R$1:$S$100,2,FALSE), " ")</f>
        <v xml:space="preserve"> </v>
      </c>
      <c r="BH162" s="55"/>
      <c r="BI162" s="32"/>
      <c r="BJ162" s="32"/>
      <c r="BK162" s="55"/>
      <c r="BL162" s="32"/>
      <c r="BM162" s="32"/>
      <c r="BN162" s="32"/>
      <c r="BO162" s="32"/>
      <c r="BP162" s="32"/>
      <c r="BQ162" s="31"/>
      <c r="BR162" s="31"/>
      <c r="BS162" s="54"/>
      <c r="BT162" s="56" t="str">
        <f>IFERROR(VLOOKUP(December[[#This Row],[Drug Name7]],'Data Options'!$R$1:$S$100,2,FALSE), " ")</f>
        <v xml:space="preserve"> </v>
      </c>
      <c r="BU162" s="55"/>
      <c r="BV162" s="32"/>
      <c r="BW162" s="32"/>
      <c r="BX162" s="55"/>
      <c r="BY162" s="32"/>
      <c r="BZ162" s="54"/>
      <c r="CA162" s="56" t="str">
        <f>IFERROR(VLOOKUP(December[[#This Row],[Drug Name8]],'Data Options'!$R$1:$S$100,2,FALSE), " ")</f>
        <v xml:space="preserve"> </v>
      </c>
      <c r="CB162" s="55"/>
      <c r="CC162" s="32"/>
      <c r="CD162" s="32"/>
      <c r="CE162" s="55"/>
      <c r="CF162" s="32"/>
      <c r="CG162" s="54"/>
      <c r="CH162" s="56" t="str">
        <f>IFERROR(VLOOKUP(December[[#This Row],[Drug Name9]],'Data Options'!$R$1:$S$100,2,FALSE), " ")</f>
        <v xml:space="preserve"> </v>
      </c>
      <c r="CI162" s="55"/>
      <c r="CJ162" s="32"/>
      <c r="CK162" s="32"/>
      <c r="CL162" s="55"/>
      <c r="CM162" s="32"/>
    </row>
    <row r="163" spans="1:91">
      <c r="A163" s="5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1"/>
      <c r="P163" s="31"/>
      <c r="Q163" s="54"/>
      <c r="R163" s="56" t="str">
        <f>IFERROR(VLOOKUP(December[[#This Row],[Drug Name]],'Data Options'!$R$1:$S$100,2,FALSE), " ")</f>
        <v xml:space="preserve"> </v>
      </c>
      <c r="S163" s="55"/>
      <c r="T163" s="32"/>
      <c r="U163" s="32"/>
      <c r="V163" s="55"/>
      <c r="W163" s="32"/>
      <c r="X163" s="54"/>
      <c r="Y163" s="56" t="str">
        <f>IFERROR(VLOOKUP(December[[#This Row],[Drug Name2]],'Data Options'!$R$1:$S$100,2,FALSE), " ")</f>
        <v xml:space="preserve"> </v>
      </c>
      <c r="Z163" s="55"/>
      <c r="AA163" s="32"/>
      <c r="AB163" s="32"/>
      <c r="AC163" s="55"/>
      <c r="AD163" s="32"/>
      <c r="AE163" s="54"/>
      <c r="AF163" s="56" t="str">
        <f>IFERROR(VLOOKUP(December[[#This Row],[Drug Name3]],'Data Options'!$R$1:$S$100,2,FALSE), " ")</f>
        <v xml:space="preserve"> </v>
      </c>
      <c r="AG163" s="55"/>
      <c r="AH163" s="32"/>
      <c r="AI163" s="32"/>
      <c r="AJ163" s="55"/>
      <c r="AK163" s="32"/>
      <c r="AL163" s="32"/>
      <c r="AM163" s="32"/>
      <c r="AN163" s="32"/>
      <c r="AO163" s="32"/>
      <c r="AP163" s="31"/>
      <c r="AQ163" s="31"/>
      <c r="AR163" s="54"/>
      <c r="AS163" s="56" t="str">
        <f>IFERROR(VLOOKUP(December[[#This Row],[Drug Name4]],'Data Options'!$R$1:$S$100,2,FALSE), " ")</f>
        <v xml:space="preserve"> </v>
      </c>
      <c r="AT163" s="55"/>
      <c r="AU163" s="32"/>
      <c r="AV163" s="32"/>
      <c r="AW163" s="55"/>
      <c r="AX163" s="32"/>
      <c r="AY163" s="54"/>
      <c r="AZ163" s="56" t="str">
        <f>IFERROR(VLOOKUP(December[[#This Row],[Drug Name5]],'Data Options'!$R$1:$S$100,2,FALSE), " ")</f>
        <v xml:space="preserve"> </v>
      </c>
      <c r="BA163" s="55"/>
      <c r="BB163" s="32"/>
      <c r="BC163" s="32"/>
      <c r="BD163" s="55"/>
      <c r="BE163" s="32"/>
      <c r="BF163" s="54"/>
      <c r="BG163" s="56" t="str">
        <f>IFERROR(VLOOKUP(December[[#This Row],[Drug Name6]],'Data Options'!$R$1:$S$100,2,FALSE), " ")</f>
        <v xml:space="preserve"> </v>
      </c>
      <c r="BH163" s="55"/>
      <c r="BI163" s="32"/>
      <c r="BJ163" s="32"/>
      <c r="BK163" s="55"/>
      <c r="BL163" s="32"/>
      <c r="BM163" s="32"/>
      <c r="BN163" s="32"/>
      <c r="BO163" s="32"/>
      <c r="BP163" s="32"/>
      <c r="BQ163" s="31"/>
      <c r="BR163" s="31"/>
      <c r="BS163" s="54"/>
      <c r="BT163" s="56" t="str">
        <f>IFERROR(VLOOKUP(December[[#This Row],[Drug Name7]],'Data Options'!$R$1:$S$100,2,FALSE), " ")</f>
        <v xml:space="preserve"> </v>
      </c>
      <c r="BU163" s="55"/>
      <c r="BV163" s="32"/>
      <c r="BW163" s="32"/>
      <c r="BX163" s="55"/>
      <c r="BY163" s="32"/>
      <c r="BZ163" s="54"/>
      <c r="CA163" s="56" t="str">
        <f>IFERROR(VLOOKUP(December[[#This Row],[Drug Name8]],'Data Options'!$R$1:$S$100,2,FALSE), " ")</f>
        <v xml:space="preserve"> </v>
      </c>
      <c r="CB163" s="55"/>
      <c r="CC163" s="32"/>
      <c r="CD163" s="32"/>
      <c r="CE163" s="55"/>
      <c r="CF163" s="32"/>
      <c r="CG163" s="54"/>
      <c r="CH163" s="56" t="str">
        <f>IFERROR(VLOOKUP(December[[#This Row],[Drug Name9]],'Data Options'!$R$1:$S$100,2,FALSE), " ")</f>
        <v xml:space="preserve"> </v>
      </c>
      <c r="CI163" s="55"/>
      <c r="CJ163" s="32"/>
      <c r="CK163" s="32"/>
      <c r="CL163" s="55"/>
      <c r="CM163" s="32"/>
    </row>
    <row r="164" spans="1:91">
      <c r="A164" s="5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1"/>
      <c r="P164" s="31"/>
      <c r="Q164" s="54"/>
      <c r="R164" s="56" t="str">
        <f>IFERROR(VLOOKUP(December[[#This Row],[Drug Name]],'Data Options'!$R$1:$S$100,2,FALSE), " ")</f>
        <v xml:space="preserve"> </v>
      </c>
      <c r="S164" s="55"/>
      <c r="T164" s="32"/>
      <c r="U164" s="32"/>
      <c r="V164" s="55"/>
      <c r="W164" s="32"/>
      <c r="X164" s="54"/>
      <c r="Y164" s="56" t="str">
        <f>IFERROR(VLOOKUP(December[[#This Row],[Drug Name2]],'Data Options'!$R$1:$S$100,2,FALSE), " ")</f>
        <v xml:space="preserve"> </v>
      </c>
      <c r="Z164" s="55"/>
      <c r="AA164" s="32"/>
      <c r="AB164" s="32"/>
      <c r="AC164" s="55"/>
      <c r="AD164" s="32"/>
      <c r="AE164" s="54"/>
      <c r="AF164" s="56" t="str">
        <f>IFERROR(VLOOKUP(December[[#This Row],[Drug Name3]],'Data Options'!$R$1:$S$100,2,FALSE), " ")</f>
        <v xml:space="preserve"> </v>
      </c>
      <c r="AG164" s="55"/>
      <c r="AH164" s="32"/>
      <c r="AI164" s="32"/>
      <c r="AJ164" s="55"/>
      <c r="AK164" s="32"/>
      <c r="AL164" s="32"/>
      <c r="AM164" s="32"/>
      <c r="AN164" s="32"/>
      <c r="AO164" s="32"/>
      <c r="AP164" s="31"/>
      <c r="AQ164" s="31"/>
      <c r="AR164" s="54"/>
      <c r="AS164" s="56" t="str">
        <f>IFERROR(VLOOKUP(December[[#This Row],[Drug Name4]],'Data Options'!$R$1:$S$100,2,FALSE), " ")</f>
        <v xml:space="preserve"> </v>
      </c>
      <c r="AT164" s="55"/>
      <c r="AU164" s="32"/>
      <c r="AV164" s="32"/>
      <c r="AW164" s="55"/>
      <c r="AX164" s="32"/>
      <c r="AY164" s="54"/>
      <c r="AZ164" s="56" t="str">
        <f>IFERROR(VLOOKUP(December[[#This Row],[Drug Name5]],'Data Options'!$R$1:$S$100,2,FALSE), " ")</f>
        <v xml:space="preserve"> </v>
      </c>
      <c r="BA164" s="55"/>
      <c r="BB164" s="32"/>
      <c r="BC164" s="32"/>
      <c r="BD164" s="55"/>
      <c r="BE164" s="32"/>
      <c r="BF164" s="54"/>
      <c r="BG164" s="56" t="str">
        <f>IFERROR(VLOOKUP(December[[#This Row],[Drug Name6]],'Data Options'!$R$1:$S$100,2,FALSE), " ")</f>
        <v xml:space="preserve"> </v>
      </c>
      <c r="BH164" s="55"/>
      <c r="BI164" s="32"/>
      <c r="BJ164" s="32"/>
      <c r="BK164" s="55"/>
      <c r="BL164" s="32"/>
      <c r="BM164" s="32"/>
      <c r="BN164" s="32"/>
      <c r="BO164" s="32"/>
      <c r="BP164" s="32"/>
      <c r="BQ164" s="31"/>
      <c r="BR164" s="31"/>
      <c r="BS164" s="54"/>
      <c r="BT164" s="56" t="str">
        <f>IFERROR(VLOOKUP(December[[#This Row],[Drug Name7]],'Data Options'!$R$1:$S$100,2,FALSE), " ")</f>
        <v xml:space="preserve"> </v>
      </c>
      <c r="BU164" s="55"/>
      <c r="BV164" s="32"/>
      <c r="BW164" s="32"/>
      <c r="BX164" s="55"/>
      <c r="BY164" s="32"/>
      <c r="BZ164" s="54"/>
      <c r="CA164" s="56" t="str">
        <f>IFERROR(VLOOKUP(December[[#This Row],[Drug Name8]],'Data Options'!$R$1:$S$100,2,FALSE), " ")</f>
        <v xml:space="preserve"> </v>
      </c>
      <c r="CB164" s="55"/>
      <c r="CC164" s="32"/>
      <c r="CD164" s="32"/>
      <c r="CE164" s="55"/>
      <c r="CF164" s="32"/>
      <c r="CG164" s="54"/>
      <c r="CH164" s="56" t="str">
        <f>IFERROR(VLOOKUP(December[[#This Row],[Drug Name9]],'Data Options'!$R$1:$S$100,2,FALSE), " ")</f>
        <v xml:space="preserve"> </v>
      </c>
      <c r="CI164" s="55"/>
      <c r="CJ164" s="32"/>
      <c r="CK164" s="32"/>
      <c r="CL164" s="55"/>
      <c r="CM164" s="32"/>
    </row>
    <row r="165" spans="1:91">
      <c r="A165" s="5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1"/>
      <c r="P165" s="31"/>
      <c r="Q165" s="54"/>
      <c r="R165" s="56" t="str">
        <f>IFERROR(VLOOKUP(December[[#This Row],[Drug Name]],'Data Options'!$R$1:$S$100,2,FALSE), " ")</f>
        <v xml:space="preserve"> </v>
      </c>
      <c r="S165" s="55"/>
      <c r="T165" s="32"/>
      <c r="U165" s="32"/>
      <c r="V165" s="55"/>
      <c r="W165" s="32"/>
      <c r="X165" s="54"/>
      <c r="Y165" s="56" t="str">
        <f>IFERROR(VLOOKUP(December[[#This Row],[Drug Name2]],'Data Options'!$R$1:$S$100,2,FALSE), " ")</f>
        <v xml:space="preserve"> </v>
      </c>
      <c r="Z165" s="55"/>
      <c r="AA165" s="32"/>
      <c r="AB165" s="32"/>
      <c r="AC165" s="55"/>
      <c r="AD165" s="32"/>
      <c r="AE165" s="54"/>
      <c r="AF165" s="56" t="str">
        <f>IFERROR(VLOOKUP(December[[#This Row],[Drug Name3]],'Data Options'!$R$1:$S$100,2,FALSE), " ")</f>
        <v xml:space="preserve"> </v>
      </c>
      <c r="AG165" s="55"/>
      <c r="AH165" s="32"/>
      <c r="AI165" s="32"/>
      <c r="AJ165" s="55"/>
      <c r="AK165" s="32"/>
      <c r="AL165" s="32"/>
      <c r="AM165" s="32"/>
      <c r="AN165" s="32"/>
      <c r="AO165" s="32"/>
      <c r="AP165" s="31"/>
      <c r="AQ165" s="31"/>
      <c r="AR165" s="54"/>
      <c r="AS165" s="56" t="str">
        <f>IFERROR(VLOOKUP(December[[#This Row],[Drug Name4]],'Data Options'!$R$1:$S$100,2,FALSE), " ")</f>
        <v xml:space="preserve"> </v>
      </c>
      <c r="AT165" s="55"/>
      <c r="AU165" s="32"/>
      <c r="AV165" s="32"/>
      <c r="AW165" s="55"/>
      <c r="AX165" s="32"/>
      <c r="AY165" s="54"/>
      <c r="AZ165" s="56" t="str">
        <f>IFERROR(VLOOKUP(December[[#This Row],[Drug Name5]],'Data Options'!$R$1:$S$100,2,FALSE), " ")</f>
        <v xml:space="preserve"> </v>
      </c>
      <c r="BA165" s="55"/>
      <c r="BB165" s="32"/>
      <c r="BC165" s="32"/>
      <c r="BD165" s="55"/>
      <c r="BE165" s="32"/>
      <c r="BF165" s="54"/>
      <c r="BG165" s="56" t="str">
        <f>IFERROR(VLOOKUP(December[[#This Row],[Drug Name6]],'Data Options'!$R$1:$S$100,2,FALSE), " ")</f>
        <v xml:space="preserve"> </v>
      </c>
      <c r="BH165" s="55"/>
      <c r="BI165" s="32"/>
      <c r="BJ165" s="32"/>
      <c r="BK165" s="55"/>
      <c r="BL165" s="32"/>
      <c r="BM165" s="32"/>
      <c r="BN165" s="32"/>
      <c r="BO165" s="32"/>
      <c r="BP165" s="32"/>
      <c r="BQ165" s="31"/>
      <c r="BR165" s="31"/>
      <c r="BS165" s="54"/>
      <c r="BT165" s="56" t="str">
        <f>IFERROR(VLOOKUP(December[[#This Row],[Drug Name7]],'Data Options'!$R$1:$S$100,2,FALSE), " ")</f>
        <v xml:space="preserve"> </v>
      </c>
      <c r="BU165" s="55"/>
      <c r="BV165" s="32"/>
      <c r="BW165" s="32"/>
      <c r="BX165" s="55"/>
      <c r="BY165" s="32"/>
      <c r="BZ165" s="54"/>
      <c r="CA165" s="56" t="str">
        <f>IFERROR(VLOOKUP(December[[#This Row],[Drug Name8]],'Data Options'!$R$1:$S$100,2,FALSE), " ")</f>
        <v xml:space="preserve"> </v>
      </c>
      <c r="CB165" s="55"/>
      <c r="CC165" s="32"/>
      <c r="CD165" s="32"/>
      <c r="CE165" s="55"/>
      <c r="CF165" s="32"/>
      <c r="CG165" s="54"/>
      <c r="CH165" s="56" t="str">
        <f>IFERROR(VLOOKUP(December[[#This Row],[Drug Name9]],'Data Options'!$R$1:$S$100,2,FALSE), " ")</f>
        <v xml:space="preserve"> </v>
      </c>
      <c r="CI165" s="55"/>
      <c r="CJ165" s="32"/>
      <c r="CK165" s="32"/>
      <c r="CL165" s="55"/>
      <c r="CM165" s="32"/>
    </row>
    <row r="166" spans="1:91">
      <c r="A166" s="5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1"/>
      <c r="P166" s="31"/>
      <c r="Q166" s="54"/>
      <c r="R166" s="56" t="str">
        <f>IFERROR(VLOOKUP(December[[#This Row],[Drug Name]],'Data Options'!$R$1:$S$100,2,FALSE), " ")</f>
        <v xml:space="preserve"> </v>
      </c>
      <c r="S166" s="55"/>
      <c r="T166" s="32"/>
      <c r="U166" s="32"/>
      <c r="V166" s="55"/>
      <c r="W166" s="32"/>
      <c r="X166" s="54"/>
      <c r="Y166" s="56" t="str">
        <f>IFERROR(VLOOKUP(December[[#This Row],[Drug Name2]],'Data Options'!$R$1:$S$100,2,FALSE), " ")</f>
        <v xml:space="preserve"> </v>
      </c>
      <c r="Z166" s="55"/>
      <c r="AA166" s="32"/>
      <c r="AB166" s="32"/>
      <c r="AC166" s="55"/>
      <c r="AD166" s="32"/>
      <c r="AE166" s="54"/>
      <c r="AF166" s="56" t="str">
        <f>IFERROR(VLOOKUP(December[[#This Row],[Drug Name3]],'Data Options'!$R$1:$S$100,2,FALSE), " ")</f>
        <v xml:space="preserve"> </v>
      </c>
      <c r="AG166" s="55"/>
      <c r="AH166" s="32"/>
      <c r="AI166" s="32"/>
      <c r="AJ166" s="55"/>
      <c r="AK166" s="32"/>
      <c r="AL166" s="32"/>
      <c r="AM166" s="32"/>
      <c r="AN166" s="32"/>
      <c r="AO166" s="32"/>
      <c r="AP166" s="31"/>
      <c r="AQ166" s="31"/>
      <c r="AR166" s="54"/>
      <c r="AS166" s="56" t="str">
        <f>IFERROR(VLOOKUP(December[[#This Row],[Drug Name4]],'Data Options'!$R$1:$S$100,2,FALSE), " ")</f>
        <v xml:space="preserve"> </v>
      </c>
      <c r="AT166" s="55"/>
      <c r="AU166" s="32"/>
      <c r="AV166" s="32"/>
      <c r="AW166" s="55"/>
      <c r="AX166" s="32"/>
      <c r="AY166" s="54"/>
      <c r="AZ166" s="56" t="str">
        <f>IFERROR(VLOOKUP(December[[#This Row],[Drug Name5]],'Data Options'!$R$1:$S$100,2,FALSE), " ")</f>
        <v xml:space="preserve"> </v>
      </c>
      <c r="BA166" s="55"/>
      <c r="BB166" s="32"/>
      <c r="BC166" s="32"/>
      <c r="BD166" s="55"/>
      <c r="BE166" s="32"/>
      <c r="BF166" s="54"/>
      <c r="BG166" s="56" t="str">
        <f>IFERROR(VLOOKUP(December[[#This Row],[Drug Name6]],'Data Options'!$R$1:$S$100,2,FALSE), " ")</f>
        <v xml:space="preserve"> </v>
      </c>
      <c r="BH166" s="55"/>
      <c r="BI166" s="32"/>
      <c r="BJ166" s="32"/>
      <c r="BK166" s="55"/>
      <c r="BL166" s="32"/>
      <c r="BM166" s="32"/>
      <c r="BN166" s="32"/>
      <c r="BO166" s="32"/>
      <c r="BP166" s="32"/>
      <c r="BQ166" s="31"/>
      <c r="BR166" s="31"/>
      <c r="BS166" s="54"/>
      <c r="BT166" s="56" t="str">
        <f>IFERROR(VLOOKUP(December[[#This Row],[Drug Name7]],'Data Options'!$R$1:$S$100,2,FALSE), " ")</f>
        <v xml:space="preserve"> </v>
      </c>
      <c r="BU166" s="55"/>
      <c r="BV166" s="32"/>
      <c r="BW166" s="32"/>
      <c r="BX166" s="55"/>
      <c r="BY166" s="32"/>
      <c r="BZ166" s="54"/>
      <c r="CA166" s="56" t="str">
        <f>IFERROR(VLOOKUP(December[[#This Row],[Drug Name8]],'Data Options'!$R$1:$S$100,2,FALSE), " ")</f>
        <v xml:space="preserve"> </v>
      </c>
      <c r="CB166" s="55"/>
      <c r="CC166" s="32"/>
      <c r="CD166" s="32"/>
      <c r="CE166" s="55"/>
      <c r="CF166" s="32"/>
      <c r="CG166" s="54"/>
      <c r="CH166" s="56" t="str">
        <f>IFERROR(VLOOKUP(December[[#This Row],[Drug Name9]],'Data Options'!$R$1:$S$100,2,FALSE), " ")</f>
        <v xml:space="preserve"> </v>
      </c>
      <c r="CI166" s="55"/>
      <c r="CJ166" s="32"/>
      <c r="CK166" s="32"/>
      <c r="CL166" s="55"/>
      <c r="CM166" s="32"/>
    </row>
    <row r="167" spans="1:91">
      <c r="A167" s="5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1"/>
      <c r="P167" s="31"/>
      <c r="Q167" s="54"/>
      <c r="R167" s="56" t="str">
        <f>IFERROR(VLOOKUP(December[[#This Row],[Drug Name]],'Data Options'!$R$1:$S$100,2,FALSE), " ")</f>
        <v xml:space="preserve"> </v>
      </c>
      <c r="S167" s="55"/>
      <c r="T167" s="32"/>
      <c r="U167" s="32"/>
      <c r="V167" s="55"/>
      <c r="W167" s="32"/>
      <c r="X167" s="54"/>
      <c r="Y167" s="56" t="str">
        <f>IFERROR(VLOOKUP(December[[#This Row],[Drug Name2]],'Data Options'!$R$1:$S$100,2,FALSE), " ")</f>
        <v xml:space="preserve"> </v>
      </c>
      <c r="Z167" s="55"/>
      <c r="AA167" s="32"/>
      <c r="AB167" s="32"/>
      <c r="AC167" s="55"/>
      <c r="AD167" s="32"/>
      <c r="AE167" s="54"/>
      <c r="AF167" s="56" t="str">
        <f>IFERROR(VLOOKUP(December[[#This Row],[Drug Name3]],'Data Options'!$R$1:$S$100,2,FALSE), " ")</f>
        <v xml:space="preserve"> </v>
      </c>
      <c r="AG167" s="55"/>
      <c r="AH167" s="32"/>
      <c r="AI167" s="32"/>
      <c r="AJ167" s="55"/>
      <c r="AK167" s="32"/>
      <c r="AL167" s="32"/>
      <c r="AM167" s="32"/>
      <c r="AN167" s="32"/>
      <c r="AO167" s="32"/>
      <c r="AP167" s="31"/>
      <c r="AQ167" s="31"/>
      <c r="AR167" s="54"/>
      <c r="AS167" s="56" t="str">
        <f>IFERROR(VLOOKUP(December[[#This Row],[Drug Name4]],'Data Options'!$R$1:$S$100,2,FALSE), " ")</f>
        <v xml:space="preserve"> </v>
      </c>
      <c r="AT167" s="55"/>
      <c r="AU167" s="32"/>
      <c r="AV167" s="32"/>
      <c r="AW167" s="55"/>
      <c r="AX167" s="32"/>
      <c r="AY167" s="54"/>
      <c r="AZ167" s="56" t="str">
        <f>IFERROR(VLOOKUP(December[[#This Row],[Drug Name5]],'Data Options'!$R$1:$S$100,2,FALSE), " ")</f>
        <v xml:space="preserve"> </v>
      </c>
      <c r="BA167" s="55"/>
      <c r="BB167" s="32"/>
      <c r="BC167" s="32"/>
      <c r="BD167" s="55"/>
      <c r="BE167" s="32"/>
      <c r="BF167" s="54"/>
      <c r="BG167" s="56" t="str">
        <f>IFERROR(VLOOKUP(December[[#This Row],[Drug Name6]],'Data Options'!$R$1:$S$100,2,FALSE), " ")</f>
        <v xml:space="preserve"> </v>
      </c>
      <c r="BH167" s="55"/>
      <c r="BI167" s="32"/>
      <c r="BJ167" s="32"/>
      <c r="BK167" s="55"/>
      <c r="BL167" s="32"/>
      <c r="BM167" s="32"/>
      <c r="BN167" s="32"/>
      <c r="BO167" s="32"/>
      <c r="BP167" s="32"/>
      <c r="BQ167" s="31"/>
      <c r="BR167" s="31"/>
      <c r="BS167" s="54"/>
      <c r="BT167" s="56" t="str">
        <f>IFERROR(VLOOKUP(December[[#This Row],[Drug Name7]],'Data Options'!$R$1:$S$100,2,FALSE), " ")</f>
        <v xml:space="preserve"> </v>
      </c>
      <c r="BU167" s="55"/>
      <c r="BV167" s="32"/>
      <c r="BW167" s="32"/>
      <c r="BX167" s="55"/>
      <c r="BY167" s="32"/>
      <c r="BZ167" s="54"/>
      <c r="CA167" s="56" t="str">
        <f>IFERROR(VLOOKUP(December[[#This Row],[Drug Name8]],'Data Options'!$R$1:$S$100,2,FALSE), " ")</f>
        <v xml:space="preserve"> </v>
      </c>
      <c r="CB167" s="55"/>
      <c r="CC167" s="32"/>
      <c r="CD167" s="32"/>
      <c r="CE167" s="55"/>
      <c r="CF167" s="32"/>
      <c r="CG167" s="54"/>
      <c r="CH167" s="56" t="str">
        <f>IFERROR(VLOOKUP(December[[#This Row],[Drug Name9]],'Data Options'!$R$1:$S$100,2,FALSE), " ")</f>
        <v xml:space="preserve"> </v>
      </c>
      <c r="CI167" s="55"/>
      <c r="CJ167" s="32"/>
      <c r="CK167" s="32"/>
      <c r="CL167" s="55"/>
      <c r="CM167" s="32"/>
    </row>
    <row r="168" spans="1:91">
      <c r="A168" s="5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1"/>
      <c r="P168" s="31"/>
      <c r="Q168" s="54"/>
      <c r="R168" s="56" t="str">
        <f>IFERROR(VLOOKUP(December[[#This Row],[Drug Name]],'Data Options'!$R$1:$S$100,2,FALSE), " ")</f>
        <v xml:space="preserve"> </v>
      </c>
      <c r="S168" s="55"/>
      <c r="T168" s="32"/>
      <c r="U168" s="32"/>
      <c r="V168" s="55"/>
      <c r="W168" s="32"/>
      <c r="X168" s="54"/>
      <c r="Y168" s="56" t="str">
        <f>IFERROR(VLOOKUP(December[[#This Row],[Drug Name2]],'Data Options'!$R$1:$S$100,2,FALSE), " ")</f>
        <v xml:space="preserve"> </v>
      </c>
      <c r="Z168" s="55"/>
      <c r="AA168" s="32"/>
      <c r="AB168" s="32"/>
      <c r="AC168" s="55"/>
      <c r="AD168" s="32"/>
      <c r="AE168" s="54"/>
      <c r="AF168" s="56" t="str">
        <f>IFERROR(VLOOKUP(December[[#This Row],[Drug Name3]],'Data Options'!$R$1:$S$100,2,FALSE), " ")</f>
        <v xml:space="preserve"> </v>
      </c>
      <c r="AG168" s="55"/>
      <c r="AH168" s="32"/>
      <c r="AI168" s="32"/>
      <c r="AJ168" s="55"/>
      <c r="AK168" s="32"/>
      <c r="AL168" s="32"/>
      <c r="AM168" s="32"/>
      <c r="AN168" s="32"/>
      <c r="AO168" s="32"/>
      <c r="AP168" s="31"/>
      <c r="AQ168" s="31"/>
      <c r="AR168" s="54"/>
      <c r="AS168" s="56" t="str">
        <f>IFERROR(VLOOKUP(December[[#This Row],[Drug Name4]],'Data Options'!$R$1:$S$100,2,FALSE), " ")</f>
        <v xml:space="preserve"> </v>
      </c>
      <c r="AT168" s="55"/>
      <c r="AU168" s="32"/>
      <c r="AV168" s="32"/>
      <c r="AW168" s="55"/>
      <c r="AX168" s="32"/>
      <c r="AY168" s="54"/>
      <c r="AZ168" s="56" t="str">
        <f>IFERROR(VLOOKUP(December[[#This Row],[Drug Name5]],'Data Options'!$R$1:$S$100,2,FALSE), " ")</f>
        <v xml:space="preserve"> </v>
      </c>
      <c r="BA168" s="55"/>
      <c r="BB168" s="32"/>
      <c r="BC168" s="32"/>
      <c r="BD168" s="55"/>
      <c r="BE168" s="32"/>
      <c r="BF168" s="54"/>
      <c r="BG168" s="56" t="str">
        <f>IFERROR(VLOOKUP(December[[#This Row],[Drug Name6]],'Data Options'!$R$1:$S$100,2,FALSE), " ")</f>
        <v xml:space="preserve"> </v>
      </c>
      <c r="BH168" s="55"/>
      <c r="BI168" s="32"/>
      <c r="BJ168" s="32"/>
      <c r="BK168" s="55"/>
      <c r="BL168" s="32"/>
      <c r="BM168" s="32"/>
      <c r="BN168" s="32"/>
      <c r="BO168" s="32"/>
      <c r="BP168" s="32"/>
      <c r="BQ168" s="31"/>
      <c r="BR168" s="31"/>
      <c r="BS168" s="54"/>
      <c r="BT168" s="56" t="str">
        <f>IFERROR(VLOOKUP(December[[#This Row],[Drug Name7]],'Data Options'!$R$1:$S$100,2,FALSE), " ")</f>
        <v xml:space="preserve"> </v>
      </c>
      <c r="BU168" s="55"/>
      <c r="BV168" s="32"/>
      <c r="BW168" s="32"/>
      <c r="BX168" s="55"/>
      <c r="BY168" s="32"/>
      <c r="BZ168" s="54"/>
      <c r="CA168" s="56" t="str">
        <f>IFERROR(VLOOKUP(December[[#This Row],[Drug Name8]],'Data Options'!$R$1:$S$100,2,FALSE), " ")</f>
        <v xml:space="preserve"> </v>
      </c>
      <c r="CB168" s="55"/>
      <c r="CC168" s="32"/>
      <c r="CD168" s="32"/>
      <c r="CE168" s="55"/>
      <c r="CF168" s="32"/>
      <c r="CG168" s="54"/>
      <c r="CH168" s="56" t="str">
        <f>IFERROR(VLOOKUP(December[[#This Row],[Drug Name9]],'Data Options'!$R$1:$S$100,2,FALSE), " ")</f>
        <v xml:space="preserve"> </v>
      </c>
      <c r="CI168" s="55"/>
      <c r="CJ168" s="32"/>
      <c r="CK168" s="32"/>
      <c r="CL168" s="55"/>
      <c r="CM168" s="32"/>
    </row>
    <row r="169" spans="1:91">
      <c r="A169" s="5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1"/>
      <c r="P169" s="31"/>
      <c r="Q169" s="54"/>
      <c r="R169" s="56" t="str">
        <f>IFERROR(VLOOKUP(December[[#This Row],[Drug Name]],'Data Options'!$R$1:$S$100,2,FALSE), " ")</f>
        <v xml:space="preserve"> </v>
      </c>
      <c r="S169" s="55"/>
      <c r="T169" s="32"/>
      <c r="U169" s="32"/>
      <c r="V169" s="55"/>
      <c r="W169" s="32"/>
      <c r="X169" s="54"/>
      <c r="Y169" s="56" t="str">
        <f>IFERROR(VLOOKUP(December[[#This Row],[Drug Name2]],'Data Options'!$R$1:$S$100,2,FALSE), " ")</f>
        <v xml:space="preserve"> </v>
      </c>
      <c r="Z169" s="55"/>
      <c r="AA169" s="32"/>
      <c r="AB169" s="32"/>
      <c r="AC169" s="55"/>
      <c r="AD169" s="32"/>
      <c r="AE169" s="54"/>
      <c r="AF169" s="56" t="str">
        <f>IFERROR(VLOOKUP(December[[#This Row],[Drug Name3]],'Data Options'!$R$1:$S$100,2,FALSE), " ")</f>
        <v xml:space="preserve"> </v>
      </c>
      <c r="AG169" s="55"/>
      <c r="AH169" s="32"/>
      <c r="AI169" s="32"/>
      <c r="AJ169" s="55"/>
      <c r="AK169" s="32"/>
      <c r="AL169" s="32"/>
      <c r="AM169" s="32"/>
      <c r="AN169" s="32"/>
      <c r="AO169" s="32"/>
      <c r="AP169" s="31"/>
      <c r="AQ169" s="31"/>
      <c r="AR169" s="54"/>
      <c r="AS169" s="56" t="str">
        <f>IFERROR(VLOOKUP(December[[#This Row],[Drug Name4]],'Data Options'!$R$1:$S$100,2,FALSE), " ")</f>
        <v xml:space="preserve"> </v>
      </c>
      <c r="AT169" s="55"/>
      <c r="AU169" s="32"/>
      <c r="AV169" s="32"/>
      <c r="AW169" s="55"/>
      <c r="AX169" s="32"/>
      <c r="AY169" s="54"/>
      <c r="AZ169" s="56" t="str">
        <f>IFERROR(VLOOKUP(December[[#This Row],[Drug Name5]],'Data Options'!$R$1:$S$100,2,FALSE), " ")</f>
        <v xml:space="preserve"> </v>
      </c>
      <c r="BA169" s="55"/>
      <c r="BB169" s="32"/>
      <c r="BC169" s="32"/>
      <c r="BD169" s="55"/>
      <c r="BE169" s="32"/>
      <c r="BF169" s="54"/>
      <c r="BG169" s="56" t="str">
        <f>IFERROR(VLOOKUP(December[[#This Row],[Drug Name6]],'Data Options'!$R$1:$S$100,2,FALSE), " ")</f>
        <v xml:space="preserve"> </v>
      </c>
      <c r="BH169" s="55"/>
      <c r="BI169" s="32"/>
      <c r="BJ169" s="32"/>
      <c r="BK169" s="55"/>
      <c r="BL169" s="32"/>
      <c r="BM169" s="32"/>
      <c r="BN169" s="32"/>
      <c r="BO169" s="32"/>
      <c r="BP169" s="32"/>
      <c r="BQ169" s="31"/>
      <c r="BR169" s="31"/>
      <c r="BS169" s="54"/>
      <c r="BT169" s="56" t="str">
        <f>IFERROR(VLOOKUP(December[[#This Row],[Drug Name7]],'Data Options'!$R$1:$S$100,2,FALSE), " ")</f>
        <v xml:space="preserve"> </v>
      </c>
      <c r="BU169" s="55"/>
      <c r="BV169" s="32"/>
      <c r="BW169" s="32"/>
      <c r="BX169" s="55"/>
      <c r="BY169" s="32"/>
      <c r="BZ169" s="54"/>
      <c r="CA169" s="56" t="str">
        <f>IFERROR(VLOOKUP(December[[#This Row],[Drug Name8]],'Data Options'!$R$1:$S$100,2,FALSE), " ")</f>
        <v xml:space="preserve"> </v>
      </c>
      <c r="CB169" s="55"/>
      <c r="CC169" s="32"/>
      <c r="CD169" s="32"/>
      <c r="CE169" s="55"/>
      <c r="CF169" s="32"/>
      <c r="CG169" s="54"/>
      <c r="CH169" s="56" t="str">
        <f>IFERROR(VLOOKUP(December[[#This Row],[Drug Name9]],'Data Options'!$R$1:$S$100,2,FALSE), " ")</f>
        <v xml:space="preserve"> </v>
      </c>
      <c r="CI169" s="55"/>
      <c r="CJ169" s="32"/>
      <c r="CK169" s="32"/>
      <c r="CL169" s="55"/>
      <c r="CM169" s="32"/>
    </row>
    <row r="170" spans="1:91">
      <c r="A170" s="5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1"/>
      <c r="P170" s="31"/>
      <c r="Q170" s="54"/>
      <c r="R170" s="56" t="str">
        <f>IFERROR(VLOOKUP(December[[#This Row],[Drug Name]],'Data Options'!$R$1:$S$100,2,FALSE), " ")</f>
        <v xml:space="preserve"> </v>
      </c>
      <c r="S170" s="55"/>
      <c r="T170" s="32"/>
      <c r="U170" s="32"/>
      <c r="V170" s="55"/>
      <c r="W170" s="32"/>
      <c r="X170" s="54"/>
      <c r="Y170" s="56" t="str">
        <f>IFERROR(VLOOKUP(December[[#This Row],[Drug Name2]],'Data Options'!$R$1:$S$100,2,FALSE), " ")</f>
        <v xml:space="preserve"> </v>
      </c>
      <c r="Z170" s="55"/>
      <c r="AA170" s="32"/>
      <c r="AB170" s="32"/>
      <c r="AC170" s="55"/>
      <c r="AD170" s="32"/>
      <c r="AE170" s="54"/>
      <c r="AF170" s="56" t="str">
        <f>IFERROR(VLOOKUP(December[[#This Row],[Drug Name3]],'Data Options'!$R$1:$S$100,2,FALSE), " ")</f>
        <v xml:space="preserve"> </v>
      </c>
      <c r="AG170" s="55"/>
      <c r="AH170" s="32"/>
      <c r="AI170" s="32"/>
      <c r="AJ170" s="55"/>
      <c r="AK170" s="32"/>
      <c r="AL170" s="32"/>
      <c r="AM170" s="32"/>
      <c r="AN170" s="32"/>
      <c r="AO170" s="32"/>
      <c r="AP170" s="31"/>
      <c r="AQ170" s="31"/>
      <c r="AR170" s="54"/>
      <c r="AS170" s="56" t="str">
        <f>IFERROR(VLOOKUP(December[[#This Row],[Drug Name4]],'Data Options'!$R$1:$S$100,2,FALSE), " ")</f>
        <v xml:space="preserve"> </v>
      </c>
      <c r="AT170" s="55"/>
      <c r="AU170" s="32"/>
      <c r="AV170" s="32"/>
      <c r="AW170" s="55"/>
      <c r="AX170" s="32"/>
      <c r="AY170" s="54"/>
      <c r="AZ170" s="56" t="str">
        <f>IFERROR(VLOOKUP(December[[#This Row],[Drug Name5]],'Data Options'!$R$1:$S$100,2,FALSE), " ")</f>
        <v xml:space="preserve"> </v>
      </c>
      <c r="BA170" s="55"/>
      <c r="BB170" s="32"/>
      <c r="BC170" s="32"/>
      <c r="BD170" s="55"/>
      <c r="BE170" s="32"/>
      <c r="BF170" s="54"/>
      <c r="BG170" s="56" t="str">
        <f>IFERROR(VLOOKUP(December[[#This Row],[Drug Name6]],'Data Options'!$R$1:$S$100,2,FALSE), " ")</f>
        <v xml:space="preserve"> </v>
      </c>
      <c r="BH170" s="55"/>
      <c r="BI170" s="32"/>
      <c r="BJ170" s="32"/>
      <c r="BK170" s="55"/>
      <c r="BL170" s="32"/>
      <c r="BM170" s="32"/>
      <c r="BN170" s="32"/>
      <c r="BO170" s="32"/>
      <c r="BP170" s="32"/>
      <c r="BQ170" s="31"/>
      <c r="BR170" s="31"/>
      <c r="BS170" s="54"/>
      <c r="BT170" s="56" t="str">
        <f>IFERROR(VLOOKUP(December[[#This Row],[Drug Name7]],'Data Options'!$R$1:$S$100,2,FALSE), " ")</f>
        <v xml:space="preserve"> </v>
      </c>
      <c r="BU170" s="55"/>
      <c r="BV170" s="32"/>
      <c r="BW170" s="32"/>
      <c r="BX170" s="55"/>
      <c r="BY170" s="32"/>
      <c r="BZ170" s="54"/>
      <c r="CA170" s="56" t="str">
        <f>IFERROR(VLOOKUP(December[[#This Row],[Drug Name8]],'Data Options'!$R$1:$S$100,2,FALSE), " ")</f>
        <v xml:space="preserve"> </v>
      </c>
      <c r="CB170" s="55"/>
      <c r="CC170" s="32"/>
      <c r="CD170" s="32"/>
      <c r="CE170" s="55"/>
      <c r="CF170" s="32"/>
      <c r="CG170" s="54"/>
      <c r="CH170" s="56" t="str">
        <f>IFERROR(VLOOKUP(December[[#This Row],[Drug Name9]],'Data Options'!$R$1:$S$100,2,FALSE), " ")</f>
        <v xml:space="preserve"> </v>
      </c>
      <c r="CI170" s="55"/>
      <c r="CJ170" s="32"/>
      <c r="CK170" s="32"/>
      <c r="CL170" s="55"/>
      <c r="CM170" s="32"/>
    </row>
    <row r="171" spans="1:91">
      <c r="A171" s="5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1"/>
      <c r="P171" s="31"/>
      <c r="Q171" s="54"/>
      <c r="R171" s="56" t="str">
        <f>IFERROR(VLOOKUP(December[[#This Row],[Drug Name]],'Data Options'!$R$1:$S$100,2,FALSE), " ")</f>
        <v xml:space="preserve"> </v>
      </c>
      <c r="S171" s="55"/>
      <c r="T171" s="32"/>
      <c r="U171" s="32"/>
      <c r="V171" s="55"/>
      <c r="W171" s="32"/>
      <c r="X171" s="54"/>
      <c r="Y171" s="56" t="str">
        <f>IFERROR(VLOOKUP(December[[#This Row],[Drug Name2]],'Data Options'!$R$1:$S$100,2,FALSE), " ")</f>
        <v xml:space="preserve"> </v>
      </c>
      <c r="Z171" s="55"/>
      <c r="AA171" s="32"/>
      <c r="AB171" s="32"/>
      <c r="AC171" s="55"/>
      <c r="AD171" s="32"/>
      <c r="AE171" s="54"/>
      <c r="AF171" s="56" t="str">
        <f>IFERROR(VLOOKUP(December[[#This Row],[Drug Name3]],'Data Options'!$R$1:$S$100,2,FALSE), " ")</f>
        <v xml:space="preserve"> </v>
      </c>
      <c r="AG171" s="55"/>
      <c r="AH171" s="32"/>
      <c r="AI171" s="32"/>
      <c r="AJ171" s="55"/>
      <c r="AK171" s="32"/>
      <c r="AL171" s="32"/>
      <c r="AM171" s="32"/>
      <c r="AN171" s="32"/>
      <c r="AO171" s="32"/>
      <c r="AP171" s="31"/>
      <c r="AQ171" s="31"/>
      <c r="AR171" s="54"/>
      <c r="AS171" s="56" t="str">
        <f>IFERROR(VLOOKUP(December[[#This Row],[Drug Name4]],'Data Options'!$R$1:$S$100,2,FALSE), " ")</f>
        <v xml:space="preserve"> </v>
      </c>
      <c r="AT171" s="55"/>
      <c r="AU171" s="32"/>
      <c r="AV171" s="32"/>
      <c r="AW171" s="55"/>
      <c r="AX171" s="32"/>
      <c r="AY171" s="54"/>
      <c r="AZ171" s="56" t="str">
        <f>IFERROR(VLOOKUP(December[[#This Row],[Drug Name5]],'Data Options'!$R$1:$S$100,2,FALSE), " ")</f>
        <v xml:space="preserve"> </v>
      </c>
      <c r="BA171" s="55"/>
      <c r="BB171" s="32"/>
      <c r="BC171" s="32"/>
      <c r="BD171" s="55"/>
      <c r="BE171" s="32"/>
      <c r="BF171" s="54"/>
      <c r="BG171" s="56" t="str">
        <f>IFERROR(VLOOKUP(December[[#This Row],[Drug Name6]],'Data Options'!$R$1:$S$100,2,FALSE), " ")</f>
        <v xml:space="preserve"> </v>
      </c>
      <c r="BH171" s="55"/>
      <c r="BI171" s="32"/>
      <c r="BJ171" s="32"/>
      <c r="BK171" s="55"/>
      <c r="BL171" s="32"/>
      <c r="BM171" s="32"/>
      <c r="BN171" s="32"/>
      <c r="BO171" s="32"/>
      <c r="BP171" s="32"/>
      <c r="BQ171" s="31"/>
      <c r="BR171" s="31"/>
      <c r="BS171" s="54"/>
      <c r="BT171" s="56" t="str">
        <f>IFERROR(VLOOKUP(December[[#This Row],[Drug Name7]],'Data Options'!$R$1:$S$100,2,FALSE), " ")</f>
        <v xml:space="preserve"> </v>
      </c>
      <c r="BU171" s="55"/>
      <c r="BV171" s="32"/>
      <c r="BW171" s="32"/>
      <c r="BX171" s="55"/>
      <c r="BY171" s="32"/>
      <c r="BZ171" s="54"/>
      <c r="CA171" s="56" t="str">
        <f>IFERROR(VLOOKUP(December[[#This Row],[Drug Name8]],'Data Options'!$R$1:$S$100,2,FALSE), " ")</f>
        <v xml:space="preserve"> </v>
      </c>
      <c r="CB171" s="55"/>
      <c r="CC171" s="32"/>
      <c r="CD171" s="32"/>
      <c r="CE171" s="55"/>
      <c r="CF171" s="32"/>
      <c r="CG171" s="54"/>
      <c r="CH171" s="56" t="str">
        <f>IFERROR(VLOOKUP(December[[#This Row],[Drug Name9]],'Data Options'!$R$1:$S$100,2,FALSE), " ")</f>
        <v xml:space="preserve"> </v>
      </c>
      <c r="CI171" s="55"/>
      <c r="CJ171" s="32"/>
      <c r="CK171" s="32"/>
      <c r="CL171" s="55"/>
      <c r="CM171" s="32"/>
    </row>
    <row r="172" spans="1:91">
      <c r="A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1"/>
      <c r="P172" s="31"/>
      <c r="Q172" s="54"/>
      <c r="R172" s="56" t="str">
        <f>IFERROR(VLOOKUP(December[[#This Row],[Drug Name]],'Data Options'!$R$1:$S$100,2,FALSE), " ")</f>
        <v xml:space="preserve"> </v>
      </c>
      <c r="S172" s="55"/>
      <c r="T172" s="32"/>
      <c r="U172" s="32"/>
      <c r="V172" s="55"/>
      <c r="W172" s="32"/>
      <c r="X172" s="54"/>
      <c r="Y172" s="56" t="str">
        <f>IFERROR(VLOOKUP(December[[#This Row],[Drug Name2]],'Data Options'!$R$1:$S$100,2,FALSE), " ")</f>
        <v xml:space="preserve"> </v>
      </c>
      <c r="Z172" s="55"/>
      <c r="AA172" s="32"/>
      <c r="AB172" s="32"/>
      <c r="AC172" s="55"/>
      <c r="AD172" s="32"/>
      <c r="AE172" s="54"/>
      <c r="AF172" s="56" t="str">
        <f>IFERROR(VLOOKUP(December[[#This Row],[Drug Name3]],'Data Options'!$R$1:$S$100,2,FALSE), " ")</f>
        <v xml:space="preserve"> </v>
      </c>
      <c r="AG172" s="55"/>
      <c r="AH172" s="32"/>
      <c r="AI172" s="32"/>
      <c r="AJ172" s="55"/>
      <c r="AK172" s="32"/>
      <c r="AL172" s="32"/>
      <c r="AM172" s="32"/>
      <c r="AN172" s="32"/>
      <c r="AO172" s="32"/>
      <c r="AP172" s="31"/>
      <c r="AQ172" s="31"/>
      <c r="AR172" s="54"/>
      <c r="AS172" s="56" t="str">
        <f>IFERROR(VLOOKUP(December[[#This Row],[Drug Name4]],'Data Options'!$R$1:$S$100,2,FALSE), " ")</f>
        <v xml:space="preserve"> </v>
      </c>
      <c r="AT172" s="55"/>
      <c r="AU172" s="32"/>
      <c r="AV172" s="32"/>
      <c r="AW172" s="55"/>
      <c r="AX172" s="32"/>
      <c r="AY172" s="54"/>
      <c r="AZ172" s="56" t="str">
        <f>IFERROR(VLOOKUP(December[[#This Row],[Drug Name5]],'Data Options'!$R$1:$S$100,2,FALSE), " ")</f>
        <v xml:space="preserve"> </v>
      </c>
      <c r="BA172" s="55"/>
      <c r="BB172" s="32"/>
      <c r="BC172" s="32"/>
      <c r="BD172" s="55"/>
      <c r="BE172" s="32"/>
      <c r="BF172" s="54"/>
      <c r="BG172" s="56" t="str">
        <f>IFERROR(VLOOKUP(December[[#This Row],[Drug Name6]],'Data Options'!$R$1:$S$100,2,FALSE), " ")</f>
        <v xml:space="preserve"> </v>
      </c>
      <c r="BH172" s="55"/>
      <c r="BI172" s="32"/>
      <c r="BJ172" s="32"/>
      <c r="BK172" s="55"/>
      <c r="BL172" s="32"/>
      <c r="BM172" s="32"/>
      <c r="BN172" s="32"/>
      <c r="BO172" s="32"/>
      <c r="BP172" s="32"/>
      <c r="BQ172" s="31"/>
      <c r="BR172" s="31"/>
      <c r="BS172" s="54"/>
      <c r="BT172" s="56" t="str">
        <f>IFERROR(VLOOKUP(December[[#This Row],[Drug Name7]],'Data Options'!$R$1:$S$100,2,FALSE), " ")</f>
        <v xml:space="preserve"> </v>
      </c>
      <c r="BU172" s="55"/>
      <c r="BV172" s="32"/>
      <c r="BW172" s="32"/>
      <c r="BX172" s="55"/>
      <c r="BY172" s="32"/>
      <c r="BZ172" s="54"/>
      <c r="CA172" s="56" t="str">
        <f>IFERROR(VLOOKUP(December[[#This Row],[Drug Name8]],'Data Options'!$R$1:$S$100,2,FALSE), " ")</f>
        <v xml:space="preserve"> </v>
      </c>
      <c r="CB172" s="55"/>
      <c r="CC172" s="32"/>
      <c r="CD172" s="32"/>
      <c r="CE172" s="55"/>
      <c r="CF172" s="32"/>
      <c r="CG172" s="54"/>
      <c r="CH172" s="56" t="str">
        <f>IFERROR(VLOOKUP(December[[#This Row],[Drug Name9]],'Data Options'!$R$1:$S$100,2,FALSE), " ")</f>
        <v xml:space="preserve"> </v>
      </c>
      <c r="CI172" s="55"/>
      <c r="CJ172" s="32"/>
      <c r="CK172" s="32"/>
      <c r="CL172" s="55"/>
      <c r="CM172" s="32"/>
    </row>
    <row r="173" spans="1:91">
      <c r="A173" s="5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1"/>
      <c r="P173" s="31"/>
      <c r="Q173" s="54"/>
      <c r="R173" s="56" t="str">
        <f>IFERROR(VLOOKUP(December[[#This Row],[Drug Name]],'Data Options'!$R$1:$S$100,2,FALSE), " ")</f>
        <v xml:space="preserve"> </v>
      </c>
      <c r="S173" s="55"/>
      <c r="T173" s="32"/>
      <c r="U173" s="32"/>
      <c r="V173" s="55"/>
      <c r="W173" s="32"/>
      <c r="X173" s="54"/>
      <c r="Y173" s="56" t="str">
        <f>IFERROR(VLOOKUP(December[[#This Row],[Drug Name2]],'Data Options'!$R$1:$S$100,2,FALSE), " ")</f>
        <v xml:space="preserve"> </v>
      </c>
      <c r="Z173" s="55"/>
      <c r="AA173" s="32"/>
      <c r="AB173" s="32"/>
      <c r="AC173" s="55"/>
      <c r="AD173" s="32"/>
      <c r="AE173" s="54"/>
      <c r="AF173" s="56" t="str">
        <f>IFERROR(VLOOKUP(December[[#This Row],[Drug Name3]],'Data Options'!$R$1:$S$100,2,FALSE), " ")</f>
        <v xml:space="preserve"> </v>
      </c>
      <c r="AG173" s="55"/>
      <c r="AH173" s="32"/>
      <c r="AI173" s="32"/>
      <c r="AJ173" s="55"/>
      <c r="AK173" s="32"/>
      <c r="AL173" s="32"/>
      <c r="AM173" s="32"/>
      <c r="AN173" s="32"/>
      <c r="AO173" s="32"/>
      <c r="AP173" s="31"/>
      <c r="AQ173" s="31"/>
      <c r="AR173" s="54"/>
      <c r="AS173" s="56" t="str">
        <f>IFERROR(VLOOKUP(December[[#This Row],[Drug Name4]],'Data Options'!$R$1:$S$100,2,FALSE), " ")</f>
        <v xml:space="preserve"> </v>
      </c>
      <c r="AT173" s="55"/>
      <c r="AU173" s="32"/>
      <c r="AV173" s="32"/>
      <c r="AW173" s="55"/>
      <c r="AX173" s="32"/>
      <c r="AY173" s="54"/>
      <c r="AZ173" s="56" t="str">
        <f>IFERROR(VLOOKUP(December[[#This Row],[Drug Name5]],'Data Options'!$R$1:$S$100,2,FALSE), " ")</f>
        <v xml:space="preserve"> </v>
      </c>
      <c r="BA173" s="55"/>
      <c r="BB173" s="32"/>
      <c r="BC173" s="32"/>
      <c r="BD173" s="55"/>
      <c r="BE173" s="32"/>
      <c r="BF173" s="54"/>
      <c r="BG173" s="56" t="str">
        <f>IFERROR(VLOOKUP(December[[#This Row],[Drug Name6]],'Data Options'!$R$1:$S$100,2,FALSE), " ")</f>
        <v xml:space="preserve"> </v>
      </c>
      <c r="BH173" s="55"/>
      <c r="BI173" s="32"/>
      <c r="BJ173" s="32"/>
      <c r="BK173" s="55"/>
      <c r="BL173" s="32"/>
      <c r="BM173" s="32"/>
      <c r="BN173" s="32"/>
      <c r="BO173" s="32"/>
      <c r="BP173" s="32"/>
      <c r="BQ173" s="31"/>
      <c r="BR173" s="31"/>
      <c r="BS173" s="54"/>
      <c r="BT173" s="56" t="str">
        <f>IFERROR(VLOOKUP(December[[#This Row],[Drug Name7]],'Data Options'!$R$1:$S$100,2,FALSE), " ")</f>
        <v xml:space="preserve"> </v>
      </c>
      <c r="BU173" s="55"/>
      <c r="BV173" s="32"/>
      <c r="BW173" s="32"/>
      <c r="BX173" s="55"/>
      <c r="BY173" s="32"/>
      <c r="BZ173" s="54"/>
      <c r="CA173" s="56" t="str">
        <f>IFERROR(VLOOKUP(December[[#This Row],[Drug Name8]],'Data Options'!$R$1:$S$100,2,FALSE), " ")</f>
        <v xml:space="preserve"> </v>
      </c>
      <c r="CB173" s="55"/>
      <c r="CC173" s="32"/>
      <c r="CD173" s="32"/>
      <c r="CE173" s="55"/>
      <c r="CF173" s="32"/>
      <c r="CG173" s="54"/>
      <c r="CH173" s="56" t="str">
        <f>IFERROR(VLOOKUP(December[[#This Row],[Drug Name9]],'Data Options'!$R$1:$S$100,2,FALSE), " ")</f>
        <v xml:space="preserve"> </v>
      </c>
      <c r="CI173" s="55"/>
      <c r="CJ173" s="32"/>
      <c r="CK173" s="32"/>
      <c r="CL173" s="55"/>
      <c r="CM173" s="32"/>
    </row>
    <row r="174" spans="1:91">
      <c r="A174" s="5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1"/>
      <c r="P174" s="31"/>
      <c r="Q174" s="54"/>
      <c r="R174" s="56" t="str">
        <f>IFERROR(VLOOKUP(December[[#This Row],[Drug Name]],'Data Options'!$R$1:$S$100,2,FALSE), " ")</f>
        <v xml:space="preserve"> </v>
      </c>
      <c r="S174" s="55"/>
      <c r="T174" s="32"/>
      <c r="U174" s="32"/>
      <c r="V174" s="55"/>
      <c r="W174" s="32"/>
      <c r="X174" s="54"/>
      <c r="Y174" s="56" t="str">
        <f>IFERROR(VLOOKUP(December[[#This Row],[Drug Name2]],'Data Options'!$R$1:$S$100,2,FALSE), " ")</f>
        <v xml:space="preserve"> </v>
      </c>
      <c r="Z174" s="55"/>
      <c r="AA174" s="32"/>
      <c r="AB174" s="32"/>
      <c r="AC174" s="55"/>
      <c r="AD174" s="32"/>
      <c r="AE174" s="54"/>
      <c r="AF174" s="56" t="str">
        <f>IFERROR(VLOOKUP(December[[#This Row],[Drug Name3]],'Data Options'!$R$1:$S$100,2,FALSE), " ")</f>
        <v xml:space="preserve"> </v>
      </c>
      <c r="AG174" s="55"/>
      <c r="AH174" s="32"/>
      <c r="AI174" s="32"/>
      <c r="AJ174" s="55"/>
      <c r="AK174" s="32"/>
      <c r="AL174" s="32"/>
      <c r="AM174" s="32"/>
      <c r="AN174" s="32"/>
      <c r="AO174" s="32"/>
      <c r="AP174" s="31"/>
      <c r="AQ174" s="31"/>
      <c r="AR174" s="54"/>
      <c r="AS174" s="56" t="str">
        <f>IFERROR(VLOOKUP(December[[#This Row],[Drug Name4]],'Data Options'!$R$1:$S$100,2,FALSE), " ")</f>
        <v xml:space="preserve"> </v>
      </c>
      <c r="AT174" s="55"/>
      <c r="AU174" s="32"/>
      <c r="AV174" s="32"/>
      <c r="AW174" s="55"/>
      <c r="AX174" s="32"/>
      <c r="AY174" s="54"/>
      <c r="AZ174" s="56" t="str">
        <f>IFERROR(VLOOKUP(December[[#This Row],[Drug Name5]],'Data Options'!$R$1:$S$100,2,FALSE), " ")</f>
        <v xml:space="preserve"> </v>
      </c>
      <c r="BA174" s="55"/>
      <c r="BB174" s="32"/>
      <c r="BC174" s="32"/>
      <c r="BD174" s="55"/>
      <c r="BE174" s="32"/>
      <c r="BF174" s="54"/>
      <c r="BG174" s="56" t="str">
        <f>IFERROR(VLOOKUP(December[[#This Row],[Drug Name6]],'Data Options'!$R$1:$S$100,2,FALSE), " ")</f>
        <v xml:space="preserve"> </v>
      </c>
      <c r="BH174" s="55"/>
      <c r="BI174" s="32"/>
      <c r="BJ174" s="32"/>
      <c r="BK174" s="55"/>
      <c r="BL174" s="32"/>
      <c r="BM174" s="32"/>
      <c r="BN174" s="32"/>
      <c r="BO174" s="32"/>
      <c r="BP174" s="32"/>
      <c r="BQ174" s="31"/>
      <c r="BR174" s="31"/>
      <c r="BS174" s="54"/>
      <c r="BT174" s="56" t="str">
        <f>IFERROR(VLOOKUP(December[[#This Row],[Drug Name7]],'Data Options'!$R$1:$S$100,2,FALSE), " ")</f>
        <v xml:space="preserve"> </v>
      </c>
      <c r="BU174" s="55"/>
      <c r="BV174" s="32"/>
      <c r="BW174" s="32"/>
      <c r="BX174" s="55"/>
      <c r="BY174" s="32"/>
      <c r="BZ174" s="54"/>
      <c r="CA174" s="56" t="str">
        <f>IFERROR(VLOOKUP(December[[#This Row],[Drug Name8]],'Data Options'!$R$1:$S$100,2,FALSE), " ")</f>
        <v xml:space="preserve"> </v>
      </c>
      <c r="CB174" s="55"/>
      <c r="CC174" s="32"/>
      <c r="CD174" s="32"/>
      <c r="CE174" s="55"/>
      <c r="CF174" s="32"/>
      <c r="CG174" s="54"/>
      <c r="CH174" s="56" t="str">
        <f>IFERROR(VLOOKUP(December[[#This Row],[Drug Name9]],'Data Options'!$R$1:$S$100,2,FALSE), " ")</f>
        <v xml:space="preserve"> </v>
      </c>
      <c r="CI174" s="55"/>
      <c r="CJ174" s="32"/>
      <c r="CK174" s="32"/>
      <c r="CL174" s="55"/>
      <c r="CM174" s="32"/>
    </row>
    <row r="175" spans="1:91">
      <c r="A175" s="5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1"/>
      <c r="P175" s="31"/>
      <c r="Q175" s="54"/>
      <c r="R175" s="56" t="str">
        <f>IFERROR(VLOOKUP(December[[#This Row],[Drug Name]],'Data Options'!$R$1:$S$100,2,FALSE), " ")</f>
        <v xml:space="preserve"> </v>
      </c>
      <c r="S175" s="55"/>
      <c r="T175" s="32"/>
      <c r="U175" s="32"/>
      <c r="V175" s="55"/>
      <c r="W175" s="32"/>
      <c r="X175" s="54"/>
      <c r="Y175" s="56" t="str">
        <f>IFERROR(VLOOKUP(December[[#This Row],[Drug Name2]],'Data Options'!$R$1:$S$100,2,FALSE), " ")</f>
        <v xml:space="preserve"> </v>
      </c>
      <c r="Z175" s="55"/>
      <c r="AA175" s="32"/>
      <c r="AB175" s="32"/>
      <c r="AC175" s="55"/>
      <c r="AD175" s="32"/>
      <c r="AE175" s="54"/>
      <c r="AF175" s="56" t="str">
        <f>IFERROR(VLOOKUP(December[[#This Row],[Drug Name3]],'Data Options'!$R$1:$S$100,2,FALSE), " ")</f>
        <v xml:space="preserve"> </v>
      </c>
      <c r="AG175" s="55"/>
      <c r="AH175" s="32"/>
      <c r="AI175" s="32"/>
      <c r="AJ175" s="55"/>
      <c r="AK175" s="32"/>
      <c r="AL175" s="32"/>
      <c r="AM175" s="32"/>
      <c r="AN175" s="32"/>
      <c r="AO175" s="32"/>
      <c r="AP175" s="31"/>
      <c r="AQ175" s="31"/>
      <c r="AR175" s="54"/>
      <c r="AS175" s="56" t="str">
        <f>IFERROR(VLOOKUP(December[[#This Row],[Drug Name4]],'Data Options'!$R$1:$S$100,2,FALSE), " ")</f>
        <v xml:space="preserve"> </v>
      </c>
      <c r="AT175" s="55"/>
      <c r="AU175" s="32"/>
      <c r="AV175" s="32"/>
      <c r="AW175" s="55"/>
      <c r="AX175" s="32"/>
      <c r="AY175" s="54"/>
      <c r="AZ175" s="56" t="str">
        <f>IFERROR(VLOOKUP(December[[#This Row],[Drug Name5]],'Data Options'!$R$1:$S$100,2,FALSE), " ")</f>
        <v xml:space="preserve"> </v>
      </c>
      <c r="BA175" s="55"/>
      <c r="BB175" s="32"/>
      <c r="BC175" s="32"/>
      <c r="BD175" s="55"/>
      <c r="BE175" s="32"/>
      <c r="BF175" s="54"/>
      <c r="BG175" s="56" t="str">
        <f>IFERROR(VLOOKUP(December[[#This Row],[Drug Name6]],'Data Options'!$R$1:$S$100,2,FALSE), " ")</f>
        <v xml:space="preserve"> </v>
      </c>
      <c r="BH175" s="55"/>
      <c r="BI175" s="32"/>
      <c r="BJ175" s="32"/>
      <c r="BK175" s="55"/>
      <c r="BL175" s="32"/>
      <c r="BM175" s="32"/>
      <c r="BN175" s="32"/>
      <c r="BO175" s="32"/>
      <c r="BP175" s="32"/>
      <c r="BQ175" s="31"/>
      <c r="BR175" s="31"/>
      <c r="BS175" s="54"/>
      <c r="BT175" s="56" t="str">
        <f>IFERROR(VLOOKUP(December[[#This Row],[Drug Name7]],'Data Options'!$R$1:$S$100,2,FALSE), " ")</f>
        <v xml:space="preserve"> </v>
      </c>
      <c r="BU175" s="55"/>
      <c r="BV175" s="32"/>
      <c r="BW175" s="32"/>
      <c r="BX175" s="55"/>
      <c r="BY175" s="32"/>
      <c r="BZ175" s="54"/>
      <c r="CA175" s="56" t="str">
        <f>IFERROR(VLOOKUP(December[[#This Row],[Drug Name8]],'Data Options'!$R$1:$S$100,2,FALSE), " ")</f>
        <v xml:space="preserve"> </v>
      </c>
      <c r="CB175" s="55"/>
      <c r="CC175" s="32"/>
      <c r="CD175" s="32"/>
      <c r="CE175" s="55"/>
      <c r="CF175" s="32"/>
      <c r="CG175" s="54"/>
      <c r="CH175" s="56" t="str">
        <f>IFERROR(VLOOKUP(December[[#This Row],[Drug Name9]],'Data Options'!$R$1:$S$100,2,FALSE), " ")</f>
        <v xml:space="preserve"> </v>
      </c>
      <c r="CI175" s="55"/>
      <c r="CJ175" s="32"/>
      <c r="CK175" s="32"/>
      <c r="CL175" s="55"/>
      <c r="CM175" s="32"/>
    </row>
    <row r="176" spans="1:91">
      <c r="A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1"/>
      <c r="P176" s="31"/>
      <c r="Q176" s="54"/>
      <c r="R176" s="56" t="str">
        <f>IFERROR(VLOOKUP(December[[#This Row],[Drug Name]],'Data Options'!$R$1:$S$100,2,FALSE), " ")</f>
        <v xml:space="preserve"> </v>
      </c>
      <c r="S176" s="55"/>
      <c r="T176" s="32"/>
      <c r="U176" s="32"/>
      <c r="V176" s="55"/>
      <c r="W176" s="32"/>
      <c r="X176" s="54"/>
      <c r="Y176" s="56" t="str">
        <f>IFERROR(VLOOKUP(December[[#This Row],[Drug Name2]],'Data Options'!$R$1:$S$100,2,FALSE), " ")</f>
        <v xml:space="preserve"> </v>
      </c>
      <c r="Z176" s="55"/>
      <c r="AA176" s="32"/>
      <c r="AB176" s="32"/>
      <c r="AC176" s="55"/>
      <c r="AD176" s="32"/>
      <c r="AE176" s="54"/>
      <c r="AF176" s="56" t="str">
        <f>IFERROR(VLOOKUP(December[[#This Row],[Drug Name3]],'Data Options'!$R$1:$S$100,2,FALSE), " ")</f>
        <v xml:space="preserve"> </v>
      </c>
      <c r="AG176" s="55"/>
      <c r="AH176" s="32"/>
      <c r="AI176" s="32"/>
      <c r="AJ176" s="55"/>
      <c r="AK176" s="32"/>
      <c r="AL176" s="32"/>
      <c r="AM176" s="32"/>
      <c r="AN176" s="32"/>
      <c r="AO176" s="32"/>
      <c r="AP176" s="31"/>
      <c r="AQ176" s="31"/>
      <c r="AR176" s="54"/>
      <c r="AS176" s="56" t="str">
        <f>IFERROR(VLOOKUP(December[[#This Row],[Drug Name4]],'Data Options'!$R$1:$S$100,2,FALSE), " ")</f>
        <v xml:space="preserve"> </v>
      </c>
      <c r="AT176" s="55"/>
      <c r="AU176" s="32"/>
      <c r="AV176" s="32"/>
      <c r="AW176" s="55"/>
      <c r="AX176" s="32"/>
      <c r="AY176" s="54"/>
      <c r="AZ176" s="56" t="str">
        <f>IFERROR(VLOOKUP(December[[#This Row],[Drug Name5]],'Data Options'!$R$1:$S$100,2,FALSE), " ")</f>
        <v xml:space="preserve"> </v>
      </c>
      <c r="BA176" s="55"/>
      <c r="BB176" s="32"/>
      <c r="BC176" s="32"/>
      <c r="BD176" s="55"/>
      <c r="BE176" s="32"/>
      <c r="BF176" s="54"/>
      <c r="BG176" s="56" t="str">
        <f>IFERROR(VLOOKUP(December[[#This Row],[Drug Name6]],'Data Options'!$R$1:$S$100,2,FALSE), " ")</f>
        <v xml:space="preserve"> </v>
      </c>
      <c r="BH176" s="55"/>
      <c r="BI176" s="32"/>
      <c r="BJ176" s="32"/>
      <c r="BK176" s="55"/>
      <c r="BL176" s="32"/>
      <c r="BM176" s="32"/>
      <c r="BN176" s="32"/>
      <c r="BO176" s="32"/>
      <c r="BP176" s="32"/>
      <c r="BQ176" s="31"/>
      <c r="BR176" s="31"/>
      <c r="BS176" s="54"/>
      <c r="BT176" s="56" t="str">
        <f>IFERROR(VLOOKUP(December[[#This Row],[Drug Name7]],'Data Options'!$R$1:$S$100,2,FALSE), " ")</f>
        <v xml:space="preserve"> </v>
      </c>
      <c r="BU176" s="55"/>
      <c r="BV176" s="32"/>
      <c r="BW176" s="32"/>
      <c r="BX176" s="55"/>
      <c r="BY176" s="32"/>
      <c r="BZ176" s="54"/>
      <c r="CA176" s="56" t="str">
        <f>IFERROR(VLOOKUP(December[[#This Row],[Drug Name8]],'Data Options'!$R$1:$S$100,2,FALSE), " ")</f>
        <v xml:space="preserve"> </v>
      </c>
      <c r="CB176" s="55"/>
      <c r="CC176" s="32"/>
      <c r="CD176" s="32"/>
      <c r="CE176" s="55"/>
      <c r="CF176" s="32"/>
      <c r="CG176" s="54"/>
      <c r="CH176" s="56" t="str">
        <f>IFERROR(VLOOKUP(December[[#This Row],[Drug Name9]],'Data Options'!$R$1:$S$100,2,FALSE), " ")</f>
        <v xml:space="preserve"> </v>
      </c>
      <c r="CI176" s="55"/>
      <c r="CJ176" s="32"/>
      <c r="CK176" s="32"/>
      <c r="CL176" s="55"/>
      <c r="CM176" s="32"/>
    </row>
    <row r="177" spans="1:91">
      <c r="A177" s="5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1"/>
      <c r="P177" s="31"/>
      <c r="Q177" s="54"/>
      <c r="R177" s="56" t="str">
        <f>IFERROR(VLOOKUP(December[[#This Row],[Drug Name]],'Data Options'!$R$1:$S$100,2,FALSE), " ")</f>
        <v xml:space="preserve"> </v>
      </c>
      <c r="S177" s="55"/>
      <c r="T177" s="32"/>
      <c r="U177" s="32"/>
      <c r="V177" s="55"/>
      <c r="W177" s="32"/>
      <c r="X177" s="54"/>
      <c r="Y177" s="56" t="str">
        <f>IFERROR(VLOOKUP(December[[#This Row],[Drug Name2]],'Data Options'!$R$1:$S$100,2,FALSE), " ")</f>
        <v xml:space="preserve"> </v>
      </c>
      <c r="Z177" s="55"/>
      <c r="AA177" s="32"/>
      <c r="AB177" s="32"/>
      <c r="AC177" s="55"/>
      <c r="AD177" s="32"/>
      <c r="AE177" s="54"/>
      <c r="AF177" s="56" t="str">
        <f>IFERROR(VLOOKUP(December[[#This Row],[Drug Name3]],'Data Options'!$R$1:$S$100,2,FALSE), " ")</f>
        <v xml:space="preserve"> </v>
      </c>
      <c r="AG177" s="55"/>
      <c r="AH177" s="32"/>
      <c r="AI177" s="32"/>
      <c r="AJ177" s="55"/>
      <c r="AK177" s="32"/>
      <c r="AL177" s="32"/>
      <c r="AM177" s="32"/>
      <c r="AN177" s="32"/>
      <c r="AO177" s="32"/>
      <c r="AP177" s="31"/>
      <c r="AQ177" s="31"/>
      <c r="AR177" s="54"/>
      <c r="AS177" s="56" t="str">
        <f>IFERROR(VLOOKUP(December[[#This Row],[Drug Name4]],'Data Options'!$R$1:$S$100,2,FALSE), " ")</f>
        <v xml:space="preserve"> </v>
      </c>
      <c r="AT177" s="55"/>
      <c r="AU177" s="32"/>
      <c r="AV177" s="32"/>
      <c r="AW177" s="55"/>
      <c r="AX177" s="32"/>
      <c r="AY177" s="54"/>
      <c r="AZ177" s="56" t="str">
        <f>IFERROR(VLOOKUP(December[[#This Row],[Drug Name5]],'Data Options'!$R$1:$S$100,2,FALSE), " ")</f>
        <v xml:space="preserve"> </v>
      </c>
      <c r="BA177" s="55"/>
      <c r="BB177" s="32"/>
      <c r="BC177" s="32"/>
      <c r="BD177" s="55"/>
      <c r="BE177" s="32"/>
      <c r="BF177" s="54"/>
      <c r="BG177" s="56" t="str">
        <f>IFERROR(VLOOKUP(December[[#This Row],[Drug Name6]],'Data Options'!$R$1:$S$100,2,FALSE), " ")</f>
        <v xml:space="preserve"> </v>
      </c>
      <c r="BH177" s="55"/>
      <c r="BI177" s="32"/>
      <c r="BJ177" s="32"/>
      <c r="BK177" s="55"/>
      <c r="BL177" s="32"/>
      <c r="BM177" s="32"/>
      <c r="BN177" s="32"/>
      <c r="BO177" s="32"/>
      <c r="BP177" s="32"/>
      <c r="BQ177" s="31"/>
      <c r="BR177" s="31"/>
      <c r="BS177" s="54"/>
      <c r="BT177" s="56" t="str">
        <f>IFERROR(VLOOKUP(December[[#This Row],[Drug Name7]],'Data Options'!$R$1:$S$100,2,FALSE), " ")</f>
        <v xml:space="preserve"> </v>
      </c>
      <c r="BU177" s="55"/>
      <c r="BV177" s="32"/>
      <c r="BW177" s="32"/>
      <c r="BX177" s="55"/>
      <c r="BY177" s="32"/>
      <c r="BZ177" s="54"/>
      <c r="CA177" s="56" t="str">
        <f>IFERROR(VLOOKUP(December[[#This Row],[Drug Name8]],'Data Options'!$R$1:$S$100,2,FALSE), " ")</f>
        <v xml:space="preserve"> </v>
      </c>
      <c r="CB177" s="55"/>
      <c r="CC177" s="32"/>
      <c r="CD177" s="32"/>
      <c r="CE177" s="55"/>
      <c r="CF177" s="32"/>
      <c r="CG177" s="54"/>
      <c r="CH177" s="56" t="str">
        <f>IFERROR(VLOOKUP(December[[#This Row],[Drug Name9]],'Data Options'!$R$1:$S$100,2,FALSE), " ")</f>
        <v xml:space="preserve"> </v>
      </c>
      <c r="CI177" s="55"/>
      <c r="CJ177" s="32"/>
      <c r="CK177" s="32"/>
      <c r="CL177" s="55"/>
      <c r="CM177" s="32"/>
    </row>
    <row r="178" spans="1:91">
      <c r="A178" s="5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1"/>
      <c r="P178" s="31"/>
      <c r="Q178" s="54"/>
      <c r="R178" s="56" t="str">
        <f>IFERROR(VLOOKUP(December[[#This Row],[Drug Name]],'Data Options'!$R$1:$S$100,2,FALSE), " ")</f>
        <v xml:space="preserve"> </v>
      </c>
      <c r="S178" s="55"/>
      <c r="T178" s="32"/>
      <c r="U178" s="32"/>
      <c r="V178" s="55"/>
      <c r="W178" s="32"/>
      <c r="X178" s="54"/>
      <c r="Y178" s="56" t="str">
        <f>IFERROR(VLOOKUP(December[[#This Row],[Drug Name2]],'Data Options'!$R$1:$S$100,2,FALSE), " ")</f>
        <v xml:space="preserve"> </v>
      </c>
      <c r="Z178" s="55"/>
      <c r="AA178" s="32"/>
      <c r="AB178" s="32"/>
      <c r="AC178" s="55"/>
      <c r="AD178" s="32"/>
      <c r="AE178" s="54"/>
      <c r="AF178" s="56" t="str">
        <f>IFERROR(VLOOKUP(December[[#This Row],[Drug Name3]],'Data Options'!$R$1:$S$100,2,FALSE), " ")</f>
        <v xml:space="preserve"> </v>
      </c>
      <c r="AG178" s="55"/>
      <c r="AH178" s="32"/>
      <c r="AI178" s="32"/>
      <c r="AJ178" s="55"/>
      <c r="AK178" s="32"/>
      <c r="AL178" s="32"/>
      <c r="AM178" s="32"/>
      <c r="AN178" s="32"/>
      <c r="AO178" s="32"/>
      <c r="AP178" s="31"/>
      <c r="AQ178" s="31"/>
      <c r="AR178" s="54"/>
      <c r="AS178" s="56" t="str">
        <f>IFERROR(VLOOKUP(December[[#This Row],[Drug Name4]],'Data Options'!$R$1:$S$100,2,FALSE), " ")</f>
        <v xml:space="preserve"> </v>
      </c>
      <c r="AT178" s="55"/>
      <c r="AU178" s="32"/>
      <c r="AV178" s="32"/>
      <c r="AW178" s="55"/>
      <c r="AX178" s="32"/>
      <c r="AY178" s="54"/>
      <c r="AZ178" s="56" t="str">
        <f>IFERROR(VLOOKUP(December[[#This Row],[Drug Name5]],'Data Options'!$R$1:$S$100,2,FALSE), " ")</f>
        <v xml:space="preserve"> </v>
      </c>
      <c r="BA178" s="55"/>
      <c r="BB178" s="32"/>
      <c r="BC178" s="32"/>
      <c r="BD178" s="55"/>
      <c r="BE178" s="32"/>
      <c r="BF178" s="54"/>
      <c r="BG178" s="56" t="str">
        <f>IFERROR(VLOOKUP(December[[#This Row],[Drug Name6]],'Data Options'!$R$1:$S$100,2,FALSE), " ")</f>
        <v xml:space="preserve"> </v>
      </c>
      <c r="BH178" s="55"/>
      <c r="BI178" s="32"/>
      <c r="BJ178" s="32"/>
      <c r="BK178" s="55"/>
      <c r="BL178" s="32"/>
      <c r="BM178" s="32"/>
      <c r="BN178" s="32"/>
      <c r="BO178" s="32"/>
      <c r="BP178" s="32"/>
      <c r="BQ178" s="31"/>
      <c r="BR178" s="31"/>
      <c r="BS178" s="54"/>
      <c r="BT178" s="56" t="str">
        <f>IFERROR(VLOOKUP(December[[#This Row],[Drug Name7]],'Data Options'!$R$1:$S$100,2,FALSE), " ")</f>
        <v xml:space="preserve"> </v>
      </c>
      <c r="BU178" s="55"/>
      <c r="BV178" s="32"/>
      <c r="BW178" s="32"/>
      <c r="BX178" s="55"/>
      <c r="BY178" s="32"/>
      <c r="BZ178" s="54"/>
      <c r="CA178" s="56" t="str">
        <f>IFERROR(VLOOKUP(December[[#This Row],[Drug Name8]],'Data Options'!$R$1:$S$100,2,FALSE), " ")</f>
        <v xml:space="preserve"> </v>
      </c>
      <c r="CB178" s="55"/>
      <c r="CC178" s="32"/>
      <c r="CD178" s="32"/>
      <c r="CE178" s="55"/>
      <c r="CF178" s="32"/>
      <c r="CG178" s="54"/>
      <c r="CH178" s="56" t="str">
        <f>IFERROR(VLOOKUP(December[[#This Row],[Drug Name9]],'Data Options'!$R$1:$S$100,2,FALSE), " ")</f>
        <v xml:space="preserve"> </v>
      </c>
      <c r="CI178" s="55"/>
      <c r="CJ178" s="32"/>
      <c r="CK178" s="32"/>
      <c r="CL178" s="55"/>
      <c r="CM178" s="32"/>
    </row>
    <row r="179" spans="1:91">
      <c r="A179" s="5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1"/>
      <c r="P179" s="31"/>
      <c r="Q179" s="54"/>
      <c r="R179" s="56" t="str">
        <f>IFERROR(VLOOKUP(December[[#This Row],[Drug Name]],'Data Options'!$R$1:$S$100,2,FALSE), " ")</f>
        <v xml:space="preserve"> </v>
      </c>
      <c r="S179" s="55"/>
      <c r="T179" s="32"/>
      <c r="U179" s="32"/>
      <c r="V179" s="55"/>
      <c r="W179" s="32"/>
      <c r="X179" s="54"/>
      <c r="Y179" s="56" t="str">
        <f>IFERROR(VLOOKUP(December[[#This Row],[Drug Name2]],'Data Options'!$R$1:$S$100,2,FALSE), " ")</f>
        <v xml:space="preserve"> </v>
      </c>
      <c r="Z179" s="55"/>
      <c r="AA179" s="32"/>
      <c r="AB179" s="32"/>
      <c r="AC179" s="55"/>
      <c r="AD179" s="32"/>
      <c r="AE179" s="54"/>
      <c r="AF179" s="56" t="str">
        <f>IFERROR(VLOOKUP(December[[#This Row],[Drug Name3]],'Data Options'!$R$1:$S$100,2,FALSE), " ")</f>
        <v xml:space="preserve"> </v>
      </c>
      <c r="AG179" s="55"/>
      <c r="AH179" s="32"/>
      <c r="AI179" s="32"/>
      <c r="AJ179" s="55"/>
      <c r="AK179" s="32"/>
      <c r="AL179" s="32"/>
      <c r="AM179" s="32"/>
      <c r="AN179" s="32"/>
      <c r="AO179" s="32"/>
      <c r="AP179" s="31"/>
      <c r="AQ179" s="31"/>
      <c r="AR179" s="54"/>
      <c r="AS179" s="56" t="str">
        <f>IFERROR(VLOOKUP(December[[#This Row],[Drug Name4]],'Data Options'!$R$1:$S$100,2,FALSE), " ")</f>
        <v xml:space="preserve"> </v>
      </c>
      <c r="AT179" s="55"/>
      <c r="AU179" s="32"/>
      <c r="AV179" s="32"/>
      <c r="AW179" s="55"/>
      <c r="AX179" s="32"/>
      <c r="AY179" s="54"/>
      <c r="AZ179" s="56" t="str">
        <f>IFERROR(VLOOKUP(December[[#This Row],[Drug Name5]],'Data Options'!$R$1:$S$100,2,FALSE), " ")</f>
        <v xml:space="preserve"> </v>
      </c>
      <c r="BA179" s="55"/>
      <c r="BB179" s="32"/>
      <c r="BC179" s="32"/>
      <c r="BD179" s="55"/>
      <c r="BE179" s="32"/>
      <c r="BF179" s="54"/>
      <c r="BG179" s="56" t="str">
        <f>IFERROR(VLOOKUP(December[[#This Row],[Drug Name6]],'Data Options'!$R$1:$S$100,2,FALSE), " ")</f>
        <v xml:space="preserve"> </v>
      </c>
      <c r="BH179" s="55"/>
      <c r="BI179" s="32"/>
      <c r="BJ179" s="32"/>
      <c r="BK179" s="55"/>
      <c r="BL179" s="32"/>
      <c r="BM179" s="32"/>
      <c r="BN179" s="32"/>
      <c r="BO179" s="32"/>
      <c r="BP179" s="32"/>
      <c r="BQ179" s="31"/>
      <c r="BR179" s="31"/>
      <c r="BS179" s="54"/>
      <c r="BT179" s="56" t="str">
        <f>IFERROR(VLOOKUP(December[[#This Row],[Drug Name7]],'Data Options'!$R$1:$S$100,2,FALSE), " ")</f>
        <v xml:space="preserve"> </v>
      </c>
      <c r="BU179" s="55"/>
      <c r="BV179" s="32"/>
      <c r="BW179" s="32"/>
      <c r="BX179" s="55"/>
      <c r="BY179" s="32"/>
      <c r="BZ179" s="54"/>
      <c r="CA179" s="56" t="str">
        <f>IFERROR(VLOOKUP(December[[#This Row],[Drug Name8]],'Data Options'!$R$1:$S$100,2,FALSE), " ")</f>
        <v xml:space="preserve"> </v>
      </c>
      <c r="CB179" s="55"/>
      <c r="CC179" s="32"/>
      <c r="CD179" s="32"/>
      <c r="CE179" s="55"/>
      <c r="CF179" s="32"/>
      <c r="CG179" s="54"/>
      <c r="CH179" s="56" t="str">
        <f>IFERROR(VLOOKUP(December[[#This Row],[Drug Name9]],'Data Options'!$R$1:$S$100,2,FALSE), " ")</f>
        <v xml:space="preserve"> </v>
      </c>
      <c r="CI179" s="55"/>
      <c r="CJ179" s="32"/>
      <c r="CK179" s="32"/>
      <c r="CL179" s="55"/>
      <c r="CM179" s="32"/>
    </row>
    <row r="180" spans="1:91">
      <c r="A180" s="5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1"/>
      <c r="P180" s="31"/>
      <c r="Q180" s="54"/>
      <c r="R180" s="56" t="str">
        <f>IFERROR(VLOOKUP(December[[#This Row],[Drug Name]],'Data Options'!$R$1:$S$100,2,FALSE), " ")</f>
        <v xml:space="preserve"> </v>
      </c>
      <c r="S180" s="55"/>
      <c r="T180" s="32"/>
      <c r="U180" s="32"/>
      <c r="V180" s="55"/>
      <c r="W180" s="32"/>
      <c r="X180" s="54"/>
      <c r="Y180" s="56" t="str">
        <f>IFERROR(VLOOKUP(December[[#This Row],[Drug Name2]],'Data Options'!$R$1:$S$100,2,FALSE), " ")</f>
        <v xml:space="preserve"> </v>
      </c>
      <c r="Z180" s="55"/>
      <c r="AA180" s="32"/>
      <c r="AB180" s="32"/>
      <c r="AC180" s="55"/>
      <c r="AD180" s="32"/>
      <c r="AE180" s="54"/>
      <c r="AF180" s="56" t="str">
        <f>IFERROR(VLOOKUP(December[[#This Row],[Drug Name3]],'Data Options'!$R$1:$S$100,2,FALSE), " ")</f>
        <v xml:space="preserve"> </v>
      </c>
      <c r="AG180" s="55"/>
      <c r="AH180" s="32"/>
      <c r="AI180" s="32"/>
      <c r="AJ180" s="55"/>
      <c r="AK180" s="32"/>
      <c r="AL180" s="32"/>
      <c r="AM180" s="32"/>
      <c r="AN180" s="32"/>
      <c r="AO180" s="32"/>
      <c r="AP180" s="31"/>
      <c r="AQ180" s="31"/>
      <c r="AR180" s="54"/>
      <c r="AS180" s="56" t="str">
        <f>IFERROR(VLOOKUP(December[[#This Row],[Drug Name4]],'Data Options'!$R$1:$S$100,2,FALSE), " ")</f>
        <v xml:space="preserve"> </v>
      </c>
      <c r="AT180" s="55"/>
      <c r="AU180" s="32"/>
      <c r="AV180" s="32"/>
      <c r="AW180" s="55"/>
      <c r="AX180" s="32"/>
      <c r="AY180" s="54"/>
      <c r="AZ180" s="56" t="str">
        <f>IFERROR(VLOOKUP(December[[#This Row],[Drug Name5]],'Data Options'!$R$1:$S$100,2,FALSE), " ")</f>
        <v xml:space="preserve"> </v>
      </c>
      <c r="BA180" s="55"/>
      <c r="BB180" s="32"/>
      <c r="BC180" s="32"/>
      <c r="BD180" s="55"/>
      <c r="BE180" s="32"/>
      <c r="BF180" s="54"/>
      <c r="BG180" s="56" t="str">
        <f>IFERROR(VLOOKUP(December[[#This Row],[Drug Name6]],'Data Options'!$R$1:$S$100,2,FALSE), " ")</f>
        <v xml:space="preserve"> </v>
      </c>
      <c r="BH180" s="55"/>
      <c r="BI180" s="32"/>
      <c r="BJ180" s="32"/>
      <c r="BK180" s="55"/>
      <c r="BL180" s="32"/>
      <c r="BM180" s="32"/>
      <c r="BN180" s="32"/>
      <c r="BO180" s="32"/>
      <c r="BP180" s="32"/>
      <c r="BQ180" s="31"/>
      <c r="BR180" s="31"/>
      <c r="BS180" s="54"/>
      <c r="BT180" s="56" t="str">
        <f>IFERROR(VLOOKUP(December[[#This Row],[Drug Name7]],'Data Options'!$R$1:$S$100,2,FALSE), " ")</f>
        <v xml:space="preserve"> </v>
      </c>
      <c r="BU180" s="55"/>
      <c r="BV180" s="32"/>
      <c r="BW180" s="32"/>
      <c r="BX180" s="55"/>
      <c r="BY180" s="32"/>
      <c r="BZ180" s="54"/>
      <c r="CA180" s="56" t="str">
        <f>IFERROR(VLOOKUP(December[[#This Row],[Drug Name8]],'Data Options'!$R$1:$S$100,2,FALSE), " ")</f>
        <v xml:space="preserve"> </v>
      </c>
      <c r="CB180" s="55"/>
      <c r="CC180" s="32"/>
      <c r="CD180" s="32"/>
      <c r="CE180" s="55"/>
      <c r="CF180" s="32"/>
      <c r="CG180" s="54"/>
      <c r="CH180" s="56" t="str">
        <f>IFERROR(VLOOKUP(December[[#This Row],[Drug Name9]],'Data Options'!$R$1:$S$100,2,FALSE), " ")</f>
        <v xml:space="preserve"> </v>
      </c>
      <c r="CI180" s="55"/>
      <c r="CJ180" s="32"/>
      <c r="CK180" s="32"/>
      <c r="CL180" s="55"/>
      <c r="CM180" s="32"/>
    </row>
    <row r="181" spans="1:91">
      <c r="A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1"/>
      <c r="P181" s="31"/>
      <c r="Q181" s="54"/>
      <c r="R181" s="56" t="str">
        <f>IFERROR(VLOOKUP(December[[#This Row],[Drug Name]],'Data Options'!$R$1:$S$100,2,FALSE), " ")</f>
        <v xml:space="preserve"> </v>
      </c>
      <c r="S181" s="55"/>
      <c r="T181" s="32"/>
      <c r="U181" s="32"/>
      <c r="V181" s="55"/>
      <c r="W181" s="32"/>
      <c r="X181" s="54"/>
      <c r="Y181" s="56" t="str">
        <f>IFERROR(VLOOKUP(December[[#This Row],[Drug Name2]],'Data Options'!$R$1:$S$100,2,FALSE), " ")</f>
        <v xml:space="preserve"> </v>
      </c>
      <c r="Z181" s="55"/>
      <c r="AA181" s="32"/>
      <c r="AB181" s="32"/>
      <c r="AC181" s="55"/>
      <c r="AD181" s="32"/>
      <c r="AE181" s="54"/>
      <c r="AF181" s="56" t="str">
        <f>IFERROR(VLOOKUP(December[[#This Row],[Drug Name3]],'Data Options'!$R$1:$S$100,2,FALSE), " ")</f>
        <v xml:space="preserve"> </v>
      </c>
      <c r="AG181" s="55"/>
      <c r="AH181" s="32"/>
      <c r="AI181" s="32"/>
      <c r="AJ181" s="55"/>
      <c r="AK181" s="32"/>
      <c r="AL181" s="32"/>
      <c r="AM181" s="32"/>
      <c r="AN181" s="32"/>
      <c r="AO181" s="32"/>
      <c r="AP181" s="31"/>
      <c r="AQ181" s="31"/>
      <c r="AR181" s="54"/>
      <c r="AS181" s="56" t="str">
        <f>IFERROR(VLOOKUP(December[[#This Row],[Drug Name4]],'Data Options'!$R$1:$S$100,2,FALSE), " ")</f>
        <v xml:space="preserve"> </v>
      </c>
      <c r="AT181" s="55"/>
      <c r="AU181" s="32"/>
      <c r="AV181" s="32"/>
      <c r="AW181" s="55"/>
      <c r="AX181" s="32"/>
      <c r="AY181" s="54"/>
      <c r="AZ181" s="56" t="str">
        <f>IFERROR(VLOOKUP(December[[#This Row],[Drug Name5]],'Data Options'!$R$1:$S$100,2,FALSE), " ")</f>
        <v xml:space="preserve"> </v>
      </c>
      <c r="BA181" s="55"/>
      <c r="BB181" s="32"/>
      <c r="BC181" s="32"/>
      <c r="BD181" s="55"/>
      <c r="BE181" s="32"/>
      <c r="BF181" s="54"/>
      <c r="BG181" s="56" t="str">
        <f>IFERROR(VLOOKUP(December[[#This Row],[Drug Name6]],'Data Options'!$R$1:$S$100,2,FALSE), " ")</f>
        <v xml:space="preserve"> </v>
      </c>
      <c r="BH181" s="55"/>
      <c r="BI181" s="32"/>
      <c r="BJ181" s="32"/>
      <c r="BK181" s="55"/>
      <c r="BL181" s="32"/>
      <c r="BM181" s="32"/>
      <c r="BN181" s="32"/>
      <c r="BO181" s="32"/>
      <c r="BP181" s="32"/>
      <c r="BQ181" s="31"/>
      <c r="BR181" s="31"/>
      <c r="BS181" s="54"/>
      <c r="BT181" s="56" t="str">
        <f>IFERROR(VLOOKUP(December[[#This Row],[Drug Name7]],'Data Options'!$R$1:$S$100,2,FALSE), " ")</f>
        <v xml:space="preserve"> </v>
      </c>
      <c r="BU181" s="55"/>
      <c r="BV181" s="32"/>
      <c r="BW181" s="32"/>
      <c r="BX181" s="55"/>
      <c r="BY181" s="32"/>
      <c r="BZ181" s="54"/>
      <c r="CA181" s="56" t="str">
        <f>IFERROR(VLOOKUP(December[[#This Row],[Drug Name8]],'Data Options'!$R$1:$S$100,2,FALSE), " ")</f>
        <v xml:space="preserve"> </v>
      </c>
      <c r="CB181" s="55"/>
      <c r="CC181" s="32"/>
      <c r="CD181" s="32"/>
      <c r="CE181" s="55"/>
      <c r="CF181" s="32"/>
      <c r="CG181" s="54"/>
      <c r="CH181" s="56" t="str">
        <f>IFERROR(VLOOKUP(December[[#This Row],[Drug Name9]],'Data Options'!$R$1:$S$100,2,FALSE), " ")</f>
        <v xml:space="preserve"> </v>
      </c>
      <c r="CI181" s="55"/>
      <c r="CJ181" s="32"/>
      <c r="CK181" s="32"/>
      <c r="CL181" s="55"/>
      <c r="CM181" s="32"/>
    </row>
    <row r="182" spans="1:91">
      <c r="A182" s="5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1"/>
      <c r="P182" s="31"/>
      <c r="Q182" s="54"/>
      <c r="R182" s="56" t="str">
        <f>IFERROR(VLOOKUP(December[[#This Row],[Drug Name]],'Data Options'!$R$1:$S$100,2,FALSE), " ")</f>
        <v xml:space="preserve"> </v>
      </c>
      <c r="S182" s="55"/>
      <c r="T182" s="32"/>
      <c r="U182" s="32"/>
      <c r="V182" s="55"/>
      <c r="W182" s="32"/>
      <c r="X182" s="54"/>
      <c r="Y182" s="56" t="str">
        <f>IFERROR(VLOOKUP(December[[#This Row],[Drug Name2]],'Data Options'!$R$1:$S$100,2,FALSE), " ")</f>
        <v xml:space="preserve"> </v>
      </c>
      <c r="Z182" s="55"/>
      <c r="AA182" s="32"/>
      <c r="AB182" s="32"/>
      <c r="AC182" s="55"/>
      <c r="AD182" s="32"/>
      <c r="AE182" s="54"/>
      <c r="AF182" s="56" t="str">
        <f>IFERROR(VLOOKUP(December[[#This Row],[Drug Name3]],'Data Options'!$R$1:$S$100,2,FALSE), " ")</f>
        <v xml:space="preserve"> </v>
      </c>
      <c r="AG182" s="55"/>
      <c r="AH182" s="32"/>
      <c r="AI182" s="32"/>
      <c r="AJ182" s="55"/>
      <c r="AK182" s="32"/>
      <c r="AL182" s="32"/>
      <c r="AM182" s="32"/>
      <c r="AN182" s="32"/>
      <c r="AO182" s="32"/>
      <c r="AP182" s="31"/>
      <c r="AQ182" s="31"/>
      <c r="AR182" s="54"/>
      <c r="AS182" s="56" t="str">
        <f>IFERROR(VLOOKUP(December[[#This Row],[Drug Name4]],'Data Options'!$R$1:$S$100,2,FALSE), " ")</f>
        <v xml:space="preserve"> </v>
      </c>
      <c r="AT182" s="55"/>
      <c r="AU182" s="32"/>
      <c r="AV182" s="32"/>
      <c r="AW182" s="55"/>
      <c r="AX182" s="32"/>
      <c r="AY182" s="54"/>
      <c r="AZ182" s="56" t="str">
        <f>IFERROR(VLOOKUP(December[[#This Row],[Drug Name5]],'Data Options'!$R$1:$S$100,2,FALSE), " ")</f>
        <v xml:space="preserve"> </v>
      </c>
      <c r="BA182" s="55"/>
      <c r="BB182" s="32"/>
      <c r="BC182" s="32"/>
      <c r="BD182" s="55"/>
      <c r="BE182" s="32"/>
      <c r="BF182" s="54"/>
      <c r="BG182" s="56" t="str">
        <f>IFERROR(VLOOKUP(December[[#This Row],[Drug Name6]],'Data Options'!$R$1:$S$100,2,FALSE), " ")</f>
        <v xml:space="preserve"> </v>
      </c>
      <c r="BH182" s="55"/>
      <c r="BI182" s="32"/>
      <c r="BJ182" s="32"/>
      <c r="BK182" s="55"/>
      <c r="BL182" s="32"/>
      <c r="BM182" s="32"/>
      <c r="BN182" s="32"/>
      <c r="BO182" s="32"/>
      <c r="BP182" s="32"/>
      <c r="BQ182" s="31"/>
      <c r="BR182" s="31"/>
      <c r="BS182" s="54"/>
      <c r="BT182" s="56" t="str">
        <f>IFERROR(VLOOKUP(December[[#This Row],[Drug Name7]],'Data Options'!$R$1:$S$100,2,FALSE), " ")</f>
        <v xml:space="preserve"> </v>
      </c>
      <c r="BU182" s="55"/>
      <c r="BV182" s="32"/>
      <c r="BW182" s="32"/>
      <c r="BX182" s="55"/>
      <c r="BY182" s="32"/>
      <c r="BZ182" s="54"/>
      <c r="CA182" s="56" t="str">
        <f>IFERROR(VLOOKUP(December[[#This Row],[Drug Name8]],'Data Options'!$R$1:$S$100,2,FALSE), " ")</f>
        <v xml:space="preserve"> </v>
      </c>
      <c r="CB182" s="55"/>
      <c r="CC182" s="32"/>
      <c r="CD182" s="32"/>
      <c r="CE182" s="55"/>
      <c r="CF182" s="32"/>
      <c r="CG182" s="54"/>
      <c r="CH182" s="56" t="str">
        <f>IFERROR(VLOOKUP(December[[#This Row],[Drug Name9]],'Data Options'!$R$1:$S$100,2,FALSE), " ")</f>
        <v xml:space="preserve"> </v>
      </c>
      <c r="CI182" s="55"/>
      <c r="CJ182" s="32"/>
      <c r="CK182" s="32"/>
      <c r="CL182" s="55"/>
      <c r="CM182" s="32"/>
    </row>
    <row r="183" spans="1:91">
      <c r="A183" s="5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1"/>
      <c r="P183" s="31"/>
      <c r="Q183" s="54"/>
      <c r="R183" s="56" t="str">
        <f>IFERROR(VLOOKUP(December[[#This Row],[Drug Name]],'Data Options'!$R$1:$S$100,2,FALSE), " ")</f>
        <v xml:space="preserve"> </v>
      </c>
      <c r="S183" s="55"/>
      <c r="T183" s="32"/>
      <c r="U183" s="32"/>
      <c r="V183" s="55"/>
      <c r="W183" s="32"/>
      <c r="X183" s="54"/>
      <c r="Y183" s="56" t="str">
        <f>IFERROR(VLOOKUP(December[[#This Row],[Drug Name2]],'Data Options'!$R$1:$S$100,2,FALSE), " ")</f>
        <v xml:space="preserve"> </v>
      </c>
      <c r="Z183" s="55"/>
      <c r="AA183" s="32"/>
      <c r="AB183" s="32"/>
      <c r="AC183" s="55"/>
      <c r="AD183" s="32"/>
      <c r="AE183" s="54"/>
      <c r="AF183" s="56" t="str">
        <f>IFERROR(VLOOKUP(December[[#This Row],[Drug Name3]],'Data Options'!$R$1:$S$100,2,FALSE), " ")</f>
        <v xml:space="preserve"> </v>
      </c>
      <c r="AG183" s="55"/>
      <c r="AH183" s="32"/>
      <c r="AI183" s="32"/>
      <c r="AJ183" s="55"/>
      <c r="AK183" s="32"/>
      <c r="AL183" s="32"/>
      <c r="AM183" s="32"/>
      <c r="AN183" s="32"/>
      <c r="AO183" s="32"/>
      <c r="AP183" s="31"/>
      <c r="AQ183" s="31"/>
      <c r="AR183" s="54"/>
      <c r="AS183" s="56" t="str">
        <f>IFERROR(VLOOKUP(December[[#This Row],[Drug Name4]],'Data Options'!$R$1:$S$100,2,FALSE), " ")</f>
        <v xml:space="preserve"> </v>
      </c>
      <c r="AT183" s="55"/>
      <c r="AU183" s="32"/>
      <c r="AV183" s="32"/>
      <c r="AW183" s="55"/>
      <c r="AX183" s="32"/>
      <c r="AY183" s="54"/>
      <c r="AZ183" s="56" t="str">
        <f>IFERROR(VLOOKUP(December[[#This Row],[Drug Name5]],'Data Options'!$R$1:$S$100,2,FALSE), " ")</f>
        <v xml:space="preserve"> </v>
      </c>
      <c r="BA183" s="55"/>
      <c r="BB183" s="32"/>
      <c r="BC183" s="32"/>
      <c r="BD183" s="55"/>
      <c r="BE183" s="32"/>
      <c r="BF183" s="54"/>
      <c r="BG183" s="56" t="str">
        <f>IFERROR(VLOOKUP(December[[#This Row],[Drug Name6]],'Data Options'!$R$1:$S$100,2,FALSE), " ")</f>
        <v xml:space="preserve"> </v>
      </c>
      <c r="BH183" s="55"/>
      <c r="BI183" s="32"/>
      <c r="BJ183" s="32"/>
      <c r="BK183" s="55"/>
      <c r="BL183" s="32"/>
      <c r="BM183" s="32"/>
      <c r="BN183" s="32"/>
      <c r="BO183" s="32"/>
      <c r="BP183" s="32"/>
      <c r="BQ183" s="31"/>
      <c r="BR183" s="31"/>
      <c r="BS183" s="54"/>
      <c r="BT183" s="56" t="str">
        <f>IFERROR(VLOOKUP(December[[#This Row],[Drug Name7]],'Data Options'!$R$1:$S$100,2,FALSE), " ")</f>
        <v xml:space="preserve"> </v>
      </c>
      <c r="BU183" s="55"/>
      <c r="BV183" s="32"/>
      <c r="BW183" s="32"/>
      <c r="BX183" s="55"/>
      <c r="BY183" s="32"/>
      <c r="BZ183" s="54"/>
      <c r="CA183" s="56" t="str">
        <f>IFERROR(VLOOKUP(December[[#This Row],[Drug Name8]],'Data Options'!$R$1:$S$100,2,FALSE), " ")</f>
        <v xml:space="preserve"> </v>
      </c>
      <c r="CB183" s="55"/>
      <c r="CC183" s="32"/>
      <c r="CD183" s="32"/>
      <c r="CE183" s="55"/>
      <c r="CF183" s="32"/>
      <c r="CG183" s="54"/>
      <c r="CH183" s="56" t="str">
        <f>IFERROR(VLOOKUP(December[[#This Row],[Drug Name9]],'Data Options'!$R$1:$S$100,2,FALSE), " ")</f>
        <v xml:space="preserve"> </v>
      </c>
      <c r="CI183" s="55"/>
      <c r="CJ183" s="32"/>
      <c r="CK183" s="32"/>
      <c r="CL183" s="55"/>
      <c r="CM183" s="32"/>
    </row>
    <row r="184" spans="1:91">
      <c r="A184" s="5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1"/>
      <c r="P184" s="31"/>
      <c r="Q184" s="54"/>
      <c r="R184" s="56" t="str">
        <f>IFERROR(VLOOKUP(December[[#This Row],[Drug Name]],'Data Options'!$R$1:$S$100,2,FALSE), " ")</f>
        <v xml:space="preserve"> </v>
      </c>
      <c r="S184" s="55"/>
      <c r="T184" s="32"/>
      <c r="U184" s="32"/>
      <c r="V184" s="55"/>
      <c r="W184" s="32"/>
      <c r="X184" s="54"/>
      <c r="Y184" s="56" t="str">
        <f>IFERROR(VLOOKUP(December[[#This Row],[Drug Name2]],'Data Options'!$R$1:$S$100,2,FALSE), " ")</f>
        <v xml:space="preserve"> </v>
      </c>
      <c r="Z184" s="55"/>
      <c r="AA184" s="32"/>
      <c r="AB184" s="32"/>
      <c r="AC184" s="55"/>
      <c r="AD184" s="32"/>
      <c r="AE184" s="54"/>
      <c r="AF184" s="56" t="str">
        <f>IFERROR(VLOOKUP(December[[#This Row],[Drug Name3]],'Data Options'!$R$1:$S$100,2,FALSE), " ")</f>
        <v xml:space="preserve"> </v>
      </c>
      <c r="AG184" s="55"/>
      <c r="AH184" s="32"/>
      <c r="AI184" s="32"/>
      <c r="AJ184" s="55"/>
      <c r="AK184" s="32"/>
      <c r="AL184" s="32"/>
      <c r="AM184" s="32"/>
      <c r="AN184" s="32"/>
      <c r="AO184" s="32"/>
      <c r="AP184" s="31"/>
      <c r="AQ184" s="31"/>
      <c r="AR184" s="54"/>
      <c r="AS184" s="56" t="str">
        <f>IFERROR(VLOOKUP(December[[#This Row],[Drug Name4]],'Data Options'!$R$1:$S$100,2,FALSE), " ")</f>
        <v xml:space="preserve"> </v>
      </c>
      <c r="AT184" s="55"/>
      <c r="AU184" s="32"/>
      <c r="AV184" s="32"/>
      <c r="AW184" s="55"/>
      <c r="AX184" s="32"/>
      <c r="AY184" s="54"/>
      <c r="AZ184" s="56" t="str">
        <f>IFERROR(VLOOKUP(December[[#This Row],[Drug Name5]],'Data Options'!$R$1:$S$100,2,FALSE), " ")</f>
        <v xml:space="preserve"> </v>
      </c>
      <c r="BA184" s="55"/>
      <c r="BB184" s="32"/>
      <c r="BC184" s="32"/>
      <c r="BD184" s="55"/>
      <c r="BE184" s="32"/>
      <c r="BF184" s="54"/>
      <c r="BG184" s="56" t="str">
        <f>IFERROR(VLOOKUP(December[[#This Row],[Drug Name6]],'Data Options'!$R$1:$S$100,2,FALSE), " ")</f>
        <v xml:space="preserve"> </v>
      </c>
      <c r="BH184" s="55"/>
      <c r="BI184" s="32"/>
      <c r="BJ184" s="32"/>
      <c r="BK184" s="55"/>
      <c r="BL184" s="32"/>
      <c r="BM184" s="32"/>
      <c r="BN184" s="32"/>
      <c r="BO184" s="32"/>
      <c r="BP184" s="32"/>
      <c r="BQ184" s="31"/>
      <c r="BR184" s="31"/>
      <c r="BS184" s="54"/>
      <c r="BT184" s="56" t="str">
        <f>IFERROR(VLOOKUP(December[[#This Row],[Drug Name7]],'Data Options'!$R$1:$S$100,2,FALSE), " ")</f>
        <v xml:space="preserve"> </v>
      </c>
      <c r="BU184" s="55"/>
      <c r="BV184" s="32"/>
      <c r="BW184" s="32"/>
      <c r="BX184" s="55"/>
      <c r="BY184" s="32"/>
      <c r="BZ184" s="54"/>
      <c r="CA184" s="56" t="str">
        <f>IFERROR(VLOOKUP(December[[#This Row],[Drug Name8]],'Data Options'!$R$1:$S$100,2,FALSE), " ")</f>
        <v xml:space="preserve"> </v>
      </c>
      <c r="CB184" s="55"/>
      <c r="CC184" s="32"/>
      <c r="CD184" s="32"/>
      <c r="CE184" s="55"/>
      <c r="CF184" s="32"/>
      <c r="CG184" s="54"/>
      <c r="CH184" s="56" t="str">
        <f>IFERROR(VLOOKUP(December[[#This Row],[Drug Name9]],'Data Options'!$R$1:$S$100,2,FALSE), " ")</f>
        <v xml:space="preserve"> </v>
      </c>
      <c r="CI184" s="55"/>
      <c r="CJ184" s="32"/>
      <c r="CK184" s="32"/>
      <c r="CL184" s="55"/>
      <c r="CM184" s="32"/>
    </row>
    <row r="185" spans="1:91">
      <c r="A185" s="5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1"/>
      <c r="P185" s="31"/>
      <c r="Q185" s="54"/>
      <c r="R185" s="56" t="str">
        <f>IFERROR(VLOOKUP(December[[#This Row],[Drug Name]],'Data Options'!$R$1:$S$100,2,FALSE), " ")</f>
        <v xml:space="preserve"> </v>
      </c>
      <c r="S185" s="55"/>
      <c r="T185" s="32"/>
      <c r="U185" s="32"/>
      <c r="V185" s="55"/>
      <c r="W185" s="32"/>
      <c r="X185" s="54"/>
      <c r="Y185" s="56" t="str">
        <f>IFERROR(VLOOKUP(December[[#This Row],[Drug Name2]],'Data Options'!$R$1:$S$100,2,FALSE), " ")</f>
        <v xml:space="preserve"> </v>
      </c>
      <c r="Z185" s="55"/>
      <c r="AA185" s="32"/>
      <c r="AB185" s="32"/>
      <c r="AC185" s="55"/>
      <c r="AD185" s="32"/>
      <c r="AE185" s="54"/>
      <c r="AF185" s="56" t="str">
        <f>IFERROR(VLOOKUP(December[[#This Row],[Drug Name3]],'Data Options'!$R$1:$S$100,2,FALSE), " ")</f>
        <v xml:space="preserve"> </v>
      </c>
      <c r="AG185" s="55"/>
      <c r="AH185" s="32"/>
      <c r="AI185" s="32"/>
      <c r="AJ185" s="55"/>
      <c r="AK185" s="32"/>
      <c r="AL185" s="32"/>
      <c r="AM185" s="32"/>
      <c r="AN185" s="32"/>
      <c r="AO185" s="32"/>
      <c r="AP185" s="31"/>
      <c r="AQ185" s="31"/>
      <c r="AR185" s="54"/>
      <c r="AS185" s="56" t="str">
        <f>IFERROR(VLOOKUP(December[[#This Row],[Drug Name4]],'Data Options'!$R$1:$S$100,2,FALSE), " ")</f>
        <v xml:space="preserve"> </v>
      </c>
      <c r="AT185" s="55"/>
      <c r="AU185" s="32"/>
      <c r="AV185" s="32"/>
      <c r="AW185" s="55"/>
      <c r="AX185" s="32"/>
      <c r="AY185" s="54"/>
      <c r="AZ185" s="56" t="str">
        <f>IFERROR(VLOOKUP(December[[#This Row],[Drug Name5]],'Data Options'!$R$1:$S$100,2,FALSE), " ")</f>
        <v xml:space="preserve"> </v>
      </c>
      <c r="BA185" s="55"/>
      <c r="BB185" s="32"/>
      <c r="BC185" s="32"/>
      <c r="BD185" s="55"/>
      <c r="BE185" s="32"/>
      <c r="BF185" s="54"/>
      <c r="BG185" s="56" t="str">
        <f>IFERROR(VLOOKUP(December[[#This Row],[Drug Name6]],'Data Options'!$R$1:$S$100,2,FALSE), " ")</f>
        <v xml:space="preserve"> </v>
      </c>
      <c r="BH185" s="55"/>
      <c r="BI185" s="32"/>
      <c r="BJ185" s="32"/>
      <c r="BK185" s="55"/>
      <c r="BL185" s="32"/>
      <c r="BM185" s="32"/>
      <c r="BN185" s="32"/>
      <c r="BO185" s="32"/>
      <c r="BP185" s="32"/>
      <c r="BQ185" s="31"/>
      <c r="BR185" s="31"/>
      <c r="BS185" s="54"/>
      <c r="BT185" s="56" t="str">
        <f>IFERROR(VLOOKUP(December[[#This Row],[Drug Name7]],'Data Options'!$R$1:$S$100,2,FALSE), " ")</f>
        <v xml:space="preserve"> </v>
      </c>
      <c r="BU185" s="55"/>
      <c r="BV185" s="32"/>
      <c r="BW185" s="32"/>
      <c r="BX185" s="55"/>
      <c r="BY185" s="32"/>
      <c r="BZ185" s="54"/>
      <c r="CA185" s="56" t="str">
        <f>IFERROR(VLOOKUP(December[[#This Row],[Drug Name8]],'Data Options'!$R$1:$S$100,2,FALSE), " ")</f>
        <v xml:space="preserve"> </v>
      </c>
      <c r="CB185" s="55"/>
      <c r="CC185" s="32"/>
      <c r="CD185" s="32"/>
      <c r="CE185" s="55"/>
      <c r="CF185" s="32"/>
      <c r="CG185" s="54"/>
      <c r="CH185" s="56" t="str">
        <f>IFERROR(VLOOKUP(December[[#This Row],[Drug Name9]],'Data Options'!$R$1:$S$100,2,FALSE), " ")</f>
        <v xml:space="preserve"> </v>
      </c>
      <c r="CI185" s="55"/>
      <c r="CJ185" s="32"/>
      <c r="CK185" s="32"/>
      <c r="CL185" s="55"/>
      <c r="CM185" s="32"/>
    </row>
    <row r="186" spans="1:91">
      <c r="A186" s="5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1"/>
      <c r="P186" s="31"/>
      <c r="Q186" s="54"/>
      <c r="R186" s="56" t="str">
        <f>IFERROR(VLOOKUP(December[[#This Row],[Drug Name]],'Data Options'!$R$1:$S$100,2,FALSE), " ")</f>
        <v xml:space="preserve"> </v>
      </c>
      <c r="S186" s="55"/>
      <c r="T186" s="32"/>
      <c r="U186" s="32"/>
      <c r="V186" s="55"/>
      <c r="W186" s="32"/>
      <c r="X186" s="54"/>
      <c r="Y186" s="56" t="str">
        <f>IFERROR(VLOOKUP(December[[#This Row],[Drug Name2]],'Data Options'!$R$1:$S$100,2,FALSE), " ")</f>
        <v xml:space="preserve"> </v>
      </c>
      <c r="Z186" s="55"/>
      <c r="AA186" s="32"/>
      <c r="AB186" s="32"/>
      <c r="AC186" s="55"/>
      <c r="AD186" s="32"/>
      <c r="AE186" s="54"/>
      <c r="AF186" s="56" t="str">
        <f>IFERROR(VLOOKUP(December[[#This Row],[Drug Name3]],'Data Options'!$R$1:$S$100,2,FALSE), " ")</f>
        <v xml:space="preserve"> </v>
      </c>
      <c r="AG186" s="55"/>
      <c r="AH186" s="32"/>
      <c r="AI186" s="32"/>
      <c r="AJ186" s="55"/>
      <c r="AK186" s="32"/>
      <c r="AL186" s="32"/>
      <c r="AM186" s="32"/>
      <c r="AN186" s="32"/>
      <c r="AO186" s="32"/>
      <c r="AP186" s="31"/>
      <c r="AQ186" s="31"/>
      <c r="AR186" s="54"/>
      <c r="AS186" s="56" t="str">
        <f>IFERROR(VLOOKUP(December[[#This Row],[Drug Name4]],'Data Options'!$R$1:$S$100,2,FALSE), " ")</f>
        <v xml:space="preserve"> </v>
      </c>
      <c r="AT186" s="55"/>
      <c r="AU186" s="32"/>
      <c r="AV186" s="32"/>
      <c r="AW186" s="55"/>
      <c r="AX186" s="32"/>
      <c r="AY186" s="54"/>
      <c r="AZ186" s="56" t="str">
        <f>IFERROR(VLOOKUP(December[[#This Row],[Drug Name5]],'Data Options'!$R$1:$S$100,2,FALSE), " ")</f>
        <v xml:space="preserve"> </v>
      </c>
      <c r="BA186" s="55"/>
      <c r="BB186" s="32"/>
      <c r="BC186" s="32"/>
      <c r="BD186" s="55"/>
      <c r="BE186" s="32"/>
      <c r="BF186" s="54"/>
      <c r="BG186" s="56" t="str">
        <f>IFERROR(VLOOKUP(December[[#This Row],[Drug Name6]],'Data Options'!$R$1:$S$100,2,FALSE), " ")</f>
        <v xml:space="preserve"> </v>
      </c>
      <c r="BH186" s="55"/>
      <c r="BI186" s="32"/>
      <c r="BJ186" s="32"/>
      <c r="BK186" s="55"/>
      <c r="BL186" s="32"/>
      <c r="BM186" s="32"/>
      <c r="BN186" s="32"/>
      <c r="BO186" s="32"/>
      <c r="BP186" s="32"/>
      <c r="BQ186" s="31"/>
      <c r="BR186" s="31"/>
      <c r="BS186" s="54"/>
      <c r="BT186" s="56" t="str">
        <f>IFERROR(VLOOKUP(December[[#This Row],[Drug Name7]],'Data Options'!$R$1:$S$100,2,FALSE), " ")</f>
        <v xml:space="preserve"> </v>
      </c>
      <c r="BU186" s="55"/>
      <c r="BV186" s="32"/>
      <c r="BW186" s="32"/>
      <c r="BX186" s="55"/>
      <c r="BY186" s="32"/>
      <c r="BZ186" s="54"/>
      <c r="CA186" s="56" t="str">
        <f>IFERROR(VLOOKUP(December[[#This Row],[Drug Name8]],'Data Options'!$R$1:$S$100,2,FALSE), " ")</f>
        <v xml:space="preserve"> </v>
      </c>
      <c r="CB186" s="55"/>
      <c r="CC186" s="32"/>
      <c r="CD186" s="32"/>
      <c r="CE186" s="55"/>
      <c r="CF186" s="32"/>
      <c r="CG186" s="54"/>
      <c r="CH186" s="56" t="str">
        <f>IFERROR(VLOOKUP(December[[#This Row],[Drug Name9]],'Data Options'!$R$1:$S$100,2,FALSE), " ")</f>
        <v xml:space="preserve"> </v>
      </c>
      <c r="CI186" s="55"/>
      <c r="CJ186" s="32"/>
      <c r="CK186" s="32"/>
      <c r="CL186" s="55"/>
      <c r="CM186" s="32"/>
    </row>
    <row r="187" spans="1:91">
      <c r="A187" s="5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1"/>
      <c r="P187" s="31"/>
      <c r="Q187" s="54"/>
      <c r="R187" s="56" t="str">
        <f>IFERROR(VLOOKUP(December[[#This Row],[Drug Name]],'Data Options'!$R$1:$S$100,2,FALSE), " ")</f>
        <v xml:space="preserve"> </v>
      </c>
      <c r="S187" s="55"/>
      <c r="T187" s="32"/>
      <c r="U187" s="32"/>
      <c r="V187" s="55"/>
      <c r="W187" s="32"/>
      <c r="X187" s="54"/>
      <c r="Y187" s="56" t="str">
        <f>IFERROR(VLOOKUP(December[[#This Row],[Drug Name2]],'Data Options'!$R$1:$S$100,2,FALSE), " ")</f>
        <v xml:space="preserve"> </v>
      </c>
      <c r="Z187" s="55"/>
      <c r="AA187" s="32"/>
      <c r="AB187" s="32"/>
      <c r="AC187" s="55"/>
      <c r="AD187" s="32"/>
      <c r="AE187" s="54"/>
      <c r="AF187" s="56" t="str">
        <f>IFERROR(VLOOKUP(December[[#This Row],[Drug Name3]],'Data Options'!$R$1:$S$100,2,FALSE), " ")</f>
        <v xml:space="preserve"> </v>
      </c>
      <c r="AG187" s="55"/>
      <c r="AH187" s="32"/>
      <c r="AI187" s="32"/>
      <c r="AJ187" s="55"/>
      <c r="AK187" s="32"/>
      <c r="AL187" s="32"/>
      <c r="AM187" s="32"/>
      <c r="AN187" s="32"/>
      <c r="AO187" s="32"/>
      <c r="AP187" s="31"/>
      <c r="AQ187" s="31"/>
      <c r="AR187" s="54"/>
      <c r="AS187" s="56" t="str">
        <f>IFERROR(VLOOKUP(December[[#This Row],[Drug Name4]],'Data Options'!$R$1:$S$100,2,FALSE), " ")</f>
        <v xml:space="preserve"> </v>
      </c>
      <c r="AT187" s="55"/>
      <c r="AU187" s="32"/>
      <c r="AV187" s="32"/>
      <c r="AW187" s="55"/>
      <c r="AX187" s="32"/>
      <c r="AY187" s="54"/>
      <c r="AZ187" s="56" t="str">
        <f>IFERROR(VLOOKUP(December[[#This Row],[Drug Name5]],'Data Options'!$R$1:$S$100,2,FALSE), " ")</f>
        <v xml:space="preserve"> </v>
      </c>
      <c r="BA187" s="55"/>
      <c r="BB187" s="32"/>
      <c r="BC187" s="32"/>
      <c r="BD187" s="55"/>
      <c r="BE187" s="32"/>
      <c r="BF187" s="54"/>
      <c r="BG187" s="56" t="str">
        <f>IFERROR(VLOOKUP(December[[#This Row],[Drug Name6]],'Data Options'!$R$1:$S$100,2,FALSE), " ")</f>
        <v xml:space="preserve"> </v>
      </c>
      <c r="BH187" s="55"/>
      <c r="BI187" s="32"/>
      <c r="BJ187" s="32"/>
      <c r="BK187" s="55"/>
      <c r="BL187" s="32"/>
      <c r="BM187" s="32"/>
      <c r="BN187" s="32"/>
      <c r="BO187" s="32"/>
      <c r="BP187" s="32"/>
      <c r="BQ187" s="31"/>
      <c r="BR187" s="31"/>
      <c r="BS187" s="54"/>
      <c r="BT187" s="56" t="str">
        <f>IFERROR(VLOOKUP(December[[#This Row],[Drug Name7]],'Data Options'!$R$1:$S$100,2,FALSE), " ")</f>
        <v xml:space="preserve"> </v>
      </c>
      <c r="BU187" s="55"/>
      <c r="BV187" s="32"/>
      <c r="BW187" s="32"/>
      <c r="BX187" s="55"/>
      <c r="BY187" s="32"/>
      <c r="BZ187" s="54"/>
      <c r="CA187" s="56" t="str">
        <f>IFERROR(VLOOKUP(December[[#This Row],[Drug Name8]],'Data Options'!$R$1:$S$100,2,FALSE), " ")</f>
        <v xml:space="preserve"> </v>
      </c>
      <c r="CB187" s="55"/>
      <c r="CC187" s="32"/>
      <c r="CD187" s="32"/>
      <c r="CE187" s="55"/>
      <c r="CF187" s="32"/>
      <c r="CG187" s="54"/>
      <c r="CH187" s="56" t="str">
        <f>IFERROR(VLOOKUP(December[[#This Row],[Drug Name9]],'Data Options'!$R$1:$S$100,2,FALSE), " ")</f>
        <v xml:space="preserve"> </v>
      </c>
      <c r="CI187" s="55"/>
      <c r="CJ187" s="32"/>
      <c r="CK187" s="32"/>
      <c r="CL187" s="55"/>
      <c r="CM187" s="32"/>
    </row>
    <row r="188" spans="1:91">
      <c r="A188" s="5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1"/>
      <c r="P188" s="31"/>
      <c r="Q188" s="54"/>
      <c r="R188" s="56" t="str">
        <f>IFERROR(VLOOKUP(December[[#This Row],[Drug Name]],'Data Options'!$R$1:$S$100,2,FALSE), " ")</f>
        <v xml:space="preserve"> </v>
      </c>
      <c r="S188" s="55"/>
      <c r="T188" s="32"/>
      <c r="U188" s="32"/>
      <c r="V188" s="55"/>
      <c r="W188" s="32"/>
      <c r="X188" s="54"/>
      <c r="Y188" s="56" t="str">
        <f>IFERROR(VLOOKUP(December[[#This Row],[Drug Name2]],'Data Options'!$R$1:$S$100,2,FALSE), " ")</f>
        <v xml:space="preserve"> </v>
      </c>
      <c r="Z188" s="55"/>
      <c r="AA188" s="32"/>
      <c r="AB188" s="32"/>
      <c r="AC188" s="55"/>
      <c r="AD188" s="32"/>
      <c r="AE188" s="54"/>
      <c r="AF188" s="56" t="str">
        <f>IFERROR(VLOOKUP(December[[#This Row],[Drug Name3]],'Data Options'!$R$1:$S$100,2,FALSE), " ")</f>
        <v xml:space="preserve"> </v>
      </c>
      <c r="AG188" s="55"/>
      <c r="AH188" s="32"/>
      <c r="AI188" s="32"/>
      <c r="AJ188" s="55"/>
      <c r="AK188" s="32"/>
      <c r="AL188" s="32"/>
      <c r="AM188" s="32"/>
      <c r="AN188" s="32"/>
      <c r="AO188" s="32"/>
      <c r="AP188" s="31"/>
      <c r="AQ188" s="31"/>
      <c r="AR188" s="54"/>
      <c r="AS188" s="56" t="str">
        <f>IFERROR(VLOOKUP(December[[#This Row],[Drug Name4]],'Data Options'!$R$1:$S$100,2,FALSE), " ")</f>
        <v xml:space="preserve"> </v>
      </c>
      <c r="AT188" s="55"/>
      <c r="AU188" s="32"/>
      <c r="AV188" s="32"/>
      <c r="AW188" s="55"/>
      <c r="AX188" s="32"/>
      <c r="AY188" s="54"/>
      <c r="AZ188" s="56" t="str">
        <f>IFERROR(VLOOKUP(December[[#This Row],[Drug Name5]],'Data Options'!$R$1:$S$100,2,FALSE), " ")</f>
        <v xml:space="preserve"> </v>
      </c>
      <c r="BA188" s="55"/>
      <c r="BB188" s="32"/>
      <c r="BC188" s="32"/>
      <c r="BD188" s="55"/>
      <c r="BE188" s="32"/>
      <c r="BF188" s="54"/>
      <c r="BG188" s="56" t="str">
        <f>IFERROR(VLOOKUP(December[[#This Row],[Drug Name6]],'Data Options'!$R$1:$S$100,2,FALSE), " ")</f>
        <v xml:space="preserve"> </v>
      </c>
      <c r="BH188" s="55"/>
      <c r="BI188" s="32"/>
      <c r="BJ188" s="32"/>
      <c r="BK188" s="55"/>
      <c r="BL188" s="32"/>
      <c r="BM188" s="32"/>
      <c r="BN188" s="32"/>
      <c r="BO188" s="32"/>
      <c r="BP188" s="32"/>
      <c r="BQ188" s="31"/>
      <c r="BR188" s="31"/>
      <c r="BS188" s="54"/>
      <c r="BT188" s="56" t="str">
        <f>IFERROR(VLOOKUP(December[[#This Row],[Drug Name7]],'Data Options'!$R$1:$S$100,2,FALSE), " ")</f>
        <v xml:space="preserve"> </v>
      </c>
      <c r="BU188" s="55"/>
      <c r="BV188" s="32"/>
      <c r="BW188" s="32"/>
      <c r="BX188" s="55"/>
      <c r="BY188" s="32"/>
      <c r="BZ188" s="54"/>
      <c r="CA188" s="56" t="str">
        <f>IFERROR(VLOOKUP(December[[#This Row],[Drug Name8]],'Data Options'!$R$1:$S$100,2,FALSE), " ")</f>
        <v xml:space="preserve"> </v>
      </c>
      <c r="CB188" s="55"/>
      <c r="CC188" s="32"/>
      <c r="CD188" s="32"/>
      <c r="CE188" s="55"/>
      <c r="CF188" s="32"/>
      <c r="CG188" s="54"/>
      <c r="CH188" s="56" t="str">
        <f>IFERROR(VLOOKUP(December[[#This Row],[Drug Name9]],'Data Options'!$R$1:$S$100,2,FALSE), " ")</f>
        <v xml:space="preserve"> </v>
      </c>
      <c r="CI188" s="55"/>
      <c r="CJ188" s="32"/>
      <c r="CK188" s="32"/>
      <c r="CL188" s="55"/>
      <c r="CM188" s="32"/>
    </row>
    <row r="189" spans="1:91">
      <c r="A189" s="5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/>
      <c r="P189" s="31"/>
      <c r="Q189" s="54"/>
      <c r="R189" s="56" t="str">
        <f>IFERROR(VLOOKUP(December[[#This Row],[Drug Name]],'Data Options'!$R$1:$S$100,2,FALSE), " ")</f>
        <v xml:space="preserve"> </v>
      </c>
      <c r="S189" s="55"/>
      <c r="T189" s="32"/>
      <c r="U189" s="32"/>
      <c r="V189" s="55"/>
      <c r="W189" s="32"/>
      <c r="X189" s="54"/>
      <c r="Y189" s="56" t="str">
        <f>IFERROR(VLOOKUP(December[[#This Row],[Drug Name2]],'Data Options'!$R$1:$S$100,2,FALSE), " ")</f>
        <v xml:space="preserve"> </v>
      </c>
      <c r="Z189" s="55"/>
      <c r="AA189" s="32"/>
      <c r="AB189" s="32"/>
      <c r="AC189" s="55"/>
      <c r="AD189" s="32"/>
      <c r="AE189" s="54"/>
      <c r="AF189" s="56" t="str">
        <f>IFERROR(VLOOKUP(December[[#This Row],[Drug Name3]],'Data Options'!$R$1:$S$100,2,FALSE), " ")</f>
        <v xml:space="preserve"> </v>
      </c>
      <c r="AG189" s="55"/>
      <c r="AH189" s="32"/>
      <c r="AI189" s="32"/>
      <c r="AJ189" s="55"/>
      <c r="AK189" s="32"/>
      <c r="AL189" s="32"/>
      <c r="AM189" s="32"/>
      <c r="AN189" s="32"/>
      <c r="AO189" s="32"/>
      <c r="AP189" s="31"/>
      <c r="AQ189" s="31"/>
      <c r="AR189" s="54"/>
      <c r="AS189" s="56" t="str">
        <f>IFERROR(VLOOKUP(December[[#This Row],[Drug Name4]],'Data Options'!$R$1:$S$100,2,FALSE), " ")</f>
        <v xml:space="preserve"> </v>
      </c>
      <c r="AT189" s="55"/>
      <c r="AU189" s="32"/>
      <c r="AV189" s="32"/>
      <c r="AW189" s="55"/>
      <c r="AX189" s="32"/>
      <c r="AY189" s="54"/>
      <c r="AZ189" s="56" t="str">
        <f>IFERROR(VLOOKUP(December[[#This Row],[Drug Name5]],'Data Options'!$R$1:$S$100,2,FALSE), " ")</f>
        <v xml:space="preserve"> </v>
      </c>
      <c r="BA189" s="55"/>
      <c r="BB189" s="32"/>
      <c r="BC189" s="32"/>
      <c r="BD189" s="55"/>
      <c r="BE189" s="32"/>
      <c r="BF189" s="54"/>
      <c r="BG189" s="56" t="str">
        <f>IFERROR(VLOOKUP(December[[#This Row],[Drug Name6]],'Data Options'!$R$1:$S$100,2,FALSE), " ")</f>
        <v xml:space="preserve"> </v>
      </c>
      <c r="BH189" s="55"/>
      <c r="BI189" s="32"/>
      <c r="BJ189" s="32"/>
      <c r="BK189" s="55"/>
      <c r="BL189" s="32"/>
      <c r="BM189" s="32"/>
      <c r="BN189" s="32"/>
      <c r="BO189" s="32"/>
      <c r="BP189" s="32"/>
      <c r="BQ189" s="31"/>
      <c r="BR189" s="31"/>
      <c r="BS189" s="54"/>
      <c r="BT189" s="56" t="str">
        <f>IFERROR(VLOOKUP(December[[#This Row],[Drug Name7]],'Data Options'!$R$1:$S$100,2,FALSE), " ")</f>
        <v xml:space="preserve"> </v>
      </c>
      <c r="BU189" s="55"/>
      <c r="BV189" s="32"/>
      <c r="BW189" s="32"/>
      <c r="BX189" s="55"/>
      <c r="BY189" s="32"/>
      <c r="BZ189" s="54"/>
      <c r="CA189" s="56" t="str">
        <f>IFERROR(VLOOKUP(December[[#This Row],[Drug Name8]],'Data Options'!$R$1:$S$100,2,FALSE), " ")</f>
        <v xml:space="preserve"> </v>
      </c>
      <c r="CB189" s="55"/>
      <c r="CC189" s="32"/>
      <c r="CD189" s="32"/>
      <c r="CE189" s="55"/>
      <c r="CF189" s="32"/>
      <c r="CG189" s="54"/>
      <c r="CH189" s="56" t="str">
        <f>IFERROR(VLOOKUP(December[[#This Row],[Drug Name9]],'Data Options'!$R$1:$S$100,2,FALSE), " ")</f>
        <v xml:space="preserve"> </v>
      </c>
      <c r="CI189" s="55"/>
      <c r="CJ189" s="32"/>
      <c r="CK189" s="32"/>
      <c r="CL189" s="55"/>
      <c r="CM189" s="32"/>
    </row>
    <row r="190" spans="1:91">
      <c r="A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54"/>
      <c r="R190" s="56" t="str">
        <f>IFERROR(VLOOKUP(December[[#This Row],[Drug Name]],'Data Options'!$R$1:$S$100,2,FALSE), " ")</f>
        <v xml:space="preserve"> </v>
      </c>
      <c r="S190" s="55"/>
      <c r="T190" s="32"/>
      <c r="U190" s="32"/>
      <c r="V190" s="55"/>
      <c r="W190" s="32"/>
      <c r="X190" s="54"/>
      <c r="Y190" s="56" t="str">
        <f>IFERROR(VLOOKUP(December[[#This Row],[Drug Name2]],'Data Options'!$R$1:$S$100,2,FALSE), " ")</f>
        <v xml:space="preserve"> </v>
      </c>
      <c r="Z190" s="55"/>
      <c r="AA190" s="32"/>
      <c r="AB190" s="32"/>
      <c r="AC190" s="55"/>
      <c r="AD190" s="32"/>
      <c r="AE190" s="54"/>
      <c r="AF190" s="56" t="str">
        <f>IFERROR(VLOOKUP(December[[#This Row],[Drug Name3]],'Data Options'!$R$1:$S$100,2,FALSE), " ")</f>
        <v xml:space="preserve"> </v>
      </c>
      <c r="AG190" s="55"/>
      <c r="AH190" s="32"/>
      <c r="AI190" s="32"/>
      <c r="AJ190" s="55"/>
      <c r="AK190" s="32"/>
      <c r="AL190" s="32"/>
      <c r="AM190" s="32"/>
      <c r="AN190" s="32"/>
      <c r="AO190" s="32"/>
      <c r="AP190" s="31"/>
      <c r="AQ190" s="31"/>
      <c r="AR190" s="54"/>
      <c r="AS190" s="56" t="str">
        <f>IFERROR(VLOOKUP(December[[#This Row],[Drug Name4]],'Data Options'!$R$1:$S$100,2,FALSE), " ")</f>
        <v xml:space="preserve"> </v>
      </c>
      <c r="AT190" s="55"/>
      <c r="AU190" s="32"/>
      <c r="AV190" s="32"/>
      <c r="AW190" s="55"/>
      <c r="AX190" s="32"/>
      <c r="AY190" s="54"/>
      <c r="AZ190" s="56" t="str">
        <f>IFERROR(VLOOKUP(December[[#This Row],[Drug Name5]],'Data Options'!$R$1:$S$100,2,FALSE), " ")</f>
        <v xml:space="preserve"> </v>
      </c>
      <c r="BA190" s="55"/>
      <c r="BB190" s="32"/>
      <c r="BC190" s="32"/>
      <c r="BD190" s="55"/>
      <c r="BE190" s="32"/>
      <c r="BF190" s="54"/>
      <c r="BG190" s="56" t="str">
        <f>IFERROR(VLOOKUP(December[[#This Row],[Drug Name6]],'Data Options'!$R$1:$S$100,2,FALSE), " ")</f>
        <v xml:space="preserve"> </v>
      </c>
      <c r="BH190" s="55"/>
      <c r="BI190" s="32"/>
      <c r="BJ190" s="32"/>
      <c r="BK190" s="55"/>
      <c r="BL190" s="32"/>
      <c r="BM190" s="32"/>
      <c r="BN190" s="32"/>
      <c r="BO190" s="32"/>
      <c r="BP190" s="32"/>
      <c r="BQ190" s="31"/>
      <c r="BR190" s="31"/>
      <c r="BS190" s="54"/>
      <c r="BT190" s="56" t="str">
        <f>IFERROR(VLOOKUP(December[[#This Row],[Drug Name7]],'Data Options'!$R$1:$S$100,2,FALSE), " ")</f>
        <v xml:space="preserve"> </v>
      </c>
      <c r="BU190" s="55"/>
      <c r="BV190" s="32"/>
      <c r="BW190" s="32"/>
      <c r="BX190" s="55"/>
      <c r="BY190" s="32"/>
      <c r="BZ190" s="54"/>
      <c r="CA190" s="56" t="str">
        <f>IFERROR(VLOOKUP(December[[#This Row],[Drug Name8]],'Data Options'!$R$1:$S$100,2,FALSE), " ")</f>
        <v xml:space="preserve"> </v>
      </c>
      <c r="CB190" s="55"/>
      <c r="CC190" s="32"/>
      <c r="CD190" s="32"/>
      <c r="CE190" s="55"/>
      <c r="CF190" s="32"/>
      <c r="CG190" s="54"/>
      <c r="CH190" s="56" t="str">
        <f>IFERROR(VLOOKUP(December[[#This Row],[Drug Name9]],'Data Options'!$R$1:$S$100,2,FALSE), " ")</f>
        <v xml:space="preserve"> </v>
      </c>
      <c r="CI190" s="55"/>
      <c r="CJ190" s="32"/>
      <c r="CK190" s="32"/>
      <c r="CL190" s="55"/>
      <c r="CM190" s="32"/>
    </row>
    <row r="191" spans="1:91">
      <c r="A191" s="5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1"/>
      <c r="P191" s="31"/>
      <c r="Q191" s="54"/>
      <c r="R191" s="56" t="str">
        <f>IFERROR(VLOOKUP(December[[#This Row],[Drug Name]],'Data Options'!$R$1:$S$100,2,FALSE), " ")</f>
        <v xml:space="preserve"> </v>
      </c>
      <c r="S191" s="55"/>
      <c r="T191" s="32"/>
      <c r="U191" s="32"/>
      <c r="V191" s="55"/>
      <c r="W191" s="32"/>
      <c r="X191" s="54"/>
      <c r="Y191" s="56" t="str">
        <f>IFERROR(VLOOKUP(December[[#This Row],[Drug Name2]],'Data Options'!$R$1:$S$100,2,FALSE), " ")</f>
        <v xml:space="preserve"> </v>
      </c>
      <c r="Z191" s="55"/>
      <c r="AA191" s="32"/>
      <c r="AB191" s="32"/>
      <c r="AC191" s="55"/>
      <c r="AD191" s="32"/>
      <c r="AE191" s="54"/>
      <c r="AF191" s="56" t="str">
        <f>IFERROR(VLOOKUP(December[[#This Row],[Drug Name3]],'Data Options'!$R$1:$S$100,2,FALSE), " ")</f>
        <v xml:space="preserve"> </v>
      </c>
      <c r="AG191" s="55"/>
      <c r="AH191" s="32"/>
      <c r="AI191" s="32"/>
      <c r="AJ191" s="55"/>
      <c r="AK191" s="32"/>
      <c r="AL191" s="32"/>
      <c r="AM191" s="32"/>
      <c r="AN191" s="32"/>
      <c r="AO191" s="32"/>
      <c r="AP191" s="31"/>
      <c r="AQ191" s="31"/>
      <c r="AR191" s="54"/>
      <c r="AS191" s="56" t="str">
        <f>IFERROR(VLOOKUP(December[[#This Row],[Drug Name4]],'Data Options'!$R$1:$S$100,2,FALSE), " ")</f>
        <v xml:space="preserve"> </v>
      </c>
      <c r="AT191" s="55"/>
      <c r="AU191" s="32"/>
      <c r="AV191" s="32"/>
      <c r="AW191" s="55"/>
      <c r="AX191" s="32"/>
      <c r="AY191" s="54"/>
      <c r="AZ191" s="56" t="str">
        <f>IFERROR(VLOOKUP(December[[#This Row],[Drug Name5]],'Data Options'!$R$1:$S$100,2,FALSE), " ")</f>
        <v xml:space="preserve"> </v>
      </c>
      <c r="BA191" s="55"/>
      <c r="BB191" s="32"/>
      <c r="BC191" s="32"/>
      <c r="BD191" s="55"/>
      <c r="BE191" s="32"/>
      <c r="BF191" s="54"/>
      <c r="BG191" s="56" t="str">
        <f>IFERROR(VLOOKUP(December[[#This Row],[Drug Name6]],'Data Options'!$R$1:$S$100,2,FALSE), " ")</f>
        <v xml:space="preserve"> </v>
      </c>
      <c r="BH191" s="55"/>
      <c r="BI191" s="32"/>
      <c r="BJ191" s="32"/>
      <c r="BK191" s="55"/>
      <c r="BL191" s="32"/>
      <c r="BM191" s="32"/>
      <c r="BN191" s="32"/>
      <c r="BO191" s="32"/>
      <c r="BP191" s="32"/>
      <c r="BQ191" s="31"/>
      <c r="BR191" s="31"/>
      <c r="BS191" s="54"/>
      <c r="BT191" s="56" t="str">
        <f>IFERROR(VLOOKUP(December[[#This Row],[Drug Name7]],'Data Options'!$R$1:$S$100,2,FALSE), " ")</f>
        <v xml:space="preserve"> </v>
      </c>
      <c r="BU191" s="55"/>
      <c r="BV191" s="32"/>
      <c r="BW191" s="32"/>
      <c r="BX191" s="55"/>
      <c r="BY191" s="32"/>
      <c r="BZ191" s="54"/>
      <c r="CA191" s="56" t="str">
        <f>IFERROR(VLOOKUP(December[[#This Row],[Drug Name8]],'Data Options'!$R$1:$S$100,2,FALSE), " ")</f>
        <v xml:space="preserve"> </v>
      </c>
      <c r="CB191" s="55"/>
      <c r="CC191" s="32"/>
      <c r="CD191" s="32"/>
      <c r="CE191" s="55"/>
      <c r="CF191" s="32"/>
      <c r="CG191" s="54"/>
      <c r="CH191" s="56" t="str">
        <f>IFERROR(VLOOKUP(December[[#This Row],[Drug Name9]],'Data Options'!$R$1:$S$100,2,FALSE), " ")</f>
        <v xml:space="preserve"> </v>
      </c>
      <c r="CI191" s="55"/>
      <c r="CJ191" s="32"/>
      <c r="CK191" s="32"/>
      <c r="CL191" s="55"/>
      <c r="CM191" s="32"/>
    </row>
    <row r="192" spans="1:91">
      <c r="A192" s="5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1"/>
      <c r="P192" s="31"/>
      <c r="Q192" s="54"/>
      <c r="R192" s="56" t="str">
        <f>IFERROR(VLOOKUP(December[[#This Row],[Drug Name]],'Data Options'!$R$1:$S$100,2,FALSE), " ")</f>
        <v xml:space="preserve"> </v>
      </c>
      <c r="S192" s="55"/>
      <c r="T192" s="32"/>
      <c r="U192" s="32"/>
      <c r="V192" s="55"/>
      <c r="W192" s="32"/>
      <c r="X192" s="54"/>
      <c r="Y192" s="56" t="str">
        <f>IFERROR(VLOOKUP(December[[#This Row],[Drug Name2]],'Data Options'!$R$1:$S$100,2,FALSE), " ")</f>
        <v xml:space="preserve"> </v>
      </c>
      <c r="Z192" s="55"/>
      <c r="AA192" s="32"/>
      <c r="AB192" s="32"/>
      <c r="AC192" s="55"/>
      <c r="AD192" s="32"/>
      <c r="AE192" s="54"/>
      <c r="AF192" s="56" t="str">
        <f>IFERROR(VLOOKUP(December[[#This Row],[Drug Name3]],'Data Options'!$R$1:$S$100,2,FALSE), " ")</f>
        <v xml:space="preserve"> </v>
      </c>
      <c r="AG192" s="55"/>
      <c r="AH192" s="32"/>
      <c r="AI192" s="32"/>
      <c r="AJ192" s="55"/>
      <c r="AK192" s="32"/>
      <c r="AL192" s="32"/>
      <c r="AM192" s="32"/>
      <c r="AN192" s="32"/>
      <c r="AO192" s="32"/>
      <c r="AP192" s="31"/>
      <c r="AQ192" s="31"/>
      <c r="AR192" s="54"/>
      <c r="AS192" s="56" t="str">
        <f>IFERROR(VLOOKUP(December[[#This Row],[Drug Name4]],'Data Options'!$R$1:$S$100,2,FALSE), " ")</f>
        <v xml:space="preserve"> </v>
      </c>
      <c r="AT192" s="55"/>
      <c r="AU192" s="32"/>
      <c r="AV192" s="32"/>
      <c r="AW192" s="55"/>
      <c r="AX192" s="32"/>
      <c r="AY192" s="54"/>
      <c r="AZ192" s="56" t="str">
        <f>IFERROR(VLOOKUP(December[[#This Row],[Drug Name5]],'Data Options'!$R$1:$S$100,2,FALSE), " ")</f>
        <v xml:space="preserve"> </v>
      </c>
      <c r="BA192" s="55"/>
      <c r="BB192" s="32"/>
      <c r="BC192" s="32"/>
      <c r="BD192" s="55"/>
      <c r="BE192" s="32"/>
      <c r="BF192" s="54"/>
      <c r="BG192" s="56" t="str">
        <f>IFERROR(VLOOKUP(December[[#This Row],[Drug Name6]],'Data Options'!$R$1:$S$100,2,FALSE), " ")</f>
        <v xml:space="preserve"> </v>
      </c>
      <c r="BH192" s="55"/>
      <c r="BI192" s="32"/>
      <c r="BJ192" s="32"/>
      <c r="BK192" s="55"/>
      <c r="BL192" s="32"/>
      <c r="BM192" s="32"/>
      <c r="BN192" s="32"/>
      <c r="BO192" s="32"/>
      <c r="BP192" s="32"/>
      <c r="BQ192" s="31"/>
      <c r="BR192" s="31"/>
      <c r="BS192" s="54"/>
      <c r="BT192" s="56" t="str">
        <f>IFERROR(VLOOKUP(December[[#This Row],[Drug Name7]],'Data Options'!$R$1:$S$100,2,FALSE), " ")</f>
        <v xml:space="preserve"> </v>
      </c>
      <c r="BU192" s="55"/>
      <c r="BV192" s="32"/>
      <c r="BW192" s="32"/>
      <c r="BX192" s="55"/>
      <c r="BY192" s="32"/>
      <c r="BZ192" s="54"/>
      <c r="CA192" s="56" t="str">
        <f>IFERROR(VLOOKUP(December[[#This Row],[Drug Name8]],'Data Options'!$R$1:$S$100,2,FALSE), " ")</f>
        <v xml:space="preserve"> </v>
      </c>
      <c r="CB192" s="55"/>
      <c r="CC192" s="32"/>
      <c r="CD192" s="32"/>
      <c r="CE192" s="55"/>
      <c r="CF192" s="32"/>
      <c r="CG192" s="54"/>
      <c r="CH192" s="56" t="str">
        <f>IFERROR(VLOOKUP(December[[#This Row],[Drug Name9]],'Data Options'!$R$1:$S$100,2,FALSE), " ")</f>
        <v xml:space="preserve"> </v>
      </c>
      <c r="CI192" s="55"/>
      <c r="CJ192" s="32"/>
      <c r="CK192" s="32"/>
      <c r="CL192" s="55"/>
      <c r="CM192" s="32"/>
    </row>
    <row r="193" spans="1:91">
      <c r="A193" s="5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1"/>
      <c r="P193" s="31"/>
      <c r="Q193" s="54"/>
      <c r="R193" s="56" t="str">
        <f>IFERROR(VLOOKUP(December[[#This Row],[Drug Name]],'Data Options'!$R$1:$S$100,2,FALSE), " ")</f>
        <v xml:space="preserve"> </v>
      </c>
      <c r="S193" s="55"/>
      <c r="T193" s="32"/>
      <c r="U193" s="32"/>
      <c r="V193" s="55"/>
      <c r="W193" s="32"/>
      <c r="X193" s="54"/>
      <c r="Y193" s="56" t="str">
        <f>IFERROR(VLOOKUP(December[[#This Row],[Drug Name2]],'Data Options'!$R$1:$S$100,2,FALSE), " ")</f>
        <v xml:space="preserve"> </v>
      </c>
      <c r="Z193" s="55"/>
      <c r="AA193" s="32"/>
      <c r="AB193" s="32"/>
      <c r="AC193" s="55"/>
      <c r="AD193" s="32"/>
      <c r="AE193" s="54"/>
      <c r="AF193" s="56" t="str">
        <f>IFERROR(VLOOKUP(December[[#This Row],[Drug Name3]],'Data Options'!$R$1:$S$100,2,FALSE), " ")</f>
        <v xml:space="preserve"> </v>
      </c>
      <c r="AG193" s="55"/>
      <c r="AH193" s="32"/>
      <c r="AI193" s="32"/>
      <c r="AJ193" s="55"/>
      <c r="AK193" s="32"/>
      <c r="AL193" s="32"/>
      <c r="AM193" s="32"/>
      <c r="AN193" s="32"/>
      <c r="AO193" s="32"/>
      <c r="AP193" s="31"/>
      <c r="AQ193" s="31"/>
      <c r="AR193" s="54"/>
      <c r="AS193" s="56" t="str">
        <f>IFERROR(VLOOKUP(December[[#This Row],[Drug Name4]],'Data Options'!$R$1:$S$100,2,FALSE), " ")</f>
        <v xml:space="preserve"> </v>
      </c>
      <c r="AT193" s="55"/>
      <c r="AU193" s="32"/>
      <c r="AV193" s="32"/>
      <c r="AW193" s="55"/>
      <c r="AX193" s="32"/>
      <c r="AY193" s="54"/>
      <c r="AZ193" s="56" t="str">
        <f>IFERROR(VLOOKUP(December[[#This Row],[Drug Name5]],'Data Options'!$R$1:$S$100,2,FALSE), " ")</f>
        <v xml:space="preserve"> </v>
      </c>
      <c r="BA193" s="55"/>
      <c r="BB193" s="32"/>
      <c r="BC193" s="32"/>
      <c r="BD193" s="55"/>
      <c r="BE193" s="32"/>
      <c r="BF193" s="54"/>
      <c r="BG193" s="56" t="str">
        <f>IFERROR(VLOOKUP(December[[#This Row],[Drug Name6]],'Data Options'!$R$1:$S$100,2,FALSE), " ")</f>
        <v xml:space="preserve"> </v>
      </c>
      <c r="BH193" s="55"/>
      <c r="BI193" s="32"/>
      <c r="BJ193" s="32"/>
      <c r="BK193" s="55"/>
      <c r="BL193" s="32"/>
      <c r="BM193" s="32"/>
      <c r="BN193" s="32"/>
      <c r="BO193" s="32"/>
      <c r="BP193" s="32"/>
      <c r="BQ193" s="31"/>
      <c r="BR193" s="31"/>
      <c r="BS193" s="54"/>
      <c r="BT193" s="56" t="str">
        <f>IFERROR(VLOOKUP(December[[#This Row],[Drug Name7]],'Data Options'!$R$1:$S$100,2,FALSE), " ")</f>
        <v xml:space="preserve"> </v>
      </c>
      <c r="BU193" s="55"/>
      <c r="BV193" s="32"/>
      <c r="BW193" s="32"/>
      <c r="BX193" s="55"/>
      <c r="BY193" s="32"/>
      <c r="BZ193" s="54"/>
      <c r="CA193" s="56" t="str">
        <f>IFERROR(VLOOKUP(December[[#This Row],[Drug Name8]],'Data Options'!$R$1:$S$100,2,FALSE), " ")</f>
        <v xml:space="preserve"> </v>
      </c>
      <c r="CB193" s="55"/>
      <c r="CC193" s="32"/>
      <c r="CD193" s="32"/>
      <c r="CE193" s="55"/>
      <c r="CF193" s="32"/>
      <c r="CG193" s="54"/>
      <c r="CH193" s="56" t="str">
        <f>IFERROR(VLOOKUP(December[[#This Row],[Drug Name9]],'Data Options'!$R$1:$S$100,2,FALSE), " ")</f>
        <v xml:space="preserve"> </v>
      </c>
      <c r="CI193" s="55"/>
      <c r="CJ193" s="32"/>
      <c r="CK193" s="32"/>
      <c r="CL193" s="55"/>
      <c r="CM193" s="32"/>
    </row>
    <row r="194" spans="1:91">
      <c r="A194" s="5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1"/>
      <c r="P194" s="31"/>
      <c r="Q194" s="54"/>
      <c r="R194" s="56" t="str">
        <f>IFERROR(VLOOKUP(December[[#This Row],[Drug Name]],'Data Options'!$R$1:$S$100,2,FALSE), " ")</f>
        <v xml:space="preserve"> </v>
      </c>
      <c r="S194" s="55"/>
      <c r="T194" s="32"/>
      <c r="U194" s="32"/>
      <c r="V194" s="55"/>
      <c r="W194" s="32"/>
      <c r="X194" s="54"/>
      <c r="Y194" s="56" t="str">
        <f>IFERROR(VLOOKUP(December[[#This Row],[Drug Name2]],'Data Options'!$R$1:$S$100,2,FALSE), " ")</f>
        <v xml:space="preserve"> </v>
      </c>
      <c r="Z194" s="55"/>
      <c r="AA194" s="32"/>
      <c r="AB194" s="32"/>
      <c r="AC194" s="55"/>
      <c r="AD194" s="32"/>
      <c r="AE194" s="54"/>
      <c r="AF194" s="56" t="str">
        <f>IFERROR(VLOOKUP(December[[#This Row],[Drug Name3]],'Data Options'!$R$1:$S$100,2,FALSE), " ")</f>
        <v xml:space="preserve"> </v>
      </c>
      <c r="AG194" s="55"/>
      <c r="AH194" s="32"/>
      <c r="AI194" s="32"/>
      <c r="AJ194" s="55"/>
      <c r="AK194" s="32"/>
      <c r="AL194" s="32"/>
      <c r="AM194" s="32"/>
      <c r="AN194" s="32"/>
      <c r="AO194" s="32"/>
      <c r="AP194" s="31"/>
      <c r="AQ194" s="31"/>
      <c r="AR194" s="54"/>
      <c r="AS194" s="56" t="str">
        <f>IFERROR(VLOOKUP(December[[#This Row],[Drug Name4]],'Data Options'!$R$1:$S$100,2,FALSE), " ")</f>
        <v xml:space="preserve"> </v>
      </c>
      <c r="AT194" s="55"/>
      <c r="AU194" s="32"/>
      <c r="AV194" s="32"/>
      <c r="AW194" s="55"/>
      <c r="AX194" s="32"/>
      <c r="AY194" s="54"/>
      <c r="AZ194" s="56" t="str">
        <f>IFERROR(VLOOKUP(December[[#This Row],[Drug Name5]],'Data Options'!$R$1:$S$100,2,FALSE), " ")</f>
        <v xml:space="preserve"> </v>
      </c>
      <c r="BA194" s="55"/>
      <c r="BB194" s="32"/>
      <c r="BC194" s="32"/>
      <c r="BD194" s="55"/>
      <c r="BE194" s="32"/>
      <c r="BF194" s="54"/>
      <c r="BG194" s="56" t="str">
        <f>IFERROR(VLOOKUP(December[[#This Row],[Drug Name6]],'Data Options'!$R$1:$S$100,2,FALSE), " ")</f>
        <v xml:space="preserve"> </v>
      </c>
      <c r="BH194" s="55"/>
      <c r="BI194" s="32"/>
      <c r="BJ194" s="32"/>
      <c r="BK194" s="55"/>
      <c r="BL194" s="32"/>
      <c r="BM194" s="32"/>
      <c r="BN194" s="32"/>
      <c r="BO194" s="32"/>
      <c r="BP194" s="32"/>
      <c r="BQ194" s="31"/>
      <c r="BR194" s="31"/>
      <c r="BS194" s="54"/>
      <c r="BT194" s="56" t="str">
        <f>IFERROR(VLOOKUP(December[[#This Row],[Drug Name7]],'Data Options'!$R$1:$S$100,2,FALSE), " ")</f>
        <v xml:space="preserve"> </v>
      </c>
      <c r="BU194" s="55"/>
      <c r="BV194" s="32"/>
      <c r="BW194" s="32"/>
      <c r="BX194" s="55"/>
      <c r="BY194" s="32"/>
      <c r="BZ194" s="54"/>
      <c r="CA194" s="56" t="str">
        <f>IFERROR(VLOOKUP(December[[#This Row],[Drug Name8]],'Data Options'!$R$1:$S$100,2,FALSE), " ")</f>
        <v xml:space="preserve"> </v>
      </c>
      <c r="CB194" s="55"/>
      <c r="CC194" s="32"/>
      <c r="CD194" s="32"/>
      <c r="CE194" s="55"/>
      <c r="CF194" s="32"/>
      <c r="CG194" s="54"/>
      <c r="CH194" s="56" t="str">
        <f>IFERROR(VLOOKUP(December[[#This Row],[Drug Name9]],'Data Options'!$R$1:$S$100,2,FALSE), " ")</f>
        <v xml:space="preserve"> </v>
      </c>
      <c r="CI194" s="55"/>
      <c r="CJ194" s="32"/>
      <c r="CK194" s="32"/>
      <c r="CL194" s="55"/>
      <c r="CM194" s="32"/>
    </row>
    <row r="195" spans="1:91">
      <c r="A195" s="5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1"/>
      <c r="P195" s="31"/>
      <c r="Q195" s="54"/>
      <c r="R195" s="56" t="str">
        <f>IFERROR(VLOOKUP(December[[#This Row],[Drug Name]],'Data Options'!$R$1:$S$100,2,FALSE), " ")</f>
        <v xml:space="preserve"> </v>
      </c>
      <c r="S195" s="55"/>
      <c r="T195" s="32"/>
      <c r="U195" s="32"/>
      <c r="V195" s="55"/>
      <c r="W195" s="32"/>
      <c r="X195" s="54"/>
      <c r="Y195" s="56" t="str">
        <f>IFERROR(VLOOKUP(December[[#This Row],[Drug Name2]],'Data Options'!$R$1:$S$100,2,FALSE), " ")</f>
        <v xml:space="preserve"> </v>
      </c>
      <c r="Z195" s="55"/>
      <c r="AA195" s="32"/>
      <c r="AB195" s="32"/>
      <c r="AC195" s="55"/>
      <c r="AD195" s="32"/>
      <c r="AE195" s="54"/>
      <c r="AF195" s="56" t="str">
        <f>IFERROR(VLOOKUP(December[[#This Row],[Drug Name3]],'Data Options'!$R$1:$S$100,2,FALSE), " ")</f>
        <v xml:space="preserve"> </v>
      </c>
      <c r="AG195" s="55"/>
      <c r="AH195" s="32"/>
      <c r="AI195" s="32"/>
      <c r="AJ195" s="55"/>
      <c r="AK195" s="32"/>
      <c r="AL195" s="32"/>
      <c r="AM195" s="32"/>
      <c r="AN195" s="32"/>
      <c r="AO195" s="32"/>
      <c r="AP195" s="31"/>
      <c r="AQ195" s="31"/>
      <c r="AR195" s="54"/>
      <c r="AS195" s="56" t="str">
        <f>IFERROR(VLOOKUP(December[[#This Row],[Drug Name4]],'Data Options'!$R$1:$S$100,2,FALSE), " ")</f>
        <v xml:space="preserve"> </v>
      </c>
      <c r="AT195" s="55"/>
      <c r="AU195" s="32"/>
      <c r="AV195" s="32"/>
      <c r="AW195" s="55"/>
      <c r="AX195" s="32"/>
      <c r="AY195" s="54"/>
      <c r="AZ195" s="56" t="str">
        <f>IFERROR(VLOOKUP(December[[#This Row],[Drug Name5]],'Data Options'!$R$1:$S$100,2,FALSE), " ")</f>
        <v xml:space="preserve"> </v>
      </c>
      <c r="BA195" s="55"/>
      <c r="BB195" s="32"/>
      <c r="BC195" s="32"/>
      <c r="BD195" s="55"/>
      <c r="BE195" s="32"/>
      <c r="BF195" s="54"/>
      <c r="BG195" s="56" t="str">
        <f>IFERROR(VLOOKUP(December[[#This Row],[Drug Name6]],'Data Options'!$R$1:$S$100,2,FALSE), " ")</f>
        <v xml:space="preserve"> </v>
      </c>
      <c r="BH195" s="55"/>
      <c r="BI195" s="32"/>
      <c r="BJ195" s="32"/>
      <c r="BK195" s="55"/>
      <c r="BL195" s="32"/>
      <c r="BM195" s="32"/>
      <c r="BN195" s="32"/>
      <c r="BO195" s="32"/>
      <c r="BP195" s="32"/>
      <c r="BQ195" s="31"/>
      <c r="BR195" s="31"/>
      <c r="BS195" s="54"/>
      <c r="BT195" s="56" t="str">
        <f>IFERROR(VLOOKUP(December[[#This Row],[Drug Name7]],'Data Options'!$R$1:$S$100,2,FALSE), " ")</f>
        <v xml:space="preserve"> </v>
      </c>
      <c r="BU195" s="55"/>
      <c r="BV195" s="32"/>
      <c r="BW195" s="32"/>
      <c r="BX195" s="55"/>
      <c r="BY195" s="32"/>
      <c r="BZ195" s="54"/>
      <c r="CA195" s="56" t="str">
        <f>IFERROR(VLOOKUP(December[[#This Row],[Drug Name8]],'Data Options'!$R$1:$S$100,2,FALSE), " ")</f>
        <v xml:space="preserve"> </v>
      </c>
      <c r="CB195" s="55"/>
      <c r="CC195" s="32"/>
      <c r="CD195" s="32"/>
      <c r="CE195" s="55"/>
      <c r="CF195" s="32"/>
      <c r="CG195" s="54"/>
      <c r="CH195" s="56" t="str">
        <f>IFERROR(VLOOKUP(December[[#This Row],[Drug Name9]],'Data Options'!$R$1:$S$100,2,FALSE), " ")</f>
        <v xml:space="preserve"> </v>
      </c>
      <c r="CI195" s="55"/>
      <c r="CJ195" s="32"/>
      <c r="CK195" s="32"/>
      <c r="CL195" s="55"/>
      <c r="CM195" s="32"/>
    </row>
    <row r="196" spans="1:91">
      <c r="A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1"/>
      <c r="P196" s="31"/>
      <c r="Q196" s="54"/>
      <c r="R196" s="56" t="str">
        <f>IFERROR(VLOOKUP(December[[#This Row],[Drug Name]],'Data Options'!$R$1:$S$100,2,FALSE), " ")</f>
        <v xml:space="preserve"> </v>
      </c>
      <c r="S196" s="55"/>
      <c r="T196" s="32"/>
      <c r="U196" s="32"/>
      <c r="V196" s="55"/>
      <c r="W196" s="32"/>
      <c r="X196" s="54"/>
      <c r="Y196" s="56" t="str">
        <f>IFERROR(VLOOKUP(December[[#This Row],[Drug Name2]],'Data Options'!$R$1:$S$100,2,FALSE), " ")</f>
        <v xml:space="preserve"> </v>
      </c>
      <c r="Z196" s="55"/>
      <c r="AA196" s="32"/>
      <c r="AB196" s="32"/>
      <c r="AC196" s="55"/>
      <c r="AD196" s="32"/>
      <c r="AE196" s="54"/>
      <c r="AF196" s="56" t="str">
        <f>IFERROR(VLOOKUP(December[[#This Row],[Drug Name3]],'Data Options'!$R$1:$S$100,2,FALSE), " ")</f>
        <v xml:space="preserve"> </v>
      </c>
      <c r="AG196" s="55"/>
      <c r="AH196" s="32"/>
      <c r="AI196" s="32"/>
      <c r="AJ196" s="55"/>
      <c r="AK196" s="32"/>
      <c r="AL196" s="32"/>
      <c r="AM196" s="32"/>
      <c r="AN196" s="32"/>
      <c r="AO196" s="32"/>
      <c r="AP196" s="31"/>
      <c r="AQ196" s="31"/>
      <c r="AR196" s="54"/>
      <c r="AS196" s="56" t="str">
        <f>IFERROR(VLOOKUP(December[[#This Row],[Drug Name4]],'Data Options'!$R$1:$S$100,2,FALSE), " ")</f>
        <v xml:space="preserve"> </v>
      </c>
      <c r="AT196" s="55"/>
      <c r="AU196" s="32"/>
      <c r="AV196" s="32"/>
      <c r="AW196" s="55"/>
      <c r="AX196" s="32"/>
      <c r="AY196" s="54"/>
      <c r="AZ196" s="56" t="str">
        <f>IFERROR(VLOOKUP(December[[#This Row],[Drug Name5]],'Data Options'!$R$1:$S$100,2,FALSE), " ")</f>
        <v xml:space="preserve"> </v>
      </c>
      <c r="BA196" s="55"/>
      <c r="BB196" s="32"/>
      <c r="BC196" s="32"/>
      <c r="BD196" s="55"/>
      <c r="BE196" s="32"/>
      <c r="BF196" s="54"/>
      <c r="BG196" s="56" t="str">
        <f>IFERROR(VLOOKUP(December[[#This Row],[Drug Name6]],'Data Options'!$R$1:$S$100,2,FALSE), " ")</f>
        <v xml:space="preserve"> </v>
      </c>
      <c r="BH196" s="55"/>
      <c r="BI196" s="32"/>
      <c r="BJ196" s="32"/>
      <c r="BK196" s="55"/>
      <c r="BL196" s="32"/>
      <c r="BM196" s="32"/>
      <c r="BN196" s="32"/>
      <c r="BO196" s="32"/>
      <c r="BP196" s="32"/>
      <c r="BQ196" s="31"/>
      <c r="BR196" s="31"/>
      <c r="BS196" s="54"/>
      <c r="BT196" s="56" t="str">
        <f>IFERROR(VLOOKUP(December[[#This Row],[Drug Name7]],'Data Options'!$R$1:$S$100,2,FALSE), " ")</f>
        <v xml:space="preserve"> </v>
      </c>
      <c r="BU196" s="55"/>
      <c r="BV196" s="32"/>
      <c r="BW196" s="32"/>
      <c r="BX196" s="55"/>
      <c r="BY196" s="32"/>
      <c r="BZ196" s="54"/>
      <c r="CA196" s="56" t="str">
        <f>IFERROR(VLOOKUP(December[[#This Row],[Drug Name8]],'Data Options'!$R$1:$S$100,2,FALSE), " ")</f>
        <v xml:space="preserve"> </v>
      </c>
      <c r="CB196" s="55"/>
      <c r="CC196" s="32"/>
      <c r="CD196" s="32"/>
      <c r="CE196" s="55"/>
      <c r="CF196" s="32"/>
      <c r="CG196" s="54"/>
      <c r="CH196" s="56" t="str">
        <f>IFERROR(VLOOKUP(December[[#This Row],[Drug Name9]],'Data Options'!$R$1:$S$100,2,FALSE), " ")</f>
        <v xml:space="preserve"> </v>
      </c>
      <c r="CI196" s="55"/>
      <c r="CJ196" s="32"/>
      <c r="CK196" s="32"/>
      <c r="CL196" s="55"/>
      <c r="CM196" s="32"/>
    </row>
    <row r="197" spans="1:91">
      <c r="A197" s="5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1"/>
      <c r="P197" s="31"/>
      <c r="Q197" s="54"/>
      <c r="R197" s="56" t="str">
        <f>IFERROR(VLOOKUP(December[[#This Row],[Drug Name]],'Data Options'!$R$1:$S$100,2,FALSE), " ")</f>
        <v xml:space="preserve"> </v>
      </c>
      <c r="S197" s="55"/>
      <c r="T197" s="32"/>
      <c r="U197" s="32"/>
      <c r="V197" s="55"/>
      <c r="W197" s="32"/>
      <c r="X197" s="54"/>
      <c r="Y197" s="56" t="str">
        <f>IFERROR(VLOOKUP(December[[#This Row],[Drug Name2]],'Data Options'!$R$1:$S$100,2,FALSE), " ")</f>
        <v xml:space="preserve"> </v>
      </c>
      <c r="Z197" s="55"/>
      <c r="AA197" s="32"/>
      <c r="AB197" s="32"/>
      <c r="AC197" s="55"/>
      <c r="AD197" s="32"/>
      <c r="AE197" s="54"/>
      <c r="AF197" s="56" t="str">
        <f>IFERROR(VLOOKUP(December[[#This Row],[Drug Name3]],'Data Options'!$R$1:$S$100,2,FALSE), " ")</f>
        <v xml:space="preserve"> </v>
      </c>
      <c r="AG197" s="55"/>
      <c r="AH197" s="32"/>
      <c r="AI197" s="32"/>
      <c r="AJ197" s="55"/>
      <c r="AK197" s="32"/>
      <c r="AL197" s="32"/>
      <c r="AM197" s="32"/>
      <c r="AN197" s="32"/>
      <c r="AO197" s="32"/>
      <c r="AP197" s="31"/>
      <c r="AQ197" s="31"/>
      <c r="AR197" s="54"/>
      <c r="AS197" s="56" t="str">
        <f>IFERROR(VLOOKUP(December[[#This Row],[Drug Name4]],'Data Options'!$R$1:$S$100,2,FALSE), " ")</f>
        <v xml:space="preserve"> </v>
      </c>
      <c r="AT197" s="55"/>
      <c r="AU197" s="32"/>
      <c r="AV197" s="32"/>
      <c r="AW197" s="55"/>
      <c r="AX197" s="32"/>
      <c r="AY197" s="54"/>
      <c r="AZ197" s="56" t="str">
        <f>IFERROR(VLOOKUP(December[[#This Row],[Drug Name5]],'Data Options'!$R$1:$S$100,2,FALSE), " ")</f>
        <v xml:space="preserve"> </v>
      </c>
      <c r="BA197" s="55"/>
      <c r="BB197" s="32"/>
      <c r="BC197" s="32"/>
      <c r="BD197" s="55"/>
      <c r="BE197" s="32"/>
      <c r="BF197" s="54"/>
      <c r="BG197" s="56" t="str">
        <f>IFERROR(VLOOKUP(December[[#This Row],[Drug Name6]],'Data Options'!$R$1:$S$100,2,FALSE), " ")</f>
        <v xml:space="preserve"> </v>
      </c>
      <c r="BH197" s="55"/>
      <c r="BI197" s="32"/>
      <c r="BJ197" s="32"/>
      <c r="BK197" s="55"/>
      <c r="BL197" s="32"/>
      <c r="BM197" s="32"/>
      <c r="BN197" s="32"/>
      <c r="BO197" s="32"/>
      <c r="BP197" s="32"/>
      <c r="BQ197" s="31"/>
      <c r="BR197" s="31"/>
      <c r="BS197" s="54"/>
      <c r="BT197" s="56" t="str">
        <f>IFERROR(VLOOKUP(December[[#This Row],[Drug Name7]],'Data Options'!$R$1:$S$100,2,FALSE), " ")</f>
        <v xml:space="preserve"> </v>
      </c>
      <c r="BU197" s="55"/>
      <c r="BV197" s="32"/>
      <c r="BW197" s="32"/>
      <c r="BX197" s="55"/>
      <c r="BY197" s="32"/>
      <c r="BZ197" s="54"/>
      <c r="CA197" s="56" t="str">
        <f>IFERROR(VLOOKUP(December[[#This Row],[Drug Name8]],'Data Options'!$R$1:$S$100,2,FALSE), " ")</f>
        <v xml:space="preserve"> </v>
      </c>
      <c r="CB197" s="55"/>
      <c r="CC197" s="32"/>
      <c r="CD197" s="32"/>
      <c r="CE197" s="55"/>
      <c r="CF197" s="32"/>
      <c r="CG197" s="54"/>
      <c r="CH197" s="56" t="str">
        <f>IFERROR(VLOOKUP(December[[#This Row],[Drug Name9]],'Data Options'!$R$1:$S$100,2,FALSE), " ")</f>
        <v xml:space="preserve"> </v>
      </c>
      <c r="CI197" s="55"/>
      <c r="CJ197" s="32"/>
      <c r="CK197" s="32"/>
      <c r="CL197" s="55"/>
      <c r="CM197" s="32"/>
    </row>
    <row r="198" spans="1:91">
      <c r="A198" s="5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1"/>
      <c r="P198" s="31"/>
      <c r="Q198" s="54"/>
      <c r="R198" s="56" t="str">
        <f>IFERROR(VLOOKUP(December[[#This Row],[Drug Name]],'Data Options'!$R$1:$S$100,2,FALSE), " ")</f>
        <v xml:space="preserve"> </v>
      </c>
      <c r="S198" s="55"/>
      <c r="T198" s="32"/>
      <c r="U198" s="32"/>
      <c r="V198" s="55"/>
      <c r="W198" s="32"/>
      <c r="X198" s="54"/>
      <c r="Y198" s="56" t="str">
        <f>IFERROR(VLOOKUP(December[[#This Row],[Drug Name2]],'Data Options'!$R$1:$S$100,2,FALSE), " ")</f>
        <v xml:space="preserve"> </v>
      </c>
      <c r="Z198" s="55"/>
      <c r="AA198" s="32"/>
      <c r="AB198" s="32"/>
      <c r="AC198" s="55"/>
      <c r="AD198" s="32"/>
      <c r="AE198" s="54"/>
      <c r="AF198" s="56" t="str">
        <f>IFERROR(VLOOKUP(December[[#This Row],[Drug Name3]],'Data Options'!$R$1:$S$100,2,FALSE), " ")</f>
        <v xml:space="preserve"> </v>
      </c>
      <c r="AG198" s="55"/>
      <c r="AH198" s="32"/>
      <c r="AI198" s="32"/>
      <c r="AJ198" s="55"/>
      <c r="AK198" s="32"/>
      <c r="AL198" s="32"/>
      <c r="AM198" s="32"/>
      <c r="AN198" s="32"/>
      <c r="AO198" s="32"/>
      <c r="AP198" s="31"/>
      <c r="AQ198" s="31"/>
      <c r="AR198" s="54"/>
      <c r="AS198" s="56" t="str">
        <f>IFERROR(VLOOKUP(December[[#This Row],[Drug Name4]],'Data Options'!$R$1:$S$100,2,FALSE), " ")</f>
        <v xml:space="preserve"> </v>
      </c>
      <c r="AT198" s="55"/>
      <c r="AU198" s="32"/>
      <c r="AV198" s="32"/>
      <c r="AW198" s="55"/>
      <c r="AX198" s="32"/>
      <c r="AY198" s="54"/>
      <c r="AZ198" s="56" t="str">
        <f>IFERROR(VLOOKUP(December[[#This Row],[Drug Name5]],'Data Options'!$R$1:$S$100,2,FALSE), " ")</f>
        <v xml:space="preserve"> </v>
      </c>
      <c r="BA198" s="55"/>
      <c r="BB198" s="32"/>
      <c r="BC198" s="32"/>
      <c r="BD198" s="55"/>
      <c r="BE198" s="32"/>
      <c r="BF198" s="54"/>
      <c r="BG198" s="56" t="str">
        <f>IFERROR(VLOOKUP(December[[#This Row],[Drug Name6]],'Data Options'!$R$1:$S$100,2,FALSE), " ")</f>
        <v xml:space="preserve"> </v>
      </c>
      <c r="BH198" s="55"/>
      <c r="BI198" s="32"/>
      <c r="BJ198" s="32"/>
      <c r="BK198" s="55"/>
      <c r="BL198" s="32"/>
      <c r="BM198" s="32"/>
      <c r="BN198" s="32"/>
      <c r="BO198" s="32"/>
      <c r="BP198" s="32"/>
      <c r="BQ198" s="31"/>
      <c r="BR198" s="31"/>
      <c r="BS198" s="54"/>
      <c r="BT198" s="56" t="str">
        <f>IFERROR(VLOOKUP(December[[#This Row],[Drug Name7]],'Data Options'!$R$1:$S$100,2,FALSE), " ")</f>
        <v xml:space="preserve"> </v>
      </c>
      <c r="BU198" s="55"/>
      <c r="BV198" s="32"/>
      <c r="BW198" s="32"/>
      <c r="BX198" s="55"/>
      <c r="BY198" s="32"/>
      <c r="BZ198" s="54"/>
      <c r="CA198" s="56" t="str">
        <f>IFERROR(VLOOKUP(December[[#This Row],[Drug Name8]],'Data Options'!$R$1:$S$100,2,FALSE), " ")</f>
        <v xml:space="preserve"> </v>
      </c>
      <c r="CB198" s="55"/>
      <c r="CC198" s="32"/>
      <c r="CD198" s="32"/>
      <c r="CE198" s="55"/>
      <c r="CF198" s="32"/>
      <c r="CG198" s="54"/>
      <c r="CH198" s="56" t="str">
        <f>IFERROR(VLOOKUP(December[[#This Row],[Drug Name9]],'Data Options'!$R$1:$S$100,2,FALSE), " ")</f>
        <v xml:space="preserve"> </v>
      </c>
      <c r="CI198" s="55"/>
      <c r="CJ198" s="32"/>
      <c r="CK198" s="32"/>
      <c r="CL198" s="55"/>
      <c r="CM198" s="32"/>
    </row>
    <row r="199" spans="1:91">
      <c r="A199" s="5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1"/>
      <c r="P199" s="31"/>
      <c r="Q199" s="54"/>
      <c r="R199" s="56" t="str">
        <f>IFERROR(VLOOKUP(December[[#This Row],[Drug Name]],'Data Options'!$R$1:$S$100,2,FALSE), " ")</f>
        <v xml:space="preserve"> </v>
      </c>
      <c r="S199" s="55"/>
      <c r="T199" s="32"/>
      <c r="U199" s="32"/>
      <c r="V199" s="55"/>
      <c r="W199" s="32"/>
      <c r="X199" s="54"/>
      <c r="Y199" s="56" t="str">
        <f>IFERROR(VLOOKUP(December[[#This Row],[Drug Name2]],'Data Options'!$R$1:$S$100,2,FALSE), " ")</f>
        <v xml:space="preserve"> </v>
      </c>
      <c r="Z199" s="55"/>
      <c r="AA199" s="32"/>
      <c r="AB199" s="32"/>
      <c r="AC199" s="55"/>
      <c r="AD199" s="32"/>
      <c r="AE199" s="54"/>
      <c r="AF199" s="56" t="str">
        <f>IFERROR(VLOOKUP(December[[#This Row],[Drug Name3]],'Data Options'!$R$1:$S$100,2,FALSE), " ")</f>
        <v xml:space="preserve"> </v>
      </c>
      <c r="AG199" s="55"/>
      <c r="AH199" s="32"/>
      <c r="AI199" s="32"/>
      <c r="AJ199" s="55"/>
      <c r="AK199" s="32"/>
      <c r="AL199" s="32"/>
      <c r="AM199" s="32"/>
      <c r="AN199" s="32"/>
      <c r="AO199" s="32"/>
      <c r="AP199" s="31"/>
      <c r="AQ199" s="31"/>
      <c r="AR199" s="54"/>
      <c r="AS199" s="56" t="str">
        <f>IFERROR(VLOOKUP(December[[#This Row],[Drug Name4]],'Data Options'!$R$1:$S$100,2,FALSE), " ")</f>
        <v xml:space="preserve"> </v>
      </c>
      <c r="AT199" s="55"/>
      <c r="AU199" s="32"/>
      <c r="AV199" s="32"/>
      <c r="AW199" s="55"/>
      <c r="AX199" s="32"/>
      <c r="AY199" s="54"/>
      <c r="AZ199" s="56" t="str">
        <f>IFERROR(VLOOKUP(December[[#This Row],[Drug Name5]],'Data Options'!$R$1:$S$100,2,FALSE), " ")</f>
        <v xml:space="preserve"> </v>
      </c>
      <c r="BA199" s="55"/>
      <c r="BB199" s="32"/>
      <c r="BC199" s="32"/>
      <c r="BD199" s="55"/>
      <c r="BE199" s="32"/>
      <c r="BF199" s="54"/>
      <c r="BG199" s="56" t="str">
        <f>IFERROR(VLOOKUP(December[[#This Row],[Drug Name6]],'Data Options'!$R$1:$S$100,2,FALSE), " ")</f>
        <v xml:space="preserve"> </v>
      </c>
      <c r="BH199" s="55"/>
      <c r="BI199" s="32"/>
      <c r="BJ199" s="32"/>
      <c r="BK199" s="55"/>
      <c r="BL199" s="32"/>
      <c r="BM199" s="32"/>
      <c r="BN199" s="32"/>
      <c r="BO199" s="32"/>
      <c r="BP199" s="32"/>
      <c r="BQ199" s="31"/>
      <c r="BR199" s="31"/>
      <c r="BS199" s="54"/>
      <c r="BT199" s="56" t="str">
        <f>IFERROR(VLOOKUP(December[[#This Row],[Drug Name7]],'Data Options'!$R$1:$S$100,2,FALSE), " ")</f>
        <v xml:space="preserve"> </v>
      </c>
      <c r="BU199" s="55"/>
      <c r="BV199" s="32"/>
      <c r="BW199" s="32"/>
      <c r="BX199" s="55"/>
      <c r="BY199" s="32"/>
      <c r="BZ199" s="54"/>
      <c r="CA199" s="56" t="str">
        <f>IFERROR(VLOOKUP(December[[#This Row],[Drug Name8]],'Data Options'!$R$1:$S$100,2,FALSE), " ")</f>
        <v xml:space="preserve"> </v>
      </c>
      <c r="CB199" s="55"/>
      <c r="CC199" s="32"/>
      <c r="CD199" s="32"/>
      <c r="CE199" s="55"/>
      <c r="CF199" s="32"/>
      <c r="CG199" s="54"/>
      <c r="CH199" s="56" t="str">
        <f>IFERROR(VLOOKUP(December[[#This Row],[Drug Name9]],'Data Options'!$R$1:$S$100,2,FALSE), " ")</f>
        <v xml:space="preserve"> </v>
      </c>
      <c r="CI199" s="55"/>
      <c r="CJ199" s="32"/>
      <c r="CK199" s="32"/>
      <c r="CL199" s="55"/>
      <c r="CM199" s="32"/>
    </row>
    <row r="200" spans="1:91">
      <c r="A200" s="5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1"/>
      <c r="P200" s="31"/>
      <c r="Q200" s="54"/>
      <c r="R200" s="56" t="str">
        <f>IFERROR(VLOOKUP(December[[#This Row],[Drug Name]],'Data Options'!$R$1:$S$100,2,FALSE), " ")</f>
        <v xml:space="preserve"> </v>
      </c>
      <c r="S200" s="55"/>
      <c r="T200" s="32"/>
      <c r="U200" s="32"/>
      <c r="V200" s="55"/>
      <c r="W200" s="32"/>
      <c r="X200" s="54"/>
      <c r="Y200" s="56" t="str">
        <f>IFERROR(VLOOKUP(December[[#This Row],[Drug Name2]],'Data Options'!$R$1:$S$100,2,FALSE), " ")</f>
        <v xml:space="preserve"> </v>
      </c>
      <c r="Z200" s="55"/>
      <c r="AA200" s="32"/>
      <c r="AB200" s="32"/>
      <c r="AC200" s="55"/>
      <c r="AD200" s="32"/>
      <c r="AE200" s="54"/>
      <c r="AF200" s="56" t="str">
        <f>IFERROR(VLOOKUP(December[[#This Row],[Drug Name3]],'Data Options'!$R$1:$S$100,2,FALSE), " ")</f>
        <v xml:space="preserve"> </v>
      </c>
      <c r="AG200" s="55"/>
      <c r="AH200" s="32"/>
      <c r="AI200" s="32"/>
      <c r="AJ200" s="55"/>
      <c r="AK200" s="32"/>
      <c r="AL200" s="32"/>
      <c r="AM200" s="32"/>
      <c r="AN200" s="32"/>
      <c r="AO200" s="32"/>
      <c r="AP200" s="31"/>
      <c r="AQ200" s="31"/>
      <c r="AR200" s="54"/>
      <c r="AS200" s="56" t="str">
        <f>IFERROR(VLOOKUP(December[[#This Row],[Drug Name4]],'Data Options'!$R$1:$S$100,2,FALSE), " ")</f>
        <v xml:space="preserve"> </v>
      </c>
      <c r="AT200" s="55"/>
      <c r="AU200" s="32"/>
      <c r="AV200" s="32"/>
      <c r="AW200" s="55"/>
      <c r="AX200" s="32"/>
      <c r="AY200" s="54"/>
      <c r="AZ200" s="56" t="str">
        <f>IFERROR(VLOOKUP(December[[#This Row],[Drug Name5]],'Data Options'!$R$1:$S$100,2,FALSE), " ")</f>
        <v xml:space="preserve"> </v>
      </c>
      <c r="BA200" s="55"/>
      <c r="BB200" s="32"/>
      <c r="BC200" s="32"/>
      <c r="BD200" s="55"/>
      <c r="BE200" s="32"/>
      <c r="BF200" s="54"/>
      <c r="BG200" s="56" t="str">
        <f>IFERROR(VLOOKUP(December[[#This Row],[Drug Name6]],'Data Options'!$R$1:$S$100,2,FALSE), " ")</f>
        <v xml:space="preserve"> </v>
      </c>
      <c r="BH200" s="55"/>
      <c r="BI200" s="32"/>
      <c r="BJ200" s="32"/>
      <c r="BK200" s="55"/>
      <c r="BL200" s="32"/>
      <c r="BM200" s="32"/>
      <c r="BN200" s="32"/>
      <c r="BO200" s="32"/>
      <c r="BP200" s="32"/>
      <c r="BQ200" s="31"/>
      <c r="BR200" s="31"/>
      <c r="BS200" s="54"/>
      <c r="BT200" s="56" t="str">
        <f>IFERROR(VLOOKUP(December[[#This Row],[Drug Name7]],'Data Options'!$R$1:$S$100,2,FALSE), " ")</f>
        <v xml:space="preserve"> </v>
      </c>
      <c r="BU200" s="55"/>
      <c r="BV200" s="32"/>
      <c r="BW200" s="32"/>
      <c r="BX200" s="55"/>
      <c r="BY200" s="32"/>
      <c r="BZ200" s="54"/>
      <c r="CA200" s="56" t="str">
        <f>IFERROR(VLOOKUP(December[[#This Row],[Drug Name8]],'Data Options'!$R$1:$S$100,2,FALSE), " ")</f>
        <v xml:space="preserve"> </v>
      </c>
      <c r="CB200" s="55"/>
      <c r="CC200" s="32"/>
      <c r="CD200" s="32"/>
      <c r="CE200" s="55"/>
      <c r="CF200" s="32"/>
      <c r="CG200" s="54"/>
      <c r="CH200" s="56" t="str">
        <f>IFERROR(VLOOKUP(December[[#This Row],[Drug Name9]],'Data Options'!$R$1:$S$100,2,FALSE), " ")</f>
        <v xml:space="preserve"> </v>
      </c>
      <c r="CI200" s="55"/>
      <c r="CJ200" s="32"/>
      <c r="CK200" s="32"/>
      <c r="CL200" s="55"/>
      <c r="CM200" s="32"/>
    </row>
    <row r="201" spans="1:91">
      <c r="A201" s="5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1"/>
      <c r="P201" s="31"/>
      <c r="Q201" s="54"/>
      <c r="R201" s="56" t="str">
        <f>IFERROR(VLOOKUP(December[[#This Row],[Drug Name]],'Data Options'!$R$1:$S$100,2,FALSE), " ")</f>
        <v xml:space="preserve"> </v>
      </c>
      <c r="S201" s="55"/>
      <c r="T201" s="32"/>
      <c r="U201" s="32"/>
      <c r="V201" s="55"/>
      <c r="W201" s="32"/>
      <c r="X201" s="54"/>
      <c r="Y201" s="56" t="str">
        <f>IFERROR(VLOOKUP(December[[#This Row],[Drug Name2]],'Data Options'!$R$1:$S$100,2,FALSE), " ")</f>
        <v xml:space="preserve"> </v>
      </c>
      <c r="Z201" s="55"/>
      <c r="AA201" s="32"/>
      <c r="AB201" s="32"/>
      <c r="AC201" s="55"/>
      <c r="AD201" s="32"/>
      <c r="AE201" s="54"/>
      <c r="AF201" s="56" t="str">
        <f>IFERROR(VLOOKUP(December[[#This Row],[Drug Name3]],'Data Options'!$R$1:$S$100,2,FALSE), " ")</f>
        <v xml:space="preserve"> </v>
      </c>
      <c r="AG201" s="55"/>
      <c r="AH201" s="32"/>
      <c r="AI201" s="32"/>
      <c r="AJ201" s="55"/>
      <c r="AK201" s="32"/>
      <c r="AL201" s="32"/>
      <c r="AM201" s="32"/>
      <c r="AN201" s="32"/>
      <c r="AO201" s="32"/>
      <c r="AP201" s="31"/>
      <c r="AQ201" s="31"/>
      <c r="AR201" s="54"/>
      <c r="AS201" s="56" t="str">
        <f>IFERROR(VLOOKUP(December[[#This Row],[Drug Name4]],'Data Options'!$R$1:$S$100,2,FALSE), " ")</f>
        <v xml:space="preserve"> </v>
      </c>
      <c r="AT201" s="55"/>
      <c r="AU201" s="32"/>
      <c r="AV201" s="32"/>
      <c r="AW201" s="55"/>
      <c r="AX201" s="32"/>
      <c r="AY201" s="54"/>
      <c r="AZ201" s="56" t="str">
        <f>IFERROR(VLOOKUP(December[[#This Row],[Drug Name5]],'Data Options'!$R$1:$S$100,2,FALSE), " ")</f>
        <v xml:space="preserve"> </v>
      </c>
      <c r="BA201" s="55"/>
      <c r="BB201" s="32"/>
      <c r="BC201" s="32"/>
      <c r="BD201" s="55"/>
      <c r="BE201" s="32"/>
      <c r="BF201" s="54"/>
      <c r="BG201" s="56" t="str">
        <f>IFERROR(VLOOKUP(December[[#This Row],[Drug Name6]],'Data Options'!$R$1:$S$100,2,FALSE), " ")</f>
        <v xml:space="preserve"> </v>
      </c>
      <c r="BH201" s="55"/>
      <c r="BI201" s="32"/>
      <c r="BJ201" s="32"/>
      <c r="BK201" s="55"/>
      <c r="BL201" s="32"/>
      <c r="BM201" s="32"/>
      <c r="BN201" s="32"/>
      <c r="BO201" s="32"/>
      <c r="BP201" s="32"/>
      <c r="BQ201" s="31"/>
      <c r="BR201" s="31"/>
      <c r="BS201" s="54"/>
      <c r="BT201" s="56" t="str">
        <f>IFERROR(VLOOKUP(December[[#This Row],[Drug Name7]],'Data Options'!$R$1:$S$100,2,FALSE), " ")</f>
        <v xml:space="preserve"> </v>
      </c>
      <c r="BU201" s="55"/>
      <c r="BV201" s="32"/>
      <c r="BW201" s="32"/>
      <c r="BX201" s="55"/>
      <c r="BY201" s="32"/>
      <c r="BZ201" s="54"/>
      <c r="CA201" s="56" t="str">
        <f>IFERROR(VLOOKUP(December[[#This Row],[Drug Name8]],'Data Options'!$R$1:$S$100,2,FALSE), " ")</f>
        <v xml:space="preserve"> </v>
      </c>
      <c r="CB201" s="55"/>
      <c r="CC201" s="32"/>
      <c r="CD201" s="32"/>
      <c r="CE201" s="55"/>
      <c r="CF201" s="32"/>
      <c r="CG201" s="54"/>
      <c r="CH201" s="56" t="str">
        <f>IFERROR(VLOOKUP(December[[#This Row],[Drug Name9]],'Data Options'!$R$1:$S$100,2,FALSE), " ")</f>
        <v xml:space="preserve"> </v>
      </c>
      <c r="CI201" s="55"/>
      <c r="CJ201" s="32"/>
      <c r="CK201" s="32"/>
      <c r="CL201" s="55"/>
      <c r="CM201" s="32"/>
    </row>
    <row r="202" spans="1:91">
      <c r="A202" s="24" t="s">
        <v>239</v>
      </c>
      <c r="X202" s="54"/>
      <c r="Z202" s="32"/>
      <c r="AA202" s="32"/>
      <c r="AB202" s="32"/>
      <c r="AC202" s="32"/>
      <c r="AD202" s="32"/>
      <c r="AE202" s="54"/>
      <c r="AG202" s="32"/>
      <c r="AH202" s="32"/>
      <c r="AI202" s="32"/>
      <c r="AJ202" s="32"/>
      <c r="AK202" s="32"/>
      <c r="AL202" s="32"/>
      <c r="AN202" s="32"/>
      <c r="AO202" s="32"/>
      <c r="AP202" s="31"/>
      <c r="AQ202" s="31"/>
      <c r="AR202" s="54"/>
      <c r="AT202" s="32"/>
      <c r="AU202" s="32"/>
      <c r="AV202" s="32"/>
      <c r="AW202" s="32"/>
      <c r="AX202" s="32"/>
      <c r="AY202" s="54"/>
      <c r="BA202" s="32"/>
      <c r="BB202" s="32"/>
      <c r="BC202" s="32"/>
      <c r="BD202" s="32"/>
      <c r="BE202" s="32"/>
      <c r="BF202" s="54"/>
      <c r="BH202" s="32"/>
      <c r="BI202" s="32"/>
      <c r="BJ202" s="32"/>
      <c r="BK202" s="32"/>
      <c r="BL202" s="32"/>
      <c r="BM202" s="32"/>
      <c r="BO202" s="32"/>
      <c r="BP202" s="32"/>
      <c r="BQ202" s="31"/>
      <c r="BR202" s="31"/>
      <c r="BS202" s="54"/>
      <c r="BU202" s="32"/>
      <c r="BV202" s="32"/>
      <c r="BW202" s="32"/>
      <c r="BX202" s="32"/>
      <c r="BY202" s="32"/>
      <c r="BZ202" s="54"/>
      <c r="CB202" s="32"/>
      <c r="CC202" s="32"/>
      <c r="CD202" s="32"/>
      <c r="CE202" s="32"/>
      <c r="CF202" s="32"/>
      <c r="CG202" s="54"/>
      <c r="CI202" s="32"/>
      <c r="CJ202" s="32"/>
      <c r="CK202" s="32"/>
      <c r="CL202" s="32"/>
      <c r="CM202" s="57">
        <f>SUBTOTAL(103,December[Location Filled9])</f>
        <v>0</v>
      </c>
    </row>
  </sheetData>
  <sheetProtection algorithmName="SHA-512" hashValue="ynKcprTKCPgvHCdEm6Dx+xGGcAMoSpnJAWb+ny6/IlfuyxrZt9dycrcGxQaOPdMcknsXeQiYmBAjaycnzhllHQ==" saltValue="0Bp2TZhofItlifZ4EOinoQ==" spinCount="100000" sheet="1" objects="1" scenarios="1"/>
  <mergeCells count="13">
    <mergeCell ref="BS2:BY2"/>
    <mergeCell ref="BZ2:CF2"/>
    <mergeCell ref="CG2:CM2"/>
    <mergeCell ref="A1:J2"/>
    <mergeCell ref="K1:AF1"/>
    <mergeCell ref="AL1:AQ2"/>
    <mergeCell ref="BM1:BR2"/>
    <mergeCell ref="K2:P2"/>
    <mergeCell ref="Q2:V2"/>
    <mergeCell ref="X2:AD2"/>
    <mergeCell ref="AE2:AK2"/>
    <mergeCell ref="AR2:AX2"/>
    <mergeCell ref="BF2:BL2"/>
  </mergeCells>
  <dataValidations count="19">
    <dataValidation type="list" allowBlank="1" showInputMessage="1" showErrorMessage="1" sqref="D4:D201">
      <formula1>INDIRECT("Species")</formula1>
    </dataValidation>
    <dataValidation type="list" allowBlank="1" showInputMessage="1" showErrorMessage="1" sqref="E4:E201">
      <formula1>INDIRECT("Sex")</formula1>
    </dataValidation>
    <dataValidation type="list" allowBlank="1" showInputMessage="1" showErrorMessage="1" sqref="F4:F201">
      <formula1>INDIRECT("Age")</formula1>
    </dataValidation>
    <dataValidation type="list" allowBlank="1" showInputMessage="1" showErrorMessage="1" sqref="G4:G201">
      <formula1>INDIRECT("Visit_Reason")</formula1>
    </dataValidation>
    <dataValidation type="list" allowBlank="1" showInputMessage="1" showErrorMessage="1" sqref="I4:I201">
      <formula1>INDIRECT("ABX_YN")</formula1>
    </dataValidation>
    <dataValidation type="list" allowBlank="1" showInputMessage="1" showErrorMessage="1" sqref="K4:K201 AL4:AL201 BM4:BM201">
      <formula1>INDIRECT("Disease_Type")</formula1>
    </dataValidation>
    <dataValidation type="list" allowBlank="1" showInputMessage="1" showErrorMessage="1" sqref="M4:M201 AN4:AN201 BO4:BO201">
      <formula1>INDIRECT("Disease_Descrip")</formula1>
    </dataValidation>
    <dataValidation type="list" allowBlank="1" showInputMessage="1" showErrorMessage="1" sqref="N4:N201 AO4:AO201 BP4:BP201">
      <formula1>INDIRECT("Dz_Abx_Num")</formula1>
    </dataValidation>
    <dataValidation type="list" allowBlank="1" showInputMessage="1" showErrorMessage="1" sqref="O4:O201 AP4:AP201 BQ4:BQ201">
      <formula1>INDIRECT("Diagnostics_Offer_YN")</formula1>
    </dataValidation>
    <dataValidation type="list" allowBlank="1" showInputMessage="1" showErrorMessage="1" sqref="P4:P201 AQ4:AQ201 BR4:BR201">
      <formula1>INDIRECT("Diagnostics_Performed_YN")</formula1>
    </dataValidation>
    <dataValidation type="list" allowBlank="1" showInputMessage="1" showErrorMessage="1" sqref="Q4:Q201 X4:X201 AE4:AE201 AR4:AR201 AY4:AY201 BF4:BF201 BS4:BS201 BZ4:BZ201 CG4:CG201">
      <formula1>INDIRECT("Drug_Name")</formula1>
    </dataValidation>
    <dataValidation type="list" allowBlank="1" showInputMessage="1" showErrorMessage="1" sqref="T4:T201 AA4:AA201 AH4:AH201 AU4:AU201 BB4:BB201 BI4:BI201 BV4:BV201 CC4:CC201 CJ4:CJ201">
      <formula1>INDIRECT("Abx_Freq")</formula1>
    </dataValidation>
    <dataValidation type="list" allowBlank="1" showInputMessage="1" showErrorMessage="1" sqref="U4:U201 AB4:AB201 AI4:AI201 AV4:AV201 BC4:BC201 BJ4:BJ201 BW4:BW201 CD4:CD201 CK4:CK201">
      <formula1>INDIRECT("Abx_Route")</formula1>
    </dataValidation>
    <dataValidation type="list" allowBlank="1" showInputMessage="1" showErrorMessage="1" sqref="W4:W201 AD4:AD201 AK4:AK201 AX4:AX201 BE4:BE201 BL4:BL201 BY4:BY201 CF4:CF201 CM4:CM201">
      <formula1>INDIRECT("Prescription_Type")</formula1>
    </dataValidation>
    <dataValidation allowBlank="1" showInputMessage="1" showErrorMessage="1" prompt="Only type here IF Reason for Visit is Other " sqref="H5:H201"/>
    <dataValidation type="whole" allowBlank="1" showInputMessage="1" showErrorMessage="1" promptTitle="Total Number of Antibiotics" prompt="This should include ALL antibiotics prescribed to this patient during this visit for ALL conditions. " sqref="J4:J201">
      <formula1>0</formula1>
      <formula2>9</formula2>
    </dataValidation>
    <dataValidation allowBlank="1" showInputMessage="1" showErrorMessage="1" prompt="Only type in this column IF Disease/Infection Type is Other" sqref="L4:L201 AM4:AM201 BN4:BN201"/>
    <dataValidation allowBlank="1" showInputMessage="1" showErrorMessage="1" prompt="Only type in this column IF Reason for Visit is Other " sqref="H4"/>
    <dataValidation type="decimal" allowBlank="1" showInputMessage="1" showErrorMessage="1" sqref="S4:S201 Z4:Z201 V4:V201 AC4:AC201 AG4:AG201 AJ4:AJ201 AT4:AT201 AW4:AW201 BD4:BD201 BA4:BA201 BH4:BH201 BK4:BK201 BU4:BU201 BX4:BX201 CB4:CB201 CE4:CE201 CI4:CI201 CL4:CL201">
      <formula1>0</formula1>
      <formula2>5000</formula2>
    </dataValidation>
  </dataValidations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topLeftCell="B2" workbookViewId="0">
      <selection activeCell="G9" sqref="G4:G9"/>
    </sheetView>
  </sheetViews>
  <sheetFormatPr defaultColWidth="10.6640625" defaultRowHeight="15.5"/>
  <cols>
    <col min="4" max="4" width="16" customWidth="1"/>
    <col min="5" max="5" width="12.83203125" customWidth="1"/>
    <col min="6" max="6" width="13" customWidth="1"/>
    <col min="7" max="7" width="16.5" customWidth="1"/>
    <col min="9" max="9" width="26.6640625" customWidth="1"/>
    <col min="10" max="10" width="35.1640625" customWidth="1"/>
    <col min="11" max="11" width="16.5" customWidth="1"/>
    <col min="12" max="12" width="22.5" customWidth="1"/>
    <col min="14" max="14" width="19.83203125" customWidth="1"/>
    <col min="15" max="15" width="45" customWidth="1"/>
    <col min="16" max="16" width="39.33203125" customWidth="1"/>
    <col min="17" max="17" width="40.83203125" customWidth="1"/>
    <col min="18" max="18" width="34.5" customWidth="1"/>
    <col min="19" max="19" width="38.1640625" customWidth="1"/>
    <col min="21" max="21" width="12" customWidth="1"/>
    <col min="24" max="24" width="19.83203125" customWidth="1"/>
  </cols>
  <sheetData>
    <row r="1" spans="1:24" ht="18.5">
      <c r="A1" s="74" t="s">
        <v>234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18.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3" t="s">
        <v>151</v>
      </c>
      <c r="M2" s="73"/>
      <c r="N2" s="73"/>
      <c r="O2" s="73"/>
      <c r="P2" s="73"/>
      <c r="Q2" s="73"/>
      <c r="R2" s="4"/>
      <c r="S2" s="4"/>
      <c r="T2" s="4" t="s">
        <v>152</v>
      </c>
      <c r="U2" s="4"/>
      <c r="V2" s="4"/>
      <c r="W2" s="4"/>
      <c r="X2" s="4"/>
    </row>
    <row r="3" spans="1:24" ht="77.5">
      <c r="A3" s="1" t="s">
        <v>4</v>
      </c>
      <c r="B3" s="1" t="s">
        <v>217</v>
      </c>
      <c r="C3" s="1" t="s">
        <v>5</v>
      </c>
      <c r="D3" s="1" t="s">
        <v>6</v>
      </c>
      <c r="E3" s="1" t="s">
        <v>0</v>
      </c>
      <c r="F3" s="1" t="s">
        <v>111</v>
      </c>
      <c r="G3" s="1" t="s">
        <v>1</v>
      </c>
      <c r="H3" s="1" t="s">
        <v>150</v>
      </c>
      <c r="I3" s="1" t="s">
        <v>2</v>
      </c>
      <c r="J3" s="1" t="s">
        <v>7</v>
      </c>
      <c r="K3" s="1" t="s">
        <v>112</v>
      </c>
      <c r="L3" s="1" t="s">
        <v>82</v>
      </c>
      <c r="M3" s="1" t="s">
        <v>113</v>
      </c>
      <c r="N3" s="1" t="s">
        <v>83</v>
      </c>
      <c r="O3" s="1" t="s">
        <v>114</v>
      </c>
      <c r="P3" s="1" t="s">
        <v>115</v>
      </c>
      <c r="Q3" s="1" t="s">
        <v>116</v>
      </c>
      <c r="R3" s="5" t="s">
        <v>8</v>
      </c>
      <c r="S3" s="5" t="s">
        <v>3</v>
      </c>
      <c r="T3" s="1" t="s">
        <v>84</v>
      </c>
      <c r="U3" s="1" t="s">
        <v>65</v>
      </c>
      <c r="V3" s="1" t="s">
        <v>85</v>
      </c>
      <c r="W3" s="1" t="s">
        <v>9</v>
      </c>
      <c r="X3" s="1" t="s">
        <v>236</v>
      </c>
    </row>
    <row r="4" spans="1:24">
      <c r="A4" s="2" t="s">
        <v>10</v>
      </c>
      <c r="B4" s="2" t="s">
        <v>11</v>
      </c>
      <c r="C4" s="2" t="s">
        <v>11</v>
      </c>
      <c r="D4" s="2" t="s">
        <v>12</v>
      </c>
      <c r="E4" s="2" t="s">
        <v>16</v>
      </c>
      <c r="F4" s="2" t="s">
        <v>117</v>
      </c>
      <c r="G4" s="2" t="s">
        <v>18</v>
      </c>
      <c r="H4" s="2" t="s">
        <v>11</v>
      </c>
      <c r="I4" s="2" t="s">
        <v>22</v>
      </c>
      <c r="J4" s="2">
        <v>1</v>
      </c>
      <c r="K4" s="2" t="s">
        <v>11</v>
      </c>
      <c r="L4" s="2" t="s">
        <v>90</v>
      </c>
      <c r="M4" s="2" t="s">
        <v>118</v>
      </c>
      <c r="N4" s="2" t="s">
        <v>87</v>
      </c>
      <c r="O4" s="2">
        <v>1</v>
      </c>
      <c r="P4" s="3" t="s">
        <v>22</v>
      </c>
      <c r="Q4" s="3" t="s">
        <v>22</v>
      </c>
      <c r="R4" s="6" t="s">
        <v>25</v>
      </c>
      <c r="S4" t="s">
        <v>52</v>
      </c>
      <c r="T4" s="2" t="s">
        <v>66</v>
      </c>
      <c r="U4" s="2" t="s">
        <v>88</v>
      </c>
      <c r="V4" s="2" t="s">
        <v>121</v>
      </c>
      <c r="W4" s="2" t="s">
        <v>24</v>
      </c>
      <c r="X4" s="2" t="s">
        <v>237</v>
      </c>
    </row>
    <row r="5" spans="1:24">
      <c r="A5" s="2"/>
      <c r="B5" s="2"/>
      <c r="C5" s="2"/>
      <c r="D5" s="2" t="s">
        <v>13</v>
      </c>
      <c r="E5" s="2" t="s">
        <v>17</v>
      </c>
      <c r="F5" s="2" t="s">
        <v>245</v>
      </c>
      <c r="G5" s="2" t="s">
        <v>19</v>
      </c>
      <c r="H5" s="2"/>
      <c r="I5" s="2" t="s">
        <v>23</v>
      </c>
      <c r="J5" s="2">
        <v>2</v>
      </c>
      <c r="K5" s="2"/>
      <c r="L5" s="2" t="s">
        <v>86</v>
      </c>
      <c r="M5" s="2"/>
      <c r="N5" s="2" t="s">
        <v>91</v>
      </c>
      <c r="O5" s="2">
        <v>2</v>
      </c>
      <c r="P5" s="2" t="s">
        <v>23</v>
      </c>
      <c r="Q5" s="2" t="s">
        <v>23</v>
      </c>
      <c r="R5" s="6" t="s">
        <v>26</v>
      </c>
      <c r="S5" t="s">
        <v>53</v>
      </c>
      <c r="T5" s="2"/>
      <c r="U5" s="2" t="s">
        <v>92</v>
      </c>
      <c r="V5" s="2" t="s">
        <v>96</v>
      </c>
      <c r="W5" s="2"/>
      <c r="X5" s="2" t="s">
        <v>273</v>
      </c>
    </row>
    <row r="6" spans="1:24" ht="31">
      <c r="A6" s="2"/>
      <c r="B6" s="2"/>
      <c r="C6" s="2"/>
      <c r="D6" s="2"/>
      <c r="E6" s="2" t="s">
        <v>14</v>
      </c>
      <c r="F6" s="2" t="s">
        <v>246</v>
      </c>
      <c r="G6" s="2" t="s">
        <v>20</v>
      </c>
      <c r="H6" s="2"/>
      <c r="I6" s="2" t="s">
        <v>274</v>
      </c>
      <c r="J6" s="2">
        <v>3</v>
      </c>
      <c r="K6" s="2"/>
      <c r="L6" s="2" t="s">
        <v>102</v>
      </c>
      <c r="M6" s="2"/>
      <c r="N6" s="2" t="s">
        <v>94</v>
      </c>
      <c r="O6" s="2">
        <v>3</v>
      </c>
      <c r="P6" s="2"/>
      <c r="Q6" s="2"/>
      <c r="R6" s="6" t="s">
        <v>267</v>
      </c>
      <c r="S6" t="s">
        <v>119</v>
      </c>
      <c r="T6" s="2"/>
      <c r="U6" s="2" t="s">
        <v>95</v>
      </c>
      <c r="V6" s="2" t="s">
        <v>89</v>
      </c>
      <c r="W6" s="2"/>
      <c r="X6" s="2"/>
    </row>
    <row r="7" spans="1:24">
      <c r="A7" s="2"/>
      <c r="B7" s="2"/>
      <c r="C7" s="2"/>
      <c r="D7" s="2"/>
      <c r="E7" s="2" t="s">
        <v>15</v>
      </c>
      <c r="F7" s="2" t="s">
        <v>247</v>
      </c>
      <c r="G7" s="2" t="s">
        <v>149</v>
      </c>
      <c r="H7" s="2"/>
      <c r="I7" s="2"/>
      <c r="J7" s="2">
        <v>4</v>
      </c>
      <c r="K7" s="2"/>
      <c r="L7" s="2" t="s">
        <v>272</v>
      </c>
      <c r="M7" s="2"/>
      <c r="N7" s="2" t="s">
        <v>21</v>
      </c>
      <c r="O7" s="2"/>
      <c r="P7" s="2"/>
      <c r="Q7" s="2"/>
      <c r="R7" s="6" t="s">
        <v>27</v>
      </c>
      <c r="S7" t="s">
        <v>53</v>
      </c>
      <c r="T7" s="2"/>
      <c r="U7" s="2" t="s">
        <v>120</v>
      </c>
      <c r="V7" s="2" t="s">
        <v>93</v>
      </c>
      <c r="W7" s="2"/>
      <c r="X7" s="2"/>
    </row>
    <row r="8" spans="1:24">
      <c r="A8" s="2"/>
      <c r="B8" s="2"/>
      <c r="C8" s="2"/>
      <c r="D8" s="2"/>
      <c r="E8" s="2"/>
      <c r="F8" s="2" t="s">
        <v>248</v>
      </c>
      <c r="G8" s="2" t="s">
        <v>320</v>
      </c>
      <c r="H8" s="2"/>
      <c r="I8" s="2"/>
      <c r="J8" s="2">
        <v>5</v>
      </c>
      <c r="K8" s="2"/>
      <c r="L8" s="2" t="s">
        <v>249</v>
      </c>
      <c r="M8" s="2"/>
      <c r="N8" s="2" t="s">
        <v>100</v>
      </c>
      <c r="O8" s="2"/>
      <c r="P8" s="2"/>
      <c r="Q8" s="2"/>
      <c r="R8" s="6" t="s">
        <v>266</v>
      </c>
      <c r="S8" t="s">
        <v>119</v>
      </c>
      <c r="T8" s="2"/>
      <c r="U8" s="2" t="s">
        <v>275</v>
      </c>
      <c r="V8" s="2" t="s">
        <v>98</v>
      </c>
      <c r="W8" s="2"/>
      <c r="X8" s="2"/>
    </row>
    <row r="9" spans="1:24">
      <c r="A9" s="2"/>
      <c r="B9" s="2"/>
      <c r="C9" s="2"/>
      <c r="D9" s="2"/>
      <c r="E9" s="2"/>
      <c r="F9" s="2" t="s">
        <v>123</v>
      </c>
      <c r="G9" s="2" t="s">
        <v>21</v>
      </c>
      <c r="H9" s="2"/>
      <c r="I9" s="2"/>
      <c r="J9" s="2">
        <v>6</v>
      </c>
      <c r="K9" s="2"/>
      <c r="L9" s="2" t="s">
        <v>250</v>
      </c>
      <c r="M9" s="2"/>
      <c r="N9" s="2"/>
      <c r="O9" s="2"/>
      <c r="P9" s="2"/>
      <c r="Q9" s="2"/>
      <c r="R9" s="6" t="s">
        <v>28</v>
      </c>
      <c r="S9" t="s">
        <v>54</v>
      </c>
      <c r="T9" s="2"/>
      <c r="U9" s="2" t="s">
        <v>122</v>
      </c>
      <c r="V9" s="2" t="s">
        <v>21</v>
      </c>
      <c r="W9" s="2"/>
      <c r="X9" s="2"/>
    </row>
    <row r="10" spans="1:24">
      <c r="A10" s="2"/>
      <c r="B10" s="2"/>
      <c r="C10" s="2"/>
      <c r="D10" s="2"/>
      <c r="E10" s="2"/>
      <c r="F10" s="2"/>
      <c r="G10" s="2"/>
      <c r="H10" s="2"/>
      <c r="I10" s="2"/>
      <c r="J10" s="2">
        <v>7</v>
      </c>
      <c r="K10" s="2"/>
      <c r="L10" s="2" t="s">
        <v>251</v>
      </c>
      <c r="M10" s="2"/>
      <c r="N10" s="2"/>
      <c r="O10" s="2"/>
      <c r="P10" s="2"/>
      <c r="Q10" s="2"/>
      <c r="R10" s="6" t="s">
        <v>124</v>
      </c>
      <c r="S10" t="s">
        <v>125</v>
      </c>
      <c r="T10" s="2"/>
      <c r="U10" s="2" t="s">
        <v>21</v>
      </c>
      <c r="V10" s="2"/>
      <c r="W10" s="2"/>
      <c r="X10" s="2"/>
    </row>
    <row r="11" spans="1:24">
      <c r="A11" s="2"/>
      <c r="B11" s="2"/>
      <c r="C11" s="2"/>
      <c r="D11" s="2"/>
      <c r="E11" s="2"/>
      <c r="F11" s="2"/>
      <c r="G11" s="2"/>
      <c r="H11" s="2"/>
      <c r="I11" s="2"/>
      <c r="J11" s="2">
        <v>8</v>
      </c>
      <c r="K11" s="2"/>
      <c r="L11" s="2" t="s">
        <v>319</v>
      </c>
      <c r="M11" s="2"/>
      <c r="N11" s="2"/>
      <c r="O11" s="2"/>
      <c r="P11" s="2"/>
      <c r="Q11" s="2"/>
      <c r="R11" s="6" t="s">
        <v>29</v>
      </c>
      <c r="S11" t="s">
        <v>55</v>
      </c>
      <c r="T11" s="2"/>
      <c r="U11" s="2" t="s">
        <v>126</v>
      </c>
      <c r="V11" s="2"/>
      <c r="W11" s="2"/>
      <c r="X11" s="2"/>
    </row>
    <row r="12" spans="1:24">
      <c r="A12" s="2"/>
      <c r="B12" s="2"/>
      <c r="C12" s="2"/>
      <c r="D12" s="2"/>
      <c r="E12" s="2"/>
      <c r="F12" s="2"/>
      <c r="G12" s="2"/>
      <c r="H12" s="2"/>
      <c r="I12" s="2"/>
      <c r="J12" s="2">
        <v>9</v>
      </c>
      <c r="K12" s="2"/>
      <c r="L12" s="2" t="s">
        <v>99</v>
      </c>
      <c r="M12" s="2"/>
      <c r="N12" s="2"/>
      <c r="O12" s="2"/>
      <c r="P12" s="2"/>
      <c r="Q12" s="2"/>
      <c r="R12" s="6" t="s">
        <v>30</v>
      </c>
      <c r="S12" t="s">
        <v>55</v>
      </c>
      <c r="T12" s="2"/>
      <c r="U12" s="2"/>
      <c r="V12" s="2"/>
      <c r="W12" s="2"/>
      <c r="X12" s="2"/>
    </row>
    <row r="13" spans="1:24">
      <c r="A13" s="2"/>
      <c r="B13" s="2"/>
      <c r="C13" s="2"/>
      <c r="D13" s="2"/>
      <c r="E13" s="2"/>
      <c r="G13" s="2"/>
      <c r="H13" s="2"/>
      <c r="I13" s="2"/>
      <c r="J13" s="2"/>
      <c r="K13" s="2"/>
      <c r="L13" s="2" t="s">
        <v>97</v>
      </c>
      <c r="M13" s="2"/>
      <c r="N13" s="2"/>
      <c r="O13" s="2"/>
      <c r="P13" s="2"/>
      <c r="Q13" s="2"/>
      <c r="R13" s="6" t="s">
        <v>31</v>
      </c>
      <c r="S13" t="s">
        <v>55</v>
      </c>
      <c r="T13" s="2"/>
      <c r="U13" s="2"/>
      <c r="V13" s="2"/>
      <c r="W13" s="2"/>
      <c r="X13" s="2"/>
    </row>
    <row r="14" spans="1:2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 t="s">
        <v>305</v>
      </c>
      <c r="M14" s="2"/>
      <c r="N14" s="2"/>
      <c r="O14" s="2"/>
      <c r="P14" s="2"/>
      <c r="Q14" s="2"/>
      <c r="R14" s="6" t="s">
        <v>32</v>
      </c>
      <c r="S14" t="s">
        <v>55</v>
      </c>
      <c r="T14" s="2"/>
      <c r="U14" s="2"/>
      <c r="V14" s="2"/>
      <c r="W14" s="2"/>
      <c r="X14" s="2"/>
    </row>
    <row r="15" spans="1:24">
      <c r="A15" s="2"/>
      <c r="B15" s="2"/>
      <c r="C15" s="2"/>
      <c r="D15" s="2"/>
      <c r="E15" s="2"/>
      <c r="F15" s="2"/>
      <c r="G15" s="2"/>
      <c r="H15" s="2"/>
      <c r="I15" s="2"/>
      <c r="J15" s="11" t="s">
        <v>235</v>
      </c>
      <c r="K15" s="2"/>
      <c r="L15" s="2" t="s">
        <v>306</v>
      </c>
      <c r="M15" s="2"/>
      <c r="N15" s="2"/>
      <c r="O15" s="2"/>
      <c r="P15" s="2"/>
      <c r="Q15" s="2"/>
      <c r="R15" s="6" t="s">
        <v>268</v>
      </c>
      <c r="S15" t="s">
        <v>55</v>
      </c>
      <c r="T15" s="2"/>
      <c r="U15" s="2"/>
      <c r="V15" s="2"/>
      <c r="W15" s="2"/>
      <c r="X15" s="2"/>
    </row>
    <row r="16" spans="1:2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 t="s">
        <v>303</v>
      </c>
      <c r="M16" s="2"/>
      <c r="N16" s="2"/>
      <c r="O16" s="2"/>
      <c r="P16" s="2"/>
      <c r="Q16" s="2"/>
      <c r="R16" s="6" t="s">
        <v>269</v>
      </c>
      <c r="S16" t="s">
        <v>55</v>
      </c>
      <c r="T16" s="2"/>
      <c r="U16" s="2"/>
      <c r="V16" s="2"/>
      <c r="W16" s="2"/>
      <c r="X16" s="2"/>
    </row>
    <row r="17" spans="1:2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 t="s">
        <v>304</v>
      </c>
      <c r="M17" s="2"/>
      <c r="N17" s="2"/>
      <c r="O17" s="2"/>
      <c r="P17" s="2"/>
      <c r="Q17" s="2"/>
      <c r="R17" s="6" t="s">
        <v>33</v>
      </c>
      <c r="S17" t="s">
        <v>55</v>
      </c>
      <c r="T17" s="2"/>
      <c r="U17" s="2"/>
      <c r="V17" s="2"/>
      <c r="W17" s="2"/>
      <c r="X17" s="2"/>
    </row>
    <row r="18" spans="1:2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 t="s">
        <v>101</v>
      </c>
      <c r="M18" s="2"/>
      <c r="N18" s="2"/>
      <c r="O18" s="2"/>
      <c r="P18" s="2"/>
      <c r="Q18" s="2"/>
      <c r="R18" s="6" t="s">
        <v>127</v>
      </c>
      <c r="S18" t="s">
        <v>55</v>
      </c>
      <c r="T18" s="2"/>
      <c r="U18" s="2"/>
      <c r="V18" s="2"/>
      <c r="W18" s="2"/>
      <c r="X18" s="2"/>
    </row>
    <row r="19" spans="1:24" ht="3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 t="s">
        <v>21</v>
      </c>
      <c r="M19" s="2"/>
      <c r="N19" s="2"/>
      <c r="O19" s="2"/>
      <c r="P19" s="2"/>
      <c r="Q19" s="2"/>
      <c r="R19" s="6" t="s">
        <v>128</v>
      </c>
      <c r="S19" t="s">
        <v>55</v>
      </c>
      <c r="T19" s="2"/>
      <c r="U19" s="2"/>
      <c r="V19" s="2"/>
      <c r="W19" s="2"/>
      <c r="X19" s="2"/>
    </row>
    <row r="20" spans="1:2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100</v>
      </c>
      <c r="M20" s="2"/>
      <c r="N20" s="2"/>
      <c r="O20" s="2"/>
      <c r="P20" s="2"/>
      <c r="Q20" s="2"/>
      <c r="R20" s="6" t="s">
        <v>34</v>
      </c>
      <c r="S20" t="s">
        <v>55</v>
      </c>
      <c r="T20" s="2"/>
      <c r="U20" s="2"/>
      <c r="V20" s="2"/>
      <c r="W20" s="2"/>
      <c r="X20" s="2"/>
    </row>
    <row r="21" spans="1:2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 t="s">
        <v>64</v>
      </c>
      <c r="M21" s="2"/>
      <c r="N21" s="2"/>
      <c r="O21" s="2"/>
      <c r="P21" s="2"/>
      <c r="Q21" s="2"/>
      <c r="R21" s="6" t="s">
        <v>35</v>
      </c>
      <c r="S21" t="s">
        <v>55</v>
      </c>
      <c r="T21" s="2"/>
      <c r="U21" s="2"/>
      <c r="V21" s="2"/>
      <c r="W21" s="2"/>
      <c r="X21" s="2"/>
    </row>
    <row r="22" spans="1:2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6" t="s">
        <v>36</v>
      </c>
      <c r="S22" t="s">
        <v>56</v>
      </c>
      <c r="T22" s="2"/>
      <c r="U22" s="2"/>
      <c r="V22" s="2"/>
      <c r="W22" s="2"/>
      <c r="X22" s="2"/>
    </row>
    <row r="23" spans="1:2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6" t="s">
        <v>129</v>
      </c>
      <c r="S23" t="s">
        <v>61</v>
      </c>
      <c r="T23" s="2"/>
      <c r="U23" s="2"/>
      <c r="V23" s="2"/>
      <c r="W23" s="2"/>
      <c r="X23" s="2"/>
    </row>
    <row r="24" spans="1: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6" t="s">
        <v>264</v>
      </c>
      <c r="S24" t="s">
        <v>57</v>
      </c>
      <c r="T24" s="2"/>
      <c r="U24" s="2"/>
      <c r="V24" s="2"/>
      <c r="W24" s="2"/>
      <c r="X24" s="2"/>
    </row>
    <row r="25" spans="1:2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" t="s">
        <v>37</v>
      </c>
      <c r="S25" t="s">
        <v>54</v>
      </c>
      <c r="T25" s="2"/>
      <c r="U25" s="2"/>
      <c r="V25" s="2"/>
      <c r="W25" s="2"/>
      <c r="X25" s="2"/>
    </row>
    <row r="26" spans="1:2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6" t="s">
        <v>38</v>
      </c>
      <c r="S26" t="s">
        <v>58</v>
      </c>
      <c r="T26" s="2"/>
      <c r="U26" s="2"/>
      <c r="V26" s="2"/>
      <c r="W26" s="2"/>
      <c r="X26" s="2"/>
    </row>
    <row r="27" spans="1:2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6" t="s">
        <v>292</v>
      </c>
      <c r="S27" t="s">
        <v>59</v>
      </c>
      <c r="T27" s="2"/>
      <c r="U27" s="2"/>
      <c r="V27" s="2"/>
      <c r="W27" s="2"/>
      <c r="X27" s="2"/>
    </row>
    <row r="28" spans="1:2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" t="s">
        <v>39</v>
      </c>
      <c r="S28" t="s">
        <v>61</v>
      </c>
      <c r="T28" s="2"/>
      <c r="U28" s="2"/>
      <c r="V28" s="2"/>
      <c r="W28" s="2"/>
      <c r="X28" s="2"/>
    </row>
    <row r="29" spans="1:2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6" t="s">
        <v>130</v>
      </c>
      <c r="S29" t="s">
        <v>57</v>
      </c>
      <c r="T29" s="2"/>
      <c r="U29" s="2"/>
      <c r="V29" s="2"/>
      <c r="W29" s="2"/>
      <c r="X29" s="2"/>
    </row>
    <row r="30" spans="1:2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6" t="s">
        <v>40</v>
      </c>
      <c r="S30" t="s">
        <v>54</v>
      </c>
      <c r="T30" s="2"/>
      <c r="U30" s="2"/>
      <c r="V30" s="2"/>
      <c r="W30" s="2"/>
      <c r="X30" s="2"/>
    </row>
    <row r="31" spans="1: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6" t="s">
        <v>252</v>
      </c>
      <c r="S31" t="s">
        <v>56</v>
      </c>
      <c r="T31" s="2"/>
      <c r="U31" s="2"/>
      <c r="V31" s="2"/>
      <c r="W31" s="2"/>
      <c r="X31" s="2"/>
    </row>
    <row r="32" spans="1:2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6" t="s">
        <v>280</v>
      </c>
      <c r="S32" t="s">
        <v>281</v>
      </c>
      <c r="T32" s="2"/>
      <c r="U32" s="2"/>
      <c r="V32" s="2"/>
      <c r="W32" s="2"/>
      <c r="X32" s="2"/>
    </row>
    <row r="33" spans="1:2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6" t="s">
        <v>41</v>
      </c>
      <c r="S33" t="s">
        <v>52</v>
      </c>
      <c r="T33" s="2"/>
      <c r="U33" s="2"/>
      <c r="V33" s="2"/>
      <c r="W33" s="2"/>
      <c r="X33" s="2"/>
    </row>
    <row r="34" spans="1:2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6" t="s">
        <v>42</v>
      </c>
      <c r="S34" t="s">
        <v>283</v>
      </c>
      <c r="T34" s="2"/>
      <c r="U34" s="2"/>
      <c r="V34" s="2"/>
      <c r="W34" s="2"/>
      <c r="X34" s="2"/>
    </row>
    <row r="35" spans="1:2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6" t="s">
        <v>131</v>
      </c>
      <c r="S35" t="s">
        <v>58</v>
      </c>
      <c r="T35" s="2"/>
      <c r="U35" s="2"/>
      <c r="V35" s="2"/>
      <c r="W35" s="2"/>
      <c r="X35" s="2"/>
    </row>
    <row r="36" spans="1:2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6" t="s">
        <v>289</v>
      </c>
      <c r="S36" s="16" t="s">
        <v>290</v>
      </c>
      <c r="T36" s="2"/>
      <c r="U36" s="2"/>
      <c r="V36" s="2"/>
      <c r="W36" s="2"/>
      <c r="X36" s="2"/>
    </row>
    <row r="37" spans="1:2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6" t="s">
        <v>270</v>
      </c>
      <c r="S37" t="s">
        <v>57</v>
      </c>
      <c r="T37" s="2"/>
      <c r="U37" s="2"/>
      <c r="V37" s="2"/>
      <c r="W37" s="2"/>
      <c r="X37" s="2"/>
    </row>
    <row r="38" spans="1:2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6" t="s">
        <v>282</v>
      </c>
      <c r="S38" t="s">
        <v>284</v>
      </c>
      <c r="T38" s="2"/>
      <c r="U38" s="2"/>
      <c r="V38" s="2"/>
      <c r="W38" s="2"/>
      <c r="X38" s="2"/>
    </row>
    <row r="39" spans="1:24" ht="18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6" t="s">
        <v>43</v>
      </c>
      <c r="S39" t="s">
        <v>62</v>
      </c>
      <c r="T39" s="14"/>
      <c r="U39" s="2"/>
      <c r="V39" s="2"/>
      <c r="W39" s="2"/>
      <c r="X39" s="2"/>
    </row>
    <row r="40" spans="1:2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6" t="s">
        <v>44</v>
      </c>
      <c r="S40" t="s">
        <v>61</v>
      </c>
      <c r="T40" s="2"/>
      <c r="U40" s="2"/>
      <c r="V40" s="2"/>
      <c r="W40" s="2"/>
      <c r="X40" s="2"/>
    </row>
    <row r="41" spans="1:2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6" t="s">
        <v>276</v>
      </c>
      <c r="S41" t="s">
        <v>98</v>
      </c>
      <c r="T41" s="2" t="s">
        <v>277</v>
      </c>
      <c r="U41" s="2"/>
      <c r="V41" s="2"/>
      <c r="W41" s="2"/>
      <c r="X41" s="2"/>
    </row>
    <row r="42" spans="1:2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6" t="s">
        <v>132</v>
      </c>
      <c r="S42" t="s">
        <v>52</v>
      </c>
      <c r="T42" s="13"/>
      <c r="U42" s="2"/>
      <c r="V42" s="2"/>
      <c r="W42" s="2"/>
      <c r="X42" s="2"/>
    </row>
    <row r="43" spans="1:2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6" t="s">
        <v>45</v>
      </c>
      <c r="S43" t="s">
        <v>63</v>
      </c>
      <c r="T43" s="13"/>
      <c r="U43" s="2"/>
      <c r="V43" s="2"/>
      <c r="W43" s="2"/>
      <c r="X43" s="2"/>
    </row>
    <row r="44" spans="1:2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6" t="s">
        <v>133</v>
      </c>
      <c r="S44" t="s">
        <v>57</v>
      </c>
      <c r="T44" s="13"/>
      <c r="U44" s="2"/>
      <c r="V44" s="2"/>
      <c r="W44" s="2"/>
      <c r="X44" s="2"/>
    </row>
    <row r="45" spans="1:2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6" t="s">
        <v>278</v>
      </c>
      <c r="S45" t="s">
        <v>279</v>
      </c>
      <c r="T45" s="13"/>
      <c r="U45" s="2"/>
      <c r="V45" s="2"/>
      <c r="W45" s="2"/>
      <c r="X45" s="2"/>
    </row>
    <row r="46" spans="1:2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6" t="s">
        <v>335</v>
      </c>
      <c r="S46" t="s">
        <v>265</v>
      </c>
      <c r="T46" s="13" t="s">
        <v>56</v>
      </c>
      <c r="U46" s="2"/>
      <c r="V46" s="2"/>
      <c r="W46" s="2"/>
      <c r="X46" s="2"/>
    </row>
    <row r="47" spans="1:24" ht="3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6" t="s">
        <v>336</v>
      </c>
      <c r="S47" t="s">
        <v>265</v>
      </c>
      <c r="T47" s="13" t="s">
        <v>52</v>
      </c>
      <c r="U47" s="2"/>
      <c r="V47" s="2"/>
      <c r="W47" s="2"/>
      <c r="X47" s="2"/>
    </row>
    <row r="48" spans="1:2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6" t="s">
        <v>337</v>
      </c>
      <c r="S48" t="s">
        <v>265</v>
      </c>
      <c r="T48" s="13" t="s">
        <v>57</v>
      </c>
      <c r="U48" s="2"/>
      <c r="V48" s="2"/>
      <c r="W48" s="2"/>
      <c r="X48" s="2"/>
    </row>
    <row r="49" spans="1:2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6" t="s">
        <v>338</v>
      </c>
      <c r="S49" t="s">
        <v>265</v>
      </c>
      <c r="T49" s="13" t="s">
        <v>57</v>
      </c>
      <c r="U49" s="2"/>
      <c r="V49" s="2"/>
      <c r="W49" s="2"/>
      <c r="X49" s="2"/>
    </row>
    <row r="50" spans="1:2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6" t="s">
        <v>339</v>
      </c>
      <c r="S50" t="s">
        <v>265</v>
      </c>
      <c r="T50" s="13" t="s">
        <v>59</v>
      </c>
      <c r="U50" s="2"/>
      <c r="V50" s="2"/>
      <c r="W50" s="2"/>
      <c r="X50" s="2"/>
    </row>
    <row r="51" spans="1:2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6" t="s">
        <v>340</v>
      </c>
      <c r="S51" t="s">
        <v>265</v>
      </c>
      <c r="T51" s="13" t="s">
        <v>52</v>
      </c>
      <c r="U51" s="2"/>
      <c r="V51" s="2"/>
      <c r="W51" s="2"/>
      <c r="X51" s="2"/>
    </row>
    <row r="52" spans="1:2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6" t="s">
        <v>271</v>
      </c>
      <c r="S52" t="s">
        <v>57</v>
      </c>
      <c r="T52" s="2"/>
      <c r="U52" s="2"/>
      <c r="V52" s="2"/>
      <c r="W52" s="2"/>
      <c r="X52" s="2"/>
    </row>
    <row r="53" spans="1:2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6" t="s">
        <v>134</v>
      </c>
      <c r="S53" t="s">
        <v>61</v>
      </c>
      <c r="T53" s="2"/>
      <c r="U53" s="2"/>
      <c r="V53" s="2"/>
      <c r="W53" s="2"/>
      <c r="X53" s="2"/>
    </row>
    <row r="54" spans="1:2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6" t="s">
        <v>135</v>
      </c>
      <c r="S54" t="s">
        <v>136</v>
      </c>
      <c r="T54" s="2"/>
      <c r="U54" s="2"/>
      <c r="V54" s="2"/>
      <c r="W54" s="2"/>
      <c r="X54" s="2"/>
    </row>
    <row r="55" spans="1:2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6" t="s">
        <v>46</v>
      </c>
      <c r="S55" t="s">
        <v>53</v>
      </c>
      <c r="T55" s="2"/>
      <c r="U55" s="2"/>
      <c r="V55" s="2"/>
      <c r="W55" s="2"/>
      <c r="X55" s="2"/>
    </row>
    <row r="56" spans="1:2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6" t="s">
        <v>287</v>
      </c>
      <c r="S56" t="s">
        <v>137</v>
      </c>
      <c r="T56" s="2"/>
      <c r="U56" s="2"/>
      <c r="V56" s="2"/>
      <c r="W56" s="2"/>
      <c r="X56" s="2"/>
    </row>
    <row r="57" spans="1:2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6" t="s">
        <v>47</v>
      </c>
      <c r="S57" t="s">
        <v>59</v>
      </c>
      <c r="T57" s="2"/>
      <c r="U57" s="2"/>
      <c r="V57" s="2"/>
      <c r="W57" s="2"/>
      <c r="X57" s="2"/>
    </row>
    <row r="58" spans="1:2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6" t="s">
        <v>138</v>
      </c>
      <c r="S58" t="s">
        <v>57</v>
      </c>
      <c r="T58" s="2"/>
      <c r="U58" s="2"/>
      <c r="V58" s="2"/>
      <c r="W58" s="2"/>
      <c r="X58" s="2"/>
    </row>
    <row r="59" spans="1:2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6" t="s">
        <v>48</v>
      </c>
      <c r="S59" t="s">
        <v>48</v>
      </c>
      <c r="T59" s="2"/>
      <c r="U59" s="2"/>
      <c r="V59" s="2"/>
      <c r="W59" s="2"/>
      <c r="X59" s="2"/>
    </row>
    <row r="60" spans="1:2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6" t="s">
        <v>139</v>
      </c>
      <c r="S60" t="s">
        <v>140</v>
      </c>
      <c r="T60" s="2"/>
      <c r="U60" s="2"/>
      <c r="V60" s="2"/>
      <c r="W60" s="2"/>
      <c r="X60" s="2"/>
    </row>
    <row r="61" spans="1:2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6" t="s">
        <v>141</v>
      </c>
      <c r="S61" t="s">
        <v>142</v>
      </c>
      <c r="T61" s="2"/>
      <c r="U61" s="2"/>
      <c r="V61" s="2"/>
      <c r="W61" s="2"/>
      <c r="X61" s="2"/>
    </row>
    <row r="62" spans="1:2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6" t="s">
        <v>49</v>
      </c>
      <c r="S62" t="s">
        <v>142</v>
      </c>
      <c r="T62" s="2"/>
      <c r="U62" s="2"/>
      <c r="V62" s="2"/>
      <c r="W62" s="2"/>
      <c r="X62" s="2"/>
    </row>
    <row r="63" spans="1:2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6" t="s">
        <v>143</v>
      </c>
      <c r="S63" t="s">
        <v>140</v>
      </c>
      <c r="T63" s="2"/>
      <c r="U63" s="2"/>
      <c r="V63" s="2"/>
      <c r="W63" s="2"/>
      <c r="X63" s="2"/>
    </row>
    <row r="64" spans="1:24">
      <c r="G64" s="2"/>
      <c r="I64" s="2"/>
      <c r="L64" s="2"/>
      <c r="R64" s="6" t="s">
        <v>144</v>
      </c>
      <c r="S64" t="s">
        <v>142</v>
      </c>
      <c r="U64" s="2"/>
      <c r="V64" s="2"/>
    </row>
    <row r="65" spans="12:19">
      <c r="L65" s="2"/>
      <c r="R65" s="6" t="s">
        <v>145</v>
      </c>
      <c r="S65" t="s">
        <v>140</v>
      </c>
    </row>
    <row r="66" spans="12:19">
      <c r="L66" s="2"/>
      <c r="R66" s="6" t="s">
        <v>291</v>
      </c>
      <c r="S66" t="s">
        <v>60</v>
      </c>
    </row>
    <row r="67" spans="12:19">
      <c r="L67" s="2"/>
      <c r="R67" s="6" t="s">
        <v>50</v>
      </c>
      <c r="S67" t="s">
        <v>61</v>
      </c>
    </row>
    <row r="68" spans="12:19">
      <c r="L68" s="2"/>
      <c r="R68" s="6" t="s">
        <v>285</v>
      </c>
      <c r="S68" s="15" t="s">
        <v>286</v>
      </c>
    </row>
    <row r="69" spans="12:19">
      <c r="L69" s="2"/>
      <c r="R69" s="6" t="s">
        <v>146</v>
      </c>
      <c r="S69" t="s">
        <v>52</v>
      </c>
    </row>
    <row r="70" spans="12:19">
      <c r="L70" s="2"/>
      <c r="R70" s="6" t="s">
        <v>147</v>
      </c>
      <c r="S70" t="s">
        <v>54</v>
      </c>
    </row>
    <row r="71" spans="12:19">
      <c r="R71" s="6" t="s">
        <v>148</v>
      </c>
      <c r="S71" t="s">
        <v>54</v>
      </c>
    </row>
    <row r="72" spans="12:19">
      <c r="R72" s="6" t="s">
        <v>51</v>
      </c>
      <c r="S72" t="s">
        <v>60</v>
      </c>
    </row>
    <row r="73" spans="12:19">
      <c r="R73" s="6" t="s">
        <v>21</v>
      </c>
      <c r="S73" t="s">
        <v>21</v>
      </c>
    </row>
  </sheetData>
  <mergeCells count="3">
    <mergeCell ref="L1:X1"/>
    <mergeCell ref="L2:Q2"/>
    <mergeCell ref="A1:K2"/>
  </mergeCells>
  <pageMargins left="0.7" right="0.7" top="0.75" bottom="0.75" header="0.3" footer="0.3"/>
  <tableParts count="16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6640625" defaultRowHeight="15.5"/>
  <cols>
    <col min="1" max="1" width="47" customWidth="1"/>
    <col min="2" max="2" width="60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2"/>
  <sheetViews>
    <sheetView showGridLines="0" workbookViewId="0">
      <selection activeCell="C22" sqref="C22"/>
    </sheetView>
  </sheetViews>
  <sheetFormatPr defaultColWidth="10.83203125" defaultRowHeight="15.5"/>
  <cols>
    <col min="1" max="1" width="10.83203125" style="24"/>
    <col min="2" max="2" width="20.5" style="24" customWidth="1"/>
    <col min="3" max="3" width="30.33203125" style="24" customWidth="1"/>
    <col min="4" max="16384" width="10.83203125" style="24"/>
  </cols>
  <sheetData>
    <row r="3" spans="2:3" ht="23.5">
      <c r="B3" s="23"/>
    </row>
    <row r="8" spans="2:3">
      <c r="B8" s="58" t="s">
        <v>80</v>
      </c>
      <c r="C8" s="59"/>
    </row>
    <row r="9" spans="2:3">
      <c r="B9" s="25" t="s">
        <v>67</v>
      </c>
      <c r="C9" s="26" t="s">
        <v>81</v>
      </c>
    </row>
    <row r="10" spans="2:3">
      <c r="B10" s="27" t="s">
        <v>68</v>
      </c>
      <c r="C10" s="28">
        <v>10</v>
      </c>
    </row>
    <row r="11" spans="2:3">
      <c r="B11" s="27" t="s">
        <v>69</v>
      </c>
      <c r="C11" s="28">
        <v>10</v>
      </c>
    </row>
    <row r="12" spans="2:3">
      <c r="B12" s="27" t="s">
        <v>70</v>
      </c>
      <c r="C12" s="28">
        <v>10</v>
      </c>
    </row>
    <row r="13" spans="2:3">
      <c r="B13" s="27" t="s">
        <v>71</v>
      </c>
      <c r="C13" s="28">
        <v>10</v>
      </c>
    </row>
    <row r="14" spans="2:3">
      <c r="B14" s="27" t="s">
        <v>72</v>
      </c>
      <c r="C14" s="28">
        <v>10</v>
      </c>
    </row>
    <row r="15" spans="2:3">
      <c r="B15" s="27" t="s">
        <v>73</v>
      </c>
      <c r="C15" s="28">
        <v>10</v>
      </c>
    </row>
    <row r="16" spans="2:3">
      <c r="B16" s="27" t="s">
        <v>74</v>
      </c>
      <c r="C16" s="28">
        <v>10</v>
      </c>
    </row>
    <row r="17" spans="2:3">
      <c r="B17" s="27" t="s">
        <v>75</v>
      </c>
      <c r="C17" s="28">
        <v>10</v>
      </c>
    </row>
    <row r="18" spans="2:3">
      <c r="B18" s="27" t="s">
        <v>76</v>
      </c>
      <c r="C18" s="28">
        <v>10</v>
      </c>
    </row>
    <row r="19" spans="2:3">
      <c r="B19" s="27" t="s">
        <v>77</v>
      </c>
      <c r="C19" s="28">
        <v>10</v>
      </c>
    </row>
    <row r="20" spans="2:3">
      <c r="B20" s="27" t="s">
        <v>78</v>
      </c>
      <c r="C20" s="28">
        <v>10</v>
      </c>
    </row>
    <row r="21" spans="2:3">
      <c r="B21" s="29" t="s">
        <v>79</v>
      </c>
      <c r="C21" s="30">
        <v>10</v>
      </c>
    </row>
    <row r="22" spans="2:3">
      <c r="B22" s="29" t="s">
        <v>239</v>
      </c>
      <c r="C22" s="20">
        <f>SUM(Total_Patients[Patients Seen per Month])</f>
        <v>120</v>
      </c>
    </row>
  </sheetData>
  <sheetProtection algorithmName="SHA-512" hashValue="gUhSMxY3tksNcF90TeziBMqoNaNgvKg7oX5MaLx776UyoI4AaA7FC0iert7xANvuLQnRJhxcvYhjXynx6c/PMA==" saltValue="36CNMHiufw+QiXioixY1kw==" spinCount="100000" sheet="1" objects="1" scenarios="1"/>
  <mergeCells count="1">
    <mergeCell ref="B8:C8"/>
  </mergeCells>
  <phoneticPr fontId="5" type="noConversion"/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showGridLines="0" zoomScale="82" workbookViewId="0">
      <selection activeCell="T178" sqref="T178"/>
    </sheetView>
  </sheetViews>
  <sheetFormatPr defaultColWidth="10.6640625" defaultRowHeight="15.5"/>
  <cols>
    <col min="2" max="2" width="19.33203125" customWidth="1"/>
    <col min="3" max="3" width="28.1640625" customWidth="1"/>
  </cols>
  <sheetData>
    <row r="2" spans="2:3" ht="42" customHeight="1">
      <c r="B2" s="12" t="s">
        <v>238</v>
      </c>
      <c r="C2" s="19" t="s">
        <v>318</v>
      </c>
    </row>
    <row r="3" spans="2:3" ht="18.5">
      <c r="B3" s="18" t="s">
        <v>68</v>
      </c>
      <c r="C3" s="17">
        <f>IFERROR(Calculations!E2/Calculations!B2*100, " ")</f>
        <v>0</v>
      </c>
    </row>
    <row r="4" spans="2:3" ht="18.5">
      <c r="B4" s="18" t="s">
        <v>69</v>
      </c>
      <c r="C4" s="17">
        <f>IFERROR(Calculations!E3/Calculations!B3*100, " ")</f>
        <v>0</v>
      </c>
    </row>
    <row r="5" spans="2:3" ht="18.5">
      <c r="B5" s="18" t="s">
        <v>70</v>
      </c>
      <c r="C5" s="17">
        <f>IFERROR(Calculations!E4/Calculations!B4*100, " ")</f>
        <v>0</v>
      </c>
    </row>
    <row r="6" spans="2:3" ht="18.5">
      <c r="B6" s="18" t="s">
        <v>71</v>
      </c>
      <c r="C6" s="17">
        <f>IFERROR(Calculations!E5/Calculations!B5*100, " ")</f>
        <v>0</v>
      </c>
    </row>
    <row r="7" spans="2:3" ht="18.5">
      <c r="B7" s="18" t="s">
        <v>72</v>
      </c>
      <c r="C7" s="17">
        <f>IFERROR(Calculations!E6/Calculations!B6*100, " ")</f>
        <v>0</v>
      </c>
    </row>
    <row r="8" spans="2:3" ht="18.5">
      <c r="B8" s="18" t="s">
        <v>73</v>
      </c>
      <c r="C8" s="17">
        <f>IFERROR(Calculations!E7/Calculations!B7*100, " ")</f>
        <v>0</v>
      </c>
    </row>
    <row r="9" spans="2:3" ht="18.5">
      <c r="B9" s="18" t="s">
        <v>74</v>
      </c>
      <c r="C9" s="17">
        <f>IFERROR(Calculations!E8/Calculations!B8*100, " ")</f>
        <v>0</v>
      </c>
    </row>
    <row r="10" spans="2:3" ht="18.5">
      <c r="B10" s="18" t="s">
        <v>75</v>
      </c>
      <c r="C10" s="17">
        <f>IFERROR(Calculations!E9/Calculations!B9*100, " ")</f>
        <v>0</v>
      </c>
    </row>
    <row r="11" spans="2:3" ht="18.5">
      <c r="B11" s="18" t="s">
        <v>76</v>
      </c>
      <c r="C11" s="17">
        <f>IFERROR(Calculations!E10/Calculations!B10*100, " ")</f>
        <v>0</v>
      </c>
    </row>
    <row r="12" spans="2:3" ht="18.5">
      <c r="B12" s="18" t="s">
        <v>77</v>
      </c>
      <c r="C12" s="17">
        <f>IFERROR(Calculations!E11/Calculations!B11*100, " ")</f>
        <v>0</v>
      </c>
    </row>
    <row r="13" spans="2:3" ht="18.5">
      <c r="B13" s="18" t="s">
        <v>78</v>
      </c>
      <c r="C13" s="17">
        <f>IFERROR(Calculations!E12/Calculations!B12*100, " ")</f>
        <v>0</v>
      </c>
    </row>
    <row r="14" spans="2:3" ht="18.5">
      <c r="B14" s="18" t="s">
        <v>79</v>
      </c>
      <c r="C14" s="17">
        <f>IFERROR(Calculations!E13/Calculations!B13*100, " ")</f>
        <v>0</v>
      </c>
    </row>
    <row r="15" spans="2:3" ht="18.5">
      <c r="B15" s="18" t="s">
        <v>239</v>
      </c>
      <c r="C15" s="17">
        <f>IFERROR(Calculations!E14/Calculations!B14*100, " ")</f>
        <v>0</v>
      </c>
    </row>
  </sheetData>
  <sheetProtection algorithmName="SHA-512" hashValue="SsSc/W5ZKYkn7g5lE5bX5atAsh4hEOn2en2rGjjCgA5id+MuPJfNTHamdU9JdKlLrUMlUtG4dhj25HKupyemxg==" saltValue="5Xt/eUgwcGawsP7Pr83V6A==" spinCount="100000" sheet="1" objects="1" scenarios="1"/>
  <phoneticPr fontId="5" type="noConversion"/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5"/>
  <sheetViews>
    <sheetView topLeftCell="B9" zoomScale="84" workbookViewId="0">
      <selection activeCell="O24" sqref="O24"/>
    </sheetView>
  </sheetViews>
  <sheetFormatPr defaultColWidth="10.83203125" defaultRowHeight="15.5"/>
  <cols>
    <col min="1" max="1" width="16.5" style="21" customWidth="1"/>
    <col min="2" max="2" width="19.33203125" style="21" customWidth="1"/>
    <col min="3" max="3" width="19" style="21" customWidth="1"/>
    <col min="4" max="16384" width="10.83203125" style="21"/>
  </cols>
  <sheetData>
    <row r="1" spans="1:22">
      <c r="A1" s="21" t="s">
        <v>240</v>
      </c>
      <c r="D1" s="21" t="s">
        <v>243</v>
      </c>
      <c r="G1" s="21" t="s">
        <v>244</v>
      </c>
      <c r="I1" s="21" t="s">
        <v>293</v>
      </c>
      <c r="T1" s="21" t="s">
        <v>307</v>
      </c>
    </row>
    <row r="2" spans="1:22">
      <c r="A2" s="21" t="s">
        <v>68</v>
      </c>
      <c r="B2" s="21">
        <f>'Total Patients'!C10</f>
        <v>10</v>
      </c>
      <c r="D2" s="21" t="s">
        <v>68</v>
      </c>
      <c r="E2" s="21">
        <f>COUNTIF(January[Patient Prescribed Antibiotic (Y/N/WW)], "Yes")</f>
        <v>0</v>
      </c>
      <c r="G2" s="21">
        <f>COUNTIF(January[Patient Prescribed Antibiotic (Y/N/WW)], "No")</f>
        <v>0</v>
      </c>
      <c r="I2" s="21">
        <f>COUNTIF(January[Patient Prescribed Antibiotic (Y/N/WW)], "Watchful Waiting")</f>
        <v>0</v>
      </c>
      <c r="U2" s="21" t="s">
        <v>102</v>
      </c>
      <c r="V2" s="21" t="s">
        <v>308</v>
      </c>
    </row>
    <row r="3" spans="1:22">
      <c r="A3" s="21" t="s">
        <v>69</v>
      </c>
      <c r="B3" s="21">
        <f>'Total Patients'!C11</f>
        <v>10</v>
      </c>
      <c r="D3" s="21" t="s">
        <v>69</v>
      </c>
      <c r="E3" s="21">
        <f>COUNTIF(February[Patient Prescribed Antibiotic (Y/N/WW)], "Yes")</f>
        <v>0</v>
      </c>
      <c r="G3" s="21">
        <f>COUNTIF(February[Patient Prescribed Antibiotic (Y/N/WW)], "No")</f>
        <v>0</v>
      </c>
      <c r="I3" s="21">
        <f>COUNTIF(February[Patient Prescribed Antibiotic (Y/N/WW)], "Watchful Waiting")</f>
        <v>0</v>
      </c>
      <c r="T3" s="21" t="s">
        <v>68</v>
      </c>
      <c r="U3" s="21">
        <f>COUNTIFS(January[Patient Prescribed Antibiotic (Y/N/WW)], "Watchful Waiting", January[Disease/Infection Type], "Gastrointestinal Disease")+COUNTIFS(January[Patient Prescribed Antibiotic (Y/N/WW)], "Watchful Waiting", January[Disease/Infection Type2], "Gastrointestinal Disease")+COUNTIFS(January[Patient Prescribed Antibiotic (Y/N/WW)], "Watchful Waiting", January[Disease/Infection Type3], "Gastrointestinal Disease")</f>
        <v>0</v>
      </c>
      <c r="V3" s="21">
        <f>COUNTIFS(January[Patient Prescribed Antibiotic (Y/N/WW)], "Watchful Waiting", January[Disease/Infection Type], "Upper Respiratory Tract Disease")+COUNTIFS(January[Patient Prescribed Antibiotic (Y/N/WW)], "Watchful Waiting", January[Disease/Infection Type2], "Upper Respiratory Tract Disease")+COUNTIFS(January[Patient Prescribed Antibiotic (Y/N/WW)], "Watchful Waiting", January[Disease/Infection Type3], "Upper Respiratory Tract Disease")</f>
        <v>0</v>
      </c>
    </row>
    <row r="4" spans="1:22">
      <c r="A4" s="21" t="s">
        <v>70</v>
      </c>
      <c r="B4" s="21">
        <f>'Total Patients'!C12</f>
        <v>10</v>
      </c>
      <c r="D4" s="21" t="s">
        <v>70</v>
      </c>
      <c r="E4" s="21">
        <f>COUNTIF(March[Patient Prescribed Antibiotic (Y/N/WW)], "Yes")</f>
        <v>0</v>
      </c>
      <c r="G4" s="21">
        <f>COUNTIF(March[Patient Prescribed Antibiotic (Y/N/WW)], "No")</f>
        <v>0</v>
      </c>
      <c r="I4" s="21">
        <f>COUNTIF(March[Patient Prescribed Antibiotic (Y/N/WW)], "Watchful Waiting")</f>
        <v>0</v>
      </c>
      <c r="T4" s="21" t="s">
        <v>69</v>
      </c>
      <c r="U4" s="21">
        <f>COUNTIFS(February[Patient Prescribed Antibiotic (Y/N/WW)], "Watchful Waiting", February[Disease/Infection Type], "Gastrointestinal Disease")+COUNTIFS(February[Patient Prescribed Antibiotic (Y/N/WW)], "Watchful Waiting", February[Disease/Infection Type2], "Gastrointestinal Disease")+COUNTIFS(February[Patient Prescribed Antibiotic (Y/N/WW)], "Watchful Waiting", February[Disease/Infection Type3], "Gastrointestinal Disease")</f>
        <v>0</v>
      </c>
      <c r="V4" s="21">
        <f>COUNTIFS(February[Patient Prescribed Antibiotic (Y/N/WW)], "Watchful Waiting", February[Disease/Infection Type], "Upper Respiratory Tract Disease")+COUNTIFS(February[Patient Prescribed Antibiotic (Y/N/WW)], "Watchful Waiting", February[Disease/Infection Type2], "Upper Respiratory Tract Disease")+COUNTIFS(February[Patient Prescribed Antibiotic (Y/N/WW)], "Watchful Waiting", February[Disease/Infection Type3], "Upper Respiratory Tract Disease")</f>
        <v>0</v>
      </c>
    </row>
    <row r="5" spans="1:22">
      <c r="A5" s="21" t="s">
        <v>71</v>
      </c>
      <c r="B5" s="21">
        <f>'Total Patients'!C13</f>
        <v>10</v>
      </c>
      <c r="D5" s="21" t="s">
        <v>71</v>
      </c>
      <c r="E5" s="21">
        <f>COUNTIF(April[Patient Prescribed Antibiotic (Y/N/WW)], "Yes")</f>
        <v>0</v>
      </c>
      <c r="G5" s="21">
        <f>COUNTIF(April[Patient Prescribed Antibiotic (Y/N/WW)], "No")</f>
        <v>0</v>
      </c>
      <c r="I5" s="21">
        <f>COUNTIF(April[Patient Prescribed Antibiotic (Y/N/WW)], "Watchful Waiting")</f>
        <v>0</v>
      </c>
      <c r="T5" s="21" t="s">
        <v>70</v>
      </c>
      <c r="U5" s="21">
        <f>COUNTIFS(March[Patient Prescribed Antibiotic (Y/N/WW)], "Watchful Waiting", March[Disease/Infection Type], "Gastrointestinal Disease")+COUNTIFS(March[Patient Prescribed Antibiotic (Y/N/WW)], "Watchful Waiting", March[Disease/Infection Type2], "Gastrointestinal Disease")+COUNTIFS(March[Patient Prescribed Antibiotic (Y/N/WW)], "Watchful Waiting", March[Disease/Infection Type3], "Gastrointestinal Disease")</f>
        <v>0</v>
      </c>
      <c r="V5" s="21">
        <f>COUNTIFS(March[Patient Prescribed Antibiotic (Y/N/WW)], "Watchful Waiting", March[Disease/Infection Type], "Upper Respiratory Tract Disease")+COUNTIFS(March[Patient Prescribed Antibiotic (Y/N/WW)], "Watchful Waiting", March[Disease/Infection Type2], "Upper Respiratory Tract Disease")+COUNTIFS(March[Patient Prescribed Antibiotic (Y/N/WW)], "Watchful Waiting", March[Disease/Infection Type3], "Upper Respiratory Tract Disease")</f>
        <v>0</v>
      </c>
    </row>
    <row r="6" spans="1:22">
      <c r="A6" s="21" t="s">
        <v>72</v>
      </c>
      <c r="B6" s="21">
        <f>'Total Patients'!C14</f>
        <v>10</v>
      </c>
      <c r="D6" s="21" t="s">
        <v>72</v>
      </c>
      <c r="E6" s="21">
        <f>COUNTIF(May[Patient Prescribed Antibiotic (Y/N/WW)], "Yes")</f>
        <v>0</v>
      </c>
      <c r="G6" s="21">
        <f>COUNTIF(May[Patient Prescribed Antibiotic (Y/N/WW)], "No")</f>
        <v>0</v>
      </c>
      <c r="I6" s="21">
        <f>COUNTIF(May[Patient Prescribed Antibiotic (Y/N/WW)], "Watchful Waiting")</f>
        <v>0</v>
      </c>
      <c r="T6" s="21" t="s">
        <v>71</v>
      </c>
      <c r="U6" s="21">
        <f>COUNTIFS(April[Patient Prescribed Antibiotic (Y/N/WW)], "Watchful Waiting", April[Disease/Infection Type], "Gastrointestinal Disease")+COUNTIFS(April[Patient Prescribed Antibiotic (Y/N/WW)], "Watchful Waiting", April[Disease/Infection Type2], "Gastrointestinal Disease")+COUNTIFS(April[Patient Prescribed Antibiotic (Y/N/WW)], "Watchful Waiting", April[Disease/Infection Type3], "Gastrointestinal Disease")</f>
        <v>0</v>
      </c>
      <c r="V6" s="21">
        <f>COUNTIFS(April[Patient Prescribed Antibiotic (Y/N/WW)], "Watchful Waiting", April[Disease/Infection Type], "Upper Respiratory Tract Disease")+COUNTIFS(April[Patient Prescribed Antibiotic (Y/N/WW)], "Watchful Waiting", April[Disease/Infection Type2], "Upper Respiratory Tract Disease")+COUNTIFS(April[Patient Prescribed Antibiotic (Y/N/WW)], "Watchful Waiting", April[Disease/Infection Type3], "Upper Respiratory Tract Disease")</f>
        <v>0</v>
      </c>
    </row>
    <row r="7" spans="1:22">
      <c r="A7" s="21" t="s">
        <v>73</v>
      </c>
      <c r="B7" s="21">
        <f>'Total Patients'!C15</f>
        <v>10</v>
      </c>
      <c r="D7" s="21" t="s">
        <v>73</v>
      </c>
      <c r="E7" s="21">
        <f>COUNTIF(June[Patient Prescribed Antibiotic (Y/N/WW)], "Yes")</f>
        <v>0</v>
      </c>
      <c r="G7" s="21">
        <f>COUNTIF(June[Patient Prescribed Antibiotic (Y/N/WW)], "No")</f>
        <v>0</v>
      </c>
      <c r="I7" s="21">
        <f>COUNTIF(June[Patient Prescribed Antibiotic (Y/N/WW)], "Watchful Waiting")</f>
        <v>0</v>
      </c>
      <c r="L7" s="21" t="s">
        <v>243</v>
      </c>
      <c r="M7" s="21">
        <f>E14</f>
        <v>0</v>
      </c>
      <c r="T7" s="21" t="s">
        <v>72</v>
      </c>
      <c r="U7" s="21">
        <f>COUNTIFS(May[Patient Prescribed Antibiotic (Y/N/WW)], "Watchful Waiting", May[Disease/Infection Type], "Gastrointestinal Disease")+COUNTIFS(May[Patient Prescribed Antibiotic (Y/N/WW)], "Watchful Waiting", May[Disease/Infection Type2], "Gastrointestinal Disease")+COUNTIFS(May[Patient Prescribed Antibiotic (Y/N/WW)], "Watchful Waiting", May[Disease/Infection Type3], "Gastrointestinal Disease")</f>
        <v>0</v>
      </c>
      <c r="V7" s="21">
        <f>COUNTIFS(May[Patient Prescribed Antibiotic (Y/N/WW)], "Watchful Waiting", May[Disease/Infection Type], "Upper Respiratory Tract Disease")+COUNTIFS(May[Patient Prescribed Antibiotic (Y/N/WW)], "Watchful Waiting", May[Disease/Infection Type2], "Upper Respiratory Tract Disease")+COUNTIFS(May[Patient Prescribed Antibiotic (Y/N/WW)], "Watchful Waiting", May[Disease/Infection Type3], "Upper Respiratory Tract Disease")</f>
        <v>0</v>
      </c>
    </row>
    <row r="8" spans="1:22">
      <c r="A8" s="21" t="s">
        <v>74</v>
      </c>
      <c r="B8" s="21">
        <f>'Total Patients'!C16</f>
        <v>10</v>
      </c>
      <c r="D8" s="21" t="s">
        <v>74</v>
      </c>
      <c r="E8" s="21">
        <f>COUNTIF(July[Patient Prescribed Antibiotic (Y/N/WW)], "Yes")</f>
        <v>0</v>
      </c>
      <c r="G8" s="21">
        <f>COUNTIF(July[Patient Prescribed Antibiotic (Y/N/WW)], "No")</f>
        <v>0</v>
      </c>
      <c r="I8" s="21">
        <f>COUNTIF(July[Patient Prescribed Antibiotic (Y/N/WW)], "Watchful Waiting")</f>
        <v>0</v>
      </c>
      <c r="L8" s="21" t="s">
        <v>322</v>
      </c>
      <c r="M8" s="21">
        <f>B14</f>
        <v>120</v>
      </c>
      <c r="T8" s="21" t="s">
        <v>73</v>
      </c>
      <c r="U8" s="21">
        <f>COUNTIFS(June[Patient Prescribed Antibiotic (Y/N/WW)], "Watchful Waiting", June[Disease/Infection Type], "Gastrointestinal Disease")+COUNTIFS(June[Patient Prescribed Antibiotic (Y/N/WW)], "Watchful Waiting", June[Disease/Infection Type2], "Gastrointestinal Disease")+COUNTIFS(June[Patient Prescribed Antibiotic (Y/N/WW)], "Watchful Waiting", June[Disease/Infection Type3], "Gastrointestinal Disease")</f>
        <v>0</v>
      </c>
      <c r="V8" s="21">
        <f>COUNTIFS(June[Patient Prescribed Antibiotic (Y/N/WW)], "Watchful Waiting", June[Disease/Infection Type], "Upper Respiratory Tract Disease")+COUNTIFS(June[Patient Prescribed Antibiotic (Y/N/WW)], "Watchful Waiting", June[Disease/Infection Type2], "Upper Respiratory Tract Disease")+COUNTIFS(June[Patient Prescribed Antibiotic (Y/N/WW)], "Watchful Waiting", June[Disease/Infection Type3], "Upper Respiratory Tract Disease")</f>
        <v>0</v>
      </c>
    </row>
    <row r="9" spans="1:22">
      <c r="A9" s="21" t="s">
        <v>75</v>
      </c>
      <c r="B9" s="21">
        <f>'Total Patients'!C17</f>
        <v>10</v>
      </c>
      <c r="D9" s="21" t="s">
        <v>75</v>
      </c>
      <c r="E9" s="21">
        <f>COUNTIF(August[Patient Prescribed Antibiotic (Y/N/WW)], "Yes")</f>
        <v>0</v>
      </c>
      <c r="G9" s="21">
        <f>COUNTIF(August[Patient Prescribed Antibiotic (Y/N/WW)], "No")</f>
        <v>0</v>
      </c>
      <c r="I9" s="21">
        <f>COUNTIF(August[Patient Prescribed Antibiotic (Y/N/WW)], "Watchful Waiting")</f>
        <v>0</v>
      </c>
      <c r="M9" s="33">
        <f>(M7/M8)</f>
        <v>0</v>
      </c>
      <c r="T9" s="21" t="s">
        <v>74</v>
      </c>
      <c r="U9" s="21">
        <f>COUNTIFS(July[Patient Prescribed Antibiotic (Y/N/WW)], "Watchful Waiting", July[Disease/Infection Type], "Gastrointestinal Disease")+COUNTIFS(July[Patient Prescribed Antibiotic (Y/N/WW)], "Watchful Waiting", July[Disease/Infection Type2], "Gastrointestinal Disease")+COUNTIFS(July[Patient Prescribed Antibiotic (Y/N/WW)], "Watchful Waiting", July[Disease/Infection Type3], "Gastrointestinal Disease")</f>
        <v>0</v>
      </c>
      <c r="V9" s="21">
        <f>COUNTIFS(July[Patient Prescribed Antibiotic (Y/N/WW)], "Watchful Waiting", July[Disease/Infection Type], "Upper Respiratory Tract Disease")+COUNTIFS(July[Patient Prescribed Antibiotic (Y/N/WW)], "Watchful Waiting", July[Disease/Infection Type2], "Upper Respiratory Tract Disease")+COUNTIFS(July[Patient Prescribed Antibiotic (Y/N/WW)], "Watchful Waiting", July[Disease/Infection Type3], "Upper Respiratory Tract Disease")</f>
        <v>0</v>
      </c>
    </row>
    <row r="10" spans="1:22">
      <c r="A10" s="21" t="s">
        <v>76</v>
      </c>
      <c r="B10" s="21">
        <f>'Total Patients'!C18</f>
        <v>10</v>
      </c>
      <c r="D10" s="21" t="s">
        <v>76</v>
      </c>
      <c r="E10" s="21">
        <f>COUNTIF(September[Patient Prescribed Antibiotic (Y/N/WW)], "Yes")</f>
        <v>0</v>
      </c>
      <c r="G10" s="21">
        <f>COUNTIF(September[Patient Prescribed Antibiotic (Y/N/WW)], "No")</f>
        <v>0</v>
      </c>
      <c r="I10" s="21">
        <f>COUNTIF(September[Patient Prescribed Antibiotic (Y/N/WW)], "Watchful Waiting")</f>
        <v>0</v>
      </c>
      <c r="M10" s="34">
        <f>1-M9</f>
        <v>1</v>
      </c>
      <c r="T10" s="21" t="s">
        <v>75</v>
      </c>
      <c r="U10" s="21">
        <f>COUNTIFS(August[Patient Prescribed Antibiotic (Y/N/WW)], "Watchful Waiting", August[Disease/Infection Type], "Gastrointestinal Disease")+COUNTIFS(August[Patient Prescribed Antibiotic (Y/N/WW)], "Watchful Waiting", August[Disease/Infection Type2], "Gastrointestinal Disease")+COUNTIFS(August[Patient Prescribed Antibiotic (Y/N/WW)], "Watchful Waiting", August[Disease/Infection Type3], "Gastrointestinal Disease")</f>
        <v>0</v>
      </c>
      <c r="V10" s="21">
        <f>COUNTIFS(August[Patient Prescribed Antibiotic (Y/N/WW)], "Watchful Waiting", August[Disease/Infection Type], "Upper Respiratory Tract Disease")+COUNTIFS(August[Patient Prescribed Antibiotic (Y/N/WW)], "Watchful Waiting", August[Disease/Infection Type2], "Upper Respiratory Tract Disease")+COUNTIFS(August[Patient Prescribed Antibiotic (Y/N/WW)], "Watchful Waiting", August[Disease/Infection Type3], "Upper Respiratory Tract Disease")</f>
        <v>0</v>
      </c>
    </row>
    <row r="11" spans="1:22">
      <c r="A11" s="21" t="s">
        <v>77</v>
      </c>
      <c r="B11" s="21">
        <f>'Total Patients'!C19</f>
        <v>10</v>
      </c>
      <c r="D11" s="21" t="s">
        <v>77</v>
      </c>
      <c r="E11" s="21">
        <f>COUNTIF(October[Patient Prescribed Antibiotic (Y/N/WW)], "Yes")</f>
        <v>0</v>
      </c>
      <c r="G11" s="21">
        <f>COUNTIF(October[Patient Prescribed Antibiotic (Y/N/WW)], "No")</f>
        <v>0</v>
      </c>
      <c r="I11" s="21">
        <f>COUNTIF(October[Patient Prescribed Antibiotic (Y/N/WW)], "Watchful Waiting")</f>
        <v>0</v>
      </c>
      <c r="T11" s="21" t="s">
        <v>76</v>
      </c>
      <c r="U11" s="21">
        <f>COUNTIFS(September[Patient Prescribed Antibiotic (Y/N/WW)], "Watchful Waiting", September[Disease/Infection Type], "Gastrointestinal Disease")+COUNTIFS(September[Patient Prescribed Antibiotic (Y/N/WW)], "Watchful Waiting", September[Disease/Infection Type2], "Gastrointestinal Disease")+COUNTIFS(September[Patient Prescribed Antibiotic (Y/N/WW)], "Watchful Waiting", September[Disease/Infection Type3], "Gastrointestinal Disease")</f>
        <v>0</v>
      </c>
      <c r="V11" s="21">
        <f>COUNTIFS(September[Patient Prescribed Antibiotic (Y/N/WW)], "Watchful Waiting", September[Disease/Infection Type], "Upper Respiratory Tract Disease")+COUNTIFS(September[Patient Prescribed Antibiotic (Y/N/WW)], "Watchful Waiting", September[Disease/Infection Type2], "Upper Respiratory Tract Disease")+COUNTIFS(September[Patient Prescribed Antibiotic (Y/N/WW)], "Watchful Waiting", September[Disease/Infection Type3], "Upper Respiratory Tract Disease")</f>
        <v>0</v>
      </c>
    </row>
    <row r="12" spans="1:22">
      <c r="A12" s="21" t="s">
        <v>78</v>
      </c>
      <c r="B12" s="21">
        <f>'Total Patients'!C20</f>
        <v>10</v>
      </c>
      <c r="D12" s="21" t="s">
        <v>78</v>
      </c>
      <c r="E12" s="21">
        <f>COUNTIF(November[Patient Prescribed Antibiotic (Y/N/WW)], "Yes")</f>
        <v>0</v>
      </c>
      <c r="G12" s="21">
        <f>COUNTIF(November[Patient Prescribed Antibiotic (Y/N/WW)], "No")</f>
        <v>0</v>
      </c>
      <c r="I12" s="21">
        <f>COUNTIF(November[Patient Prescribed Antibiotic (Y/N/WW)], "Watchful Waiting")</f>
        <v>0</v>
      </c>
      <c r="T12" s="21" t="s">
        <v>77</v>
      </c>
      <c r="U12" s="21">
        <f>COUNTIFS(October[Patient Prescribed Antibiotic (Y/N/WW)], "Watchful Waiting", October[Disease/Infection Type], "Gastrointestinal Disease")+COUNTIFS(October[Patient Prescribed Antibiotic (Y/N/WW)], "Watchful Waiting", October[Disease/Infection Type2], "Gastrointestinal Disease")+COUNTIFS(October[Patient Prescribed Antibiotic (Y/N/WW)], "Watchful Waiting", October[Disease/Infection Type3], "Gastrointestinal Disease")</f>
        <v>0</v>
      </c>
      <c r="V12" s="21">
        <f>COUNTIFS(October[Patient Prescribed Antibiotic (Y/N/WW)], "Watchful Waiting", October[Disease/Infection Type], "Upper Respiratory Tract Disease")+COUNTIFS(October[Patient Prescribed Antibiotic (Y/N/WW)], "Watchful Waiting", October[Disease/Infection Type2], "Upper Respiratory Tract Disease")+COUNTIFS(October[Patient Prescribed Antibiotic (Y/N/WW)], "Watchful Waiting", October[Disease/Infection Type3], "Upper Respiratory Tract Disease")</f>
        <v>0</v>
      </c>
    </row>
    <row r="13" spans="1:22">
      <c r="A13" s="21" t="s">
        <v>241</v>
      </c>
      <c r="B13" s="21">
        <f>'Total Patients'!C21</f>
        <v>10</v>
      </c>
      <c r="D13" s="21" t="s">
        <v>79</v>
      </c>
      <c r="E13" s="21">
        <f>COUNTIF(December[Patient Prescribed Antibiotic (Y/N/WW)], "Yes")</f>
        <v>0</v>
      </c>
      <c r="G13" s="21">
        <f>COUNTIF(December[Patient Prescribed Antibiotic (Y/N/WW)], "No")</f>
        <v>0</v>
      </c>
      <c r="I13" s="21">
        <f>COUNTIF(December[Patient Prescribed Antibiotic (Y/N/WW)], "Watchful Waiting")</f>
        <v>0</v>
      </c>
      <c r="T13" s="21" t="s">
        <v>78</v>
      </c>
      <c r="U13" s="21">
        <f>COUNTIFS(November[Patient Prescribed Antibiotic (Y/N/WW)], "Watchful Waiting", November[Disease/Infection Type], "Gastrointestinal Disease")+COUNTIFS(November[Patient Prescribed Antibiotic (Y/N/WW)], "Watchful Waiting", November[Disease/Infection Type2], "Gastrointestinal Disease")+COUNTIFS(November[Patient Prescribed Antibiotic (Y/N/WW)], "Watchful Waiting", November[Disease/Infection Type3], "Gastrointestinal Disease")</f>
        <v>0</v>
      </c>
      <c r="V13" s="21">
        <f>COUNTIFS(November[Patient Prescribed Antibiotic (Y/N/WW)], "Watchful Waiting", November[Disease/Infection Type], "Upper Respiratory Tract Disease")+COUNTIFS(November[Patient Prescribed Antibiotic (Y/N/WW)], "Watchful Waiting", November[Disease/Infection Type2], "Upper Respiratory Tract Disease")+COUNTIFS(November[Patient Prescribed Antibiotic (Y/N/WW)], "Watchful Waiting", November[Disease/Infection Type3], "Upper Respiratory Tract Disease")</f>
        <v>0</v>
      </c>
    </row>
    <row r="14" spans="1:22">
      <c r="A14" s="21" t="s">
        <v>242</v>
      </c>
      <c r="B14" s="21">
        <f>SUM(B2:B13)</f>
        <v>120</v>
      </c>
      <c r="D14" s="21" t="s">
        <v>243</v>
      </c>
      <c r="E14" s="21">
        <f>SUM(E2:E13)</f>
        <v>0</v>
      </c>
      <c r="G14" s="21">
        <f>SUM(G2:G13)</f>
        <v>0</v>
      </c>
      <c r="I14" s="21">
        <f>SUM(I2:I13)</f>
        <v>0</v>
      </c>
      <c r="T14" s="21" t="s">
        <v>79</v>
      </c>
      <c r="U14" s="21">
        <f>COUNTIFS(December[Patient Prescribed Antibiotic (Y/N/WW)], "Watchful Waiting", December[Disease/Infection Type], "Gastrointestinal Disease")+COUNTIFS(December[Patient Prescribed Antibiotic (Y/N/WW)], "Watchful Waiting", December[Disease/Infection Type2], "Gastrointestinal Disease")+COUNTIFS(December[Patient Prescribed Antibiotic (Y/N/WW)], "Watchful Waiting", December[Disease/Infection Type3], "Gastrointestinal Disease")</f>
        <v>0</v>
      </c>
      <c r="V14" s="21">
        <f>COUNTIFS(December[Patient Prescribed Antibiotic (Y/N/WW)], "Watchful Waiting", December[Disease/Infection Type], "Upper Respiratory Tract Disease")+COUNTIFS(December[Patient Prescribed Antibiotic (Y/N/WW)], "Watchful Waiting", December[Disease/Infection Type2], "Upper Respiratory Tract Disease")+COUNTIFS(December[Patient Prescribed Antibiotic (Y/N/WW)], "Watchful Waiting", December[Disease/Infection Type3], "Upper Respiratory Tract Disease")</f>
        <v>0</v>
      </c>
    </row>
    <row r="15" spans="1:22">
      <c r="T15" s="21" t="s">
        <v>239</v>
      </c>
      <c r="U15" s="21">
        <f>SUM(U3:U14)</f>
        <v>0</v>
      </c>
      <c r="V15" s="21">
        <f>SUM(V3:V14)</f>
        <v>0</v>
      </c>
    </row>
    <row r="16" spans="1:22">
      <c r="U16" s="21" t="s">
        <v>102</v>
      </c>
      <c r="V16" s="21" t="s">
        <v>305</v>
      </c>
    </row>
    <row r="18" spans="1:16">
      <c r="A18" s="35" t="s">
        <v>258</v>
      </c>
      <c r="B18" s="21" t="s">
        <v>68</v>
      </c>
      <c r="C18" s="21" t="s">
        <v>69</v>
      </c>
      <c r="D18" s="21" t="s">
        <v>70</v>
      </c>
      <c r="E18" s="21" t="s">
        <v>71</v>
      </c>
      <c r="F18" s="21" t="s">
        <v>72</v>
      </c>
      <c r="G18" s="21" t="s">
        <v>73</v>
      </c>
      <c r="H18" s="21" t="s">
        <v>74</v>
      </c>
      <c r="I18" s="21" t="s">
        <v>75</v>
      </c>
      <c r="J18" s="21" t="s">
        <v>76</v>
      </c>
      <c r="K18" s="21" t="s">
        <v>77</v>
      </c>
      <c r="L18" s="21" t="s">
        <v>78</v>
      </c>
      <c r="M18" s="21" t="s">
        <v>79</v>
      </c>
      <c r="N18" s="21" t="s">
        <v>239</v>
      </c>
      <c r="O18" s="21" t="s">
        <v>261</v>
      </c>
      <c r="P18" s="21" t="s">
        <v>260</v>
      </c>
    </row>
    <row r="19" spans="1:16">
      <c r="A19" s="21" t="s">
        <v>90</v>
      </c>
      <c r="B19" s="21">
        <f>SUMIF(January[Disease/Infection Type], "Dental Disease",January[[Number of Antibiotics Prescribed for this Condition ]])+SUMIF(January[Disease/Infection Type2], "Dental Disease",January[Number of Antibiotics Prescribed for this Condition2])+SUMIF(January[Disease/Infection Type3], "Dental Disease",January[Number of Antibiotics Prescribed for this Condition3])</f>
        <v>0</v>
      </c>
      <c r="C19" s="21">
        <f>SUMIF(February[Disease/Infection Type], "Dental Disease",February[[Number of Antibiotics Prescribed for this Condition ]])+SUMIF(February[Disease/Infection Type2], "Dental Disease",February[Number of Antibiotics Prescribed for this Condition2])+SUMIF(February[Disease/Infection Type3], "Dental Disease",February[Number of Antibiotics Prescribed for this Condition3])</f>
        <v>0</v>
      </c>
      <c r="D19" s="21">
        <f>SUMIF(March[Disease/Infection Type], "Dental Disease",March[[Number of Antibiotics Prescribed for this Condition ]])+SUMIF(March[Disease/Infection Type2], "Dental Disease",March[Number of Antibiotics Prescribed for this Condition2])+SUMIF(March[Disease/Infection Type3], "Dental Disease",March[Number of Antibiotics Prescribed for this Condition3])</f>
        <v>0</v>
      </c>
      <c r="E19" s="21">
        <f>SUMIF(April[Disease/Infection Type], "Dental Disease",April[[Number of Antibiotics Prescribed for this Condition ]])+SUMIF(April[Disease/Infection Type2], "Dental Disease",April[Number of Antibiotics Prescribed for this Condition2])+SUMIF(April[Disease/Infection Type3], "Dental Disease",April[Number of Antibiotics Prescribed for this Condition3])</f>
        <v>0</v>
      </c>
      <c r="F19" s="21">
        <f>SUMIF(May[Disease/Infection Type], "Dental Disease",May[[Number of Antibiotics Prescribed for this Condition ]])+SUMIF(May[Disease/Infection Type2], "Dental Disease",May[Number of Antibiotics Prescribed for this Condition2])+SUMIF(May[Disease/Infection Type3], "Dental Disease",May[Number of Antibiotics Prescribed for this Condition3])</f>
        <v>0</v>
      </c>
      <c r="G19" s="21">
        <f>SUMIF(June[Disease/Infection Type], "Dental Disease",June[[Number of Antibiotics Prescribed for this Condition ]])+SUMIF(June[Disease/Infection Type2], "Dental Disease",June[Number of Antibiotics Prescribed for this Condition2])+SUMIF(June[Disease/Infection Type3], "Dental Disease",June[Number of Antibiotics Prescribed for this Condition3])</f>
        <v>0</v>
      </c>
      <c r="H19" s="21">
        <f>SUMIF(July[Disease/Infection Type], "Dental Disease",July[[Number of Antibiotics Prescribed for this Condition ]])+SUMIF(July[Disease/Infection Type2], "Dental Disease",July[Number of Antibiotics Prescribed for this Condition2])+SUMIF(July[Disease/Infection Type3], "Dental Disease",July[Number of Antibiotics Prescribed for this Condition3])</f>
        <v>0</v>
      </c>
      <c r="I19" s="21">
        <f>SUMIF(August[Disease/Infection Type], "Dental Disease",August[[Number of Antibiotics Prescribed for this Condition ]])+SUMIF(August[Disease/Infection Type2], "Dental Disease",August[Number of Antibiotics Prescribed for this Condition2])+SUMIF(August[Disease/Infection Type3], "Dental Disease",August[Number of Antibiotics Prescribed for this Condition3])</f>
        <v>0</v>
      </c>
      <c r="J19" s="21">
        <f>SUMIF(September[Disease/Infection Type], "Dental Disease",September[[Number of Antibiotics Prescribed for this Condition ]])+SUMIF(September[Disease/Infection Type2], "Dental Disease",September[Number of Antibiotics Prescribed for this Condition2])+SUMIF(September[Disease/Infection Type3], "Dental Disease",September[Number of Antibiotics Prescribed for this Condition3])</f>
        <v>0</v>
      </c>
      <c r="K19" s="21">
        <f>SUMIF(October[Disease/Infection Type], "Dental Disease",October[[Number of Antibiotics Prescribed for this Condition ]])+SUMIF(October[Disease/Infection Type2], "Dental Disease",October[Number of Antibiotics Prescribed for this Condition2])+SUMIF(October[Disease/Infection Type3], "Dental Disease",October[Number of Antibiotics Prescribed for this Condition3])</f>
        <v>0</v>
      </c>
      <c r="L19" s="21">
        <f>SUMIF(November[Disease/Infection Type], "Dental Disease",November[[Number of Antibiotics Prescribed for this Condition ]])+SUMIF(November[Disease/Infection Type2], "Dental Disease",November[Number of Antibiotics Prescribed for this Condition2])+SUMIF(November[Disease/Infection Type3], "Dental Disease",November[Number of Antibiotics Prescribed for this Condition3])</f>
        <v>0</v>
      </c>
      <c r="M19" s="21">
        <f>SUMIF(December[Disease/Infection Type], "Dental Disease",December[[Number of Antibiotics Prescribed for this Condition ]])+SUMIF(December[Disease/Infection Type2], "Dental Disease",December[Number of Antibiotics Prescribed for this Condition2])+SUMIF(December[Disease/Infection Type3], "Dental Disease",December[Number of Antibiotics Prescribed for this Condition3])</f>
        <v>0</v>
      </c>
      <c r="N19" s="21">
        <f>SUM(B19:M19)</f>
        <v>0</v>
      </c>
      <c r="O19" s="21" t="e">
        <f>(N19/N37)*100</f>
        <v>#DIV/0!</v>
      </c>
      <c r="P19" s="21" t="s">
        <v>323</v>
      </c>
    </row>
    <row r="20" spans="1:16">
      <c r="A20" s="21" t="s">
        <v>86</v>
      </c>
      <c r="B20" s="21">
        <f>SUMIF(January[Disease/Infection Type], "Dermatologic Disease",January[[Number of Antibiotics Prescribed for this Condition ]])+SUMIF(January[Disease/Infection Type2], "Dermatologic Disease",January[Number of Antibiotics Prescribed for this Condition2])+SUMIF(January[Disease/Infection Type3], "Dermatologic Disease",January[Number of Antibiotics Prescribed for this Condition3])</f>
        <v>0</v>
      </c>
      <c r="C20" s="21">
        <f>SUMIF(February[Disease/Infection Type], "Dermatologic Disease",February[[Number of Antibiotics Prescribed for this Condition ]])+SUMIF(February[Disease/Infection Type2], "Dermatologic Disease",February[Number of Antibiotics Prescribed for this Condition2])+SUMIF(February[Disease/Infection Type3], "Dermatologic Disease",February[Number of Antibiotics Prescribed for this Condition3])</f>
        <v>0</v>
      </c>
      <c r="D20" s="21">
        <f>SUMIF(March[Disease/Infection Type], "Dermatologic Disease",March[[Number of Antibiotics Prescribed for this Condition ]])+SUMIF(March[Disease/Infection Type2], "Dermatologic Disease",March[Number of Antibiotics Prescribed for this Condition2])+SUMIF(March[Disease/Infection Type3], "Dermatologic Disease",March[Number of Antibiotics Prescribed for this Condition3])</f>
        <v>0</v>
      </c>
      <c r="E20" s="21">
        <f>SUMIF(April[Disease/Infection Type], "Dermatologic Disease",April[[Number of Antibiotics Prescribed for this Condition ]])+SUMIF(April[Disease/Infection Type2], "Dermatologic Disease",April[Number of Antibiotics Prescribed for this Condition2])+SUMIF(April[Disease/Infection Type3], "Dermatologic Disease",April[Number of Antibiotics Prescribed for this Condition3])</f>
        <v>0</v>
      </c>
      <c r="F20" s="21">
        <f>SUMIF(May[Disease/Infection Type], "Dermatologic Disease",May[[Number of Antibiotics Prescribed for this Condition ]])+SUMIF(May[Disease/Infection Type2], "Dermatologic Disease",May[Number of Antibiotics Prescribed for this Condition2])+SUMIF(May[Disease/Infection Type3], "Dermatologic Disease",May[Number of Antibiotics Prescribed for this Condition3])</f>
        <v>0</v>
      </c>
      <c r="G20" s="21">
        <f>SUMIF(June[Disease/Infection Type], "Dermatologic Disease",June[[Number of Antibiotics Prescribed for this Condition ]])+SUMIF(June[Disease/Infection Type2], "Dermatologic Disease",June[Number of Antibiotics Prescribed for this Condition2])+SUMIF(June[Disease/Infection Type3], "Dermatologic Disease",June[Number of Antibiotics Prescribed for this Condition3])</f>
        <v>0</v>
      </c>
      <c r="H20" s="21">
        <f>SUMIF(July[Disease/Infection Type], "Dermatologic Disease",July[[Number of Antibiotics Prescribed for this Condition ]])+SUMIF(July[Disease/Infection Type2], "Dermatologic Disease",July[Number of Antibiotics Prescribed for this Condition2])+SUMIF(July[Disease/Infection Type3], "Dermatologic Disease",July[Number of Antibiotics Prescribed for this Condition3])</f>
        <v>0</v>
      </c>
      <c r="I20" s="21">
        <f>SUMIF(August[Disease/Infection Type], "Dermatologic Disease",August[[Number of Antibiotics Prescribed for this Condition ]])+SUMIF(August[Disease/Infection Type2], "Dermatologic Disease",August[Number of Antibiotics Prescribed for this Condition2])+SUMIF(August[Disease/Infection Type3], "Dermatologic Disease",August[Number of Antibiotics Prescribed for this Condition3])</f>
        <v>0</v>
      </c>
      <c r="J20" s="21">
        <f>SUMIF(September[Disease/Infection Type], "Dermatologic Disease",September[[Number of Antibiotics Prescribed for this Condition ]])+SUMIF(September[Disease/Infection Type2], "Dermatologic Disease",September[Number of Antibiotics Prescribed for this Condition2])+SUMIF(September[Disease/Infection Type3], "Dermatologic Disease",September[Number of Antibiotics Prescribed for this Condition3])</f>
        <v>0</v>
      </c>
      <c r="K20" s="21">
        <f>SUMIF(October[Disease/Infection Type], "Dermatologic Disease",October[[Number of Antibiotics Prescribed for this Condition ]])+SUMIF(October[Disease/Infection Type2], "Dermatologic Disease",October[Number of Antibiotics Prescribed for this Condition2])+SUMIF(October[Disease/Infection Type3], "Dermatologic Disease",October[Number of Antibiotics Prescribed for this Condition3])</f>
        <v>0</v>
      </c>
      <c r="L20" s="21">
        <f>SUMIF(November[Disease/Infection Type], "Dermatologic Disease",November[[Number of Antibiotics Prescribed for this Condition ]])+SUMIF(November[Disease/Infection Type2], "Dermatologic Disease",November[Number of Antibiotics Prescribed for this Condition2])+SUMIF(November[Disease/Infection Type3], "Dermatologic Disease",November[Number of Antibiotics Prescribed for this Condition3])</f>
        <v>0</v>
      </c>
      <c r="M20" s="21">
        <f>SUMIF(December[Disease/Infection Type], "Dermatologic Disease",December[[Number of Antibiotics Prescribed for this Condition ]])+SUMIF(December[Disease/Infection Type2], "Dermatologic Disease",December[Number of Antibiotics Prescribed for this Condition2])+SUMIF(December[Disease/Infection Type3], "Dermatologic Disease",December[Number of Antibiotics Prescribed for this Condition3])</f>
        <v>0</v>
      </c>
      <c r="N20" s="21">
        <f t="shared" ref="N20:N36" si="0">SUM(B20:M20)</f>
        <v>0</v>
      </c>
      <c r="O20" s="21" t="e">
        <f>(N20/N37)*100</f>
        <v>#DIV/0!</v>
      </c>
      <c r="P20" s="21" t="s">
        <v>324</v>
      </c>
    </row>
    <row r="21" spans="1:16">
      <c r="A21" s="21" t="s">
        <v>102</v>
      </c>
      <c r="B21" s="21">
        <f>SUMIF(January[Disease/Infection Type], "Gastrointestinal Disease",January[[Number of Antibiotics Prescribed for this Condition ]])+SUMIF(January[Disease/Infection Type2], "Gastrointestinal Disease",January[Number of Antibiotics Prescribed for this Condition2])+SUMIF(January[Disease/Infection Type3], "Gastrointestinal Disease",January[Number of Antibiotics Prescribed for this Condition3])</f>
        <v>0</v>
      </c>
      <c r="C21" s="21">
        <f>SUMIF(February[Disease/Infection Type], "Gastrointestinal Disease",February[[Number of Antibiotics Prescribed for this Condition ]])+SUMIF(February[Disease/Infection Type2], "Gastrointestinal Disease",February[Number of Antibiotics Prescribed for this Condition2])+SUMIF(February[Disease/Infection Type3], "Gastrointestinal Disease",February[Number of Antibiotics Prescribed for this Condition3])</f>
        <v>0</v>
      </c>
      <c r="D21" s="21">
        <f>SUMIF(March[Disease/Infection Type], "Gastrointestinal Disease",March[[Number of Antibiotics Prescribed for this Condition ]])+SUMIF(March[Disease/Infection Type2], "Gastrointestinal Disease",March[Number of Antibiotics Prescribed for this Condition2])+SUMIF(March[Disease/Infection Type3], "Gastrointestinal Disease",March[Number of Antibiotics Prescribed for this Condition3])</f>
        <v>0</v>
      </c>
      <c r="E21" s="21">
        <f>SUMIF(April[Disease/Infection Type], "Gastrointestinal Disease",April[[Number of Antibiotics Prescribed for this Condition ]])+SUMIF(April[Disease/Infection Type2], "Gastrointestinal Disease",April[Number of Antibiotics Prescribed for this Condition2])+SUMIF(April[Disease/Infection Type3], "Gastrointestinal Disease",April[Number of Antibiotics Prescribed for this Condition3])</f>
        <v>0</v>
      </c>
      <c r="F21" s="21">
        <f>SUMIF(May[Disease/Infection Type], "Gastrointestinal Disease",May[[Number of Antibiotics Prescribed for this Condition ]])+SUMIF(May[Disease/Infection Type2], "Gastrointestinal Disease",May[Number of Antibiotics Prescribed for this Condition2])+SUMIF(May[Disease/Infection Type3], "Gastrointestinal Disease",May[Number of Antibiotics Prescribed for this Condition3])</f>
        <v>0</v>
      </c>
      <c r="G21" s="21">
        <f>SUMIF(June[Disease/Infection Type], "Gastrointestinal Disease",June[[Number of Antibiotics Prescribed for this Condition ]])+SUMIF(June[Disease/Infection Type2], "Gastrointestinal Disease",June[Number of Antibiotics Prescribed for this Condition2])+SUMIF(June[Disease/Infection Type3], "Gastrointestinal Disease",June[Number of Antibiotics Prescribed for this Condition3])</f>
        <v>0</v>
      </c>
      <c r="H21" s="21">
        <f>SUMIF(July[Disease/Infection Type], "Gastrointestinal Disease",July[[Number of Antibiotics Prescribed for this Condition ]])+SUMIF(July[Disease/Infection Type2], "Gastrointestinal Disease",July[Number of Antibiotics Prescribed for this Condition2])+SUMIF(July[Disease/Infection Type3], "Gastrointestinal Disease",July[Number of Antibiotics Prescribed for this Condition3])</f>
        <v>0</v>
      </c>
      <c r="I21" s="21">
        <f>SUMIF(August[Disease/Infection Type], "Gastrointestinal Disease",August[[Number of Antibiotics Prescribed for this Condition ]])+SUMIF(August[Disease/Infection Type2], "Gastrointestinal Disease",August[Number of Antibiotics Prescribed for this Condition2])+SUMIF(August[Disease/Infection Type3], "Gastrointestinal Disease",August[Number of Antibiotics Prescribed for this Condition3])</f>
        <v>0</v>
      </c>
      <c r="J21" s="21">
        <f>SUMIF(September[Disease/Infection Type], "Gastrointestinal Disease",September[[Number of Antibiotics Prescribed for this Condition ]])+SUMIF(September[Disease/Infection Type2], "Gastrointestinal Disease",September[Number of Antibiotics Prescribed for this Condition2])+SUMIF(September[Disease/Infection Type3], "Gastrointestinal Disease",September[Number of Antibiotics Prescribed for this Condition3])</f>
        <v>0</v>
      </c>
      <c r="K21" s="21">
        <f>SUMIF(October[Disease/Infection Type], "Gastrointestinal Disease",October[[Number of Antibiotics Prescribed for this Condition ]])+SUMIF(October[Disease/Infection Type2], "Gastrointestinal Disease",October[Number of Antibiotics Prescribed for this Condition2])+SUMIF(October[Disease/Infection Type3], "Gastrointestinal Disease",October[Number of Antibiotics Prescribed for this Condition3])</f>
        <v>0</v>
      </c>
      <c r="L21" s="21">
        <f>SUMIF(November[Disease/Infection Type], "Gastrointestinal Disease",November[[Number of Antibiotics Prescribed for this Condition ]])+SUMIF(November[Disease/Infection Type2], "Gastrointestinal Disease",November[Number of Antibiotics Prescribed for this Condition2])+SUMIF(November[Disease/Infection Type3], "Gastrointestinal Disease",November[Number of Antibiotics Prescribed for this Condition3])</f>
        <v>0</v>
      </c>
      <c r="M21" s="21">
        <f>SUMIF(December[Disease/Infection Type], "Gastrointestinal Disease",December[[Number of Antibiotics Prescribed for this Condition ]])+SUMIF(December[Disease/Infection Type2], "Gastrointestinal Disease",December[Number of Antibiotics Prescribed for this Condition2])+SUMIF(December[Disease/Infection Type3], "Gastrointestinal Disease",December[Number of Antibiotics Prescribed for this Condition3])</f>
        <v>0</v>
      </c>
      <c r="N21" s="21">
        <f t="shared" si="0"/>
        <v>0</v>
      </c>
      <c r="O21" s="21" t="e">
        <f>(N21/N37)*100</f>
        <v>#DIV/0!</v>
      </c>
      <c r="P21" s="21" t="s">
        <v>325</v>
      </c>
    </row>
    <row r="22" spans="1:16">
      <c r="A22" s="21" t="s">
        <v>272</v>
      </c>
      <c r="B22" s="21">
        <f>SUMIF(January[Disease/Infection Type], "Hepatic Disease",January[[Number of Antibiotics Prescribed for this Condition ]])+SUMIF(January[Disease/Infection Type2], "Hepatic Disease",January[Number of Antibiotics Prescribed for this Condition2])+SUMIF(January[Disease/Infection Type3], "Hepatic Disease",January[Number of Antibiotics Prescribed for this Condition3])</f>
        <v>0</v>
      </c>
      <c r="C22" s="21">
        <f>SUMIF(February[Disease/Infection Type], "Hepatic Disease",February[[Number of Antibiotics Prescribed for this Condition ]])+SUMIF(February[Disease/Infection Type2], "Hepatic Disease",February[Number of Antibiotics Prescribed for this Condition2])+SUMIF(February[Disease/Infection Type3], "Hepatic Disease",February[Number of Antibiotics Prescribed for this Condition3])</f>
        <v>0</v>
      </c>
      <c r="D22" s="21">
        <f>SUMIF(March[Disease/Infection Type], "Hepatic Disease",March[[Number of Antibiotics Prescribed for this Condition ]])+SUMIF(March[Disease/Infection Type2], "Hepatic Disease",March[Number of Antibiotics Prescribed for this Condition2])+SUMIF(March[Disease/Infection Type3], "Hepatic Disease",March[Number of Antibiotics Prescribed for this Condition3])</f>
        <v>0</v>
      </c>
      <c r="E22" s="21">
        <f>SUMIF(April[Disease/Infection Type], "Hepatic Disease",April[[Number of Antibiotics Prescribed for this Condition ]])+SUMIF(April[Disease/Infection Type2], "Hepatic Disease",April[Number of Antibiotics Prescribed for this Condition2])+SUMIF(April[Disease/Infection Type3], "Hepatic Disease",April[Number of Antibiotics Prescribed for this Condition3])</f>
        <v>0</v>
      </c>
      <c r="F22" s="21">
        <f>SUMIF(May[Disease/Infection Type], "Hepatic Disease",May[[Number of Antibiotics Prescribed for this Condition ]])+SUMIF(May[Disease/Infection Type2], "Hepatic Disease",May[Number of Antibiotics Prescribed for this Condition2])+SUMIF(May[Disease/Infection Type3], "Hepatic Disease",May[Number of Antibiotics Prescribed for this Condition3])</f>
        <v>0</v>
      </c>
      <c r="G22" s="21">
        <f>SUMIF(June[Disease/Infection Type], "Hepatic Disease",June[[Number of Antibiotics Prescribed for this Condition ]])+SUMIF(June[Disease/Infection Type2], "Hepatic Disease",June[Number of Antibiotics Prescribed for this Condition2])+SUMIF(June[Disease/Infection Type3], "Hepatic Disease",June[Number of Antibiotics Prescribed for this Condition3])</f>
        <v>0</v>
      </c>
      <c r="H22" s="21">
        <f>SUMIF(July[Disease/Infection Type], "Hepatic Disease",July[[Number of Antibiotics Prescribed for this Condition ]])+SUMIF(July[Disease/Infection Type2], "Hepatic Disease",July[Number of Antibiotics Prescribed for this Condition2])+SUMIF(July[Disease/Infection Type3], "Hepatic Disease",July[Number of Antibiotics Prescribed for this Condition3])</f>
        <v>0</v>
      </c>
      <c r="I22" s="21">
        <f>SUMIF(August[Disease/Infection Type], "Hepatic Disease",August[[Number of Antibiotics Prescribed for this Condition ]])+SUMIF(August[Disease/Infection Type2], "Hepatic Disease",August[Number of Antibiotics Prescribed for this Condition2])+SUMIF(August[Disease/Infection Type3], "Hepatic Disease",August[Number of Antibiotics Prescribed for this Condition3])</f>
        <v>0</v>
      </c>
      <c r="J22" s="21">
        <f>SUMIF(September[Disease/Infection Type], "Hepatic Disease",September[[Number of Antibiotics Prescribed for this Condition ]])+SUMIF(September[Disease/Infection Type2], "Hepatic Disease",September[Number of Antibiotics Prescribed for this Condition2])+SUMIF(September[Disease/Infection Type3], "Hepatic Disease",September[Number of Antibiotics Prescribed for this Condition3])</f>
        <v>0</v>
      </c>
      <c r="K22" s="21">
        <f>SUMIF(October[Disease/Infection Type], "Hepatic Disease",October[[Number of Antibiotics Prescribed for this Condition ]])+SUMIF(October[Disease/Infection Type2], "Hepatic Disease",October[Number of Antibiotics Prescribed for this Condition2])+SUMIF(October[Disease/Infection Type3], "Hepatic Disease",October[Number of Antibiotics Prescribed for this Condition3])</f>
        <v>0</v>
      </c>
      <c r="L22" s="21">
        <f>SUMIF(November[Disease/Infection Type], "Hepatic Disease",November[[Number of Antibiotics Prescribed for this Condition ]])+SUMIF(November[Disease/Infection Type2], "Hepatic Disease",November[Number of Antibiotics Prescribed for this Condition2])+SUMIF(November[Disease/Infection Type3], "Hepatic Disease",November[Number of Antibiotics Prescribed for this Condition3])</f>
        <v>0</v>
      </c>
      <c r="M22" s="21">
        <f>SUMIF(December[Disease/Infection Type], "Hepatic Disease",December[[Number of Antibiotics Prescribed for this Condition ]])+SUMIF(December[Disease/Infection Type2], "Hepatic Disease",December[Number of Antibiotics Prescribed for this Condition2])+SUMIF(December[Disease/Infection Type3], "Hepatic Disease",December[Number of Antibiotics Prescribed for this Condition3])</f>
        <v>0</v>
      </c>
      <c r="N22" s="21">
        <f>SUM(B22:M22)</f>
        <v>0</v>
      </c>
      <c r="O22" s="21" t="e">
        <f>(N22/N37)*100</f>
        <v>#DIV/0!</v>
      </c>
      <c r="P22" s="21" t="s">
        <v>326</v>
      </c>
    </row>
    <row r="23" spans="1:16">
      <c r="A23" s="21" t="s">
        <v>249</v>
      </c>
      <c r="B23" s="21">
        <f>SUMIF(January[Disease/Infection Type], "Leptospirosis",January[[Number of Antibiotics Prescribed for this Condition ]])+SUMIF(January[Disease/Infection Type2], "Leptospirosis",January[Number of Antibiotics Prescribed for this Condition2])+SUMIF(January[Disease/Infection Type3], "Leptospirosis",January[Number of Antibiotics Prescribed for this Condition3])</f>
        <v>0</v>
      </c>
      <c r="C23" s="21">
        <f>SUMIF(February[Disease/Infection Type], "Leptospirosis",February[[Number of Antibiotics Prescribed for this Condition ]])+SUMIF(February[Disease/Infection Type2], "Leptospirosis",February[Number of Antibiotics Prescribed for this Condition2])+SUMIF(February[Disease/Infection Type3], "Leptospirosis",February[Number of Antibiotics Prescribed for this Condition3])</f>
        <v>0</v>
      </c>
      <c r="D23" s="21">
        <f>SUMIF(March[Disease/Infection Type], "Leptospirosis",March[[Number of Antibiotics Prescribed for this Condition ]])+SUMIF(March[Disease/Infection Type2], "Leptospirosis",March[Number of Antibiotics Prescribed for this Condition2])+SUMIF(March[Disease/Infection Type3], "Leptospirosis",March[Number of Antibiotics Prescribed for this Condition3])</f>
        <v>0</v>
      </c>
      <c r="E23" s="21">
        <f>SUMIF(April[Disease/Infection Type], "Leptospirosis",April[[Number of Antibiotics Prescribed for this Condition ]])+SUMIF(April[Disease/Infection Type2], "Leptospirosis",April[Number of Antibiotics Prescribed for this Condition2])+SUMIF(April[Disease/Infection Type3], "Leptospirosis",April[Number of Antibiotics Prescribed for this Condition3])</f>
        <v>0</v>
      </c>
      <c r="F23" s="21">
        <f>SUMIF(May[Disease/Infection Type], "Leptospirosis",May[[Number of Antibiotics Prescribed for this Condition ]])+SUMIF(May[Disease/Infection Type2], "Leptospirosis",May[Number of Antibiotics Prescribed for this Condition2])+SUMIF(May[Disease/Infection Type3], "Leptospirosis",May[Number of Antibiotics Prescribed for this Condition3])</f>
        <v>0</v>
      </c>
      <c r="G23" s="21">
        <f>SUMIF(June[Disease/Infection Type], "Leptospirosis",June[[Number of Antibiotics Prescribed for this Condition ]])+SUMIF(June[Disease/Infection Type2], "Leptospirosis",June[Number of Antibiotics Prescribed for this Condition2])+SUMIF(June[Disease/Infection Type3], "Leptospirosis",June[Number of Antibiotics Prescribed for this Condition3])</f>
        <v>0</v>
      </c>
      <c r="H23" s="21">
        <f>SUMIF(July[Disease/Infection Type], "Leptospirosis",July[[Number of Antibiotics Prescribed for this Condition ]])+SUMIF(July[Disease/Infection Type2], "Leptospirosis",July[Number of Antibiotics Prescribed for this Condition2])+SUMIF(July[Disease/Infection Type3], "Leptospirosis",July[Number of Antibiotics Prescribed for this Condition3])</f>
        <v>0</v>
      </c>
      <c r="I23" s="21">
        <f>SUMIF(August[Disease/Infection Type], "Leptospirosis",August[[Number of Antibiotics Prescribed for this Condition ]])+SUMIF(August[Disease/Infection Type2], "Leptospirosis",August[Number of Antibiotics Prescribed for this Condition2])+SUMIF(August[Disease/Infection Type3], "Leptospirosis",August[Number of Antibiotics Prescribed for this Condition3])</f>
        <v>0</v>
      </c>
      <c r="J23" s="21">
        <f>SUMIF(September[Disease/Infection Type], "Leptospirosis",September[[Number of Antibiotics Prescribed for this Condition ]])+SUMIF(September[Disease/Infection Type2], "Leptospirosis",September[Number of Antibiotics Prescribed for this Condition2])+SUMIF(September[Disease/Infection Type3], "Leptospirosis",September[Number of Antibiotics Prescribed for this Condition3])</f>
        <v>0</v>
      </c>
      <c r="K23" s="21">
        <f>SUMIF(October[Disease/Infection Type], "Leptospirosis",October[[Number of Antibiotics Prescribed for this Condition ]])+SUMIF(October[Disease/Infection Type2], "Leptospirosis",October[Number of Antibiotics Prescribed for this Condition2])+SUMIF(October[Disease/Infection Type3], "Leptospirosis",October[Number of Antibiotics Prescribed for this Condition3])</f>
        <v>0</v>
      </c>
      <c r="L23" s="21">
        <f>SUMIF(November[Disease/Infection Type], "Leptospirosis",November[[Number of Antibiotics Prescribed for this Condition ]])+SUMIF(November[Disease/Infection Type2], "Leptospirosis",November[Number of Antibiotics Prescribed for this Condition2])+SUMIF(November[Disease/Infection Type3], "Leptospirosis",November[Number of Antibiotics Prescribed for this Condition3])</f>
        <v>0</v>
      </c>
      <c r="M23" s="21">
        <f>SUMIF(December[Disease/Infection Type], "Leptospirosis",December[[Number of Antibiotics Prescribed for this Condition ]])+SUMIF(December[Disease/Infection Type2], "Leptospirosis",December[Number of Antibiotics Prescribed for this Condition2])+SUMIF(December[Disease/Infection Type3], "Leptospirosis",December[Number of Antibiotics Prescribed for this Condition3])</f>
        <v>0</v>
      </c>
      <c r="N23" s="21">
        <f t="shared" ref="N23" si="1">SUM(B23:M23)</f>
        <v>0</v>
      </c>
      <c r="O23" s="21" t="e">
        <f>(N23/N37)*100</f>
        <v>#DIV/0!</v>
      </c>
      <c r="P23" s="21" t="s">
        <v>249</v>
      </c>
    </row>
    <row r="24" spans="1:16">
      <c r="A24" s="21" t="s">
        <v>250</v>
      </c>
      <c r="B24" s="21">
        <f>SUMIF(January[Disease/Infection Type], "Neurological Disease",January[[Number of Antibiotics Prescribed for this Condition ]])+SUMIF(January[Disease/Infection Type2], "Neurological Disease",January[Number of Antibiotics Prescribed for this Condition2])+SUMIF(January[Disease/Infection Type3], "Neurological Disease",January[Number of Antibiotics Prescribed for this Condition3])</f>
        <v>0</v>
      </c>
      <c r="C24" s="21">
        <f>SUMIF(February[Disease/Infection Type], "Neurological Disease",February[[Number of Antibiotics Prescribed for this Condition ]])+SUMIF(February[Disease/Infection Type2], "Neurological Disease",February[Number of Antibiotics Prescribed for this Condition2])+SUMIF(February[Disease/Infection Type3], "Neurological Disease",February[Number of Antibiotics Prescribed for this Condition3])</f>
        <v>0</v>
      </c>
      <c r="D24" s="21">
        <f>SUMIF(March[Disease/Infection Type], "Neurological Disease",March[[Number of Antibiotics Prescribed for this Condition ]])+SUMIF(March[Disease/Infection Type2], "Neurological Disease",March[Number of Antibiotics Prescribed for this Condition2])+SUMIF(March[Disease/Infection Type3], "Neurological Disease",March[Number of Antibiotics Prescribed for this Condition3])</f>
        <v>0</v>
      </c>
      <c r="E24" s="21">
        <f>SUMIF(April[Disease/Infection Type], "Neurological Disease",April[[Number of Antibiotics Prescribed for this Condition ]])+SUMIF(April[Disease/Infection Type2], "Neurological Disease",April[Number of Antibiotics Prescribed for this Condition2])+SUMIF(April[Disease/Infection Type3], "Neurological Disease",April[Number of Antibiotics Prescribed for this Condition3])</f>
        <v>0</v>
      </c>
      <c r="F24" s="21">
        <f>SUMIF(May[Disease/Infection Type], "Neurological Disease",May[[Number of Antibiotics Prescribed for this Condition ]])+SUMIF(May[Disease/Infection Type2], "Neurological Disease",May[Number of Antibiotics Prescribed for this Condition2])+SUMIF(May[Disease/Infection Type3], "Neurological Disease",May[Number of Antibiotics Prescribed for this Condition3])</f>
        <v>0</v>
      </c>
      <c r="G24" s="21">
        <f>SUMIF(June[Disease/Infection Type], "Neurological Disease",June[[Number of Antibiotics Prescribed for this Condition ]])+SUMIF(June[Disease/Infection Type2], "Neurological Disease",June[Number of Antibiotics Prescribed for this Condition2])+SUMIF(June[Disease/Infection Type3], "Neurological Disease",June[Number of Antibiotics Prescribed for this Condition3])</f>
        <v>0</v>
      </c>
      <c r="H24" s="21">
        <f>SUMIF(July[Disease/Infection Type], "Neurological Disease",July[[Number of Antibiotics Prescribed for this Condition ]])+SUMIF(July[Disease/Infection Type2], "Neurological Disease",July[Number of Antibiotics Prescribed for this Condition2])+SUMIF(July[Disease/Infection Type3], "Neurological Disease",July[Number of Antibiotics Prescribed for this Condition3])</f>
        <v>0</v>
      </c>
      <c r="I24" s="21">
        <f>SUMIF(August[Disease/Infection Type], "Neurological Disease",August[[Number of Antibiotics Prescribed for this Condition ]])+SUMIF(August[Disease/Infection Type2], "Neurological Disease",August[Number of Antibiotics Prescribed for this Condition2])+SUMIF(August[Disease/Infection Type3], "Neurological Disease",August[Number of Antibiotics Prescribed for this Condition3])</f>
        <v>0</v>
      </c>
      <c r="J24" s="21">
        <f>SUMIF(September[Disease/Infection Type], "Neurological Disease",September[[Number of Antibiotics Prescribed for this Condition ]])+SUMIF(September[Disease/Infection Type2], "Neurological Disease",September[Number of Antibiotics Prescribed for this Condition2])+SUMIF(September[Disease/Infection Type3], "Neurological Disease",September[Number of Antibiotics Prescribed for this Condition3])</f>
        <v>0</v>
      </c>
      <c r="K24" s="21">
        <f>SUMIF(October[Disease/Infection Type], "Neurological Disease",October[[Number of Antibiotics Prescribed for this Condition ]])+SUMIF(October[Disease/Infection Type2], "Neurological Disease",October[Number of Antibiotics Prescribed for this Condition2])+SUMIF(October[Disease/Infection Type3], "Neurological Disease",October[Number of Antibiotics Prescribed for this Condition3])</f>
        <v>0</v>
      </c>
      <c r="L24" s="21">
        <f>SUMIF(November[Disease/Infection Type], "Neurological Disease",November[[Number of Antibiotics Prescribed for this Condition ]])+SUMIF(November[Disease/Infection Type2], "Neurological Disease",November[Number of Antibiotics Prescribed for this Condition2])+SUMIF(November[Disease/Infection Type3], "Neurological Disease",November[Number of Antibiotics Prescribed for this Condition3])</f>
        <v>0</v>
      </c>
      <c r="M24" s="21">
        <f>SUMIF(December[Disease/Infection Type], "Neurological Disease",December[[Number of Antibiotics Prescribed for this Condition ]])+SUMIF(December[Disease/Infection Type2], "Neurological Disease",December[Number of Antibiotics Prescribed for this Condition2])+SUMIF(December[Disease/Infection Type3], "Neurological Disease",December[Number of Antibiotics Prescribed for this Condition3])</f>
        <v>0</v>
      </c>
      <c r="N24" s="21">
        <f t="shared" si="0"/>
        <v>0</v>
      </c>
      <c r="O24" s="21" t="e">
        <f>(N24/N37)*100</f>
        <v>#DIV/0!</v>
      </c>
      <c r="P24" s="21" t="s">
        <v>327</v>
      </c>
    </row>
    <row r="25" spans="1:16">
      <c r="A25" s="21" t="s">
        <v>251</v>
      </c>
      <c r="B25" s="21">
        <f>SUMIF(January[Disease/Infection Type], "Ocular Disease",January[[Number of Antibiotics Prescribed for this Condition ]])+SUMIF(January[Disease/Infection Type2], "Ocular Disease",January[Number of Antibiotics Prescribed for this Condition2])+SUMIF(January[Disease/Infection Type3], "Ocular Disease",January[Number of Antibiotics Prescribed for this Condition3])</f>
        <v>0</v>
      </c>
      <c r="C25" s="21">
        <f>SUMIF(February[Disease/Infection Type], "Ocular Disease",February[[Number of Antibiotics Prescribed for this Condition ]])+SUMIF(February[Disease/Infection Type2], "Ocular Disease",February[Number of Antibiotics Prescribed for this Condition2])+SUMIF(February[Disease/Infection Type3], "Ocular Disease",February[Number of Antibiotics Prescribed for this Condition3])</f>
        <v>0</v>
      </c>
      <c r="D25" s="21">
        <f>SUMIF(March[Disease/Infection Type], "Ocular Disease",March[[Number of Antibiotics Prescribed for this Condition ]])+SUMIF(March[Disease/Infection Type2], "Ocular Disease",March[Number of Antibiotics Prescribed for this Condition2])+SUMIF(March[Disease/Infection Type3], "Ocular Disease",March[Number of Antibiotics Prescribed for this Condition3])</f>
        <v>0</v>
      </c>
      <c r="E25" s="21">
        <f>SUMIF(April[Disease/Infection Type], "Ocular Disease",April[[Number of Antibiotics Prescribed for this Condition ]])+SUMIF(April[Disease/Infection Type2], "Ocular Disease",April[Number of Antibiotics Prescribed for this Condition2])+SUMIF(April[Disease/Infection Type3], "Ocular Disease",April[Number of Antibiotics Prescribed for this Condition3])</f>
        <v>0</v>
      </c>
      <c r="F25" s="21">
        <f>SUMIF(May[Disease/Infection Type], "Ocular Disease",May[[Number of Antibiotics Prescribed for this Condition ]])+SUMIF(May[Disease/Infection Type2], "Ocular Disease",May[Number of Antibiotics Prescribed for this Condition2])+SUMIF(May[Disease/Infection Type3], "Ocular Disease",May[Number of Antibiotics Prescribed for this Condition3])</f>
        <v>0</v>
      </c>
      <c r="G25" s="21">
        <f>SUMIF(June[Disease/Infection Type], "Ocular Disease",June[[Number of Antibiotics Prescribed for this Condition ]])+SUMIF(June[Disease/Infection Type2], "Ocular Disease",June[Number of Antibiotics Prescribed for this Condition2])+SUMIF(June[Disease/Infection Type3], "Ocular Disease",June[Number of Antibiotics Prescribed for this Condition3])</f>
        <v>0</v>
      </c>
      <c r="H25" s="21">
        <f>SUMIF(July[Disease/Infection Type], "Ocular Disease",July[[Number of Antibiotics Prescribed for this Condition ]])+SUMIF(July[Disease/Infection Type2], "Ocular Disease",July[Number of Antibiotics Prescribed for this Condition2])+SUMIF(July[Disease/Infection Type3], "Ocular Disease",July[Number of Antibiotics Prescribed for this Condition3])</f>
        <v>0</v>
      </c>
      <c r="I25" s="21">
        <f>SUMIF(August[Disease/Infection Type], "Ocular Disease",August[[Number of Antibiotics Prescribed for this Condition ]])+SUMIF(August[Disease/Infection Type2], "Ocular Disease",August[Number of Antibiotics Prescribed for this Condition2])+SUMIF(August[Disease/Infection Type3], "Ocular Disease",August[Number of Antibiotics Prescribed for this Condition3])</f>
        <v>0</v>
      </c>
      <c r="J25" s="21">
        <f>SUMIF(September[Disease/Infection Type], "Ocular Disease",September[[Number of Antibiotics Prescribed for this Condition ]])+SUMIF(September[Disease/Infection Type2], "Ocular Disease",September[Number of Antibiotics Prescribed for this Condition2])+SUMIF(September[Disease/Infection Type3], "Ocular Disease",September[Number of Antibiotics Prescribed for this Condition3])</f>
        <v>0</v>
      </c>
      <c r="K25" s="21">
        <f>SUMIF(October[Disease/Infection Type], "Ocular Disease",October[[Number of Antibiotics Prescribed for this Condition ]])+SUMIF(October[Disease/Infection Type2], "Ocular Disease",October[Number of Antibiotics Prescribed for this Condition2])+SUMIF(October[Disease/Infection Type3], "Ocular Disease",October[Number of Antibiotics Prescribed for this Condition3])</f>
        <v>0</v>
      </c>
      <c r="L25" s="21">
        <f>SUMIF(November[Disease/Infection Type], "Ocular Disease",November[[Number of Antibiotics Prescribed for this Condition ]])+SUMIF(November[Disease/Infection Type2], "Ocular Disease",November[Number of Antibiotics Prescribed for this Condition2])+SUMIF(November[Disease/Infection Type3], "Ocular Disease",November[Number of Antibiotics Prescribed for this Condition3])</f>
        <v>0</v>
      </c>
      <c r="M25" s="21">
        <f>SUMIF(December[Disease/Infection Type], "Ocular Disease",December[[Number of Antibiotics Prescribed for this Condition ]])+SUMIF(December[Disease/Infection Type2], "Ocular Disease",December[Number of Antibiotics Prescribed for this Condition2])+SUMIF(December[Disease/Infection Type3], "Ocular Disease",December[Number of Antibiotics Prescribed for this Condition3])</f>
        <v>0</v>
      </c>
      <c r="N25" s="21">
        <f t="shared" si="0"/>
        <v>0</v>
      </c>
      <c r="O25" s="21" t="e">
        <f>(N25/N37)*100</f>
        <v>#DIV/0!</v>
      </c>
      <c r="P25" s="21" t="s">
        <v>328</v>
      </c>
    </row>
    <row r="26" spans="1:16">
      <c r="A26" s="21" t="s">
        <v>319</v>
      </c>
      <c r="B26" s="21">
        <f>SUMIF(January[Disease/Infection Type], "Otic Disease",January[[Number of Antibiotics Prescribed for this Condition ]])+SUMIF(January[Disease/Infection Type2], "Otic Disease",January[Number of Antibiotics Prescribed for this Condition2])+SUMIF(January[Disease/Infection Type3], "Otic Disease",January[Number of Antibiotics Prescribed for this Condition3])</f>
        <v>0</v>
      </c>
      <c r="C26" s="21">
        <f>SUMIF(February[Disease/Infection Type], "Otic Disease",February[[Number of Antibiotics Prescribed for this Condition ]])+SUMIF(February[Disease/Infection Type2], "Otic Disease",February[Number of Antibiotics Prescribed for this Condition2])+SUMIF(February[Disease/Infection Type3], "Otic Disease",February[Number of Antibiotics Prescribed for this Condition3])</f>
        <v>0</v>
      </c>
      <c r="D26" s="21">
        <f>SUMIF(March[Disease/Infection Type], "Otic Disease",March[[Number of Antibiotics Prescribed for this Condition ]])+SUMIF(March[Disease/Infection Type2], "Otic Disease",March[Number of Antibiotics Prescribed for this Condition2])+SUMIF(March[Disease/Infection Type3], "Otic Disease",March[Number of Antibiotics Prescribed for this Condition3])</f>
        <v>0</v>
      </c>
      <c r="E26" s="21">
        <f>SUMIF(April[Disease/Infection Type], "Otic Disease",April[[Number of Antibiotics Prescribed for this Condition ]])+SUMIF(April[Disease/Infection Type2], "Otic Disease",April[Number of Antibiotics Prescribed for this Condition2])+SUMIF(April[Disease/Infection Type3], "Otic Disease",April[Number of Antibiotics Prescribed for this Condition3])</f>
        <v>0</v>
      </c>
      <c r="F26" s="21">
        <f>SUMIF(May[Disease/Infection Type], "Otic Disease",May[[Number of Antibiotics Prescribed for this Condition ]])+SUMIF(May[Disease/Infection Type2], "Otic Disease",May[Number of Antibiotics Prescribed for this Condition2])+SUMIF(May[Disease/Infection Type3], "Otic Disease",May[Number of Antibiotics Prescribed for this Condition3])</f>
        <v>0</v>
      </c>
      <c r="G26" s="21">
        <f>SUMIF(June[Disease/Infection Type], "Otic Disease",June[[Number of Antibiotics Prescribed for this Condition ]])+SUMIF(June[Disease/Infection Type2], "Otic Disease",June[Number of Antibiotics Prescribed for this Condition2])+SUMIF(June[Disease/Infection Type3], "Otic Disease",June[Number of Antibiotics Prescribed for this Condition3])</f>
        <v>0</v>
      </c>
      <c r="H26" s="21">
        <f>SUMIF(July[Disease/Infection Type], "Otic Disease",July[[Number of Antibiotics Prescribed for this Condition ]])+SUMIF(July[Disease/Infection Type2], "Otic Disease",July[Number of Antibiotics Prescribed for this Condition2])+SUMIF(July[Disease/Infection Type3], "Otic Disease",July[Number of Antibiotics Prescribed for this Condition3])</f>
        <v>0</v>
      </c>
      <c r="I26" s="21">
        <f>SUMIF(August[Disease/Infection Type], "Otic Disease",August[[Number of Antibiotics Prescribed for this Condition ]])+SUMIF(August[Disease/Infection Type2], "Otic Disease",August[Number of Antibiotics Prescribed for this Condition2])+SUMIF(August[Disease/Infection Type3], "Otic Disease",August[Number of Antibiotics Prescribed for this Condition3])</f>
        <v>0</v>
      </c>
      <c r="J26" s="21">
        <f>SUMIF(September[Disease/Infection Type], "Otic Disease",September[[Number of Antibiotics Prescribed for this Condition ]])+SUMIF(September[Disease/Infection Type2], "Otic Disease",September[Number of Antibiotics Prescribed for this Condition2])+SUMIF(September[Disease/Infection Type3], "Otic Disease",September[Number of Antibiotics Prescribed for this Condition3])</f>
        <v>0</v>
      </c>
      <c r="K26" s="21">
        <f>SUMIF(October[Disease/Infection Type], "Otic Disease",October[[Number of Antibiotics Prescribed for this Condition ]])+SUMIF(October[Disease/Infection Type2], "Otic Disease",October[Number of Antibiotics Prescribed for this Condition2])+SUMIF(October[Disease/Infection Type3], "Otic Disease",October[Number of Antibiotics Prescribed for this Condition3])</f>
        <v>0</v>
      </c>
      <c r="L26" s="21">
        <f>SUMIF(November[Disease/Infection Type], "Otic Disease",November[[Number of Antibiotics Prescribed for this Condition ]])+SUMIF(November[Disease/Infection Type2], "Otic Disease",November[Number of Antibiotics Prescribed for this Condition2])+SUMIF(November[Disease/Infection Type3], "Otic Disease",November[Number of Antibiotics Prescribed for this Condition3])</f>
        <v>0</v>
      </c>
      <c r="M26" s="21">
        <f>SUMIF(December[Disease/Infection Type], "Otic Disease",December[[Number of Antibiotics Prescribed for this Condition ]])+SUMIF(December[Disease/Infection Type2], "Otic Disease",December[Number of Antibiotics Prescribed for this Condition2])+SUMIF(December[Disease/Infection Type3], "Otic Disease",December[Number of Antibiotics Prescribed for this Condition3])</f>
        <v>0</v>
      </c>
      <c r="N26" s="21">
        <f>SUM(B26:M26)</f>
        <v>0</v>
      </c>
      <c r="O26" s="21" t="e">
        <f>(N26/N37)*100</f>
        <v>#DIV/0!</v>
      </c>
      <c r="P26" s="21" t="s">
        <v>265</v>
      </c>
    </row>
    <row r="27" spans="1:16">
      <c r="A27" s="21" t="s">
        <v>99</v>
      </c>
      <c r="B27" s="21">
        <f>SUMIF(January[Disease/Infection Type], "Peri-operative",January[[Number of Antibiotics Prescribed for this Condition ]])+SUMIF(January[Disease/Infection Type2], "Peri-operative",January[Number of Antibiotics Prescribed for this Condition2])+SUMIF(January[Disease/Infection Type3], "Peri-operative",January[Number of Antibiotics Prescribed for this Condition3])</f>
        <v>0</v>
      </c>
      <c r="C27" s="21">
        <f>SUMIF(February[Disease/Infection Type], "Peri-operative",February[[Number of Antibiotics Prescribed for this Condition ]])+SUMIF(February[Disease/Infection Type2], "Peri-operative",February[Number of Antibiotics Prescribed for this Condition2])+SUMIF(February[Disease/Infection Type3], "Peri-operative",February[Number of Antibiotics Prescribed for this Condition3])</f>
        <v>0</v>
      </c>
      <c r="D27" s="21">
        <f>SUMIF(March[Disease/Infection Type], "Peri-operative",March[[Number of Antibiotics Prescribed for this Condition ]])+SUMIF(March[Disease/Infection Type2], "Peri-operative",March[Number of Antibiotics Prescribed for this Condition2])+SUMIF(March[Disease/Infection Type3], "Peri-operative",March[Number of Antibiotics Prescribed for this Condition3])</f>
        <v>0</v>
      </c>
      <c r="E27" s="21">
        <f>SUMIF(April[Disease/Infection Type], "Peri-operative",April[[Number of Antibiotics Prescribed for this Condition ]])+SUMIF(April[Disease/Infection Type2], "Peri-operative",April[Number of Antibiotics Prescribed for this Condition2])+SUMIF(April[Disease/Infection Type3], "Peri-operative",April[Number of Antibiotics Prescribed for this Condition3])</f>
        <v>0</v>
      </c>
      <c r="F27" s="21">
        <f>SUMIF(May[Disease/Infection Type], "Peri-operative",May[[Number of Antibiotics Prescribed for this Condition ]])+SUMIF(May[Disease/Infection Type2], "Peri-operative",May[Number of Antibiotics Prescribed for this Condition2])+SUMIF(May[Disease/Infection Type3], "Peri-operative",May[Number of Antibiotics Prescribed for this Condition3])</f>
        <v>0</v>
      </c>
      <c r="G27" s="21">
        <f>SUMIF(June[Disease/Infection Type], "Peri-operative",June[[Number of Antibiotics Prescribed for this Condition ]])+SUMIF(June[Disease/Infection Type2], "Peri-operative",June[Number of Antibiotics Prescribed for this Condition2])+SUMIF(June[Disease/Infection Type3], "Peri-operative",June[Number of Antibiotics Prescribed for this Condition3])</f>
        <v>0</v>
      </c>
      <c r="H27" s="21">
        <f>SUMIF(July[Disease/Infection Type], "Peri-operative",July[[Number of Antibiotics Prescribed for this Condition ]])+SUMIF(July[Disease/Infection Type2], "Peri-operative",July[Number of Antibiotics Prescribed for this Condition2])+SUMIF(July[Disease/Infection Type3], "Peri-operative",July[Number of Antibiotics Prescribed for this Condition3])</f>
        <v>0</v>
      </c>
      <c r="I27" s="21">
        <f>SUMIF(August[Disease/Infection Type], "Peri-operative",August[[Number of Antibiotics Prescribed for this Condition ]])+SUMIF(August[Disease/Infection Type2], "Peri-operative",August[Number of Antibiotics Prescribed for this Condition2])+SUMIF(August[Disease/Infection Type3], "Peri-operative",August[Number of Antibiotics Prescribed for this Condition3])</f>
        <v>0</v>
      </c>
      <c r="J27" s="21">
        <f>SUMIF(September[Disease/Infection Type], "Peri-operative",September[[Number of Antibiotics Prescribed for this Condition ]])+SUMIF(September[Disease/Infection Type2], "Peri-operative",September[Number of Antibiotics Prescribed for this Condition2])+SUMIF(September[Disease/Infection Type3], "Peri-operative",September[Number of Antibiotics Prescribed for this Condition3])</f>
        <v>0</v>
      </c>
      <c r="K27" s="21">
        <f>SUMIF(October[Disease/Infection Type], "Peri-operative",October[[Number of Antibiotics Prescribed for this Condition ]])+SUMIF(October[Disease/Infection Type2], "Peri-operative",October[Number of Antibiotics Prescribed for this Condition2])+SUMIF(October[Disease/Infection Type3], "Peri-operative",October[Number of Antibiotics Prescribed for this Condition3])</f>
        <v>0</v>
      </c>
      <c r="L27" s="21">
        <f>SUMIF(November[Disease/Infection Type], "Peri-operative",November[[Number of Antibiotics Prescribed for this Condition ]])+SUMIF(November[Disease/Infection Type2], "Peri-operative",November[Number of Antibiotics Prescribed for this Condition2])+SUMIF(November[Disease/Infection Type3], "Peri-operative",November[Number of Antibiotics Prescribed for this Condition3])</f>
        <v>0</v>
      </c>
      <c r="M27" s="21">
        <f>SUMIF(December[Disease/Infection Type], "Peri-operative",December[[Number of Antibiotics Prescribed for this Condition ]])+SUMIF(December[Disease/Infection Type2], "Peri-operative",December[Number of Antibiotics Prescribed for this Condition2])+SUMIF(December[Disease/Infection Type3], "Peri-operative",December[Number of Antibiotics Prescribed for this Condition3])</f>
        <v>0</v>
      </c>
      <c r="N27" s="21">
        <f t="shared" si="0"/>
        <v>0</v>
      </c>
      <c r="O27" s="21" t="e">
        <f>(N27/N37)*100</f>
        <v>#DIV/0!</v>
      </c>
      <c r="P27" s="21" t="s">
        <v>99</v>
      </c>
    </row>
    <row r="28" spans="1:16">
      <c r="A28" s="21" t="s">
        <v>97</v>
      </c>
      <c r="B28" s="21">
        <f>SUMIF(January[Disease/Infection Type], "Reproductive Disease",January[[Number of Antibiotics Prescribed for this Condition ]])+SUMIF(January[Disease/Infection Type2], "Reproductive Disease",January[Number of Antibiotics Prescribed for this Condition2])+SUMIF(January[Disease/Infection Type3], "Reproductive Disease",January[Number of Antibiotics Prescribed for this Condition3])</f>
        <v>0</v>
      </c>
      <c r="C28" s="21">
        <f>SUMIF(February[Disease/Infection Type], "Reproductive Disease",February[[Number of Antibiotics Prescribed for this Condition ]])+SUMIF(February[Disease/Infection Type2], "Reproductive Disease",February[Number of Antibiotics Prescribed for this Condition2])+SUMIF(February[Disease/Infection Type3], "Reproductive Disease",February[Number of Antibiotics Prescribed for this Condition3])</f>
        <v>0</v>
      </c>
      <c r="D28" s="21">
        <f>SUMIF(March[Disease/Infection Type], "Reproductive Disease",March[[Number of Antibiotics Prescribed for this Condition ]])+SUMIF(March[Disease/Infection Type2], "Reproductive Disease",March[Number of Antibiotics Prescribed for this Condition2])+SUMIF(March[Disease/Infection Type3], "Reproductive Disease",March[Number of Antibiotics Prescribed for this Condition3])</f>
        <v>0</v>
      </c>
      <c r="E28" s="21">
        <f>SUMIF(April[Disease/Infection Type], "Reproductive Disease",April[[Number of Antibiotics Prescribed for this Condition ]])+SUMIF(April[Disease/Infection Type2], "Reproductive Disease",April[Number of Antibiotics Prescribed for this Condition2])+SUMIF(April[Disease/Infection Type3], "Reproductive Disease",April[Number of Antibiotics Prescribed for this Condition3])</f>
        <v>0</v>
      </c>
      <c r="F28" s="21">
        <f>SUMIF(May[Disease/Infection Type], "Reproductive Disease",May[[Number of Antibiotics Prescribed for this Condition ]])+SUMIF(May[Disease/Infection Type2], "Reproductive Disease",May[Number of Antibiotics Prescribed for this Condition2])+SUMIF(May[Disease/Infection Type3], "Reproductive Disease",May[Number of Antibiotics Prescribed for this Condition3])</f>
        <v>0</v>
      </c>
      <c r="G28" s="21">
        <f>SUMIF(June[Disease/Infection Type], "Reproductive Disease",June[[Number of Antibiotics Prescribed for this Condition ]])+SUMIF(June[Disease/Infection Type2], "Reproductive Disease",June[Number of Antibiotics Prescribed for this Condition2])+SUMIF(June[Disease/Infection Type3], "Reproductive Disease",June[Number of Antibiotics Prescribed for this Condition3])</f>
        <v>0</v>
      </c>
      <c r="H28" s="21">
        <f>SUMIF(July[Disease/Infection Type], "Reproductive Disease",July[[Number of Antibiotics Prescribed for this Condition ]])+SUMIF(July[Disease/Infection Type2], "Reproductive Disease",July[Number of Antibiotics Prescribed for this Condition2])+SUMIF(July[Disease/Infection Type3], "Reproductive Disease",July[Number of Antibiotics Prescribed for this Condition3])</f>
        <v>0</v>
      </c>
      <c r="I28" s="21">
        <f>SUMIF(August[Disease/Infection Type], "Reproductive Disease",August[[Number of Antibiotics Prescribed for this Condition ]])+SUMIF(August[Disease/Infection Type2], "Reproductive Disease",August[Number of Antibiotics Prescribed for this Condition2])+SUMIF(August[Disease/Infection Type3], "Reproductive Disease",August[Number of Antibiotics Prescribed for this Condition3])</f>
        <v>0</v>
      </c>
      <c r="J28" s="21">
        <f>SUMIF(September[Disease/Infection Type], "Reproductive Disease",September[[Number of Antibiotics Prescribed for this Condition ]])+SUMIF(September[Disease/Infection Type2], "Reproductive Disease",September[Number of Antibiotics Prescribed for this Condition2])+SUMIF(September[Disease/Infection Type3], "Reproductive Disease",September[Number of Antibiotics Prescribed for this Condition3])</f>
        <v>0</v>
      </c>
      <c r="K28" s="21">
        <f>SUMIF(October[Disease/Infection Type], "Reproductive Disease",October[[Number of Antibiotics Prescribed for this Condition ]])+SUMIF(October[Disease/Infection Type2], "Reproductive Disease",October[Number of Antibiotics Prescribed for this Condition2])+SUMIF(October[Disease/Infection Type3], "Reproductive Disease",October[Number of Antibiotics Prescribed for this Condition3])</f>
        <v>0</v>
      </c>
      <c r="L28" s="21">
        <f>SUMIF(November[Disease/Infection Type], "Reproductive Disease",November[[Number of Antibiotics Prescribed for this Condition ]])+SUMIF(November[Disease/Infection Type2], "Reproductive Disease",November[Number of Antibiotics Prescribed for this Condition2])+SUMIF(November[Disease/Infection Type3], "Reproductive Disease",November[Number of Antibiotics Prescribed for this Condition3])</f>
        <v>0</v>
      </c>
      <c r="M28" s="21">
        <f>SUMIF(December[Disease/Infection Type], "Reproductive Disease",December[[Number of Antibiotics Prescribed for this Condition ]])+SUMIF(December[Disease/Infection Type2], "Reproductive Disease",December[Number of Antibiotics Prescribed for this Condition2])+SUMIF(December[Disease/Infection Type3], "Reproductive Disease",December[Number of Antibiotics Prescribed for this Condition3])</f>
        <v>0</v>
      </c>
      <c r="N28" s="21">
        <f t="shared" si="0"/>
        <v>0</v>
      </c>
      <c r="O28" s="21" t="e">
        <f>(N28/N37)*100</f>
        <v>#DIV/0!</v>
      </c>
      <c r="P28" s="21" t="s">
        <v>329</v>
      </c>
    </row>
    <row r="29" spans="1:16">
      <c r="A29" s="21" t="s">
        <v>305</v>
      </c>
      <c r="B29" s="21">
        <f>SUMIF(January[Disease/Infection Type], "Upper Respiratory Tract Disease",January[[Number of Antibiotics Prescribed for this Condition ]])+SUMIF(January[Disease/Infection Type2], "Upper Respiratory Tract Disease",January[Number of Antibiotics Prescribed for this Condition2])+SUMIF(January[Disease/Infection Type3], "Upper Respiratory Tract Disease",January[Number of Antibiotics Prescribed for this Condition3])</f>
        <v>0</v>
      </c>
      <c r="C29" s="21">
        <f>SUMIF(February[Disease/Infection Type], "Upper Respiratory Tract Disease",February[[Number of Antibiotics Prescribed for this Condition ]])+SUMIF(February[Disease/Infection Type2], "Upper Respiratory Tract Disease",February[Number of Antibiotics Prescribed for this Condition2])+SUMIF(February[Disease/Infection Type3], "Upper Respiratory Tract Disease",February[Number of Antibiotics Prescribed for this Condition3])</f>
        <v>0</v>
      </c>
      <c r="D29" s="21">
        <f>SUMIF(March[Disease/Infection Type], "Upper Respiratory Tract Disease",March[[Number of Antibiotics Prescribed for this Condition ]])+SUMIF(March[Disease/Infection Type2], "Upper Respiratory Tract Disease",March[Number of Antibiotics Prescribed for this Condition2])+SUMIF(March[Disease/Infection Type3], "Upper Respiratory Tract Disease",March[Number of Antibiotics Prescribed for this Condition3])</f>
        <v>0</v>
      </c>
      <c r="E29" s="21">
        <f>SUMIF(April[Disease/Infection Type], "Upper Respiratory Tract Disease",April[[Number of Antibiotics Prescribed for this Condition ]])+SUMIF(April[Disease/Infection Type2], "Upper Respiratory Tract Disease",April[Number of Antibiotics Prescribed for this Condition2])+SUMIF(April[Disease/Infection Type3], "Upper Respiratory Tract Disease",April[Number of Antibiotics Prescribed for this Condition3])</f>
        <v>0</v>
      </c>
      <c r="F29" s="21">
        <f>SUMIF(May[Disease/Infection Type], "Upper Respiratory Tract Disease",May[[Number of Antibiotics Prescribed for this Condition ]])+SUMIF(May[Disease/Infection Type2], "Upper Respiratory Tract Disease",May[Number of Antibiotics Prescribed for this Condition2])+SUMIF(May[Disease/Infection Type3], "Upper Respiratory Tract Disease",May[Number of Antibiotics Prescribed for this Condition3])</f>
        <v>0</v>
      </c>
      <c r="G29" s="21">
        <f>SUMIF(June[Disease/Infection Type], "Upper Respiratory Tract Disease",June[[Number of Antibiotics Prescribed for this Condition ]])+SUMIF(June[Disease/Infection Type2], "Upper Respiratory Tract Disease",June[Number of Antibiotics Prescribed for this Condition2])+SUMIF(June[Disease/Infection Type3], "Upper Respiratory Tract Disease",June[Number of Antibiotics Prescribed for this Condition3])</f>
        <v>0</v>
      </c>
      <c r="H29" s="21">
        <f>SUMIF(July[Disease/Infection Type], "Upper Respiratory Tract Disease",July[[Number of Antibiotics Prescribed for this Condition ]])+SUMIF(July[Disease/Infection Type2], "Upper Respiratory Tract Disease",July[Number of Antibiotics Prescribed for this Condition2])+SUMIF(July[Disease/Infection Type3], "Upper Respiratory Tract Disease",July[Number of Antibiotics Prescribed for this Condition3])</f>
        <v>0</v>
      </c>
      <c r="I29" s="21">
        <f>SUMIF(August[Disease/Infection Type], "Upper Respiratory Tract Disease",August[[Number of Antibiotics Prescribed for this Condition ]])+SUMIF(August[Disease/Infection Type2], "Upper Respiratory Tract Disease",August[Number of Antibiotics Prescribed for this Condition2])+SUMIF(August[Disease/Infection Type3], "Upper Respiratory Tract Disease",August[Number of Antibiotics Prescribed for this Condition3])</f>
        <v>0</v>
      </c>
      <c r="J29" s="21">
        <f>SUMIF(September[Disease/Infection Type], "Upper Respiratory Tract Disease",September[[Number of Antibiotics Prescribed for this Condition ]])+SUMIF(September[Disease/Infection Type2], "Upper Respiratory Tract Disease",September[Number of Antibiotics Prescribed for this Condition2])+SUMIF(September[Disease/Infection Type3], "Upper Respiratory Tract Disease",September[Number of Antibiotics Prescribed for this Condition3])</f>
        <v>0</v>
      </c>
      <c r="K29" s="21">
        <f>SUMIF(October[Disease/Infection Type], "Upper Respiratory Tract Disease",October[[Number of Antibiotics Prescribed for this Condition ]])+SUMIF(October[Disease/Infection Type2], "Upper Respiratory Tract Disease",October[Number of Antibiotics Prescribed for this Condition2])+SUMIF(October[Disease/Infection Type3], "Upper Respiratory Tract Disease",October[Number of Antibiotics Prescribed for this Condition3])</f>
        <v>0</v>
      </c>
      <c r="L29" s="21">
        <f>SUMIF(November[Disease/Infection Type], "Upper Respiratory Tract Disease",November[[Number of Antibiotics Prescribed for this Condition ]])+SUMIF(November[Disease/Infection Type2], "Upper Respiratory Tract Disease",November[Number of Antibiotics Prescribed for this Condition2])+SUMIF(November[Disease/Infection Type3], "Upper Respiratory Tract Disease",November[Number of Antibiotics Prescribed for this Condition3])</f>
        <v>0</v>
      </c>
      <c r="M29" s="21">
        <f>SUMIF(December[Disease/Infection Type], "Upper Respiratory Tract Disease",December[[Number of Antibiotics Prescribed for this Condition ]])+SUMIF(December[Disease/Infection Type2], "Upper Respiratory Tract Disease",December[Number of Antibiotics Prescribed for this Condition2])+SUMIF(December[Disease/Infection Type3], "Upper Respiratory Tract Disease",December[Number of Antibiotics Prescribed for this Condition3])</f>
        <v>0</v>
      </c>
      <c r="N29" s="21">
        <f>SUM(B29:M29)</f>
        <v>0</v>
      </c>
      <c r="O29" s="21" t="e">
        <f>(N29/N37)*100</f>
        <v>#DIV/0!</v>
      </c>
      <c r="P29" s="21" t="s">
        <v>330</v>
      </c>
    </row>
    <row r="30" spans="1:16">
      <c r="A30" s="21" t="s">
        <v>306</v>
      </c>
      <c r="B30" s="21">
        <f>SUMIF(January[Disease/Infection Type], "Lower Respiratory Tract Disease",January[[Number of Antibiotics Prescribed for this Condition ]])+SUMIF(January[Disease/Infection Type2], "Lower Respiratory Tract Disease",January[Number of Antibiotics Prescribed for this Condition2])+SUMIF(January[Disease/Infection Type3], "Lower Respiratory Tract Disease",January[Number of Antibiotics Prescribed for this Condition3])</f>
        <v>0</v>
      </c>
      <c r="C30" s="21">
        <f>SUMIF(February[Disease/Infection Type], "Lower Respiratory Tract Disease",February[[Number of Antibiotics Prescribed for this Condition ]])+SUMIF(February[Disease/Infection Type2], "Lower Respiratory Tract Disease",February[Number of Antibiotics Prescribed for this Condition2])+SUMIF(February[Disease/Infection Type3], "Lower Respiratory Tract Disease",February[Number of Antibiotics Prescribed for this Condition3])</f>
        <v>0</v>
      </c>
      <c r="D30" s="21">
        <f>SUMIF(March[Disease/Infection Type], "Lower Respiratory Tract Disease",March[[Number of Antibiotics Prescribed for this Condition ]])+SUMIF(March[Disease/Infection Type2], "Lower Respiratory Tract Disease",March[Number of Antibiotics Prescribed for this Condition2])+SUMIF(March[Disease/Infection Type3], "Lower Respiratory Tract Disease",March[Number of Antibiotics Prescribed for this Condition3])</f>
        <v>0</v>
      </c>
      <c r="E30" s="21">
        <f>SUMIF(April[Disease/Infection Type], "Lower Respiratory Tract Disease",April[[Number of Antibiotics Prescribed for this Condition ]])+SUMIF(April[Disease/Infection Type2], "Lower Respiratory Tract Disease",April[Number of Antibiotics Prescribed for this Condition2])+SUMIF(April[Disease/Infection Type3], "Lower Respiratory Tract Disease",April[Number of Antibiotics Prescribed for this Condition3])</f>
        <v>0</v>
      </c>
      <c r="F30" s="21">
        <f>SUMIF(May[Disease/Infection Type], "Lower Respiratory Tract Disease",May[[Number of Antibiotics Prescribed for this Condition ]])+SUMIF(May[Disease/Infection Type2], "Lower Respiratory Tract Disease",May[Number of Antibiotics Prescribed for this Condition2])+SUMIF(May[Disease/Infection Type3], "Lower Respiratory Tract Disease",May[Number of Antibiotics Prescribed for this Condition3])</f>
        <v>0</v>
      </c>
      <c r="G30" s="21">
        <f>SUMIF(June[Disease/Infection Type], "Lower Respiratory Tract Disease",June[[Number of Antibiotics Prescribed for this Condition ]])+SUMIF(June[Disease/Infection Type2], "Lower Respiratory Tract Disease",June[Number of Antibiotics Prescribed for this Condition2])+SUMIF(June[Disease/Infection Type3], "Lower Respiratory Tract Disease",June[Number of Antibiotics Prescribed for this Condition3])</f>
        <v>0</v>
      </c>
      <c r="H30" s="21">
        <f>SUMIF(July[Disease/Infection Type], "Lower Respiratory Tract Disease",July[[Number of Antibiotics Prescribed for this Condition ]])+SUMIF(July[Disease/Infection Type2], "Lower Respiratory Tract Disease",July[Number of Antibiotics Prescribed for this Condition2])+SUMIF(July[Disease/Infection Type3], "Lower Respiratory Tract Disease",July[Number of Antibiotics Prescribed for this Condition3])</f>
        <v>0</v>
      </c>
      <c r="I30" s="21">
        <f>SUMIF(August[Disease/Infection Type], "Lower Respiratory Tract Disease",August[[Number of Antibiotics Prescribed for this Condition ]])+SUMIF(August[Disease/Infection Type2], "Lower Respiratory Tract Disease",August[Number of Antibiotics Prescribed for this Condition2])+SUMIF(August[Disease/Infection Type3], "Lower Respiratory Tract Disease",August[Number of Antibiotics Prescribed for this Condition3])</f>
        <v>0</v>
      </c>
      <c r="J30" s="21">
        <f>SUMIF(September[Disease/Infection Type], "Lower Respiratory Tract Disease",September[[Number of Antibiotics Prescribed for this Condition ]])+SUMIF(September[Disease/Infection Type2], "Lower Respiratory Tract Disease",September[Number of Antibiotics Prescribed for this Condition2])+SUMIF(September[Disease/Infection Type3], "Lower Respiratory Tract Disease",September[Number of Antibiotics Prescribed for this Condition3])</f>
        <v>0</v>
      </c>
      <c r="K30" s="21">
        <f>SUMIF(October[Disease/Infection Type], "Lower Respiratory Tract Disease",October[[Number of Antibiotics Prescribed for this Condition ]])+SUMIF(October[Disease/Infection Type2], "Lower Respiratory Tract Disease",October[Number of Antibiotics Prescribed for this Condition2])+SUMIF(October[Disease/Infection Type3], "Lower Respiratory Tract Disease",October[Number of Antibiotics Prescribed for this Condition3])</f>
        <v>0</v>
      </c>
      <c r="L30" s="21">
        <f>SUMIF(November[Disease/Infection Type], "Lower Respiratory Tract Disease",November[[Number of Antibiotics Prescribed for this Condition ]])+SUMIF(November[Disease/Infection Type2], "Lower Respiratory Tract Disease",November[Number of Antibiotics Prescribed for this Condition2])+SUMIF(November[Disease/Infection Type3], "Lower Respiratory Tract Disease",November[Number of Antibiotics Prescribed for this Condition3])</f>
        <v>0</v>
      </c>
      <c r="M30" s="21">
        <f>SUMIF(December[Disease/Infection Type], "Lower Respiratory Tract Disease",December[[Number of Antibiotics Prescribed for this Condition ]])+SUMIF(December[Disease/Infection Type2], "Lower Respiratory Tract Disease",December[Number of Antibiotics Prescribed for this Condition2])+SUMIF(December[Disease/Infection Type3], "Lower Respiratory Tract Disease",December[Number of Antibiotics Prescribed for this Condition3])</f>
        <v>0</v>
      </c>
      <c r="N30" s="21">
        <f t="shared" si="0"/>
        <v>0</v>
      </c>
      <c r="O30" s="21" t="e">
        <f>(N30/N37)*100</f>
        <v>#DIV/0!</v>
      </c>
      <c r="P30" s="21" t="s">
        <v>331</v>
      </c>
    </row>
    <row r="31" spans="1:16">
      <c r="A31" s="21" t="s">
        <v>303</v>
      </c>
      <c r="B31" s="21">
        <f>SUMIF(January[Disease/Infection Type], "Upper Urinary Tract Disease",January[[Number of Antibiotics Prescribed for this Condition ]])+SUMIF(January[Disease/Infection Type2], "Upper Urinary Tract Disease",January[Number of Antibiotics Prescribed for this Condition2])+SUMIF(January[Disease/Infection Type3], "Upper Urinary Tract Disease",January[Number of Antibiotics Prescribed for this Condition3])</f>
        <v>0</v>
      </c>
      <c r="C31" s="21">
        <f>SUMIF(February[Disease/Infection Type], "Upper Urinary Tract Disease",February[[Number of Antibiotics Prescribed for this Condition ]])+SUMIF(February[Disease/Infection Type2], "Upper Urinary Tract Disease",February[Number of Antibiotics Prescribed for this Condition2])+SUMIF(February[Disease/Infection Type3], "Upper Urinary Tract Disease",February[Number of Antibiotics Prescribed for this Condition3])</f>
        <v>0</v>
      </c>
      <c r="D31" s="21">
        <f>SUMIF(March[Disease/Infection Type], "Upper Urinary Tract Disease",March[[Number of Antibiotics Prescribed for this Condition ]])+SUMIF(March[Disease/Infection Type2], "Upper Urinary Tract Disease",March[Number of Antibiotics Prescribed for this Condition2])+SUMIF(March[Disease/Infection Type3], "Upper Urinary Tract Disease",March[Number of Antibiotics Prescribed for this Condition3])</f>
        <v>0</v>
      </c>
      <c r="E31" s="21">
        <f>SUMIF(April[Disease/Infection Type], "Upper Urinary Tract Disease",April[[Number of Antibiotics Prescribed for this Condition ]])+SUMIF(April[Disease/Infection Type2], "Upper Urinary Tract Disease",April[Number of Antibiotics Prescribed for this Condition2])+SUMIF(April[Disease/Infection Type3], "Upper Urinary Tract Disease",April[Number of Antibiotics Prescribed for this Condition3])</f>
        <v>0</v>
      </c>
      <c r="F31" s="21">
        <f>SUMIF(May[Disease/Infection Type], "Upper Urinary Tract Disease",May[[Number of Antibiotics Prescribed for this Condition ]])+SUMIF(May[Disease/Infection Type2], "Upper Urinary Tract Disease",May[Number of Antibiotics Prescribed for this Condition2])+SUMIF(May[Disease/Infection Type3], "Upper Urinary Tract Disease",May[Number of Antibiotics Prescribed for this Condition3])</f>
        <v>0</v>
      </c>
      <c r="G31" s="21">
        <f>SUMIF(June[Disease/Infection Type], "Upper Urinary Tract Disease",June[[Number of Antibiotics Prescribed for this Condition ]])+SUMIF(June[Disease/Infection Type2], "Upper Urinary Tract Disease",June[Number of Antibiotics Prescribed for this Condition2])+SUMIF(June[Disease/Infection Type3], "Upper Urinary Tract Disease",June[Number of Antibiotics Prescribed for this Condition3])</f>
        <v>0</v>
      </c>
      <c r="H31" s="21">
        <f>SUMIF(July[Disease/Infection Type], "Upper Urinary Tract Disease",July[[Number of Antibiotics Prescribed for this Condition ]])+SUMIF(July[Disease/Infection Type2], "Upper Urinary Tract Disease",July[Number of Antibiotics Prescribed for this Condition2])+SUMIF(July[Disease/Infection Type3], "Upper Urinary Tract Disease",July[Number of Antibiotics Prescribed for this Condition3])</f>
        <v>0</v>
      </c>
      <c r="I31" s="21">
        <f>SUMIF(August[Disease/Infection Type], "Upper Urinary Tract Disease",August[[Number of Antibiotics Prescribed for this Condition ]])+SUMIF(August[Disease/Infection Type2], "Upper Urinary Tract Disease",August[Number of Antibiotics Prescribed for this Condition2])+SUMIF(August[Disease/Infection Type3], "Upper Urinary Tract Disease",August[Number of Antibiotics Prescribed for this Condition3])</f>
        <v>0</v>
      </c>
      <c r="J31" s="21">
        <f>SUMIF(September[Disease/Infection Type], "Upper Urinary Tract Disease",September[[Number of Antibiotics Prescribed for this Condition ]])+SUMIF(September[Disease/Infection Type2], "Upper Urinary Tract Disease",September[Number of Antibiotics Prescribed for this Condition2])+SUMIF(September[Disease/Infection Type3], "Upper Urinary Tract Disease",September[Number of Antibiotics Prescribed for this Condition3])</f>
        <v>0</v>
      </c>
      <c r="K31" s="21">
        <f>SUMIF(October[Disease/Infection Type], "Upper Urinary Tract Disease",October[[Number of Antibiotics Prescribed for this Condition ]])+SUMIF(October[Disease/Infection Type2], "Upper Urinary Tract Disease",October[Number of Antibiotics Prescribed for this Condition2])+SUMIF(October[Disease/Infection Type3], "Upper Urinary Tract Disease",October[Number of Antibiotics Prescribed for this Condition3])</f>
        <v>0</v>
      </c>
      <c r="L31" s="21">
        <f>SUMIF(November[Disease/Infection Type], "Upper Urinary Tract Disease",November[[Number of Antibiotics Prescribed for this Condition ]])+SUMIF(November[Disease/Infection Type2], "Upper Urinary Tract Disease",November[Number of Antibiotics Prescribed for this Condition2])+SUMIF(November[Disease/Infection Type3], "Upper Urinary Tract Disease",November[Number of Antibiotics Prescribed for this Condition3])</f>
        <v>0</v>
      </c>
      <c r="M31" s="21">
        <f>SUMIF(December[Disease/Infection Type], "Upper Urinary Tract Disease",December[[Number of Antibiotics Prescribed for this Condition ]])+SUMIF(December[Disease/Infection Type2], "Upper Urinary Tract Disease",December[Number of Antibiotics Prescribed for this Condition2])+SUMIF(December[Disease/Infection Type3], "Upper Urinary Tract Disease",December[Number of Antibiotics Prescribed for this Condition3])</f>
        <v>0</v>
      </c>
      <c r="N31" s="21">
        <f t="shared" si="0"/>
        <v>0</v>
      </c>
      <c r="O31" s="21" t="e">
        <f>(N31/N37)*100</f>
        <v>#DIV/0!</v>
      </c>
      <c r="P31" s="21" t="s">
        <v>332</v>
      </c>
    </row>
    <row r="32" spans="1:16">
      <c r="A32" s="21" t="s">
        <v>304</v>
      </c>
      <c r="B32" s="21">
        <f>SUMIF(January[Disease/Infection Type], "Lower Urinary Tract Disease",January[[Number of Antibiotics Prescribed for this Condition ]])+SUMIF(January[Disease/Infection Type2], "Lower Urinary Tract Disease",January[Number of Antibiotics Prescribed for this Condition2])+SUMIF(January[Disease/Infection Type3], "Lower Urinary Tract Disease",January[Number of Antibiotics Prescribed for this Condition3])</f>
        <v>0</v>
      </c>
      <c r="C32" s="21">
        <f>SUMIF(February[Disease/Infection Type], "Lower Urinary Tract Disease",February[[Number of Antibiotics Prescribed for this Condition ]])+SUMIF(February[Disease/Infection Type2], "Lower Urinary Tract Disease",February[Number of Antibiotics Prescribed for this Condition2])+SUMIF(February[Disease/Infection Type3], "Lower Urinary Tract Disease",February[Number of Antibiotics Prescribed for this Condition3])</f>
        <v>0</v>
      </c>
      <c r="D32" s="21">
        <f>SUMIF(March[Disease/Infection Type], "Lower Urinary Tract Disease",March[[Number of Antibiotics Prescribed for this Condition ]])+SUMIF(March[Disease/Infection Type2], "Lower Urinary Tract Disease",March[Number of Antibiotics Prescribed for this Condition2])+SUMIF(March[Disease/Infection Type3], "Lower Urinary Tract Disease",March[Number of Antibiotics Prescribed for this Condition3])</f>
        <v>0</v>
      </c>
      <c r="E32" s="21">
        <f>SUMIF(April[Disease/Infection Type], "Lower Urinary Tract Disease",April[[Number of Antibiotics Prescribed for this Condition ]])+SUMIF(April[Disease/Infection Type2], "Lower Urinary Tract Disease",April[Number of Antibiotics Prescribed for this Condition2])+SUMIF(April[Disease/Infection Type3], "Lower Urinary Tract Disease",April[Number of Antibiotics Prescribed for this Condition3])</f>
        <v>0</v>
      </c>
      <c r="F32" s="21">
        <f>SUMIF(May[Disease/Infection Type], "Lower Urinary Tract Disease",May[[Number of Antibiotics Prescribed for this Condition ]])+SUMIF(May[Disease/Infection Type2], "Lower Urinary Tract Disease",May[Number of Antibiotics Prescribed for this Condition2])+SUMIF(May[Disease/Infection Type3], "Lower Urinary Tract Disease",May[Number of Antibiotics Prescribed for this Condition3])</f>
        <v>0</v>
      </c>
      <c r="G32" s="21">
        <f>SUMIF(June[Disease/Infection Type], "Lower Urinary Tract Disease",June[[Number of Antibiotics Prescribed for this Condition ]])+SUMIF(June[Disease/Infection Type2], "Lower Urinary Tract Disease",June[Number of Antibiotics Prescribed for this Condition2])+SUMIF(June[Disease/Infection Type3], "Lower Urinary Tract Disease",June[Number of Antibiotics Prescribed for this Condition3])</f>
        <v>0</v>
      </c>
      <c r="H32" s="21">
        <f>SUMIF(July[Disease/Infection Type], "Lower Urinary Tract Disease",July[[Number of Antibiotics Prescribed for this Condition ]])+SUMIF(July[Disease/Infection Type2], "Lower Urinary Tract Disease",July[Number of Antibiotics Prescribed for this Condition2])+SUMIF(July[Disease/Infection Type3], "Lower Urinary Tract Disease",July[Number of Antibiotics Prescribed for this Condition3])</f>
        <v>0</v>
      </c>
      <c r="I32" s="21">
        <f>SUMIF(August[Disease/Infection Type], "Lower Urinary Tract Disease",August[[Number of Antibiotics Prescribed for this Condition ]])+SUMIF(August[Disease/Infection Type2], "Lower Urinary Tract Disease",August[Number of Antibiotics Prescribed for this Condition2])+SUMIF(August[Disease/Infection Type3], "Lower Urinary Tract Disease",August[Number of Antibiotics Prescribed for this Condition3])</f>
        <v>0</v>
      </c>
      <c r="J32" s="21">
        <f>SUMIF(September[Disease/Infection Type], "Lower Urinary Tract Disease",September[[Number of Antibiotics Prescribed for this Condition ]])+SUMIF(September[Disease/Infection Type2], "Lower Urinary Tract Disease",September[Number of Antibiotics Prescribed for this Condition2])+SUMIF(September[Disease/Infection Type3], "Lower Urinary Tract Disease",September[Number of Antibiotics Prescribed for this Condition3])</f>
        <v>0</v>
      </c>
      <c r="K32" s="21">
        <f>SUMIF(October[Disease/Infection Type], "Lower Urinary Tract Disease",October[[Number of Antibiotics Prescribed for this Condition ]])+SUMIF(October[Disease/Infection Type2], "Lower Urinary Tract Disease",October[Number of Antibiotics Prescribed for this Condition2])+SUMIF(October[Disease/Infection Type3], "Lower Urinary Tract Disease",October[Number of Antibiotics Prescribed for this Condition3])</f>
        <v>0</v>
      </c>
      <c r="L32" s="21">
        <f>SUMIF(November[Disease/Infection Type], "Lower Urinary Tract Disease",November[[Number of Antibiotics Prescribed for this Condition ]])+SUMIF(November[Disease/Infection Type2], "Lower Urinary Tract Disease",November[Number of Antibiotics Prescribed for this Condition2])+SUMIF(November[Disease/Infection Type3], "Lower Urinary Tract Disease",November[Number of Antibiotics Prescribed for this Condition3])</f>
        <v>0</v>
      </c>
      <c r="M32" s="21">
        <f>SUMIF(December[Disease/Infection Type], "Lower Urinary Tract Disease",December[[Number of Antibiotics Prescribed for this Condition ]])+SUMIF(December[Disease/Infection Type2], "Lower Urinary Tract Disease",December[Number of Antibiotics Prescribed for this Condition2])+SUMIF(December[Disease/Infection Type3], "Lower Urinary Tract Disease",December[Number of Antibiotics Prescribed for this Condition3])</f>
        <v>0</v>
      </c>
      <c r="N32" s="21">
        <f>SUM(B32:M32)</f>
        <v>0</v>
      </c>
      <c r="O32" s="21" t="e">
        <f>(N32/N37)*100</f>
        <v>#DIV/0!</v>
      </c>
      <c r="P32" s="21" t="s">
        <v>333</v>
      </c>
    </row>
    <row r="33" spans="1:16">
      <c r="A33" s="21" t="s">
        <v>101</v>
      </c>
      <c r="B33" s="21">
        <f>SUMIF(January[Disease/Infection Type], "Vector-borne Disease",January[[Number of Antibiotics Prescribed for this Condition ]])+SUMIF(January[Disease/Infection Type2], "Vector-borne Disease",January[Number of Antibiotics Prescribed for this Condition2])+SUMIF(January[Disease/Infection Type3], "Vector-borne Disease",January[Number of Antibiotics Prescribed for this Condition3])</f>
        <v>0</v>
      </c>
      <c r="C33" s="21">
        <f>SUMIF(February[Disease/Infection Type], "Vector-borne Disease",February[[Number of Antibiotics Prescribed for this Condition ]])+SUMIF(February[Disease/Infection Type2], "Vector-borne Disease",February[Number of Antibiotics Prescribed for this Condition2])+SUMIF(February[Disease/Infection Type3], "Vector-borne Disease",February[Number of Antibiotics Prescribed for this Condition3])</f>
        <v>0</v>
      </c>
      <c r="D33" s="21">
        <f>SUMIF(March[Disease/Infection Type], "Vector-borne Disease",March[[Number of Antibiotics Prescribed for this Condition ]])+SUMIF(March[Disease/Infection Type2], "Vector-borne Disease",March[Number of Antibiotics Prescribed for this Condition2])+SUMIF(March[Disease/Infection Type3], "Vector-borne Disease",March[Number of Antibiotics Prescribed for this Condition3])</f>
        <v>0</v>
      </c>
      <c r="E33" s="21">
        <f>SUMIF(April[Disease/Infection Type], "Vector-borne Disease",April[[Number of Antibiotics Prescribed for this Condition ]])+SUMIF(April[Disease/Infection Type2], "Vector-borne Disease",April[Number of Antibiotics Prescribed for this Condition2])+SUMIF(April[Disease/Infection Type3], "Vector-borne Disease",April[Number of Antibiotics Prescribed for this Condition3])</f>
        <v>0</v>
      </c>
      <c r="F33" s="21">
        <f>SUMIF(May[Disease/Infection Type], "Vector-borne Disease",May[[Number of Antibiotics Prescribed for this Condition ]])+SUMIF(May[Disease/Infection Type2], "Vector-borne Disease",May[Number of Antibiotics Prescribed for this Condition2])+SUMIF(May[Disease/Infection Type3], "Vector-borne Disease",May[Number of Antibiotics Prescribed for this Condition3])</f>
        <v>0</v>
      </c>
      <c r="G33" s="21">
        <f>SUMIF(June[Disease/Infection Type], "Vector-borne Disease",June[[Number of Antibiotics Prescribed for this Condition ]])+SUMIF(June[Disease/Infection Type2], "Vector-borne Disease",June[Number of Antibiotics Prescribed for this Condition2])+SUMIF(June[Disease/Infection Type3], "Vector-borne Disease",June[Number of Antibiotics Prescribed for this Condition3])</f>
        <v>0</v>
      </c>
      <c r="H33" s="21">
        <f>SUMIF(July[Disease/Infection Type], "Vector-borne Disease",July[[Number of Antibiotics Prescribed for this Condition ]])+SUMIF(July[Disease/Infection Type2], "Vector-borne Disease",July[Number of Antibiotics Prescribed for this Condition2])+SUMIF(July[Disease/Infection Type3], "Vector-borne Disease",July[Number of Antibiotics Prescribed for this Condition3])</f>
        <v>0</v>
      </c>
      <c r="I33" s="21">
        <f>SUMIF(August[Disease/Infection Type], "Vector-borne Disease",August[[Number of Antibiotics Prescribed for this Condition ]])+SUMIF(August[Disease/Infection Type2], "Vector-borne Disease",August[Number of Antibiotics Prescribed for this Condition2])+SUMIF(August[Disease/Infection Type3], "Vector-borne Disease",August[Number of Antibiotics Prescribed for this Condition3])</f>
        <v>0</v>
      </c>
      <c r="J33" s="21">
        <f>SUMIF(September[Disease/Infection Type], "Vector-borne Disease",September[[Number of Antibiotics Prescribed for this Condition ]])+SUMIF(September[Disease/Infection Type2], "Vector-borne Disease",September[Number of Antibiotics Prescribed for this Condition2])+SUMIF(September[Disease/Infection Type3], "Vector-borne Disease",September[Number of Antibiotics Prescribed for this Condition3])</f>
        <v>0</v>
      </c>
      <c r="K33" s="21">
        <f>SUMIF(October[Disease/Infection Type], "Vector-borne Disease",October[[Number of Antibiotics Prescribed for this Condition ]])+SUMIF(October[Disease/Infection Type2], "Vector-borne Disease",October[Number of Antibiotics Prescribed for this Condition2])+SUMIF(October[Disease/Infection Type3], "Vector-borne Disease",October[Number of Antibiotics Prescribed for this Condition3])</f>
        <v>0</v>
      </c>
      <c r="L33" s="21">
        <f>SUMIF(November[Disease/Infection Type], "Vector-borne Disease",November[[Number of Antibiotics Prescribed for this Condition ]])+SUMIF(November[Disease/Infection Type2], "Vector-borne Disease",November[Number of Antibiotics Prescribed for this Condition2])+SUMIF(November[Disease/Infection Type3], "Vector-borne Disease",November[Number of Antibiotics Prescribed for this Condition3])</f>
        <v>0</v>
      </c>
      <c r="M33" s="21">
        <f>SUMIF(December[Disease/Infection Type], "Vector-borne Disease",December[[Number of Antibiotics Prescribed for this Condition ]])+SUMIF(December[Disease/Infection Type2], "Vector-borne Disease",December[Number of Antibiotics Prescribed for this Condition2])+SUMIF(December[Disease/Infection Type3], "Vector-borne Disease",December[Number of Antibiotics Prescribed for this Condition3])</f>
        <v>0</v>
      </c>
      <c r="N33" s="21">
        <f t="shared" si="0"/>
        <v>0</v>
      </c>
      <c r="O33" s="21" t="e">
        <f>(N33/N37)*100</f>
        <v>#DIV/0!</v>
      </c>
      <c r="P33" s="21" t="s">
        <v>334</v>
      </c>
    </row>
    <row r="34" spans="1:16">
      <c r="A34" s="21" t="s">
        <v>21</v>
      </c>
      <c r="B34" s="21">
        <f>SUMIF(January[Disease/Infection Type], "Other",January[[Number of Antibiotics Prescribed for this Condition ]])+SUMIF(January[Disease/Infection Type2], "Other",January[Number of Antibiotics Prescribed for this Condition2])+SUMIF(January[Disease/Infection Type3], "Other",January[Number of Antibiotics Prescribed for this Condition3])</f>
        <v>0</v>
      </c>
      <c r="C34" s="21">
        <f>SUMIF(February[Disease/Infection Type], "Other",February[[Number of Antibiotics Prescribed for this Condition ]])+SUMIF(February[Disease/Infection Type2], "Other",February[Number of Antibiotics Prescribed for this Condition2])+SUMIF(February[Disease/Infection Type3], "Other",February[Number of Antibiotics Prescribed for this Condition3])</f>
        <v>0</v>
      </c>
      <c r="D34" s="21">
        <f>SUMIF(March[Disease/Infection Type], "Other",March[[Number of Antibiotics Prescribed for this Condition ]])+SUMIF(March[Disease/Infection Type2], "Other",March[Number of Antibiotics Prescribed for this Condition2])+SUMIF(March[Disease/Infection Type3], "Other",March[Number of Antibiotics Prescribed for this Condition3])</f>
        <v>0</v>
      </c>
      <c r="E34" s="21">
        <f>SUMIF(April[Disease/Infection Type], "Other",April[[Number of Antibiotics Prescribed for this Condition ]])+SUMIF(April[Disease/Infection Type2], "Other",April[Number of Antibiotics Prescribed for this Condition2])+SUMIF(April[Disease/Infection Type3], "Other",April[Number of Antibiotics Prescribed for this Condition3])</f>
        <v>0</v>
      </c>
      <c r="F34" s="21">
        <f>SUMIF(May[Disease/Infection Type], "Other",May[[Number of Antibiotics Prescribed for this Condition ]])+SUMIF(May[Disease/Infection Type2], "Other",May[Number of Antibiotics Prescribed for this Condition2])+SUMIF(May[Disease/Infection Type3], "Other",May[Number of Antibiotics Prescribed for this Condition3])</f>
        <v>0</v>
      </c>
      <c r="G34" s="21">
        <f>SUMIF(June[Disease/Infection Type], "Other",June[[Number of Antibiotics Prescribed for this Condition ]])+SUMIF(June[Disease/Infection Type2], "Other",June[Number of Antibiotics Prescribed for this Condition2])+SUMIF(June[Disease/Infection Type3], "Other",June[Number of Antibiotics Prescribed for this Condition3])</f>
        <v>0</v>
      </c>
      <c r="H34" s="21">
        <f>SUMIF(July[Disease/Infection Type], "Other",July[[Number of Antibiotics Prescribed for this Condition ]])+SUMIF(July[Disease/Infection Type2], "Other",July[Number of Antibiotics Prescribed for this Condition2])+SUMIF(July[Disease/Infection Type3], "Other",July[Number of Antibiotics Prescribed for this Condition3])</f>
        <v>0</v>
      </c>
      <c r="I34" s="21">
        <f>SUMIF(August[Disease/Infection Type], "Other",August[[Number of Antibiotics Prescribed for this Condition ]])+SUMIF(August[Disease/Infection Type2], "Other",August[Number of Antibiotics Prescribed for this Condition2])+SUMIF(August[Disease/Infection Type3], "Other",August[Number of Antibiotics Prescribed for this Condition3])</f>
        <v>0</v>
      </c>
      <c r="J34" s="21">
        <f>SUMIF(September[Disease/Infection Type], "Other",September[[Number of Antibiotics Prescribed for this Condition ]])+SUMIF(September[Disease/Infection Type2], "Other",September[Number of Antibiotics Prescribed for this Condition2])+SUMIF(September[Disease/Infection Type3], "Other",September[Number of Antibiotics Prescribed for this Condition3])</f>
        <v>0</v>
      </c>
      <c r="K34" s="21">
        <f>SUMIF(October[Disease/Infection Type], "Other",October[[Number of Antibiotics Prescribed for this Condition ]])+SUMIF(October[Disease/Infection Type2], "Other",October[Number of Antibiotics Prescribed for this Condition2])+SUMIF(October[Disease/Infection Type3], "Other",October[Number of Antibiotics Prescribed for this Condition3])</f>
        <v>0</v>
      </c>
      <c r="L34" s="21">
        <f>SUMIF(November[Disease/Infection Type], "Other",November[[Number of Antibiotics Prescribed for this Condition ]])+SUMIF(November[Disease/Infection Type2], "Other",November[Number of Antibiotics Prescribed for this Condition2])+SUMIF(November[Disease/Infection Type3], "Other",November[Number of Antibiotics Prescribed for this Condition3])</f>
        <v>0</v>
      </c>
      <c r="M34" s="21">
        <f>SUMIF(December[Disease/Infection Type], "Other",December[[Number of Antibiotics Prescribed for this Condition ]])+SUMIF(December[Disease/Infection Type2], "Other",December[Number of Antibiotics Prescribed for this Condition2])+SUMIF(December[Disease/Infection Type3], "Other",December[Number of Antibiotics Prescribed for this Condition3])</f>
        <v>0</v>
      </c>
      <c r="N34" s="21">
        <f t="shared" si="0"/>
        <v>0</v>
      </c>
      <c r="O34" s="21" t="e">
        <f>(N34/N37)*100</f>
        <v>#DIV/0!</v>
      </c>
      <c r="P34" s="21" t="s">
        <v>21</v>
      </c>
    </row>
    <row r="35" spans="1:16">
      <c r="A35" s="21" t="s">
        <v>100</v>
      </c>
      <c r="B35" s="21">
        <f>SUMIF(January[Disease/Infection Type], "None",January[[Number of Antibiotics Prescribed for this Condition ]])+SUMIF(January[Disease/Infection Type2], "None",January[Number of Antibiotics Prescribed for this Condition2])+SUMIF(January[Disease/Infection Type3], "None",January[Number of Antibiotics Prescribed for this Condition3])</f>
        <v>0</v>
      </c>
      <c r="C35" s="21">
        <f>SUMIF(February[Disease/Infection Type], "None",February[[Number of Antibiotics Prescribed for this Condition ]])+SUMIF(February[Disease/Infection Type2], "None",February[Number of Antibiotics Prescribed for this Condition2])+SUMIF(February[Disease/Infection Type3], "None",February[Number of Antibiotics Prescribed for this Condition3])</f>
        <v>0</v>
      </c>
      <c r="D35" s="21">
        <f>SUMIF(March[Disease/Infection Type], "None",March[[Number of Antibiotics Prescribed for this Condition ]])+SUMIF(March[Disease/Infection Type2], "None",March[Number of Antibiotics Prescribed for this Condition2])+SUMIF(March[Disease/Infection Type3], "None",March[Number of Antibiotics Prescribed for this Condition3])</f>
        <v>0</v>
      </c>
      <c r="E35" s="21">
        <f>SUMIF(April[Disease/Infection Type], "None",April[[Number of Antibiotics Prescribed for this Condition ]])+SUMIF(April[Disease/Infection Type2], "None",April[Number of Antibiotics Prescribed for this Condition2])+SUMIF(April[Disease/Infection Type3], "None",April[Number of Antibiotics Prescribed for this Condition3])</f>
        <v>0</v>
      </c>
      <c r="F35" s="21">
        <f>SUMIF(May[Disease/Infection Type], "None",May[[Number of Antibiotics Prescribed for this Condition ]])+SUMIF(May[Disease/Infection Type2], "None",May[Number of Antibiotics Prescribed for this Condition2])+SUMIF(May[Disease/Infection Type3], "None",May[Number of Antibiotics Prescribed for this Condition3])</f>
        <v>0</v>
      </c>
      <c r="G35" s="21">
        <f>SUMIF(June[Disease/Infection Type], "None",June[[Number of Antibiotics Prescribed for this Condition ]])+SUMIF(June[Disease/Infection Type2], "None",June[Number of Antibiotics Prescribed for this Condition2])+SUMIF(June[Disease/Infection Type3], "None",June[Number of Antibiotics Prescribed for this Condition3])</f>
        <v>0</v>
      </c>
      <c r="H35" s="21">
        <f>SUMIF(July[Disease/Infection Type], "None",July[[Number of Antibiotics Prescribed for this Condition ]])+SUMIF(July[Disease/Infection Type2], "None",July[Number of Antibiotics Prescribed for this Condition2])+SUMIF(July[Disease/Infection Type3], "None",July[Number of Antibiotics Prescribed for this Condition3])</f>
        <v>0</v>
      </c>
      <c r="I35" s="21">
        <f>SUMIF(August[Disease/Infection Type], "None",August[[Number of Antibiotics Prescribed for this Condition ]])+SUMIF(August[Disease/Infection Type2], "None",August[Number of Antibiotics Prescribed for this Condition2])+SUMIF(August[Disease/Infection Type3], "None",August[Number of Antibiotics Prescribed for this Condition3])</f>
        <v>0</v>
      </c>
      <c r="J35" s="21">
        <f>SUMIF(September[Disease/Infection Type], "None",September[[Number of Antibiotics Prescribed for this Condition ]])+SUMIF(September[Disease/Infection Type2], "None",September[Number of Antibiotics Prescribed for this Condition2])+SUMIF(September[Disease/Infection Type3], "None",September[Number of Antibiotics Prescribed for this Condition3])</f>
        <v>0</v>
      </c>
      <c r="K35" s="21">
        <f>SUMIF(October[Disease/Infection Type], "None",October[[Number of Antibiotics Prescribed for this Condition ]])+SUMIF(October[Disease/Infection Type2], "None",October[Number of Antibiotics Prescribed for this Condition2])+SUMIF(October[Disease/Infection Type3], "None",October[Number of Antibiotics Prescribed for this Condition3])</f>
        <v>0</v>
      </c>
      <c r="L35" s="21">
        <f>SUMIF(November[Disease/Infection Type], "None",November[[Number of Antibiotics Prescribed for this Condition ]])+SUMIF(November[Disease/Infection Type2], "None",November[Number of Antibiotics Prescribed for this Condition2])+SUMIF(November[Disease/Infection Type3], "None",November[Number of Antibiotics Prescribed for this Condition3])</f>
        <v>0</v>
      </c>
      <c r="M35" s="21">
        <f>SUMIF(December[Disease/Infection Type], "None",December[[Number of Antibiotics Prescribed for this Condition ]])+SUMIF(December[Disease/Infection Type2], "None",December[Number of Antibiotics Prescribed for this Condition2])+SUMIF(December[Disease/Infection Type3], "None",December[Number of Antibiotics Prescribed for this Condition3])</f>
        <v>0</v>
      </c>
      <c r="N35" s="21">
        <f t="shared" si="0"/>
        <v>0</v>
      </c>
      <c r="O35" s="21" t="e">
        <f>(N35/N37)*100</f>
        <v>#DIV/0!</v>
      </c>
      <c r="P35" s="21" t="s">
        <v>100</v>
      </c>
    </row>
    <row r="36" spans="1:16">
      <c r="A36" s="21" t="s">
        <v>64</v>
      </c>
      <c r="B36" s="21">
        <f>SUMIF(January[Disease/Infection Type], "Unknown",January[[Number of Antibiotics Prescribed for this Condition ]])+SUMIF(January[Disease/Infection Type2], "Unknown",January[Number of Antibiotics Prescribed for this Condition2])+SUMIF(January[Disease/Infection Type3], "Unknown",January[Number of Antibiotics Prescribed for this Condition3])</f>
        <v>0</v>
      </c>
      <c r="C36" s="21">
        <f>SUMIF(February[Disease/Infection Type], "Unknown",February[[Number of Antibiotics Prescribed for this Condition ]])+SUMIF(February[Disease/Infection Type2], "Unknown",February[Number of Antibiotics Prescribed for this Condition2])+SUMIF(February[Disease/Infection Type3], "Unknown",February[Number of Antibiotics Prescribed for this Condition3])</f>
        <v>0</v>
      </c>
      <c r="D36" s="21">
        <f>SUMIF(March[Disease/Infection Type], "Unknown",March[[Number of Antibiotics Prescribed for this Condition ]])+SUMIF(March[Disease/Infection Type2], "Unknown",March[Number of Antibiotics Prescribed for this Condition2])+SUMIF(March[Disease/Infection Type3], "Unknown",March[Number of Antibiotics Prescribed for this Condition3])</f>
        <v>0</v>
      </c>
      <c r="E36" s="21">
        <f>SUMIF(April[Disease/Infection Type], "Unknown",April[[Number of Antibiotics Prescribed for this Condition ]])+SUMIF(April[Disease/Infection Type2], "Unknown",April[Number of Antibiotics Prescribed for this Condition2])+SUMIF(April[Disease/Infection Type3], "Unknown",April[Number of Antibiotics Prescribed for this Condition3])</f>
        <v>0</v>
      </c>
      <c r="F36" s="21">
        <f>SUMIF(May[Disease/Infection Type], "Unknown",May[[Number of Antibiotics Prescribed for this Condition ]])+SUMIF(May[Disease/Infection Type2], "Unknown",May[Number of Antibiotics Prescribed for this Condition2])+SUMIF(May[Disease/Infection Type3], "Unknown",May[Number of Antibiotics Prescribed for this Condition3])</f>
        <v>0</v>
      </c>
      <c r="G36" s="21">
        <f>SUMIF(June[Disease/Infection Type], "Unknown",June[[Number of Antibiotics Prescribed for this Condition ]])+SUMIF(June[Disease/Infection Type2], "Unknown",June[Number of Antibiotics Prescribed for this Condition2])+SUMIF(June[Disease/Infection Type3], "Unknown",June[Number of Antibiotics Prescribed for this Condition3])</f>
        <v>0</v>
      </c>
      <c r="H36" s="21">
        <f>SUMIF(July[Disease/Infection Type], "Unknown",July[[Number of Antibiotics Prescribed for this Condition ]])+SUMIF(July[Disease/Infection Type2], "Unknown",July[Number of Antibiotics Prescribed for this Condition2])+SUMIF(July[Disease/Infection Type3], "Unknown",July[Number of Antibiotics Prescribed for this Condition3])</f>
        <v>0</v>
      </c>
      <c r="I36" s="21">
        <f>SUMIF(August[Disease/Infection Type], "Unknown",August[[Number of Antibiotics Prescribed for this Condition ]])+SUMIF(August[Disease/Infection Type2], "Unknown",August[Number of Antibiotics Prescribed for this Condition2])+SUMIF(August[Disease/Infection Type3], "Unknown",August[Number of Antibiotics Prescribed for this Condition3])</f>
        <v>0</v>
      </c>
      <c r="J36" s="21">
        <f>SUMIF(September[Disease/Infection Type], "Unknown",September[[Number of Antibiotics Prescribed for this Condition ]])+SUMIF(September[Disease/Infection Type2], "Unknown",September[Number of Antibiotics Prescribed for this Condition2])+SUMIF(September[Disease/Infection Type3], "Unknown",September[Number of Antibiotics Prescribed for this Condition3])</f>
        <v>0</v>
      </c>
      <c r="K36" s="21">
        <f>SUMIF(October[Disease/Infection Type], "Unknown",October[[Number of Antibiotics Prescribed for this Condition ]])+SUMIF(October[Disease/Infection Type2], "Unknown",October[Number of Antibiotics Prescribed for this Condition2])+SUMIF(October[Disease/Infection Type3], "Unknown",October[Number of Antibiotics Prescribed for this Condition3])</f>
        <v>0</v>
      </c>
      <c r="L36" s="21">
        <f>SUMIF(November[Disease/Infection Type], "Unknown",November[[Number of Antibiotics Prescribed for this Condition ]])+SUMIF(November[Disease/Infection Type2], "Unknown",November[Number of Antibiotics Prescribed for this Condition2])+SUMIF(November[Disease/Infection Type3], "Unknown",November[Number of Antibiotics Prescribed for this Condition3])</f>
        <v>0</v>
      </c>
      <c r="M36" s="21">
        <f>SUMIF(December[Disease/Infection Type], "Unknown",December[[Number of Antibiotics Prescribed for this Condition ]])+SUMIF(December[Disease/Infection Type2], "Unknown",December[Number of Antibiotics Prescribed for this Condition2])+SUMIF(December[Disease/Infection Type3], "Unknown",December[Number of Antibiotics Prescribed for this Condition3])</f>
        <v>0</v>
      </c>
      <c r="N36" s="21">
        <f t="shared" si="0"/>
        <v>0</v>
      </c>
      <c r="O36" s="21" t="e">
        <f>(N36/N37)*100</f>
        <v>#DIV/0!</v>
      </c>
      <c r="P36" s="21" t="s">
        <v>64</v>
      </c>
    </row>
    <row r="37" spans="1:16">
      <c r="M37" s="21" t="s">
        <v>259</v>
      </c>
      <c r="N37" s="21">
        <f>SUM(N19:N36)</f>
        <v>0</v>
      </c>
    </row>
    <row r="41" spans="1:16">
      <c r="A41" s="35"/>
      <c r="B41" s="35" t="s">
        <v>262</v>
      </c>
      <c r="C41" s="35" t="s">
        <v>294</v>
      </c>
      <c r="D41" s="21" t="s">
        <v>295</v>
      </c>
    </row>
    <row r="42" spans="1:16">
      <c r="A42" s="21" t="s">
        <v>68</v>
      </c>
      <c r="B42" s="21">
        <f>COUNTIFS(January[Patient Prescribed Antibiotic (Y/N/WW)], "Yes", January[Diagnostics Offered for Infectious Condition (Y/N)], "Yes")+COUNTIF(January[Diagnostics Offered for Infectious Condition (Y/N)2], "Yes")+COUNTIF(January[Diagnostics Offered for Infectious Condition (Y/N)3], "Yes")</f>
        <v>0</v>
      </c>
      <c r="C42" s="21">
        <f>COUNTIFS(January[Patient Prescribed Antibiotic (Y/N/WW)], "Yes",January[Diagnostic Performed for Infectious Condition (Y/N)], "Yes")+COUNTIF(January[Diagnostic Performed for Infectious Condition (Y/N)2], "Yes")+COUNTIF(January[Diagnostic Performed for Infectious Condition (Y/N)3], "Yes")</f>
        <v>0</v>
      </c>
    </row>
    <row r="43" spans="1:16">
      <c r="A43" s="21" t="s">
        <v>69</v>
      </c>
      <c r="B43" s="21">
        <f>COUNTIFS(February[Patient Prescribed Antibiotic (Y/N/WW)], "Yes", February[Diagnostics Offered for Infectious Condition (Y/N)], "Yes")+COUNTIF(February[Diagnostics Offered for Infectious Condition (Y/N)2], "Yes")+COUNTIF(February[Diagnostics Offered for Infectious Condition (Y/N)3], "Yes")</f>
        <v>0</v>
      </c>
      <c r="C43" s="21">
        <f>COUNTIFS(February[Patient Prescribed Antibiotic (Y/N/WW)], "Yes",February[Diagnostic Performed for Infectious Condition (Y/N)], "Yes")+COUNTIF(February[Diagnostic Performed for Infectious Condition (Y/N)2], "Yes")+COUNTIF(February[Diagnostic Performed for Infectious Condition (Y/N)3], "Yes")</f>
        <v>0</v>
      </c>
    </row>
    <row r="44" spans="1:16">
      <c r="A44" s="21" t="s">
        <v>70</v>
      </c>
      <c r="B44" s="21">
        <f>COUNTIFS(March[Patient Prescribed Antibiotic (Y/N/WW)], "Yes", March[Diagnostics Offered for Infectious Condition (Y/N)], "Yes")+COUNTIF(March[Diagnostics Offered for Infectious Condition (Y/N)2], "Yes")+COUNTIF(March[Diagnostics Offered for Infectious Condition (Y/N)3], "Yes")</f>
        <v>0</v>
      </c>
      <c r="C44" s="21">
        <f>COUNTIFS(March[Patient Prescribed Antibiotic (Y/N/WW)], "Yes",March[Diagnostic Performed for Infectious Condition (Y/N)], "Yes")+COUNTIF(March[Diagnostic Performed for Infectious Condition (Y/N)2], "Yes")+COUNTIF(March[Diagnostic Performed for Infectious Condition (Y/N)3], "Yes")</f>
        <v>0</v>
      </c>
    </row>
    <row r="45" spans="1:16">
      <c r="A45" s="21" t="s">
        <v>71</v>
      </c>
      <c r="B45" s="21">
        <f>COUNTIFS(April[Patient Prescribed Antibiotic (Y/N/WW)], "Yes", April[Diagnostics Offered for Infectious Condition (Y/N)], "Yes")+COUNTIF(April[Diagnostics Offered for Infectious Condition (Y/N)2], "Yes")+COUNTIF(April[Diagnostics Offered for Infectious Condition (Y/N)3], "Yes")</f>
        <v>0</v>
      </c>
      <c r="C45" s="21">
        <f>COUNTIFS(April[Patient Prescribed Antibiotic (Y/N/WW)], "Yes",April[Diagnostic Performed for Infectious Condition (Y/N)], "Yes")+COUNTIF(April[Diagnostic Performed for Infectious Condition (Y/N)2], "Yes")+COUNTIF(April[Diagnostic Performed for Infectious Condition (Y/N)3], "Yes")</f>
        <v>0</v>
      </c>
    </row>
    <row r="46" spans="1:16">
      <c r="A46" s="21" t="s">
        <v>72</v>
      </c>
      <c r="B46" s="21">
        <f>COUNTIFS(May[Patient Prescribed Antibiotic (Y/N/WW)], "Yes", May[Diagnostics Offered for Infectious Condition (Y/N)], "Yes")+COUNTIF(May[Diagnostics Offered for Infectious Condition (Y/N)2], "Yes")+COUNTIF(May[Diagnostics Offered for Infectious Condition (Y/N)3], "Yes")</f>
        <v>0</v>
      </c>
      <c r="C46" s="21">
        <f>COUNTIFS(May[Patient Prescribed Antibiotic (Y/N/WW)], "Yes",May[Diagnostic Performed for Infectious Condition (Y/N)], "Yes")+COUNTIF(May[Diagnostic Performed for Infectious Condition (Y/N)2], "Yes")+COUNTIF(May[Diagnostic Performed for Infectious Condition (Y/N)3], "Yes")</f>
        <v>0</v>
      </c>
    </row>
    <row r="47" spans="1:16">
      <c r="A47" s="21" t="s">
        <v>73</v>
      </c>
      <c r="B47" s="21">
        <f>COUNTIFS(June[Patient Prescribed Antibiotic (Y/N/WW)], "Yes", June[Diagnostics Offered for Infectious Condition (Y/N)], "Yes")+COUNTIF(June[Diagnostics Offered for Infectious Condition (Y/N)2], "Yes")+COUNTIF(June[Diagnostics Offered for Infectious Condition (Y/N)3], "Yes")</f>
        <v>0</v>
      </c>
      <c r="C47" s="21">
        <f>COUNTIFS(June[Patient Prescribed Antibiotic (Y/N/WW)], "Yes",June[Diagnostic Performed for Infectious Condition (Y/N)], "Yes")+COUNTIF(June[Diagnostic Performed for Infectious Condition (Y/N)2], "Yes")+COUNTIF(June[Diagnostic Performed for Infectious Condition (Y/N)3], "Yes")</f>
        <v>0</v>
      </c>
    </row>
    <row r="48" spans="1:16">
      <c r="A48" s="21" t="s">
        <v>74</v>
      </c>
      <c r="B48" s="21">
        <f>COUNTIFS(July[Patient Prescribed Antibiotic (Y/N/WW)], "Yes", July[Diagnostics Offered for Infectious Condition (Y/N)], "Yes")+COUNTIF(July[Diagnostics Offered for Infectious Condition (Y/N)2], "Yes")+COUNTIF(July[Diagnostics Offered for Infectious Condition (Y/N)3], "Yes")</f>
        <v>0</v>
      </c>
      <c r="C48" s="21">
        <f>COUNTIFS(July[Patient Prescribed Antibiotic (Y/N/WW)], "Yes",July[Diagnostic Performed for Infectious Condition (Y/N)], "Yes")+COUNTIF(July[Diagnostic Performed for Infectious Condition (Y/N)2], "Yes")+COUNTIF(July[Diagnostic Performed for Infectious Condition (Y/N)3], "Yes")</f>
        <v>0</v>
      </c>
    </row>
    <row r="49" spans="1:28">
      <c r="A49" s="21" t="s">
        <v>75</v>
      </c>
      <c r="B49" s="21">
        <f>COUNTIFS(August[Patient Prescribed Antibiotic (Y/N/WW)], "Yes", August[Diagnostics Offered for Infectious Condition (Y/N)], "Yes")+COUNTIF(August[Diagnostics Offered for Infectious Condition (Y/N)2], "Yes")+COUNTIF(August[Diagnostics Offered for Infectious Condition (Y/N)3], "Yes")</f>
        <v>0</v>
      </c>
      <c r="C49" s="21">
        <f>COUNTIFS(August[Patient Prescribed Antibiotic (Y/N/WW)], "Yes",August[Diagnostic Performed for Infectious Condition (Y/N)], "Yes")+COUNTIF(August[Diagnostic Performed for Infectious Condition (Y/N)2], "Yes")+COUNTIF(August[Diagnostic Performed for Infectious Condition (Y/N)3], "Yes")</f>
        <v>0</v>
      </c>
    </row>
    <row r="50" spans="1:28">
      <c r="A50" s="21" t="s">
        <v>76</v>
      </c>
      <c r="B50" s="21">
        <f>COUNTIFS(September[Patient Prescribed Antibiotic (Y/N/WW)], "Yes", September[Diagnostics Offered for Infectious Condition (Y/N)], "Yes")+COUNTIF(September[Diagnostics Offered for Infectious Condition (Y/N)2], "Yes")+COUNTIF(September[Diagnostics Offered for Infectious Condition (Y/N)3], "Yes")</f>
        <v>0</v>
      </c>
      <c r="C50" s="21">
        <f>COUNTIFS(September[Patient Prescribed Antibiotic (Y/N/WW)], "Yes",September[Diagnostic Performed for Infectious Condition (Y/N)], "Yes")+COUNTIF(September[Diagnostic Performed for Infectious Condition (Y/N)2], "Yes")+COUNTIF(September[Diagnostic Performed for Infectious Condition (Y/N)3], "Yes")</f>
        <v>0</v>
      </c>
    </row>
    <row r="51" spans="1:28">
      <c r="A51" s="21" t="s">
        <v>77</v>
      </c>
      <c r="B51" s="21">
        <f>COUNTIFS(October[Patient Prescribed Antibiotic (Y/N/WW)], "Yes", October[Diagnostics Offered for Infectious Condition (Y/N)], "Yes")+COUNTIF(October[Diagnostics Offered for Infectious Condition (Y/N)2], "Yes")+COUNTIF(October[Diagnostics Offered for Infectious Condition (Y/N)3], "Yes")</f>
        <v>0</v>
      </c>
      <c r="C51" s="36">
        <f>COUNTIFS(October[Patient Prescribed Antibiotic (Y/N/WW)], "Yes",October[Diagnostic Performed for Infectious Condition (Y/N)], "Yes")+COUNTIF(October[Diagnostic Performed for Infectious Condition (Y/N)2], "Yes")+COUNTIF(October[Diagnostic Performed for Infectious Condition (Y/N)3], "Yes")</f>
        <v>0</v>
      </c>
    </row>
    <row r="52" spans="1:28">
      <c r="A52" s="21" t="s">
        <v>78</v>
      </c>
      <c r="B52" s="21">
        <f>COUNTIFS(November[Patient Prescribed Antibiotic (Y/N/WW)], "Yes", November[Diagnostics Offered for Infectious Condition (Y/N)], "Yes")+COUNTIF(November[Diagnostics Offered for Infectious Condition (Y/N)2], "Yes")+COUNTIF(November[Diagnostics Offered for Infectious Condition (Y/N)3], "Yes")</f>
        <v>0</v>
      </c>
      <c r="C52" s="21">
        <f>COUNTIFS(November[Patient Prescribed Antibiotic (Y/N/WW)], "Yes",November[Diagnostic Performed for Infectious Condition (Y/N)], "Yes")+COUNTIF(November[Diagnostic Performed for Infectious Condition (Y/N)2], "Yes")+COUNTIF(November[Diagnostic Performed for Infectious Condition (Y/N)3], "Yes")</f>
        <v>0</v>
      </c>
    </row>
    <row r="53" spans="1:28">
      <c r="A53" s="21" t="s">
        <v>79</v>
      </c>
      <c r="B53" s="21">
        <f>COUNTIFS(December[Patient Prescribed Antibiotic (Y/N/WW)], "Yes", December[Diagnostics Offered for Infectious Condition (Y/N)], "Yes")+COUNTIF(December[Diagnostics Offered for Infectious Condition (Y/N)2], "Yes")+COUNTIF(December[Diagnostics Offered for Infectious Condition (Y/N)3], "Yes")</f>
        <v>0</v>
      </c>
      <c r="C53" s="21">
        <f>COUNTIFS(December[Patient Prescribed Antibiotic (Y/N/WW)], "Yes",December[Diagnostic Performed for Infectious Condition (Y/N)], "Yes")+COUNTIF(December[Diagnostic Performed for Infectious Condition (Y/N)2], "Yes")+COUNTIF(December[Diagnostic Performed for Infectious Condition (Y/N)3], "Yes")</f>
        <v>0</v>
      </c>
    </row>
    <row r="54" spans="1:28">
      <c r="A54" s="21" t="s">
        <v>239</v>
      </c>
      <c r="B54" s="21">
        <f>SUM(B42:B53)</f>
        <v>0</v>
      </c>
      <c r="C54" s="21">
        <f>SUM(C42:C53)</f>
        <v>0</v>
      </c>
    </row>
    <row r="60" spans="1:28">
      <c r="A60" s="35" t="s">
        <v>296</v>
      </c>
    </row>
    <row r="61" spans="1:28">
      <c r="A61" s="21" t="s">
        <v>25</v>
      </c>
    </row>
    <row r="62" spans="1:28">
      <c r="A62" s="21" t="s">
        <v>26</v>
      </c>
    </row>
    <row r="63" spans="1:28">
      <c r="A63" s="21" t="s">
        <v>267</v>
      </c>
    </row>
    <row r="64" spans="1:28">
      <c r="A64" s="21" t="s">
        <v>27</v>
      </c>
      <c r="C64" s="35"/>
      <c r="G64" s="21" t="s">
        <v>52</v>
      </c>
      <c r="H64" s="21" t="s">
        <v>119</v>
      </c>
      <c r="I64" s="21" t="s">
        <v>284</v>
      </c>
      <c r="J64" s="21" t="s">
        <v>55</v>
      </c>
      <c r="K64" s="21" t="s">
        <v>57</v>
      </c>
      <c r="L64" s="21" t="s">
        <v>281</v>
      </c>
      <c r="M64" s="21" t="s">
        <v>60</v>
      </c>
      <c r="N64" s="21" t="s">
        <v>286</v>
      </c>
      <c r="O64" s="21" t="s">
        <v>58</v>
      </c>
      <c r="P64" s="21" t="s">
        <v>54</v>
      </c>
      <c r="Q64" s="21" t="s">
        <v>63</v>
      </c>
      <c r="R64" s="21" t="s">
        <v>62</v>
      </c>
      <c r="S64" s="21" t="s">
        <v>279</v>
      </c>
      <c r="T64" s="21" t="s">
        <v>265</v>
      </c>
      <c r="U64" s="21" t="s">
        <v>290</v>
      </c>
      <c r="V64" s="21" t="s">
        <v>53</v>
      </c>
      <c r="W64" s="21" t="s">
        <v>56</v>
      </c>
      <c r="X64" s="21" t="s">
        <v>59</v>
      </c>
      <c r="Y64" s="21" t="s">
        <v>125</v>
      </c>
      <c r="Z64" s="21" t="s">
        <v>48</v>
      </c>
      <c r="AA64" s="21" t="s">
        <v>140</v>
      </c>
      <c r="AB64" s="21" t="s">
        <v>61</v>
      </c>
    </row>
    <row r="65" spans="1:29">
      <c r="A65" s="21" t="s">
        <v>266</v>
      </c>
      <c r="F65" s="21" t="s">
        <v>68</v>
      </c>
      <c r="G65" s="21">
        <f>COUNTIF(January!1:1048576, "Aminoglycosides")</f>
        <v>0</v>
      </c>
      <c r="H65" s="21">
        <f>COUNTIF(January!1:1048576, "B-lactam/B-lactamase inhibitor combination")</f>
        <v>0</v>
      </c>
      <c r="I65" s="21">
        <f>COUNTIF(January!1:1048576, "Carbapenems")</f>
        <v>0</v>
      </c>
      <c r="J65" s="21">
        <f>COUNTIF(January!1:1048576, "Cephalosporins")</f>
        <v>0</v>
      </c>
      <c r="K65" s="21">
        <f>COUNTIF(January!1:1048576, "Fluoroquinolones")</f>
        <v>0</v>
      </c>
      <c r="L65" s="21">
        <f>COUNTIF(January!1:1048576, "Fosfomycins")</f>
        <v>0</v>
      </c>
      <c r="M65" s="21">
        <f>COUNTIF(January!1:1048576, "Glycopeptides")</f>
        <v>0</v>
      </c>
      <c r="N65" s="21">
        <f>COUNTIF(January!1:1048576, "Glycylcyclines")</f>
        <v>0</v>
      </c>
      <c r="O65" s="21">
        <f>COUNTIF(January!1:1048576, "Lincosamides")</f>
        <v>0</v>
      </c>
      <c r="P65" s="21">
        <f>COUNTIF(January!1:1048576, "Macrolides")</f>
        <v>0</v>
      </c>
      <c r="Q65" s="21">
        <f>COUNTIF(January!1:1048576, "Nitrofurans")</f>
        <v>0</v>
      </c>
      <c r="R65" s="21">
        <f>COUNTIF(January!1:1048576, "Nitroimidazoles")</f>
        <v>0</v>
      </c>
      <c r="S65" s="21">
        <f>COUNTIF(January!1:1048576, "Ophthalmic")</f>
        <v>0</v>
      </c>
      <c r="T65" s="21">
        <f>COUNTIF(January!1:1048576, "Otic")</f>
        <v>0</v>
      </c>
      <c r="U65" s="21">
        <f>COUNTIF(January!1:1048576, "Oxazolidinones")</f>
        <v>0</v>
      </c>
      <c r="V65" s="21">
        <f>COUNTIF(January!1:1048576, "Penicillins")</f>
        <v>0</v>
      </c>
      <c r="W65" s="21">
        <f>COUNTIF(January!1:1048576, "Phenicols")</f>
        <v>0</v>
      </c>
      <c r="X65" s="21">
        <f>COUNTIF(January!1:1048576, "Polymyxins")</f>
        <v>0</v>
      </c>
      <c r="Y65" s="21">
        <f>COUNTIF(January!1:1048576, "Polypeptides")</f>
        <v>0</v>
      </c>
      <c r="Z65" s="21">
        <f>COUNTIF(January!1:1048576, "Rifampin")</f>
        <v>0</v>
      </c>
      <c r="AA65" s="21">
        <f>COUNTIF(January!1:1048576, "Sulfonamides")</f>
        <v>0</v>
      </c>
      <c r="AB65" s="21">
        <f>COUNTIF(January!1:1048576, "Tetracyclines")</f>
        <v>0</v>
      </c>
    </row>
    <row r="66" spans="1:29">
      <c r="A66" s="21" t="s">
        <v>28</v>
      </c>
      <c r="F66" s="21" t="s">
        <v>69</v>
      </c>
      <c r="G66" s="21">
        <f>COUNTIF(February!1:1048576, "Aminoglycosides")</f>
        <v>0</v>
      </c>
      <c r="H66" s="21">
        <f>COUNTIF(February!1:1048576, "B-lactam/B-lactamase inhibitor combination")</f>
        <v>0</v>
      </c>
      <c r="I66" s="21">
        <f>COUNTIF(February!1:1048576, "Carbapenems")</f>
        <v>0</v>
      </c>
      <c r="J66" s="21">
        <f>COUNTIF(February!1:1048576, "Cephalosporins")</f>
        <v>0</v>
      </c>
      <c r="K66" s="21">
        <f>COUNTIF(February!1:1048576, "Fluoroquinolones")</f>
        <v>0</v>
      </c>
      <c r="L66" s="21">
        <f>COUNTIF(February!1:1048576, "Fosfomycins")</f>
        <v>0</v>
      </c>
      <c r="M66" s="21">
        <f>COUNTIF(February!1:1048576, "Glycopeptides")</f>
        <v>0</v>
      </c>
      <c r="N66" s="21">
        <f>COUNTIF(February!1:1048576, "Glycylcyclines")</f>
        <v>0</v>
      </c>
      <c r="O66" s="21">
        <f>COUNTIF(February!1:1048576, "Lincosamides")</f>
        <v>0</v>
      </c>
      <c r="P66" s="21">
        <f>COUNTIF(February!1:1048576, "Macrolides")</f>
        <v>0</v>
      </c>
      <c r="Q66" s="21">
        <f>COUNTIF(February!1:1048576, "Nitrofurans")</f>
        <v>0</v>
      </c>
      <c r="R66" s="21">
        <f>COUNTIF(February!1:1048576, "Nitroimidazoles")</f>
        <v>0</v>
      </c>
      <c r="S66" s="21">
        <f>COUNTIF(February!1:1048576, "Ophthalmic")</f>
        <v>0</v>
      </c>
      <c r="T66" s="21">
        <f>COUNTIF(February!1:1048576, "Otic")</f>
        <v>0</v>
      </c>
      <c r="U66" s="21">
        <f>COUNTIF(February!1:1048576, "Oxazolidinones")</f>
        <v>0</v>
      </c>
      <c r="V66" s="21">
        <f>COUNTIF(February!1:1048576, "Penicillins")</f>
        <v>0</v>
      </c>
      <c r="W66" s="21">
        <f>COUNTIF(February!1:1048576, "Phenicols")</f>
        <v>0</v>
      </c>
      <c r="X66" s="21">
        <f>COUNTIF(February!1:1048576, "Polymyxins")</f>
        <v>0</v>
      </c>
      <c r="Y66" s="21">
        <f>COUNTIF(February!1:1048576, "Polypeptides")</f>
        <v>0</v>
      </c>
      <c r="Z66" s="21">
        <f>COUNTIF(February!1:1048576, "Rifampin")</f>
        <v>0</v>
      </c>
      <c r="AA66" s="21">
        <f>COUNTIF(February!1:1048576, "Sulfonamides")</f>
        <v>0</v>
      </c>
      <c r="AB66" s="21">
        <f>COUNTIF(February!1:1048576, "Tetracyclines")</f>
        <v>0</v>
      </c>
    </row>
    <row r="67" spans="1:29">
      <c r="A67" s="21" t="s">
        <v>124</v>
      </c>
      <c r="F67" s="21" t="s">
        <v>70</v>
      </c>
      <c r="G67" s="21">
        <f>COUNTIF(March!1:1048576, "Aminoglycosides")</f>
        <v>0</v>
      </c>
      <c r="H67" s="21">
        <f>COUNTIF(March!1:1048576, "B-lactam/B-lactamase inhibitor combination")</f>
        <v>0</v>
      </c>
      <c r="I67" s="21">
        <f>COUNTIF(March!1:1048576, "Carbapenems")</f>
        <v>0</v>
      </c>
      <c r="J67" s="21">
        <f>COUNTIF(March!1:1048576, "Cephalosporins")</f>
        <v>0</v>
      </c>
      <c r="K67" s="21">
        <f>COUNTIF(March!1:1048576, "Fluoroquinolones")</f>
        <v>0</v>
      </c>
      <c r="L67" s="21">
        <f>COUNTIF(March!1:1048576, "Fosfomycins")</f>
        <v>0</v>
      </c>
      <c r="M67" s="21">
        <f>COUNTIF(March!1:1048576, "Glycopeptides")</f>
        <v>0</v>
      </c>
      <c r="N67" s="21">
        <f>COUNTIF(March!1:1048576, "Glycylcyclines")</f>
        <v>0</v>
      </c>
      <c r="O67" s="21">
        <f>COUNTIF(March!1:1048576, "Lincosamides")</f>
        <v>0</v>
      </c>
      <c r="P67" s="21">
        <f>COUNTIF(March!1:1048576, "Macrolides")</f>
        <v>0</v>
      </c>
      <c r="Q67" s="21">
        <f>COUNTIF(March!1:1048576, "Nitrofurans")</f>
        <v>0</v>
      </c>
      <c r="R67" s="21">
        <f>COUNTIF(March!1:1048576, "Nitroimidazoles")</f>
        <v>0</v>
      </c>
      <c r="S67" s="21">
        <f>COUNTIF(March!1:1048576, "Ophthalmic")</f>
        <v>0</v>
      </c>
      <c r="T67" s="21">
        <f>COUNTIF(March!1:1048576, "Otic")</f>
        <v>0</v>
      </c>
      <c r="U67" s="21">
        <f>COUNTIF(March!1:1048576, "Oxazolidinones")</f>
        <v>0</v>
      </c>
      <c r="V67" s="21">
        <f>COUNTIF(March!1:1048576, "Penicillins")</f>
        <v>0</v>
      </c>
      <c r="W67" s="21">
        <f>COUNTIF(March!1:1048576, "Phenicols")</f>
        <v>0</v>
      </c>
      <c r="X67" s="21">
        <f>COUNTIF(March!1:1048576, "Polymyxins")</f>
        <v>0</v>
      </c>
      <c r="Y67" s="21">
        <f>COUNTIF(March!1:1048576, "Polypeptides")</f>
        <v>0</v>
      </c>
      <c r="Z67" s="21">
        <f>COUNTIF(March!1:1048576, "Rifampin")</f>
        <v>0</v>
      </c>
      <c r="AA67" s="21">
        <f>COUNTIF(March!1:1048576, "Sulfonamides")</f>
        <v>0</v>
      </c>
      <c r="AB67" s="21">
        <f>COUNTIF(March!1:1048576, "Tetracyclines")</f>
        <v>0</v>
      </c>
    </row>
    <row r="68" spans="1:29">
      <c r="A68" s="21" t="s">
        <v>29</v>
      </c>
      <c r="F68" s="21" t="s">
        <v>71</v>
      </c>
      <c r="G68" s="21">
        <f>COUNTIF(April!1:1048576, "Aminoglycosides")</f>
        <v>0</v>
      </c>
      <c r="H68" s="21">
        <f>COUNTIF(April!1:1048576, "B-lactam/B-lactamase inhibitor combination")</f>
        <v>0</v>
      </c>
      <c r="I68" s="21">
        <f>COUNTIF(April!1:1048576, "Carbapenems")</f>
        <v>0</v>
      </c>
      <c r="J68" s="21">
        <f>COUNTIF(April!1:1048576, "Cephalosporins")</f>
        <v>0</v>
      </c>
      <c r="K68" s="21">
        <f>COUNTIF(April!1:1048576, "Fluoroquinolones")</f>
        <v>0</v>
      </c>
      <c r="L68" s="21">
        <f>COUNTIF(April!1:1048576, "Fosfomycins")</f>
        <v>0</v>
      </c>
      <c r="M68" s="21">
        <f>COUNTIF(April!1:1048576, "Glycopeptides")</f>
        <v>0</v>
      </c>
      <c r="N68" s="21">
        <f>COUNTIF(April!1:1048576, "Glycylcyclines")</f>
        <v>0</v>
      </c>
      <c r="O68" s="21">
        <f>COUNTIF(April!1:1048576, "Lincosamides")</f>
        <v>0</v>
      </c>
      <c r="P68" s="21">
        <f>COUNTIF(April!1:1048576, "Macrolides")</f>
        <v>0</v>
      </c>
      <c r="Q68" s="21">
        <f>COUNTIF(April!1:1048576, "Nitrofurans")</f>
        <v>0</v>
      </c>
      <c r="R68" s="21">
        <f>COUNTIF(April!1:1048576, "Nitroimidazoles")</f>
        <v>0</v>
      </c>
      <c r="S68" s="21">
        <f>COUNTIF(April!1:1048576, "Ophthalmic")</f>
        <v>0</v>
      </c>
      <c r="T68" s="21">
        <f>COUNTIF(April!1:1048576, "Otic")</f>
        <v>0</v>
      </c>
      <c r="U68" s="21">
        <f>COUNTIF(April!1:1048576, "Oxazolidinones")</f>
        <v>0</v>
      </c>
      <c r="V68" s="21">
        <f>COUNTIF(April!1:1048576, "Penicillins")</f>
        <v>0</v>
      </c>
      <c r="W68" s="21">
        <f>COUNTIF(April!1:1048576, "Phenicols")</f>
        <v>0</v>
      </c>
      <c r="X68" s="21">
        <f>COUNTIF(April!1:1048576, "Polymyxins")</f>
        <v>0</v>
      </c>
      <c r="Y68" s="21">
        <f>COUNTIF(April!1:1048576, "Polypeptides")</f>
        <v>0</v>
      </c>
      <c r="Z68" s="21">
        <f>COUNTIF(April!1:1048576, "Rifampin")</f>
        <v>0</v>
      </c>
      <c r="AA68" s="21">
        <f>COUNTIF(April!1:1048576, "Sulfonamides")</f>
        <v>0</v>
      </c>
      <c r="AB68" s="21">
        <f>COUNTIF(April!1:1048576, "Tetracyclines")</f>
        <v>0</v>
      </c>
    </row>
    <row r="69" spans="1:29">
      <c r="A69" s="21" t="s">
        <v>30</v>
      </c>
      <c r="F69" s="21" t="s">
        <v>72</v>
      </c>
      <c r="G69" s="21">
        <f>COUNTIF(May!1:1048576, "Aminoglycosides")</f>
        <v>0</v>
      </c>
      <c r="H69" s="21">
        <f>COUNTIF(May!1:1048576, "B-lactam/B-lactamase inhibitor combination")</f>
        <v>0</v>
      </c>
      <c r="I69" s="21">
        <f>COUNTIF(May!1:1048576, "Carbapenems")</f>
        <v>0</v>
      </c>
      <c r="J69" s="21">
        <f>COUNTIF(May!1:1048576, "Cephalosporins")</f>
        <v>0</v>
      </c>
      <c r="K69" s="21">
        <f>COUNTIF(May!1:1048576, "Fluoroquinolones")</f>
        <v>0</v>
      </c>
      <c r="L69" s="21">
        <f>COUNTIF(May!1:1048576, "Fosfomycins")</f>
        <v>0</v>
      </c>
      <c r="M69" s="21">
        <f>COUNTIF(May!1:1048576, "Glycopeptides")</f>
        <v>0</v>
      </c>
      <c r="N69" s="21">
        <f>COUNTIF(May!1:1048576, "Glycylcyclines")</f>
        <v>0</v>
      </c>
      <c r="O69" s="21">
        <f>COUNTIF(May!1:1048576, "Lincosamides")</f>
        <v>0</v>
      </c>
      <c r="P69" s="21">
        <f>COUNTIF(May!1:1048576, "Macrolides")</f>
        <v>0</v>
      </c>
      <c r="Q69" s="21">
        <f>COUNTIF(May!1:1048576, "Nitrofurans")</f>
        <v>0</v>
      </c>
      <c r="R69" s="21">
        <f>COUNTIF(May!1:1048576, "Nitroimidazoles")</f>
        <v>0</v>
      </c>
      <c r="S69" s="21">
        <f>COUNTIF(May!1:1048576, "Ophthalmic")</f>
        <v>0</v>
      </c>
      <c r="T69" s="21">
        <f>COUNTIF(May!1:1048576, "Otic")</f>
        <v>0</v>
      </c>
      <c r="U69" s="21">
        <f>COUNTIF(May!1:1048576, "Oxazolidinones")</f>
        <v>0</v>
      </c>
      <c r="V69" s="21">
        <f>COUNTIF(May!1:1048576, "Penicillins")</f>
        <v>0</v>
      </c>
      <c r="W69" s="21">
        <f>COUNTIF(May!1:1048576, "Phenicols")</f>
        <v>0</v>
      </c>
      <c r="X69" s="21">
        <f>COUNTIF(May!1:1048576, "Polymyxins")</f>
        <v>0</v>
      </c>
      <c r="Y69" s="21">
        <f>COUNTIF(May!1:1048576, "Polypeptides")</f>
        <v>0</v>
      </c>
      <c r="Z69" s="21">
        <f>COUNTIF(May!1:1048576, "Rifampin")</f>
        <v>0</v>
      </c>
      <c r="AA69" s="21">
        <f>COUNTIF(May!1:1048576, "Sulfonamides")</f>
        <v>0</v>
      </c>
      <c r="AB69" s="21">
        <f>COUNTIF(May!1:1048576, "Tetracyclines")</f>
        <v>0</v>
      </c>
    </row>
    <row r="70" spans="1:29">
      <c r="A70" s="21" t="s">
        <v>31</v>
      </c>
      <c r="F70" s="21" t="s">
        <v>73</v>
      </c>
      <c r="G70" s="21">
        <f>COUNTIF(June!1:1048576, "Aminoglycosides")</f>
        <v>0</v>
      </c>
      <c r="H70" s="21">
        <f>COUNTIF(June!1:1048576, "B-lactam/B-lactamase inhibitor combination")</f>
        <v>0</v>
      </c>
      <c r="I70" s="21">
        <f>COUNTIF(June!1:1048576, "Carbapenems")</f>
        <v>0</v>
      </c>
      <c r="J70" s="21">
        <f>COUNTIF(June!1:1048576, "Cephalosporins")</f>
        <v>0</v>
      </c>
      <c r="K70" s="21">
        <f>COUNTIF(June!1:1048576, "Fluoroquinolones")</f>
        <v>0</v>
      </c>
      <c r="L70" s="21">
        <f>COUNTIF(June!1:1048576, "Fosfomycins")</f>
        <v>0</v>
      </c>
      <c r="M70" s="21">
        <f>COUNTIF(June!1:1048576, "Glycopeptides")</f>
        <v>0</v>
      </c>
      <c r="N70" s="21">
        <f>COUNTIF(June!1:1048576, "Glycylcyclines")</f>
        <v>0</v>
      </c>
      <c r="O70" s="21">
        <f>COUNTIF(June!1:1048576, "Lincosamides")</f>
        <v>0</v>
      </c>
      <c r="P70" s="21">
        <f>COUNTIF(June!1:1048576, "Macrolides")</f>
        <v>0</v>
      </c>
      <c r="Q70" s="21">
        <f>COUNTIF(June!1:1048576, "Nitrofurans")</f>
        <v>0</v>
      </c>
      <c r="R70" s="21">
        <f>COUNTIF(June!1:1048576, "Nitroimidazoles")</f>
        <v>0</v>
      </c>
      <c r="S70" s="21">
        <f>COUNTIF(June!1:1048576, "Ophthalmic")</f>
        <v>0</v>
      </c>
      <c r="T70" s="21">
        <f>COUNTIF(June!1:1048576, "Otic")</f>
        <v>0</v>
      </c>
      <c r="U70" s="21">
        <f>COUNTIF(June!1:1048576, "Oxazolidinones")</f>
        <v>0</v>
      </c>
      <c r="V70" s="21">
        <f>COUNTIF(June!1:1048576, "Penicillins")</f>
        <v>0</v>
      </c>
      <c r="W70" s="21">
        <f>COUNTIF(June!1:1048576, "Phenicols")</f>
        <v>0</v>
      </c>
      <c r="X70" s="21">
        <f>COUNTIF(June!1:1048576, "Polymyxins")</f>
        <v>0</v>
      </c>
      <c r="Y70" s="21">
        <f>COUNTIF(June!1:1048576, "Polypeptides")</f>
        <v>0</v>
      </c>
      <c r="Z70" s="21">
        <f>COUNTIF(June!1:1048576, "Rifampin")</f>
        <v>0</v>
      </c>
      <c r="AA70" s="21">
        <f>COUNTIF(June!1:1048576, "Sulfonamides")</f>
        <v>0</v>
      </c>
      <c r="AB70" s="21">
        <f>COUNTIF(June!1:1048576, "Tetracyclines")</f>
        <v>0</v>
      </c>
    </row>
    <row r="71" spans="1:29">
      <c r="A71" s="21" t="s">
        <v>32</v>
      </c>
      <c r="F71" s="21" t="s">
        <v>74</v>
      </c>
      <c r="G71" s="21">
        <f>COUNTIF(July!1:1048576, "Aminoglycosides")</f>
        <v>0</v>
      </c>
      <c r="H71" s="21">
        <f>COUNTIF(July!1:1048576, "B-lactam/B-lactamase inhibitor combination")</f>
        <v>0</v>
      </c>
      <c r="I71" s="21">
        <f>COUNTIF(July!1:1048576, "Carbapenems")</f>
        <v>0</v>
      </c>
      <c r="J71" s="21">
        <f>COUNTIF(July!1:1048576, "Cephalosporins")</f>
        <v>0</v>
      </c>
      <c r="K71" s="21">
        <f>COUNTIF(July!1:1048576, "Fluoroquinolones")</f>
        <v>0</v>
      </c>
      <c r="L71" s="21">
        <f>COUNTIF(July!1:1048576, "Fosfomycins")</f>
        <v>0</v>
      </c>
      <c r="M71" s="21">
        <f>COUNTIF(July!1:1048576, "Glycopeptides")</f>
        <v>0</v>
      </c>
      <c r="N71" s="21">
        <f>COUNTIF(July!1:1048576, "Glycylcyclines")</f>
        <v>0</v>
      </c>
      <c r="O71" s="21">
        <f>COUNTIF(July!1:1048576, "Lincosamides")</f>
        <v>0</v>
      </c>
      <c r="P71" s="21">
        <f>COUNTIF(July!1:1048576, "Macrolides")</f>
        <v>0</v>
      </c>
      <c r="Q71" s="21">
        <f>COUNTIF(July!1:1048576, "Nitrofurans")</f>
        <v>0</v>
      </c>
      <c r="R71" s="21">
        <f>COUNTIF(July!1:1048576, "Nitroimidazoles")</f>
        <v>0</v>
      </c>
      <c r="S71" s="21">
        <f>COUNTIF(July!1:1048576, "Ophthalmic")</f>
        <v>0</v>
      </c>
      <c r="T71" s="21">
        <f>COUNTIF(July!1:1048576, "Otic")</f>
        <v>0</v>
      </c>
      <c r="U71" s="21">
        <f>COUNTIF(July!1:1048576, "Oxazolidinones")</f>
        <v>0</v>
      </c>
      <c r="V71" s="21">
        <f>COUNTIF(July!1:1048576, "Penicillins")</f>
        <v>0</v>
      </c>
      <c r="W71" s="21">
        <f>COUNTIF(July!1:1048576, "Phenicols")</f>
        <v>0</v>
      </c>
      <c r="X71" s="21">
        <f>COUNTIF(July!1:1048576, "Polymyxins")</f>
        <v>0</v>
      </c>
      <c r="Y71" s="21">
        <f>COUNTIF(July!1:1048576, "Polypeptides")</f>
        <v>0</v>
      </c>
      <c r="Z71" s="21">
        <f>COUNTIF(July!1:1048576, "Rifampin")</f>
        <v>0</v>
      </c>
      <c r="AA71" s="21">
        <f>COUNTIF(July!1:1048576, "Sulfonamides")</f>
        <v>0</v>
      </c>
      <c r="AB71" s="21">
        <f>COUNTIF(July!1:1048576, "Tetracyclines")</f>
        <v>0</v>
      </c>
    </row>
    <row r="72" spans="1:29">
      <c r="A72" s="21" t="s">
        <v>268</v>
      </c>
      <c r="F72" s="21" t="s">
        <v>75</v>
      </c>
      <c r="G72" s="21">
        <f>COUNTIF(August!1:1048576, "Aminoglycosides")</f>
        <v>0</v>
      </c>
      <c r="H72" s="21">
        <f>COUNTIF(August!1:1048576, "B-lactam/B-lactamase inhibitor combination")</f>
        <v>0</v>
      </c>
      <c r="I72" s="21">
        <f>COUNTIF(August!1:1048576, "Carbapenems")</f>
        <v>0</v>
      </c>
      <c r="J72" s="21">
        <f>COUNTIF(August!1:1048576, "Cephalosporins")</f>
        <v>0</v>
      </c>
      <c r="K72" s="21">
        <f>COUNTIF(August!1:1048576, "Fluoroquinolones")</f>
        <v>0</v>
      </c>
      <c r="L72" s="21">
        <f>COUNTIF(August!1:1048576, "Fosfomycins")</f>
        <v>0</v>
      </c>
      <c r="M72" s="21">
        <f>COUNTIF(August!1:1048576, "Glycopeptides")</f>
        <v>0</v>
      </c>
      <c r="N72" s="21">
        <f>COUNTIF(August!1:1048576, "Glycylcyclines")</f>
        <v>0</v>
      </c>
      <c r="O72" s="21">
        <f>COUNTIF(August!1:1048576, "Lincosamides")</f>
        <v>0</v>
      </c>
      <c r="P72" s="21">
        <f>COUNTIF(August!1:1048576, "Macrolides")</f>
        <v>0</v>
      </c>
      <c r="Q72" s="21">
        <f>COUNTIF(August!1:1048576, "Nitrofurans")</f>
        <v>0</v>
      </c>
      <c r="R72" s="21">
        <f>COUNTIF(August!1:1048576, "Nitroimidazoles")</f>
        <v>0</v>
      </c>
      <c r="S72" s="21">
        <f>COUNTIF(August!1:1048576, "Ophthalmic")</f>
        <v>0</v>
      </c>
      <c r="T72" s="21">
        <f>COUNTIF(August!1:1048576, "Otic")</f>
        <v>0</v>
      </c>
      <c r="U72" s="21">
        <f>COUNTIF(August!1:1048576, "Oxazolidinones")</f>
        <v>0</v>
      </c>
      <c r="V72" s="21">
        <f>COUNTIF(August!1:1048576, "Penicillins")</f>
        <v>0</v>
      </c>
      <c r="W72" s="21">
        <f>COUNTIF(August!1:1048576, "Phenicols")</f>
        <v>0</v>
      </c>
      <c r="X72" s="21">
        <f>COUNTIF(August!1:1048576, "Polymyxins")</f>
        <v>0</v>
      </c>
      <c r="Y72" s="21">
        <f>COUNTIF(August!1:1048576, "Polypeptides")</f>
        <v>0</v>
      </c>
      <c r="Z72" s="21">
        <f>COUNTIF(August!1:1048576, "Rifampin")</f>
        <v>0</v>
      </c>
      <c r="AA72" s="21">
        <f>COUNTIF(August!1:1048576, "Sulfonamides")</f>
        <v>0</v>
      </c>
      <c r="AB72" s="21">
        <f>COUNTIF(August!1:1048576, "Tetracyclines")</f>
        <v>0</v>
      </c>
    </row>
    <row r="73" spans="1:29">
      <c r="A73" s="21" t="s">
        <v>269</v>
      </c>
      <c r="F73" s="21" t="s">
        <v>76</v>
      </c>
      <c r="G73" s="21">
        <f>COUNTIF(September!1:1048576, "Aminoglycosides")</f>
        <v>0</v>
      </c>
      <c r="H73" s="21">
        <f>COUNTIF(September!1:1048576, "B-lactam/B-lactamase inhibitor combination")</f>
        <v>0</v>
      </c>
      <c r="I73" s="21">
        <f>COUNTIF(September!1:1048576, "Carbapenems")</f>
        <v>0</v>
      </c>
      <c r="J73" s="21">
        <f>COUNTIF(September!1:1048576, "Cephalosporins")</f>
        <v>0</v>
      </c>
      <c r="K73" s="21">
        <f>COUNTIF(September!1:1048576, "Fluoroquinolones")</f>
        <v>0</v>
      </c>
      <c r="L73" s="21">
        <f>COUNTIF(September!1:1048576, "Fosfomycins")</f>
        <v>0</v>
      </c>
      <c r="M73" s="21">
        <f>COUNTIF(September!1:1048576, "Glycopeptides")</f>
        <v>0</v>
      </c>
      <c r="N73" s="21">
        <f>COUNTIF(September!1:1048576, "Glycylcyclines")</f>
        <v>0</v>
      </c>
      <c r="O73" s="21">
        <f>COUNTIF(September!1:1048576, "Lincosamides")</f>
        <v>0</v>
      </c>
      <c r="P73" s="21">
        <f>COUNTIF(September!1:1048576, "Macrolides")</f>
        <v>0</v>
      </c>
      <c r="Q73" s="21">
        <f>COUNTIF(September!1:1048576, "Nitrofurans")</f>
        <v>0</v>
      </c>
      <c r="R73" s="21">
        <f>COUNTIF(September!1:1048576, "Nitroimidazoles")</f>
        <v>0</v>
      </c>
      <c r="S73" s="21">
        <f>COUNTIF(September!1:1048576, "Ophthalmic")</f>
        <v>0</v>
      </c>
      <c r="T73" s="21">
        <f>COUNTIF(September!1:1048576, "Otic")</f>
        <v>0</v>
      </c>
      <c r="U73" s="21">
        <f>COUNTIF(September!1:1048576, "Oxazolidinones")</f>
        <v>0</v>
      </c>
      <c r="V73" s="21">
        <f>COUNTIF(September!1:1048576, "Penicillins")</f>
        <v>0</v>
      </c>
      <c r="W73" s="21">
        <f>COUNTIF(September!1:1048576, "Phenicols")</f>
        <v>0</v>
      </c>
      <c r="X73" s="21">
        <f>COUNTIF(September!1:1048576, "Polymyxins")</f>
        <v>0</v>
      </c>
      <c r="Y73" s="21">
        <f>COUNTIF(September!1:1048576, "Polypeptides")</f>
        <v>0</v>
      </c>
      <c r="Z73" s="21">
        <f>COUNTIF(September!1:1048576, "Rifampin")</f>
        <v>0</v>
      </c>
      <c r="AA73" s="21">
        <f>COUNTIF(September!1:1048576, "Sulfonamides")</f>
        <v>0</v>
      </c>
      <c r="AB73" s="21">
        <f>COUNTIF(September!1:1048576, "Tetracyclines")</f>
        <v>0</v>
      </c>
    </row>
    <row r="74" spans="1:29">
      <c r="A74" s="21" t="s">
        <v>33</v>
      </c>
      <c r="F74" s="21" t="s">
        <v>77</v>
      </c>
      <c r="G74" s="21">
        <f>COUNTIF(October!1:1048576, "Aminoglycosides")</f>
        <v>0</v>
      </c>
      <c r="H74" s="21">
        <f>COUNTIF(October!1:1048576, "B-lactam/B-lactamase inhibitor combination")</f>
        <v>0</v>
      </c>
      <c r="I74" s="21">
        <f>COUNTIF(October!1:1048576, "Carbapenems")</f>
        <v>0</v>
      </c>
      <c r="J74" s="21">
        <f>COUNTIF(October!1:1048576, "Cephalosporins")</f>
        <v>0</v>
      </c>
      <c r="K74" s="21">
        <f>COUNTIF(October!1:1048576, "Fluoroquinolones")</f>
        <v>0</v>
      </c>
      <c r="L74" s="21">
        <f>COUNTIF(October!1:1048576, "Fosfomycins")</f>
        <v>0</v>
      </c>
      <c r="M74" s="21">
        <f>COUNTIF(October!1:1048576, "Glycopeptides")</f>
        <v>0</v>
      </c>
      <c r="N74" s="21">
        <f>COUNTIF(October!1:1048576, "Glycylcyclines")</f>
        <v>0</v>
      </c>
      <c r="O74" s="21">
        <f>COUNTIF(October!1:1048576, "Lincosamides")</f>
        <v>0</v>
      </c>
      <c r="P74" s="21">
        <f>COUNTIF(October!1:1048576, "Macrolides")</f>
        <v>0</v>
      </c>
      <c r="Q74" s="21">
        <f>COUNTIF(October!1:1048576, "Nitrofurans")</f>
        <v>0</v>
      </c>
      <c r="R74" s="21">
        <f>COUNTIF(October!1:1048576, "Nitroimidazoles")</f>
        <v>0</v>
      </c>
      <c r="S74" s="21">
        <f>COUNTIF(October!1:1048576, "Ophthalmic")</f>
        <v>0</v>
      </c>
      <c r="T74" s="21">
        <f>COUNTIF(October!1:1048576, "Otic")</f>
        <v>0</v>
      </c>
      <c r="U74" s="21">
        <f>COUNTIF(October!1:1048576, "Oxazolidinones")</f>
        <v>0</v>
      </c>
      <c r="V74" s="21">
        <f>COUNTIF(October!1:1048576, "Penicillins")</f>
        <v>0</v>
      </c>
      <c r="W74" s="21">
        <f>COUNTIF(October!1:1048576, "Phenicols")</f>
        <v>0</v>
      </c>
      <c r="X74" s="21">
        <f>COUNTIF(October!1:1048576, "Polymyxins")</f>
        <v>0</v>
      </c>
      <c r="Y74" s="21">
        <f>COUNTIF(October!1:1048576, "Polypeptides")</f>
        <v>0</v>
      </c>
      <c r="Z74" s="21">
        <f>COUNTIF(October!1:1048576, "Rifampin")</f>
        <v>0</v>
      </c>
      <c r="AA74" s="21">
        <f>COUNTIF(October!1:1048576, "Sulfonamides")</f>
        <v>0</v>
      </c>
      <c r="AB74" s="21">
        <f>COUNTIF(October!1:1048576, "Tetracyclines")</f>
        <v>0</v>
      </c>
    </row>
    <row r="75" spans="1:29">
      <c r="A75" s="21" t="s">
        <v>127</v>
      </c>
      <c r="F75" s="21" t="s">
        <v>78</v>
      </c>
      <c r="G75" s="21">
        <f>COUNTIF(November!1:1048576, "Aminoglycosides")</f>
        <v>0</v>
      </c>
      <c r="H75" s="21">
        <f>COUNTIF(November!1:1048576, "B-lactam/B-lactamase inhibitor combination")</f>
        <v>0</v>
      </c>
      <c r="I75" s="21">
        <f>COUNTIF(November!1:1048576, "Carbapenems")</f>
        <v>0</v>
      </c>
      <c r="J75" s="21">
        <f>COUNTIF(November!1:1048576, "Cephalosporins")</f>
        <v>0</v>
      </c>
      <c r="K75" s="21">
        <f>COUNTIF(November!1:1048576, "Fluoroquinolones")</f>
        <v>0</v>
      </c>
      <c r="L75" s="21">
        <f>COUNTIF(November!1:1048576, "Fosfomycins")</f>
        <v>0</v>
      </c>
      <c r="M75" s="21">
        <f>COUNTIF(November!1:1048576, "Glycopeptides")</f>
        <v>0</v>
      </c>
      <c r="N75" s="21">
        <f>COUNTIF(November!1:1048576, "Glycylcyclines")</f>
        <v>0</v>
      </c>
      <c r="O75" s="37">
        <f>COUNTIF(November!1:1048576, "Lincosamides")</f>
        <v>0</v>
      </c>
      <c r="P75" s="21">
        <f>COUNTIF(November!1:1048576, "Macrolides")</f>
        <v>0</v>
      </c>
      <c r="Q75" s="21">
        <f>COUNTIF(November!1:1048576, "Nitrofurans")</f>
        <v>0</v>
      </c>
      <c r="R75" s="21">
        <f>COUNTIF(November!1:1048576, "Nitroimidazoles")</f>
        <v>0</v>
      </c>
      <c r="S75" s="21">
        <f>COUNTIF(November!1:1048576, "Ophthalmic")</f>
        <v>0</v>
      </c>
      <c r="T75" s="21">
        <f>COUNTIF(November!1:1048576, "Otic")</f>
        <v>0</v>
      </c>
      <c r="U75" s="21">
        <f>COUNTIF(November!1:1048576, "Oxazolidinones")</f>
        <v>0</v>
      </c>
      <c r="V75" s="21">
        <f>COUNTIF(November!1:1048576, "Penicillins")</f>
        <v>0</v>
      </c>
      <c r="W75" s="21">
        <f>COUNTIF(November!1:1048576, "Phenicols")</f>
        <v>0</v>
      </c>
      <c r="X75" s="21">
        <f>COUNTIF(November!1:1048576, "Polymyxins")</f>
        <v>0</v>
      </c>
      <c r="Y75" s="21">
        <f>COUNTIF(November!1:1048576, "Polypeptides")</f>
        <v>0</v>
      </c>
      <c r="Z75" s="21">
        <f>COUNTIF(November!1:1048576, "Rifampin")</f>
        <v>0</v>
      </c>
      <c r="AA75" s="21">
        <f>COUNTIF(November!1:1048576, "Sulfonamides")</f>
        <v>0</v>
      </c>
      <c r="AB75" s="21">
        <f>COUNTIF(November!1:1048576, "Tetracyclines")</f>
        <v>0</v>
      </c>
    </row>
    <row r="76" spans="1:29">
      <c r="A76" s="21" t="s">
        <v>128</v>
      </c>
      <c r="F76" s="21" t="s">
        <v>79</v>
      </c>
      <c r="G76" s="21">
        <f>COUNTIF(December!1:1048576, "Aminoglycosides")</f>
        <v>0</v>
      </c>
      <c r="H76" s="21">
        <f>COUNTIF(December!1:1048576, "B-lactam/B-lactamase inhibitor combination")</f>
        <v>0</v>
      </c>
      <c r="I76" s="21">
        <f>COUNTIF(December!1:1048576, "Carbapenems")</f>
        <v>0</v>
      </c>
      <c r="J76" s="21">
        <f>COUNTIF(December!1:1048576, "Cephalosporins")</f>
        <v>0</v>
      </c>
      <c r="K76" s="21">
        <f>COUNTIF(December!1:1048576, "Fluoroquinolones")</f>
        <v>0</v>
      </c>
      <c r="L76" s="21">
        <f>COUNTIF(December!1:1048576, "Fosfomycins")</f>
        <v>0</v>
      </c>
      <c r="M76" s="21">
        <f>COUNTIF(December!1:1048576, "Glycopeptides")</f>
        <v>0</v>
      </c>
      <c r="N76" s="21">
        <f>COUNTIF(December!1:1048576, "Glycylcyclines")</f>
        <v>0</v>
      </c>
      <c r="O76" s="21">
        <f>COUNTIF(December!1:1048576, "Lincosamides")</f>
        <v>0</v>
      </c>
      <c r="P76" s="21">
        <f>COUNTIF(December!1:1048576, "Macrolides")</f>
        <v>0</v>
      </c>
      <c r="Q76" s="21">
        <f>COUNTIF(December!1:1048576, "Nitrofurans")</f>
        <v>0</v>
      </c>
      <c r="R76" s="21">
        <f>COUNTIF(December!1:1048576, "Nitroimidazoles")</f>
        <v>0</v>
      </c>
      <c r="S76" s="21">
        <f>COUNTIF(December!1:1048576, "Ophthalmic")</f>
        <v>0</v>
      </c>
      <c r="T76" s="21">
        <f>COUNTIF(December!1:1048576, "Otic")</f>
        <v>0</v>
      </c>
      <c r="U76" s="21">
        <f>COUNTIF(December!1:1048576, "Oxazolidinones")</f>
        <v>0</v>
      </c>
      <c r="V76" s="21">
        <f>COUNTIF(December!1:1048576, "Penicillins")</f>
        <v>0</v>
      </c>
      <c r="W76" s="21">
        <f>COUNTIF(December!1:1048576, "Phenicols")</f>
        <v>0</v>
      </c>
      <c r="X76" s="21">
        <f>COUNTIF(December!1:1048576, "Polymyxins")</f>
        <v>0</v>
      </c>
      <c r="Y76" s="21">
        <f>COUNTIF(December!1:1048576, "Polypeptides")</f>
        <v>0</v>
      </c>
      <c r="Z76" s="21">
        <f>COUNTIF(December!1:1048576, "Rifampin")</f>
        <v>0</v>
      </c>
      <c r="AA76" s="21">
        <f>COUNTIF(December!1:1048576, "Sulfonamides")</f>
        <v>0</v>
      </c>
      <c r="AB76" s="21">
        <f>COUNTIF(December!1:1048576, "Tetracyclines")</f>
        <v>0</v>
      </c>
    </row>
    <row r="77" spans="1:29">
      <c r="A77" s="21" t="s">
        <v>34</v>
      </c>
      <c r="F77" s="21" t="s">
        <v>239</v>
      </c>
      <c r="G77" s="21">
        <f t="shared" ref="G77:AB77" si="2">SUM(G65:G76)</f>
        <v>0</v>
      </c>
      <c r="H77" s="21">
        <f t="shared" si="2"/>
        <v>0</v>
      </c>
      <c r="I77" s="21">
        <f t="shared" si="2"/>
        <v>0</v>
      </c>
      <c r="J77" s="21">
        <f t="shared" si="2"/>
        <v>0</v>
      </c>
      <c r="K77" s="21">
        <f t="shared" si="2"/>
        <v>0</v>
      </c>
      <c r="L77" s="21">
        <f t="shared" si="2"/>
        <v>0</v>
      </c>
      <c r="M77" s="21">
        <f t="shared" si="2"/>
        <v>0</v>
      </c>
      <c r="N77" s="21">
        <f t="shared" si="2"/>
        <v>0</v>
      </c>
      <c r="O77" s="21">
        <f t="shared" si="2"/>
        <v>0</v>
      </c>
      <c r="P77" s="21">
        <f t="shared" si="2"/>
        <v>0</v>
      </c>
      <c r="Q77" s="21">
        <f t="shared" si="2"/>
        <v>0</v>
      </c>
      <c r="R77" s="21">
        <f t="shared" si="2"/>
        <v>0</v>
      </c>
      <c r="S77" s="21">
        <f t="shared" si="2"/>
        <v>0</v>
      </c>
      <c r="T77" s="21">
        <f t="shared" si="2"/>
        <v>0</v>
      </c>
      <c r="U77" s="21">
        <f t="shared" si="2"/>
        <v>0</v>
      </c>
      <c r="V77" s="21">
        <f t="shared" si="2"/>
        <v>0</v>
      </c>
      <c r="W77" s="21">
        <f t="shared" si="2"/>
        <v>0</v>
      </c>
      <c r="X77" s="21">
        <f t="shared" si="2"/>
        <v>0</v>
      </c>
      <c r="Y77" s="21">
        <f t="shared" si="2"/>
        <v>0</v>
      </c>
      <c r="Z77" s="21">
        <f t="shared" si="2"/>
        <v>0</v>
      </c>
      <c r="AA77" s="21">
        <f t="shared" si="2"/>
        <v>0</v>
      </c>
      <c r="AB77" s="21">
        <f t="shared" si="2"/>
        <v>0</v>
      </c>
    </row>
    <row r="78" spans="1:29">
      <c r="A78" s="21" t="s">
        <v>35</v>
      </c>
      <c r="G78" s="21" t="s">
        <v>52</v>
      </c>
      <c r="H78" s="21" t="s">
        <v>119</v>
      </c>
      <c r="I78" s="21" t="s">
        <v>284</v>
      </c>
      <c r="J78" s="21" t="s">
        <v>55</v>
      </c>
      <c r="K78" s="21" t="s">
        <v>57</v>
      </c>
      <c r="L78" s="21" t="s">
        <v>281</v>
      </c>
      <c r="M78" s="21" t="s">
        <v>60</v>
      </c>
      <c r="N78" s="21" t="s">
        <v>286</v>
      </c>
      <c r="O78" s="21" t="s">
        <v>58</v>
      </c>
      <c r="P78" s="21" t="s">
        <v>54</v>
      </c>
      <c r="Q78" s="21" t="s">
        <v>63</v>
      </c>
      <c r="R78" s="21" t="s">
        <v>62</v>
      </c>
      <c r="S78" s="21" t="s">
        <v>279</v>
      </c>
      <c r="T78" s="21" t="s">
        <v>265</v>
      </c>
      <c r="U78" s="21" t="s">
        <v>290</v>
      </c>
      <c r="V78" s="21" t="s">
        <v>53</v>
      </c>
      <c r="W78" s="21" t="s">
        <v>56</v>
      </c>
      <c r="X78" s="21" t="s">
        <v>59</v>
      </c>
      <c r="Y78" s="21" t="s">
        <v>125</v>
      </c>
      <c r="Z78" s="21" t="s">
        <v>48</v>
      </c>
      <c r="AA78" s="21" t="s">
        <v>140</v>
      </c>
      <c r="AB78" s="21" t="s">
        <v>61</v>
      </c>
      <c r="AC78" s="21" t="s">
        <v>297</v>
      </c>
    </row>
    <row r="79" spans="1:29">
      <c r="A79" s="21" t="s">
        <v>36</v>
      </c>
      <c r="F79" s="21" t="s">
        <v>298</v>
      </c>
      <c r="G79" s="21" t="e">
        <f>(G77/AC79)*100</f>
        <v>#DIV/0!</v>
      </c>
      <c r="H79" s="21" t="e">
        <f>(H77/AC79)*100</f>
        <v>#DIV/0!</v>
      </c>
      <c r="I79" s="21" t="e">
        <f>(I77/AC79)*100</f>
        <v>#DIV/0!</v>
      </c>
      <c r="J79" s="21" t="e">
        <f>(J77/AC79)*100</f>
        <v>#DIV/0!</v>
      </c>
      <c r="K79" s="21" t="e">
        <f>(K77/AC79)*100</f>
        <v>#DIV/0!</v>
      </c>
      <c r="L79" s="21" t="e">
        <f>(L77/AC79)*100</f>
        <v>#DIV/0!</v>
      </c>
      <c r="M79" s="21" t="e">
        <f>(M77/AC79)*100</f>
        <v>#DIV/0!</v>
      </c>
      <c r="N79" s="21" t="e">
        <f>(N77/AC79)*100</f>
        <v>#DIV/0!</v>
      </c>
      <c r="O79" s="21" t="e">
        <f>(O77/AC79)*100</f>
        <v>#DIV/0!</v>
      </c>
      <c r="P79" s="21" t="e">
        <f>(P77/AC79)*100</f>
        <v>#DIV/0!</v>
      </c>
      <c r="Q79" s="21" t="e">
        <f>(Q77/AC79)*100</f>
        <v>#DIV/0!</v>
      </c>
      <c r="R79" s="21" t="e">
        <f>(R77/AC79)*100</f>
        <v>#DIV/0!</v>
      </c>
      <c r="S79" s="21" t="e">
        <f>(S77/AC79)*100</f>
        <v>#DIV/0!</v>
      </c>
      <c r="T79" s="21" t="e">
        <f>(T77/AC79)*100</f>
        <v>#DIV/0!</v>
      </c>
      <c r="U79" s="21" t="e">
        <f>(U77/AC79)*100</f>
        <v>#DIV/0!</v>
      </c>
      <c r="V79" s="21" t="e">
        <f>(V77/AC79)*100</f>
        <v>#DIV/0!</v>
      </c>
      <c r="W79" s="21" t="e">
        <f>(W77/AC79)*100</f>
        <v>#DIV/0!</v>
      </c>
      <c r="X79" s="21" t="e">
        <f>(X77/AC79)*100</f>
        <v>#DIV/0!</v>
      </c>
      <c r="Y79" s="21" t="e">
        <f>(Y77/AC79)*100</f>
        <v>#DIV/0!</v>
      </c>
      <c r="Z79" s="21" t="e">
        <f>(Z77/AC79)*100</f>
        <v>#DIV/0!</v>
      </c>
      <c r="AA79" s="21" t="e">
        <f>(AA77/AC79)*100</f>
        <v>#DIV/0!</v>
      </c>
      <c r="AB79" s="21" t="e">
        <f>(AB77/AC79)*100</f>
        <v>#DIV/0!</v>
      </c>
      <c r="AC79" s="21">
        <f>SUM(G77:AA77)</f>
        <v>0</v>
      </c>
    </row>
    <row r="80" spans="1:29">
      <c r="A80" s="21" t="s">
        <v>129</v>
      </c>
    </row>
    <row r="81" spans="1:35">
      <c r="A81" s="21" t="s">
        <v>264</v>
      </c>
    </row>
    <row r="82" spans="1:35">
      <c r="A82" s="21" t="s">
        <v>37</v>
      </c>
    </row>
    <row r="83" spans="1:35">
      <c r="A83" s="21" t="s">
        <v>38</v>
      </c>
    </row>
    <row r="84" spans="1:35">
      <c r="A84" s="21" t="s">
        <v>292</v>
      </c>
    </row>
    <row r="85" spans="1:35">
      <c r="A85" s="21" t="s">
        <v>39</v>
      </c>
      <c r="T85" s="35" t="s">
        <v>300</v>
      </c>
      <c r="U85" s="21" t="s">
        <v>68</v>
      </c>
      <c r="V85" s="21" t="s">
        <v>69</v>
      </c>
      <c r="W85" s="21" t="s">
        <v>70</v>
      </c>
      <c r="X85" s="21" t="s">
        <v>71</v>
      </c>
      <c r="Y85" s="21" t="s">
        <v>72</v>
      </c>
      <c r="Z85" s="21" t="s">
        <v>73</v>
      </c>
      <c r="AA85" s="21" t="s">
        <v>74</v>
      </c>
      <c r="AB85" s="21" t="s">
        <v>75</v>
      </c>
      <c r="AC85" s="21" t="s">
        <v>76</v>
      </c>
      <c r="AD85" s="21" t="s">
        <v>77</v>
      </c>
      <c r="AE85" s="21" t="s">
        <v>78</v>
      </c>
      <c r="AF85" s="21" t="s">
        <v>79</v>
      </c>
      <c r="AG85" s="21" t="s">
        <v>301</v>
      </c>
      <c r="AH85" s="21" t="s">
        <v>302</v>
      </c>
    </row>
    <row r="86" spans="1:35">
      <c r="A86" s="21" t="s">
        <v>130</v>
      </c>
      <c r="S86" s="35"/>
      <c r="T86" s="38" t="s">
        <v>51</v>
      </c>
      <c r="U86" s="21">
        <f>COUNTIF(January!1:1048576, "Vancomycin")</f>
        <v>0</v>
      </c>
      <c r="V86" s="21">
        <f>COUNTIF(February!1:1048576, "Vancomycin")</f>
        <v>0</v>
      </c>
      <c r="W86" s="21">
        <f>COUNTIF(March!1:1048576, "Vancomycin")</f>
        <v>0</v>
      </c>
      <c r="X86" s="21">
        <f>COUNTIF(April!1:1048576, "Vancomycin")</f>
        <v>0</v>
      </c>
      <c r="Y86" s="21">
        <f>COUNTIF(May!1:1048576, "Vancomycin")</f>
        <v>0</v>
      </c>
      <c r="Z86" s="21">
        <f>COUNTIF(June!1:1048576, "Vancomycin")</f>
        <v>0</v>
      </c>
      <c r="AA86" s="21">
        <f>COUNTIF(July!1:1048576, "Vancomycin")</f>
        <v>0</v>
      </c>
      <c r="AB86" s="21">
        <f>COUNTIF(August!1:1048576, "Vancomycin")</f>
        <v>0</v>
      </c>
      <c r="AC86" s="21">
        <f>COUNTIF(September!1:1048576, "Vancomycin")</f>
        <v>0</v>
      </c>
      <c r="AD86" s="21">
        <f>COUNTIF(October!1:1048576, "Vancomycin")</f>
        <v>0</v>
      </c>
      <c r="AE86" s="21">
        <f>COUNTIF(November!1:1048576, "Vancomycin")</f>
        <v>0</v>
      </c>
      <c r="AF86" s="35">
        <f>COUNTIF(December!1:1048576, "Vancomycin")</f>
        <v>0</v>
      </c>
      <c r="AG86" s="39" t="s">
        <v>51</v>
      </c>
      <c r="AH86" s="21">
        <f>SUM(U86:AF86)</f>
        <v>0</v>
      </c>
      <c r="AI86" s="39"/>
    </row>
    <row r="87" spans="1:35">
      <c r="A87" s="21" t="s">
        <v>40</v>
      </c>
      <c r="T87" s="21" t="s">
        <v>288</v>
      </c>
      <c r="U87" s="21">
        <f>COUNTIF(January!1:1048576, "Linezolid")</f>
        <v>0</v>
      </c>
      <c r="V87" s="21">
        <f>COUNTIF(February!1:1048576, "Linezolid")</f>
        <v>0</v>
      </c>
      <c r="W87" s="21">
        <f>COUNTIF(March!1:1048576, "Linezolid")</f>
        <v>0</v>
      </c>
      <c r="X87" s="21">
        <f>COUNTIF(April!1:1048576, "Linezolid")</f>
        <v>0</v>
      </c>
      <c r="Y87" s="21">
        <f>COUNTIF(May!1:1048576, "Linezolid")</f>
        <v>0</v>
      </c>
      <c r="Z87" s="21">
        <f>COUNTIF(June!1:1048576, "Linezolid")</f>
        <v>0</v>
      </c>
      <c r="AA87" s="21">
        <f>COUNTIF(July!1:1048576, "Linezolid")</f>
        <v>0</v>
      </c>
      <c r="AB87" s="21">
        <f>COUNTIF(August!1:1048576, "Linezolid")</f>
        <v>0</v>
      </c>
      <c r="AC87" s="21">
        <f>COUNTIF(September!1:1048576, "Linezolid")</f>
        <v>0</v>
      </c>
      <c r="AD87" s="21">
        <f>COUNTIF(October!1:1048576, "Linezolid")</f>
        <v>0</v>
      </c>
      <c r="AE87" s="21">
        <f>COUNTIF(November!1:1048576, "Linezolid")</f>
        <v>0</v>
      </c>
      <c r="AF87" s="21">
        <f>COUNTIF(December!1:1048576, "Linezolid")</f>
        <v>0</v>
      </c>
      <c r="AG87" s="40" t="s">
        <v>288</v>
      </c>
      <c r="AH87" s="21">
        <f>SUM(U87:AF87)</f>
        <v>0</v>
      </c>
      <c r="AI87" s="40"/>
    </row>
    <row r="88" spans="1:35">
      <c r="A88" s="21" t="s">
        <v>252</v>
      </c>
      <c r="T88" s="21" t="s">
        <v>291</v>
      </c>
      <c r="U88" s="21">
        <f>COUNTIF(January!1:1048576, "Teicoplanin")</f>
        <v>0</v>
      </c>
      <c r="V88" s="21">
        <f>COUNTIF(February!1:1048576, "Teicoplanin")</f>
        <v>0</v>
      </c>
      <c r="W88" s="21">
        <f>COUNTIF(March!1:1048576, "Teicoplanin")</f>
        <v>0</v>
      </c>
      <c r="X88" s="21">
        <f>COUNTIF(April!1:1048576, "Teicoplanin")</f>
        <v>0</v>
      </c>
      <c r="Y88" s="21">
        <f>COUNTIF(May!1:1048576, "Teicoplanin")</f>
        <v>0</v>
      </c>
      <c r="Z88" s="21">
        <f>COUNTIF(June!1:1048576, "Teicoplanin")</f>
        <v>0</v>
      </c>
      <c r="AA88" s="21">
        <f>COUNTIF(July!1:1048576, "Teicoplanin")</f>
        <v>0</v>
      </c>
      <c r="AB88" s="21">
        <f>COUNTIF(August!1:1048576, "Teicoplanin")</f>
        <v>0</v>
      </c>
      <c r="AC88" s="21">
        <f>COUNTIF(September!1:1048576, "Teicoplanin")</f>
        <v>0</v>
      </c>
      <c r="AD88" s="21">
        <f>COUNTIF(October!1:1048576, "Teicoplanin")</f>
        <v>0</v>
      </c>
      <c r="AE88" s="21">
        <f>COUNTIF(November!1:1048576, "Teicoplanin")</f>
        <v>0</v>
      </c>
      <c r="AF88" s="21">
        <f>COUNTIF(December!1:1048576, "Teicoplanin")</f>
        <v>0</v>
      </c>
      <c r="AG88" s="40" t="s">
        <v>291</v>
      </c>
      <c r="AH88" s="21">
        <f>SUM(U88:AF88)</f>
        <v>0</v>
      </c>
      <c r="AI88" s="40"/>
    </row>
    <row r="89" spans="1:35">
      <c r="A89" s="21" t="s">
        <v>280</v>
      </c>
      <c r="T89" s="21" t="s">
        <v>292</v>
      </c>
      <c r="U89" s="21">
        <f>COUNTIF(January!1:1048576, "Colistin")</f>
        <v>0</v>
      </c>
      <c r="V89" s="21">
        <f>COUNTIF(February!1:1048576, "Colistin")</f>
        <v>0</v>
      </c>
      <c r="W89" s="21">
        <f>COUNTIF(March!1:1048576, "Colistin")</f>
        <v>0</v>
      </c>
      <c r="X89" s="21">
        <f>COUNTIF(April!1:1048576, "Colistin")</f>
        <v>0</v>
      </c>
      <c r="Y89" s="21">
        <f>COUNTIF(May!1:1048576, "Colistin")</f>
        <v>0</v>
      </c>
      <c r="Z89" s="21">
        <f>COUNTIF(June!1:1048576, "Colistin")</f>
        <v>0</v>
      </c>
      <c r="AA89" s="21">
        <f>COUNTIF(July!1:1048576, "Colistin")</f>
        <v>0</v>
      </c>
      <c r="AB89" s="21">
        <f>COUNTIF(August!1:1048576, "Colistin")</f>
        <v>0</v>
      </c>
      <c r="AC89" s="21">
        <f>COUNTIF(September!1:1048576, "Colistin")</f>
        <v>0</v>
      </c>
      <c r="AD89" s="21">
        <f>COUNTIF(October!1:1048576, "Colistin")</f>
        <v>0</v>
      </c>
      <c r="AE89" s="21">
        <f>COUNTIF(November!1:1048576, "Colistin")</f>
        <v>0</v>
      </c>
      <c r="AF89" s="21">
        <f>COUNTIF(December!1:1048576, "Colistin")</f>
        <v>0</v>
      </c>
      <c r="AG89" s="40" t="s">
        <v>292</v>
      </c>
      <c r="AH89" s="21">
        <f>SUM(U89:AF89)</f>
        <v>0</v>
      </c>
      <c r="AI89" s="40"/>
    </row>
    <row r="90" spans="1:35">
      <c r="A90" s="21" t="s">
        <v>41</v>
      </c>
      <c r="T90" s="21" t="s">
        <v>299</v>
      </c>
      <c r="U90" s="21">
        <f>COUNTIF(January!1:1048576, "Polymixin B")</f>
        <v>0</v>
      </c>
      <c r="V90" s="21">
        <f>COUNTIF(February!1:1048576, "Polymixin B")</f>
        <v>0</v>
      </c>
      <c r="W90" s="21">
        <f>COUNTIF(March!1:1048576, "Polymixin B")</f>
        <v>0</v>
      </c>
      <c r="X90" s="21">
        <f>COUNTIF(April!1:1048576, "Polymixin B")</f>
        <v>0</v>
      </c>
      <c r="Y90" s="21">
        <f>COUNTIF(May!1:1048576, "Polymixin B")</f>
        <v>0</v>
      </c>
      <c r="Z90" s="21">
        <f>COUNTIF(June!1:1048576, "Polymixin B")</f>
        <v>0</v>
      </c>
      <c r="AA90" s="21">
        <f>COUNTIF(July!1:1048576, "Polymixin B")</f>
        <v>0</v>
      </c>
      <c r="AB90" s="21">
        <f>COUNTIF(August!1:1048576, "Polymixin B")</f>
        <v>0</v>
      </c>
      <c r="AC90" s="21">
        <f>COUNTIF(September!1:1048576, "Polymixin B")</f>
        <v>0</v>
      </c>
      <c r="AD90" s="21">
        <f>COUNTIF(October!1:1048576, "Polymixin B")</f>
        <v>0</v>
      </c>
      <c r="AE90" s="21">
        <f>COUNTIF(November!1:1048576, "Polymixin B")</f>
        <v>0</v>
      </c>
      <c r="AF90" s="21">
        <f>COUNTIF(December!1:1048576, "Polymixin B")</f>
        <v>0</v>
      </c>
      <c r="AG90" s="40" t="s">
        <v>299</v>
      </c>
      <c r="AH90" s="21">
        <f>SUM(U90:AF90)</f>
        <v>0</v>
      </c>
      <c r="AI90" s="40"/>
    </row>
    <row r="91" spans="1:35">
      <c r="A91" s="21" t="s">
        <v>42</v>
      </c>
    </row>
    <row r="92" spans="1:35">
      <c r="A92" s="21" t="s">
        <v>131</v>
      </c>
    </row>
    <row r="93" spans="1:35">
      <c r="A93" s="21" t="s">
        <v>289</v>
      </c>
    </row>
    <row r="94" spans="1:35">
      <c r="A94" s="21" t="s">
        <v>270</v>
      </c>
    </row>
    <row r="95" spans="1:35">
      <c r="A95" s="21" t="s">
        <v>282</v>
      </c>
    </row>
    <row r="96" spans="1:35">
      <c r="A96" s="21" t="s">
        <v>43</v>
      </c>
    </row>
    <row r="97" spans="1:1">
      <c r="A97" s="21" t="s">
        <v>44</v>
      </c>
    </row>
    <row r="98" spans="1:1">
      <c r="A98" s="21" t="s">
        <v>276</v>
      </c>
    </row>
    <row r="99" spans="1:1">
      <c r="A99" s="21" t="s">
        <v>132</v>
      </c>
    </row>
    <row r="100" spans="1:1">
      <c r="A100" s="21" t="s">
        <v>45</v>
      </c>
    </row>
    <row r="101" spans="1:1">
      <c r="A101" s="21" t="s">
        <v>133</v>
      </c>
    </row>
    <row r="102" spans="1:1">
      <c r="A102" s="21" t="s">
        <v>278</v>
      </c>
    </row>
    <row r="103" spans="1:1">
      <c r="A103" s="21" t="s">
        <v>253</v>
      </c>
    </row>
    <row r="104" spans="1:1">
      <c r="A104" s="21" t="s">
        <v>254</v>
      </c>
    </row>
    <row r="105" spans="1:1">
      <c r="A105" s="21" t="s">
        <v>255</v>
      </c>
    </row>
    <row r="106" spans="1:1">
      <c r="A106" s="21" t="s">
        <v>256</v>
      </c>
    </row>
    <row r="107" spans="1:1">
      <c r="A107" s="21" t="s">
        <v>263</v>
      </c>
    </row>
    <row r="108" spans="1:1">
      <c r="A108" s="21" t="s">
        <v>257</v>
      </c>
    </row>
    <row r="109" spans="1:1">
      <c r="A109" s="21" t="s">
        <v>271</v>
      </c>
    </row>
    <row r="110" spans="1:1">
      <c r="A110" s="21" t="s">
        <v>134</v>
      </c>
    </row>
    <row r="111" spans="1:1">
      <c r="A111" s="21" t="s">
        <v>135</v>
      </c>
    </row>
    <row r="112" spans="1:1">
      <c r="A112" s="21" t="s">
        <v>46</v>
      </c>
    </row>
    <row r="113" spans="1:1">
      <c r="A113" s="21" t="s">
        <v>287</v>
      </c>
    </row>
    <row r="114" spans="1:1">
      <c r="A114" s="21" t="s">
        <v>47</v>
      </c>
    </row>
    <row r="115" spans="1:1">
      <c r="A115" s="21" t="s">
        <v>138</v>
      </c>
    </row>
    <row r="116" spans="1:1">
      <c r="A116" s="21" t="s">
        <v>48</v>
      </c>
    </row>
    <row r="117" spans="1:1">
      <c r="A117" s="21" t="s">
        <v>139</v>
      </c>
    </row>
    <row r="118" spans="1:1">
      <c r="A118" s="21" t="s">
        <v>141</v>
      </c>
    </row>
    <row r="119" spans="1:1">
      <c r="A119" s="21" t="s">
        <v>49</v>
      </c>
    </row>
    <row r="120" spans="1:1">
      <c r="A120" s="21" t="s">
        <v>143</v>
      </c>
    </row>
    <row r="121" spans="1:1">
      <c r="A121" s="21" t="s">
        <v>144</v>
      </c>
    </row>
    <row r="122" spans="1:1">
      <c r="A122" s="21" t="s">
        <v>145</v>
      </c>
    </row>
    <row r="123" spans="1:1">
      <c r="A123" s="21" t="s">
        <v>291</v>
      </c>
    </row>
    <row r="124" spans="1:1">
      <c r="A124" s="21" t="s">
        <v>50</v>
      </c>
    </row>
    <row r="125" spans="1:1">
      <c r="A125" s="21" t="s">
        <v>285</v>
      </c>
    </row>
    <row r="126" spans="1:1">
      <c r="A126" s="21" t="s">
        <v>146</v>
      </c>
    </row>
    <row r="127" spans="1:1">
      <c r="A127" s="21" t="s">
        <v>147</v>
      </c>
    </row>
    <row r="128" spans="1:1">
      <c r="A128" s="21" t="s">
        <v>148</v>
      </c>
    </row>
    <row r="129" spans="1:14">
      <c r="A129" s="21" t="s">
        <v>51</v>
      </c>
    </row>
    <row r="130" spans="1:14">
      <c r="A130" s="21" t="s">
        <v>21</v>
      </c>
    </row>
    <row r="135" spans="1:14">
      <c r="J135" s="21" t="s">
        <v>314</v>
      </c>
    </row>
    <row r="136" spans="1:14">
      <c r="K136" s="35" t="s">
        <v>315</v>
      </c>
      <c r="L136" s="35" t="s">
        <v>316</v>
      </c>
      <c r="M136" s="35" t="s">
        <v>317</v>
      </c>
      <c r="N136" s="35"/>
    </row>
    <row r="137" spans="1:14">
      <c r="C137" s="35" t="s">
        <v>309</v>
      </c>
      <c r="D137" s="35" t="s">
        <v>310</v>
      </c>
      <c r="E137" s="35" t="s">
        <v>311</v>
      </c>
      <c r="F137" s="35" t="s">
        <v>313</v>
      </c>
      <c r="J137" s="21" t="s">
        <v>68</v>
      </c>
      <c r="K137" s="21">
        <f>COUNTIF(January!1:1048576,"Penicillin")+COUNTIF(January!1:1048576, "Cefazolin")+COUNTIF(January!1:1048576, "Cephalexin")+COUNTIF(January!1:1048576, "Cefadroxil")</f>
        <v>0</v>
      </c>
      <c r="L137" s="21">
        <f>COUNTIF(January!1:1048576, "Amoxicillin")+COUNTIF(January!1:1048576, "Ampicillin")</f>
        <v>0</v>
      </c>
      <c r="M137" s="21">
        <f>COUNTIF(January!1:1048576, "Cefotaxime")+ COUNTIF(January!1:1048576, "Cefovecin (Convenia)")+COUNTIF(January!1:1048576, "Cefpodoxime Proxetil ")+COUNTIF(January!1:1048576, "Ceftazidime")+COUNTIF(January!1:1048576,"Ceftiofur sodium")+ COUNTIF(January!1:1048576, "Ceftriaxone")+COUNTIF(January!1:1048576, "Chloramphenicol")+COUNTIF(January!1:1048576, "Piperacillin/Tazobactam (Zosyn)")+COUNTIF(January!1:1048576, "Ceftiofur crystalline free acid (long acting formulation)")</f>
        <v>0</v>
      </c>
    </row>
    <row r="138" spans="1:14">
      <c r="C138" s="21" t="s">
        <v>312</v>
      </c>
      <c r="D138" s="21" t="s">
        <v>26</v>
      </c>
      <c r="E138" s="21" t="s">
        <v>32</v>
      </c>
      <c r="F138" s="21" t="s">
        <v>31</v>
      </c>
      <c r="J138" s="21" t="s">
        <v>69</v>
      </c>
      <c r="K138" s="21">
        <f>COUNTIF(February!1:1048576,"Penicillin")+COUNTIF(February!1:1048576, "Cefazolin")+COUNTIF(February!1:1048576, "Cephalexin")+COUNTIF(February!1:1048576, "Cefadroxil")</f>
        <v>0</v>
      </c>
      <c r="L138" s="21">
        <f>COUNTIF(February!1:1048576, "Amoxicillin")+COUNTIF(February!1:1048576, "Ampicillin")</f>
        <v>0</v>
      </c>
      <c r="M138" s="21">
        <f>COUNTIF(February!1:1048576, "Cefotaxime")+ COUNTIF(February!1:1048576, "Cefovecin (Convenia)")+COUNTIF(February!1:1048576, "Cefpodoxime Proxetil ")+COUNTIF(February!1:1048576, "Ceftazidime")+COUNTIF(February!1:1048576,"Ceftiofur sodium")+ COUNTIF(February!1:1048576, "Ceftriaxone")+COUNTIF(February!1:1048576, "Chloramphenicol")+COUNTIF(February!1:1048576, "Piperacillin/Tazobactam (Zosyn)")+COUNTIF(February!1:1048576, "Ceftiofur crystalline free acid (long acting formulation)")</f>
        <v>0</v>
      </c>
    </row>
    <row r="139" spans="1:14">
      <c r="C139" s="21" t="s">
        <v>30</v>
      </c>
      <c r="D139" s="21" t="s">
        <v>27</v>
      </c>
      <c r="E139" s="21" t="s">
        <v>268</v>
      </c>
      <c r="J139" s="21" t="s">
        <v>70</v>
      </c>
      <c r="K139" s="21">
        <f>COUNTIF(March!1:1048576,"Penicillin")+COUNTIF(March!1:1048576, "Cefazolin")+COUNTIF(March!1:1048576, "Cephalexin")+COUNTIF(March!1:1048576, "Cefadroxil")</f>
        <v>0</v>
      </c>
      <c r="L139" s="21">
        <f>COUNTIF(March!1:1048576, "Amoxicillin")+COUNTIF(March!1:1048576, "Ampicillin")</f>
        <v>0</v>
      </c>
      <c r="M139" s="21">
        <f>COUNTIF(March!1:1048576, "Cefotaxime")+ COUNTIF(March!1:1048576, "Cefovecin (Convenia)")+COUNTIF(March!1:1048576, "Cefpodoxime Proxetil ")+COUNTIF(March!1:1048576, "Ceftazidime")+COUNTIF(March!1:1048576,"Ceftiofur sodium")+ COUNTIF(March!1:1048576, "Ceftriaxone")+COUNTIF(March!1:1048576, "Chloramphenicol")+COUNTIF(March!1:1048576, "Piperacillin/Tazobactam (Zosyn)")+COUNTIF(March!1:1048576, "Ceftiofur crystalline free acid (long acting formulation)")</f>
        <v>0</v>
      </c>
    </row>
    <row r="140" spans="1:14">
      <c r="C140" s="21" t="s">
        <v>35</v>
      </c>
      <c r="E140" s="21" t="s">
        <v>269</v>
      </c>
      <c r="J140" s="21" t="s">
        <v>71</v>
      </c>
      <c r="K140" s="21">
        <f>COUNTIF(April!1:1048576,"Penicillin")+COUNTIF(April!1:1048576, "Cefazolin")+COUNTIF(April!1:1048576, "Cephalexin")+COUNTIF(April!1:1048576, "Cefadroxil")</f>
        <v>0</v>
      </c>
      <c r="L140" s="21">
        <f>COUNTIF(April!1:1048576, "Amoxicillin")+COUNTIF(April!1:1048576, "Ampicillin")</f>
        <v>0</v>
      </c>
      <c r="M140" s="21">
        <f>COUNTIF(April!1:1048576, "Cefotaxime")+ COUNTIF(April!1:1048576, "Cefovecin (Convenia)")+COUNTIF(April!1:1048576, "Cefpodoxime Proxetil ")+COUNTIF(April!1:1048576, "Ceftazidime")+COUNTIF(April!1:1048576,"Ceftiofur sodium")+ COUNTIF(April!1:1048576, "Ceftriaxone")+COUNTIF(April!1:1048576, "Chloramphenicol")+COUNTIF(April!1:1048576, "Piperacillin/Tazobactam (Zosyn)")+COUNTIF(April!1:1048576, "Ceftiofur crystalline free acid (long acting formulation)")</f>
        <v>0</v>
      </c>
    </row>
    <row r="141" spans="1:14">
      <c r="C141" s="21" t="s">
        <v>29</v>
      </c>
      <c r="E141" s="21" t="s">
        <v>33</v>
      </c>
      <c r="J141" s="21" t="s">
        <v>72</v>
      </c>
      <c r="K141" s="21">
        <f>COUNTIF(May!1:1048576,"Penicillin")+COUNTIF(May!1:1048576, "Cefazolin")+COUNTIF(May!1:1048576, "Cephalexin")+COUNTIF(May!1:1048576, "Cefadroxil")</f>
        <v>0</v>
      </c>
      <c r="L141" s="21">
        <f>COUNTIF(May!1:1048576, "Amoxicillin")+COUNTIF(May!1:1048576, "Ampicillin")</f>
        <v>0</v>
      </c>
      <c r="M141" s="21">
        <f>COUNTIF(May!1:1048576, "Cefotaxime")+ COUNTIF(May!1:1048576, "Cefovecin (Convenia)")+COUNTIF(May!1:1048576, "Cefpodoxime Proxetil ")+COUNTIF(May!1:1048576, "Ceftazidime")+COUNTIF(May!1:1048576,"Ceftiofur sodium")+ COUNTIF(May!1:1048576, "Ceftriaxone")+COUNTIF(May!1:1048576, "Chloramphenicol")+COUNTIF(May!1:1048576, "Piperacillin/Tazobactam (Zosyn)")+COUNTIF(May!1:1048576, "Ceftiofur crystalline free acid (long acting formulation)")</f>
        <v>0</v>
      </c>
    </row>
    <row r="142" spans="1:14">
      <c r="E142" s="21" t="s">
        <v>127</v>
      </c>
      <c r="J142" s="21" t="s">
        <v>73</v>
      </c>
      <c r="K142" s="21">
        <f>COUNTIF(June!1:1048576,"Penicillin")+COUNTIF(June!1:1048576, "Cefazolin")+COUNTIF(June!1:1048576, "Cephalexin")+COUNTIF(June!1:1048576, "Cefadroxil")</f>
        <v>0</v>
      </c>
      <c r="L142" s="21">
        <f>COUNTIF(June!1:1048576, "Amoxicillin")+COUNTIF(June!1:1048576, "Ampicillin")</f>
        <v>0</v>
      </c>
      <c r="M142" s="21">
        <f>COUNTIF(June!1:1048576, "Cefotaxime")+ COUNTIF(June!1:1048576, "Cefovecin (Convenia)")+COUNTIF(June!1:1048576, "Cefpodoxime Proxetil ")+COUNTIF(June!1:1048576, "Ceftazidime")+COUNTIF(June!1:1048576,"Ceftiofur sodium")+ COUNTIF(June!1:1048576, "Ceftriaxone")+COUNTIF(June!1:1048576, "Chloramphenicol")+COUNTIF(June!1:1048576, "Piperacillin/Tazobactam (Zosyn)")+COUNTIF(June!1:1048576, "Ceftiofur crystalline free acid (long acting formulation)")</f>
        <v>0</v>
      </c>
    </row>
    <row r="143" spans="1:14">
      <c r="E143" s="21" t="s">
        <v>128</v>
      </c>
      <c r="J143" s="21" t="s">
        <v>74</v>
      </c>
      <c r="K143" s="21">
        <f>COUNTIF(July!1:1048576,"Penicillin")+COUNTIF(July!1:1048576, "Cefazolin")+COUNTIF(July!1:1048576, "Cephalexin")+COUNTIF(July!1:1048576, "Cefadroxil")</f>
        <v>0</v>
      </c>
      <c r="L143" s="21">
        <f>COUNTIF(July!1:1048576, "Amoxicillin")+COUNTIF(July!1:1048576, "Ampicillin")</f>
        <v>0</v>
      </c>
      <c r="M143" s="21">
        <f>COUNTIF(July!1:1048576, "Cefotaxime")+ COUNTIF(July!1:1048576, "Cefovecin (Convenia)")+COUNTIF(July!1:1048576, "Cefpodoxime Proxetil ")+COUNTIF(July!1:1048576, "Ceftazidime")+COUNTIF(July!1:1048576,"Ceftiofur sodium")+ COUNTIF(July!1:1048576, "Ceftriaxone")+COUNTIF(July!1:1048576, "Chloramphenicol")+COUNTIF(July!1:1048576, "Piperacillin/Tazobactam (Zosyn)")+COUNTIF(July!1:1048576, "Ceftiofur crystalline free acid (long acting formulation)")</f>
        <v>0</v>
      </c>
    </row>
    <row r="144" spans="1:14">
      <c r="E144" s="21" t="s">
        <v>34</v>
      </c>
      <c r="J144" s="21" t="s">
        <v>75</v>
      </c>
      <c r="K144" s="21">
        <f>COUNTIF(August!1:1048576,"Penicillin")+COUNTIF(August!1:1048576, "Cefazolin")+COUNTIF(August!1:1048576, "Cephalexin")+COUNTIF(August!1:1048576, "Cefadroxil")</f>
        <v>0</v>
      </c>
      <c r="L144" s="21">
        <f>COUNTIF(August!1:1048576, "Amoxicillin")+COUNTIF(August!1:1048576, "Ampicillin")</f>
        <v>0</v>
      </c>
      <c r="M144" s="21">
        <f>COUNTIF(August!1:1048576, "Cefotaxime")+ COUNTIF(August!1:1048576, "Cefovecin (Convenia)")+COUNTIF(August!1:1048576, "Cefpodoxime Proxetil ")+COUNTIF(August!1:1048576, "Ceftazidime")+COUNTIF(August!1:1048576,"Ceftiofur sodium")+ COUNTIF(August!1:1048576, "Ceftriaxone")+COUNTIF(August!1:1048576, "Chloramphenicol")+COUNTIF(August!1:1048576, "Piperacillin/Tazobactam (Zosyn)")+COUNTIF(August!1:1048576, "Ceftiofur crystalline free acid (long acting formulation)")</f>
        <v>0</v>
      </c>
    </row>
    <row r="145" spans="1:15">
      <c r="E145" s="21" t="s">
        <v>36</v>
      </c>
      <c r="J145" s="21" t="s">
        <v>76</v>
      </c>
      <c r="K145" s="21">
        <f>COUNTIF(September!1:1048576,"Penicillin")+COUNTIF(September!1:1048576, "Cefazolin")+COUNTIF(September!1:1048576, "Cephalexin")+COUNTIF(September!1:1048576, "Cefadroxil")</f>
        <v>0</v>
      </c>
      <c r="L145" s="21">
        <f>COUNTIF(September!1:1048576, "Amoxicillin")+COUNTIF(September!1:1048576, "Ampicillin")</f>
        <v>0</v>
      </c>
      <c r="M145" s="21">
        <f>COUNTIF(September!1:1048576, "Cefotaxime")+ COUNTIF(September!1:1048576, "Cefovecin (Convenia)")+COUNTIF(September!1:1048576, "Cefpodoxime Proxetil ")+COUNTIF(September!1:1048576, "Ceftazidime")+COUNTIF(September!1:1048576,"Ceftiofur sodium")+ COUNTIF(September!1:1048576, "Ceftriaxone")+COUNTIF(September!1:1048576, "Chloramphenicol")+COUNTIF(September!1:1048576, "Piperacillin/Tazobactam (Zosyn)")+COUNTIF(September!1:1048576, "Ceftiofur crystalline free acid (long acting formulation)")</f>
        <v>0</v>
      </c>
    </row>
    <row r="146" spans="1:15">
      <c r="E146" s="21" t="s">
        <v>287</v>
      </c>
      <c r="J146" s="21" t="s">
        <v>77</v>
      </c>
      <c r="K146" s="21">
        <f>COUNTIF(October!1:1048576,"Penicillin")+COUNTIF(October!1:1048576, "Cefazolin")+COUNTIF(October!1:1048576, "Cephalexin")+COUNTIF(October!1:1048576, "Cefadroxil")</f>
        <v>0</v>
      </c>
      <c r="L146" s="21">
        <f>COUNTIF(October!1:1048576, "Amoxicillin")+COUNTIF(October!1:1048576, "Ampicillin")</f>
        <v>0</v>
      </c>
      <c r="M146" s="21">
        <f>COUNTIF(October!1:1048576, "Cefotaxime")+ COUNTIF(October!1:1048576, "Cefovecin (Convenia)")+COUNTIF(October!1:1048576, "Cefpodoxime Proxetil ")+COUNTIF(October!1:1048576, "Ceftazidime")+COUNTIF(October!1:1048576,"Ceftiofur sodium")+ COUNTIF(October!1:1048576, "Ceftriaxone")+COUNTIF(October!1:1048576, "Chloramphenicol")+COUNTIF(October!1:1048576, "Piperacillin/Tazobactam (Zosyn)")+COUNTIF(October!1:1048576, "Ceftiofur crystalline free acid (long acting formulation)")</f>
        <v>0</v>
      </c>
    </row>
    <row r="147" spans="1:15">
      <c r="J147" s="21" t="s">
        <v>78</v>
      </c>
      <c r="K147" s="21">
        <f>COUNTIF(November!1:1048576,"Penicillin")+COUNTIF(November!1:1048576, "Cefazolin")+COUNTIF(November!1:1048576, "Cephalexin")+COUNTIF(November!1:1048576, "Cefadroxil")</f>
        <v>0</v>
      </c>
      <c r="L147" s="21">
        <f>COUNTIF(November!1:1048576, "Amoxicillin")+COUNTIF(November!1:1048576, "Ampicillin")</f>
        <v>0</v>
      </c>
      <c r="M147" s="21">
        <f>COUNTIF(November!1:1048576, "Cefotaxime")+ COUNTIF(November!1:1048576, "Cefovecin (Convenia)")+COUNTIF(November!1:1048576, "Cefpodoxime Proxetil ")+COUNTIF(November!1:1048576, "Ceftazidime")+COUNTIF(November!1:1048576,"Ceftiofur sodium")+ COUNTIF(November!1:1048576, "Ceftriaxone")+COUNTIF(November!1:1048576, "Chloramphenicol")+COUNTIF(November!1:1048576, "Piperacillin/Tazobactam (Zosyn)")+COUNTIF(November!1:1048576, "Ceftiofur crystalline free acid (long acting formulation)")</f>
        <v>0</v>
      </c>
    </row>
    <row r="148" spans="1:15">
      <c r="J148" s="21" t="s">
        <v>79</v>
      </c>
      <c r="K148" s="21">
        <f>COUNTIF(December!1:1048576,"Penicillin")+COUNTIF(December!1:1048576, "Cefazolin")+COUNTIF(December!1:1048576, "Cephalexin")+COUNTIF(December!1:1048576, "Cefadroxil")</f>
        <v>0</v>
      </c>
      <c r="L148" s="21">
        <f>COUNTIF(December!1:1048576, "Amoxicillin")+COUNTIF(December!1:1048576, "Ampicillin")</f>
        <v>0</v>
      </c>
      <c r="M148" s="21">
        <f>COUNTIF(December!1:1048576, "Cefotaxime")+ COUNTIF(December!1:1048576, "Cefovecin (Convenia)")+COUNTIF(December!1:1048576, "Cefpodoxime Proxetil ")+COUNTIF(December!1:1048576, "Ceftazidime")+COUNTIF(December!1:1048576,"Ceftiofur sodium")+ COUNTIF(December!1:1048576, "Ceftriaxone")+COUNTIF(December!1:1048576, "Chloramphenicol")+COUNTIF(December!1:1048576, "Piperacillin/Tazobactam (Zosyn)")+COUNTIF(December!1:1048576, "Ceftiofur crystalline free acid (long acting formulation)")</f>
        <v>0</v>
      </c>
    </row>
    <row r="149" spans="1:15">
      <c r="K149" s="35" t="s">
        <v>315</v>
      </c>
      <c r="L149" s="35" t="s">
        <v>316</v>
      </c>
      <c r="M149" s="35" t="s">
        <v>317</v>
      </c>
    </row>
    <row r="150" spans="1:15">
      <c r="J150" s="35" t="s">
        <v>239</v>
      </c>
      <c r="K150" s="21">
        <f>SUM(K137:K148)</f>
        <v>0</v>
      </c>
      <c r="L150" s="21">
        <f>SUM(L137:L148)</f>
        <v>0</v>
      </c>
      <c r="M150" s="21">
        <f>SUM(M137:M148)</f>
        <v>0</v>
      </c>
    </row>
    <row r="151" spans="1:15">
      <c r="K151" s="35"/>
      <c r="L151" s="35"/>
      <c r="M151" s="35"/>
      <c r="N151" s="35"/>
    </row>
    <row r="153" spans="1:15">
      <c r="A153" s="21" t="s">
        <v>321</v>
      </c>
      <c r="B153" s="21" t="s">
        <v>68</v>
      </c>
      <c r="C153" s="21" t="s">
        <v>69</v>
      </c>
      <c r="D153" s="21" t="s">
        <v>70</v>
      </c>
      <c r="E153" s="21" t="s">
        <v>71</v>
      </c>
      <c r="F153" s="21" t="s">
        <v>72</v>
      </c>
      <c r="G153" s="21" t="s">
        <v>73</v>
      </c>
      <c r="H153" s="21" t="s">
        <v>74</v>
      </c>
      <c r="I153" s="21" t="s">
        <v>75</v>
      </c>
      <c r="J153" s="21" t="s">
        <v>76</v>
      </c>
      <c r="K153" s="21" t="s">
        <v>77</v>
      </c>
      <c r="L153" s="21" t="s">
        <v>78</v>
      </c>
      <c r="M153" s="21" t="s">
        <v>79</v>
      </c>
      <c r="N153" s="21" t="s">
        <v>239</v>
      </c>
    </row>
    <row r="154" spans="1:15">
      <c r="A154" s="21" t="s">
        <v>12</v>
      </c>
      <c r="B154" s="21">
        <f>COUNTIF(January[Patient Species], "Canine")</f>
        <v>0</v>
      </c>
      <c r="C154" s="21">
        <f>COUNTIF(February[Patient Species], "Canine")</f>
        <v>0</v>
      </c>
      <c r="D154" s="21">
        <f>COUNTIF(March[Patient Species], "Canine")</f>
        <v>0</v>
      </c>
      <c r="E154" s="21">
        <f>COUNTIF(April[Patient Species], "Canine")</f>
        <v>0</v>
      </c>
      <c r="F154" s="21">
        <f>COUNTIF(May[Patient Species], "Canine")</f>
        <v>0</v>
      </c>
      <c r="G154" s="21">
        <f>COUNTIF(June[Patient Species], "Canine")</f>
        <v>0</v>
      </c>
      <c r="H154" s="21">
        <f>COUNTIF(July[Patient Species], "Canine")</f>
        <v>0</v>
      </c>
      <c r="I154" s="21">
        <f>COUNTIF(August[Patient Species], "Canine")</f>
        <v>0</v>
      </c>
      <c r="J154" s="21">
        <f>COUNTIF(September[Patient Species], "Canine")</f>
        <v>0</v>
      </c>
      <c r="K154" s="21">
        <f>COUNTIF(October[Patient Species], "Canine")</f>
        <v>0</v>
      </c>
      <c r="L154" s="21">
        <f>COUNTIF(November[Patient Species], "Canine")</f>
        <v>0</v>
      </c>
      <c r="M154" s="21">
        <f>COUNTIF(December[Patient Species], "Canine")</f>
        <v>0</v>
      </c>
      <c r="N154" s="21" t="s">
        <v>12</v>
      </c>
      <c r="O154" s="21">
        <f>SUM(B154:M154)</f>
        <v>0</v>
      </c>
    </row>
    <row r="155" spans="1:15">
      <c r="A155" s="21" t="s">
        <v>13</v>
      </c>
      <c r="B155" s="21">
        <f>COUNTIF(January[Patient Species], "Feline")</f>
        <v>0</v>
      </c>
      <c r="C155" s="21">
        <f>COUNTIF(February[Patient Species], "Feline")</f>
        <v>0</v>
      </c>
      <c r="D155" s="21">
        <f>COUNTIF(March[Patient Species], "Feline")</f>
        <v>0</v>
      </c>
      <c r="E155" s="21">
        <f>COUNTIF(April[Patient Species], "Feline")</f>
        <v>0</v>
      </c>
      <c r="F155" s="21">
        <f>COUNTIF(May[Patient Species], "Feline")</f>
        <v>0</v>
      </c>
      <c r="G155" s="21">
        <f>COUNTIF(June[Patient Species], "Feline")</f>
        <v>0</v>
      </c>
      <c r="H155" s="21">
        <f>COUNTIF(July[Patient Species], "Feline")</f>
        <v>0</v>
      </c>
      <c r="I155" s="21">
        <f>COUNTIF(August[Patient Species], "Feline")</f>
        <v>0</v>
      </c>
      <c r="J155" s="21">
        <f>COUNTIF(September[Patient Species], "Feline")</f>
        <v>0</v>
      </c>
      <c r="K155" s="21">
        <f>COUNTIF(October[Patient Species], "Feline")</f>
        <v>0</v>
      </c>
      <c r="L155" s="21">
        <f>COUNTIF(November[Patient Species], "Feline")</f>
        <v>0</v>
      </c>
      <c r="M155" s="21">
        <f>COUNTIF(December[Patient Species], "Feline")</f>
        <v>0</v>
      </c>
      <c r="N155" s="21" t="s">
        <v>13</v>
      </c>
      <c r="O155" s="21">
        <f>SUM(B155:M155)</f>
        <v>0</v>
      </c>
    </row>
    <row r="159" spans="1:15">
      <c r="A159" s="21" t="s">
        <v>0</v>
      </c>
    </row>
    <row r="160" spans="1:15">
      <c r="B160" s="21" t="s">
        <v>68</v>
      </c>
      <c r="C160" s="21" t="s">
        <v>69</v>
      </c>
      <c r="D160" s="21" t="s">
        <v>70</v>
      </c>
      <c r="E160" s="21" t="s">
        <v>71</v>
      </c>
      <c r="F160" s="21" t="s">
        <v>72</v>
      </c>
      <c r="G160" s="21" t="s">
        <v>73</v>
      </c>
      <c r="H160" s="21" t="s">
        <v>74</v>
      </c>
      <c r="I160" s="21" t="s">
        <v>75</v>
      </c>
      <c r="J160" s="21" t="s">
        <v>76</v>
      </c>
      <c r="K160" s="21" t="s">
        <v>77</v>
      </c>
      <c r="L160" s="21" t="s">
        <v>78</v>
      </c>
      <c r="M160" s="21" t="s">
        <v>79</v>
      </c>
      <c r="O160" s="21" t="s">
        <v>239</v>
      </c>
    </row>
    <row r="161" spans="1:15">
      <c r="A161" s="21" t="s">
        <v>16</v>
      </c>
      <c r="B161" s="21">
        <f>COUNTIF(January[Patient Sex], "Female Intact")</f>
        <v>0</v>
      </c>
      <c r="C161" s="21">
        <f>COUNTIF(February[Patient Sex], "Female Intact")</f>
        <v>0</v>
      </c>
      <c r="D161" s="21">
        <f>COUNTIF(March[Patient Sex], "Female Intact")</f>
        <v>0</v>
      </c>
      <c r="E161" s="21">
        <f>COUNTIF(April[Patient Sex], "Female Intact")</f>
        <v>0</v>
      </c>
      <c r="F161" s="21">
        <f>COUNTIF(May[Patient Sex], "Female Intact")</f>
        <v>0</v>
      </c>
      <c r="G161" s="21">
        <f>COUNTIF(June[Patient Sex], "Female Intact")</f>
        <v>0</v>
      </c>
      <c r="H161" s="21">
        <f>COUNTIF(July[Patient Sex], "Female Intact")</f>
        <v>0</v>
      </c>
      <c r="I161" s="21">
        <f>COUNTIF(August[Patient Sex], "Female Intact")</f>
        <v>0</v>
      </c>
      <c r="J161" s="21">
        <f>COUNTIF(September[Patient Sex], "Female Intact")</f>
        <v>0</v>
      </c>
      <c r="K161" s="21">
        <f>COUNTIF(October[Patient Sex], "Female Intact")</f>
        <v>0</v>
      </c>
      <c r="L161" s="21">
        <f>COUNTIF(November[Patient Sex], "Female Intact")</f>
        <v>0</v>
      </c>
      <c r="M161" s="21">
        <f>COUNTIF(December[Patient Sex], "Female Intact")</f>
        <v>0</v>
      </c>
      <c r="N161" s="21" t="s">
        <v>16</v>
      </c>
      <c r="O161" s="21">
        <f>SUM(B161:M161)</f>
        <v>0</v>
      </c>
    </row>
    <row r="162" spans="1:15">
      <c r="A162" s="21" t="s">
        <v>17</v>
      </c>
      <c r="B162" s="21">
        <f>COUNTIF(January[Patient Sex], "Female Spayed")</f>
        <v>0</v>
      </c>
      <c r="C162" s="21">
        <f>COUNTIF(February[Patient Sex], "Female Spayed")</f>
        <v>0</v>
      </c>
      <c r="D162" s="21">
        <f>COUNTIF(March[Patient Sex], "Female Spayed")</f>
        <v>0</v>
      </c>
      <c r="E162" s="21">
        <f>COUNTIF(April[Patient Sex], "Female Spayed")</f>
        <v>0</v>
      </c>
      <c r="F162" s="21">
        <f>COUNTIF(May[Patient Sex], "Female Spayed")</f>
        <v>0</v>
      </c>
      <c r="G162" s="21">
        <f>COUNTIF(June[Patient Sex], "Female Spayed")</f>
        <v>0</v>
      </c>
      <c r="H162" s="21">
        <f>COUNTIF(July[Patient Sex], "Female Spayed")</f>
        <v>0</v>
      </c>
      <c r="I162" s="21">
        <f>COUNTIF(August[Patient Sex], "Female Spayed")</f>
        <v>0</v>
      </c>
      <c r="J162" s="21">
        <f>COUNTIF(September[Patient Sex], "Female Spayed")</f>
        <v>0</v>
      </c>
      <c r="K162" s="21">
        <f>COUNTIF(October[Patient Sex], "Female Spayed")</f>
        <v>0</v>
      </c>
      <c r="L162" s="21">
        <f>COUNTIF(November[Patient Sex], "Female Spayed")</f>
        <v>0</v>
      </c>
      <c r="M162" s="21">
        <f>COUNTIF(December[Patient Sex], "Female Spayed")</f>
        <v>0</v>
      </c>
      <c r="N162" s="21" t="s">
        <v>17</v>
      </c>
      <c r="O162" s="21">
        <f>SUM(B162:M162)</f>
        <v>0</v>
      </c>
    </row>
    <row r="163" spans="1:15">
      <c r="A163" s="21" t="s">
        <v>14</v>
      </c>
      <c r="B163" s="21">
        <f>COUNTIF(January[Patient Sex], "Male Intact")</f>
        <v>0</v>
      </c>
      <c r="C163" s="21">
        <f>COUNTIF(February[Patient Sex], "Male Intact")</f>
        <v>0</v>
      </c>
      <c r="D163" s="21">
        <f>COUNTIF(March[Patient Sex], "Male Intact")</f>
        <v>0</v>
      </c>
      <c r="E163" s="21">
        <f>COUNTIF(April[Patient Sex], "Male Intact")</f>
        <v>0</v>
      </c>
      <c r="F163" s="21">
        <f>COUNTIF(May[Patient Sex], "Male Intact")</f>
        <v>0</v>
      </c>
      <c r="G163" s="21">
        <f>COUNTIF(June[Patient Sex], "Male Intact")</f>
        <v>0</v>
      </c>
      <c r="H163" s="21">
        <f>COUNTIF(July[Patient Sex], "Male Intact")</f>
        <v>0</v>
      </c>
      <c r="I163" s="21">
        <f>COUNTIF(August[Patient Sex], "Male Intact")</f>
        <v>0</v>
      </c>
      <c r="J163" s="21">
        <f>COUNTIF(September[Patient Sex], "Male Intact")</f>
        <v>0</v>
      </c>
      <c r="K163" s="21">
        <f>COUNTIF(October[Patient Sex], "Male Intact")</f>
        <v>0</v>
      </c>
      <c r="L163" s="21">
        <f>COUNTIF(November[Patient Sex], "Male Intact")</f>
        <v>0</v>
      </c>
      <c r="M163" s="21">
        <f>COUNTIF(December[Patient Sex], "Male Intact")</f>
        <v>0</v>
      </c>
      <c r="N163" s="21" t="s">
        <v>14</v>
      </c>
      <c r="O163" s="21">
        <f>SUM(B163:M163)</f>
        <v>0</v>
      </c>
    </row>
    <row r="164" spans="1:15">
      <c r="A164" s="21" t="s">
        <v>15</v>
      </c>
      <c r="B164" s="21">
        <f>COUNTIF(January[Patient Sex], "Male Neutered")</f>
        <v>0</v>
      </c>
      <c r="C164" s="21">
        <f>COUNTIF(February[Patient Sex], "Male Neutered")</f>
        <v>0</v>
      </c>
      <c r="D164" s="21">
        <f>COUNTIF(March[Patient Sex], "Male Neutered")</f>
        <v>0</v>
      </c>
      <c r="E164" s="21">
        <f>COUNTIF(April[Patient Sex], "Male Neutered")</f>
        <v>0</v>
      </c>
      <c r="F164" s="21">
        <f>COUNTIF(May[Patient Sex], "Male Neutered")</f>
        <v>0</v>
      </c>
      <c r="G164" s="21">
        <f>COUNTIF(June[Patient Sex], "Male Neutered")</f>
        <v>0</v>
      </c>
      <c r="H164" s="21">
        <f>COUNTIF(July[Patient Sex], "Male Neutered")</f>
        <v>0</v>
      </c>
      <c r="I164" s="21">
        <f>COUNTIF(August[Patient Sex], "Male Neutered")</f>
        <v>0</v>
      </c>
      <c r="J164" s="21">
        <f>COUNTIF(September[Patient Sex], "Male Neutered")</f>
        <v>0</v>
      </c>
      <c r="K164" s="21">
        <f>COUNTIF(October[Patient Sex], "Male Neutered")</f>
        <v>0</v>
      </c>
      <c r="L164" s="21">
        <f>COUNTIF(November[Patient Sex], "Male Neutered")</f>
        <v>0</v>
      </c>
      <c r="M164" s="21">
        <f>COUNTIF(December[Patient Sex], "Male Neutered")</f>
        <v>0</v>
      </c>
      <c r="N164" s="21" t="s">
        <v>15</v>
      </c>
      <c r="O164" s="21">
        <f>SUM(B164:M164)</f>
        <v>0</v>
      </c>
    </row>
    <row r="170" spans="1:15">
      <c r="A170" s="21" t="s">
        <v>111</v>
      </c>
      <c r="B170" s="21" t="s">
        <v>68</v>
      </c>
      <c r="C170" s="21" t="s">
        <v>69</v>
      </c>
      <c r="D170" s="21" t="s">
        <v>70</v>
      </c>
      <c r="E170" s="21" t="s">
        <v>71</v>
      </c>
      <c r="F170" s="21" t="s">
        <v>72</v>
      </c>
      <c r="G170" s="21" t="s">
        <v>73</v>
      </c>
      <c r="H170" s="21" t="s">
        <v>74</v>
      </c>
      <c r="I170" s="21" t="s">
        <v>75</v>
      </c>
      <c r="J170" s="21" t="s">
        <v>76</v>
      </c>
      <c r="K170" s="21" t="s">
        <v>77</v>
      </c>
      <c r="L170" s="21" t="s">
        <v>78</v>
      </c>
      <c r="M170" s="21" t="s">
        <v>79</v>
      </c>
      <c r="O170" s="21" t="s">
        <v>239</v>
      </c>
    </row>
    <row r="171" spans="1:15">
      <c r="A171" s="41" t="s">
        <v>117</v>
      </c>
      <c r="B171" s="21">
        <f>COUNTIF(January[Patient Age], "0-4 months")</f>
        <v>0</v>
      </c>
      <c r="C171" s="21">
        <f>COUNTIF(February[Patient Age], "0-4 months")</f>
        <v>0</v>
      </c>
      <c r="D171" s="21">
        <f>COUNTIF(March[Patient Age], "0-4 months")</f>
        <v>0</v>
      </c>
      <c r="E171" s="21">
        <f>COUNTIF(April[Patient Age], "0-4 months")</f>
        <v>0</v>
      </c>
      <c r="F171" s="21">
        <f>COUNTIF(May[Patient Age], "0-4 months")</f>
        <v>0</v>
      </c>
      <c r="G171" s="21">
        <f>COUNTIF(June[Patient Age], "0-4 months")</f>
        <v>0</v>
      </c>
      <c r="H171" s="21">
        <f>COUNTIF(July[Patient Age], "0-4 months")</f>
        <v>0</v>
      </c>
      <c r="I171" s="21">
        <f>COUNTIF(August[Patient Age], "0-4 months")</f>
        <v>0</v>
      </c>
      <c r="J171" s="21">
        <f>COUNTIF(September[Patient Age], "0-4 months")</f>
        <v>0</v>
      </c>
      <c r="K171" s="21">
        <f>COUNTIF(October[Patient Age], "0-4 months")</f>
        <v>0</v>
      </c>
      <c r="L171" s="21">
        <f>COUNTIF(November[Patient Age], "0-4 months")</f>
        <v>0</v>
      </c>
      <c r="M171" s="21">
        <f>COUNTIF(December[Patient Age], "0-4 months")</f>
        <v>0</v>
      </c>
      <c r="N171" s="41" t="s">
        <v>117</v>
      </c>
      <c r="O171" s="21">
        <f t="shared" ref="O171:O176" si="3">SUM(B171:M171)</f>
        <v>0</v>
      </c>
    </row>
    <row r="172" spans="1:15">
      <c r="A172" s="42" t="s">
        <v>245</v>
      </c>
      <c r="B172" s="21">
        <f>COUNTIF(January[Patient Age], "=&gt;4-12 months")</f>
        <v>0</v>
      </c>
      <c r="C172" s="21">
        <f>COUNTIF(February[Patient Age], "=&gt;4-12 months")</f>
        <v>0</v>
      </c>
      <c r="D172" s="21">
        <f>COUNTIF(March[Patient Age], "=&gt;4-12 months")</f>
        <v>0</v>
      </c>
      <c r="E172" s="21">
        <f>COUNTIF(April[Patient Age], "=&gt;4-12 months")</f>
        <v>0</v>
      </c>
      <c r="F172" s="21">
        <f>COUNTIF(May[Patient Age], "=&gt;4-12 months")</f>
        <v>0</v>
      </c>
      <c r="G172" s="21">
        <f>COUNTIF(June[Patient Age], "=&gt;4-12 months")</f>
        <v>0</v>
      </c>
      <c r="H172" s="21">
        <f>COUNTIF(July[Patient Age], "=&gt;4-12 months")</f>
        <v>0</v>
      </c>
      <c r="I172" s="21">
        <f>COUNTIF(August[Patient Age], "=&gt;4-12 months")</f>
        <v>0</v>
      </c>
      <c r="J172" s="21">
        <f>COUNTIF(September[Patient Age], "=&gt;4-12 months")</f>
        <v>0</v>
      </c>
      <c r="K172" s="21">
        <f>COUNTIF(October[Patient Age], "=&gt;4-12 months")</f>
        <v>0</v>
      </c>
      <c r="L172" s="21">
        <f>COUNTIF(November[Patient Age], "=&gt;4-12 months")</f>
        <v>0</v>
      </c>
      <c r="M172" s="21">
        <f>COUNTIF(December[Patient Age], "=&gt;4-12 months")</f>
        <v>0</v>
      </c>
      <c r="N172" s="42" t="s">
        <v>245</v>
      </c>
      <c r="O172" s="21">
        <f t="shared" si="3"/>
        <v>0</v>
      </c>
    </row>
    <row r="173" spans="1:15">
      <c r="A173" s="41" t="s">
        <v>246</v>
      </c>
      <c r="B173" s="21">
        <f>COUNTIF(January[Patient Age], "=&gt;1-3 years")</f>
        <v>0</v>
      </c>
      <c r="C173" s="21">
        <f>COUNTIF(February[Patient Age], "=&gt;1-3 years")</f>
        <v>0</v>
      </c>
      <c r="D173" s="21">
        <f>COUNTIF(March[Patient Age], "=&gt;1-3 years")</f>
        <v>0</v>
      </c>
      <c r="E173" s="21">
        <f>COUNTIF(April[Patient Age], "=&gt;1-3 years")</f>
        <v>0</v>
      </c>
      <c r="F173" s="21">
        <f>COUNTIF(May[Patient Age], "=&gt;1-3 years")</f>
        <v>0</v>
      </c>
      <c r="G173" s="21">
        <f>COUNTIF(June[Patient Age], "=&gt;1-3 years")</f>
        <v>0</v>
      </c>
      <c r="H173" s="21">
        <f>COUNTIF(July[Patient Age], "=&gt;1-3 years")</f>
        <v>0</v>
      </c>
      <c r="I173" s="21">
        <f>COUNTIF(August[Patient Age], "=&gt;1-3 years")</f>
        <v>0</v>
      </c>
      <c r="J173" s="21">
        <f>COUNTIF(September[Patient Age], "=&gt;1-3 years")</f>
        <v>0</v>
      </c>
      <c r="K173" s="21">
        <f>COUNTIF(October[Patient Age], "=&gt;1-3 years")</f>
        <v>0</v>
      </c>
      <c r="L173" s="21">
        <f>COUNTIF(November[Patient Age], "=&gt;1-3 years")</f>
        <v>0</v>
      </c>
      <c r="M173" s="21">
        <f>COUNTIF(December[Patient Age], "=&gt;1-3 years")</f>
        <v>0</v>
      </c>
      <c r="N173" s="41" t="s">
        <v>246</v>
      </c>
      <c r="O173" s="21">
        <f t="shared" si="3"/>
        <v>0</v>
      </c>
    </row>
    <row r="174" spans="1:15">
      <c r="A174" s="42" t="s">
        <v>247</v>
      </c>
      <c r="B174" s="21">
        <f>COUNTIF(January[Patient Age], "=&gt;3-7 years")</f>
        <v>0</v>
      </c>
      <c r="C174" s="21">
        <f>COUNTIF(February[Patient Age], "=&gt;3-7 years")</f>
        <v>0</v>
      </c>
      <c r="D174" s="21">
        <f>COUNTIF(March[Patient Age], "=&gt;3-7 years")</f>
        <v>0</v>
      </c>
      <c r="E174" s="21">
        <f>COUNTIF(April[Patient Age], "=&gt;3-7 years")</f>
        <v>0</v>
      </c>
      <c r="F174" s="21">
        <f>COUNTIF(May[Patient Age], "=&gt;3-7 years")</f>
        <v>0</v>
      </c>
      <c r="G174" s="21">
        <f>COUNTIF(June[Patient Age], "=&gt;3-7 years")</f>
        <v>0</v>
      </c>
      <c r="H174" s="21">
        <f>COUNTIF(July[Patient Age], "=&gt;3-7 years")</f>
        <v>0</v>
      </c>
      <c r="I174" s="21">
        <f>COUNTIF(August[Patient Age], "=&gt;3-7 years")</f>
        <v>0</v>
      </c>
      <c r="J174" s="21">
        <f>COUNTIF(September[Patient Age], "=&gt;3-7 years")</f>
        <v>0</v>
      </c>
      <c r="K174" s="21">
        <f>COUNTIF(October[Patient Age], "=&gt;3-7 years")</f>
        <v>0</v>
      </c>
      <c r="L174" s="21">
        <f>COUNTIF(November[Patient Age], "=&gt;3-7 years")</f>
        <v>0</v>
      </c>
      <c r="M174" s="21">
        <f>COUNTIF(December[Patient Age], "=&gt;3-7 years")</f>
        <v>0</v>
      </c>
      <c r="N174" s="42" t="s">
        <v>247</v>
      </c>
      <c r="O174" s="21">
        <f t="shared" si="3"/>
        <v>0</v>
      </c>
    </row>
    <row r="175" spans="1:15">
      <c r="A175" s="41" t="s">
        <v>248</v>
      </c>
      <c r="B175" s="21">
        <f>COUNTIF(January[Patient Age], "=&gt;7-10 years")</f>
        <v>0</v>
      </c>
      <c r="C175" s="21">
        <f>COUNTIF(February[Patient Age], "=&gt;7-10 years")</f>
        <v>0</v>
      </c>
      <c r="D175" s="21">
        <f>COUNTIF(March[Patient Age], "=&gt;7-10 years")</f>
        <v>0</v>
      </c>
      <c r="E175" s="21">
        <f>COUNTIF(April[Patient Age], "=&gt;7-10 years")</f>
        <v>0</v>
      </c>
      <c r="F175" s="21">
        <f>COUNTIF(May[Patient Age], "=&gt;7-10 years")</f>
        <v>0</v>
      </c>
      <c r="G175" s="21">
        <f>COUNTIF(June[Patient Age], "=&gt;7-10 years")</f>
        <v>0</v>
      </c>
      <c r="H175" s="21">
        <f>COUNTIF(July[Patient Age], "=&gt;7-10 years")</f>
        <v>0</v>
      </c>
      <c r="I175" s="21">
        <f>COUNTIF(August[Patient Age], "=&gt;7-10 years")</f>
        <v>0</v>
      </c>
      <c r="J175" s="21">
        <f>COUNTIF(September[Patient Age], "=&gt;7-10 years")</f>
        <v>0</v>
      </c>
      <c r="K175" s="21">
        <f>COUNTIF(October[Patient Age], "=&gt;7-10 years")</f>
        <v>0</v>
      </c>
      <c r="L175" s="21">
        <f>COUNTIF(November[Patient Age], "=&gt;7-10 years")</f>
        <v>0</v>
      </c>
      <c r="M175" s="21">
        <f>COUNTIF(December[Patient Age], "=&gt;7-10 years")</f>
        <v>0</v>
      </c>
      <c r="N175" s="41" t="s">
        <v>248</v>
      </c>
      <c r="O175" s="21">
        <f t="shared" si="3"/>
        <v>0</v>
      </c>
    </row>
    <row r="176" spans="1:15">
      <c r="A176" s="42" t="s">
        <v>123</v>
      </c>
      <c r="B176" s="21">
        <f>COUNTIF(January[Patient Age], "=&gt;10 years")</f>
        <v>0</v>
      </c>
      <c r="C176" s="21">
        <f>COUNTIF(February[Patient Age], "=&gt;10 years")</f>
        <v>0</v>
      </c>
      <c r="D176" s="21">
        <f>COUNTIF(March[Patient Age], "=&gt;10 years")</f>
        <v>0</v>
      </c>
      <c r="E176" s="21">
        <f>COUNTIF(April[Patient Age], "=&gt;10 years")</f>
        <v>0</v>
      </c>
      <c r="F176" s="21">
        <f>COUNTIF(May[Patient Age], "=&gt;10 years")</f>
        <v>0</v>
      </c>
      <c r="G176" s="21">
        <f>COUNTIF(June[Patient Age], "=&gt;10 years")</f>
        <v>0</v>
      </c>
      <c r="H176" s="21">
        <f>COUNTIF(July[Patient Age], "=&gt;10 years")</f>
        <v>0</v>
      </c>
      <c r="I176" s="21">
        <f>COUNTIF(August[Patient Age], "=&gt;10 years")</f>
        <v>0</v>
      </c>
      <c r="J176" s="21">
        <f>COUNTIF(September[Patient Age], "=&gt;10 years")</f>
        <v>0</v>
      </c>
      <c r="K176" s="21">
        <f>COUNTIF(October[Patient Age], "=&gt;10 years")</f>
        <v>0</v>
      </c>
      <c r="L176" s="21">
        <f>COUNTIF(November[Patient Age], "=&gt;10 years")</f>
        <v>0</v>
      </c>
      <c r="M176" s="21">
        <f>COUNTIF(December[Patient Age], "=&gt;10 years")</f>
        <v>0</v>
      </c>
      <c r="N176" s="42" t="s">
        <v>123</v>
      </c>
      <c r="O176" s="21">
        <f t="shared" si="3"/>
        <v>0</v>
      </c>
    </row>
    <row r="179" spans="1:15">
      <c r="A179" s="21" t="s">
        <v>341</v>
      </c>
      <c r="B179" s="21" t="s">
        <v>68</v>
      </c>
      <c r="C179" s="21" t="s">
        <v>69</v>
      </c>
      <c r="D179" s="21" t="s">
        <v>70</v>
      </c>
      <c r="E179" s="21" t="s">
        <v>71</v>
      </c>
      <c r="F179" s="21" t="s">
        <v>72</v>
      </c>
      <c r="G179" s="21" t="s">
        <v>73</v>
      </c>
      <c r="H179" s="21" t="s">
        <v>74</v>
      </c>
      <c r="I179" s="21" t="s">
        <v>75</v>
      </c>
      <c r="J179" s="21" t="s">
        <v>76</v>
      </c>
      <c r="K179" s="21" t="s">
        <v>77</v>
      </c>
      <c r="L179" s="21" t="s">
        <v>78</v>
      </c>
      <c r="M179" s="21" t="s">
        <v>79</v>
      </c>
      <c r="O179" s="21" t="s">
        <v>239</v>
      </c>
    </row>
    <row r="180" spans="1:15">
      <c r="A180" s="22" t="s">
        <v>18</v>
      </c>
      <c r="B180" s="21">
        <f>COUNTIF(January[Reason for Visit], "Preventive Care")</f>
        <v>0</v>
      </c>
      <c r="C180" s="21">
        <f>COUNTIF(February[Reason for Visit], "Preventive Care")</f>
        <v>0</v>
      </c>
      <c r="D180" s="21">
        <f>COUNTIF(March[Reason for Visit], "Preventive Care")</f>
        <v>0</v>
      </c>
      <c r="E180" s="21">
        <f>COUNTIF(April[Reason for Visit], "Preventive Care")</f>
        <v>0</v>
      </c>
      <c r="F180" s="21">
        <f>COUNTIF(May[Reason for Visit], "Preventive Care")</f>
        <v>0</v>
      </c>
      <c r="G180" s="21">
        <f>COUNTIF(June[Reason for Visit], "Preventive Care")</f>
        <v>0</v>
      </c>
      <c r="H180" s="21">
        <f>COUNTIF(July[Reason for Visit], "Preventive Care")</f>
        <v>0</v>
      </c>
      <c r="I180" s="21">
        <f>COUNTIF(August[Reason for Visit], "Preventive Care")</f>
        <v>0</v>
      </c>
      <c r="J180" s="21">
        <f>COUNTIF(September[Reason for Visit], "Preventive Care")</f>
        <v>0</v>
      </c>
      <c r="K180" s="35">
        <f>COUNTIF(October[Reason for Visit], "Preventive Care")</f>
        <v>0</v>
      </c>
      <c r="L180" s="35">
        <f>COUNTIF(November[Reason for Visit], "Preventive Care")</f>
        <v>0</v>
      </c>
      <c r="M180" s="35">
        <f>COUNTIF(December[Reason for Visit], "Preventive Care")</f>
        <v>0</v>
      </c>
      <c r="N180" s="22" t="s">
        <v>18</v>
      </c>
      <c r="O180" s="35">
        <f t="shared" ref="O180:O185" si="4">SUM(B180:M180)</f>
        <v>0</v>
      </c>
    </row>
    <row r="181" spans="1:15">
      <c r="A181" s="11" t="s">
        <v>19</v>
      </c>
      <c r="B181" s="21">
        <f>COUNTIF(January[Reason for Visit], "Re-check")</f>
        <v>0</v>
      </c>
      <c r="C181" s="21">
        <f>COUNTIF(February[Reason for Visit], "Re-check")</f>
        <v>0</v>
      </c>
      <c r="D181" s="21">
        <f>COUNTIF(March[Reason for Visit], "Re-check")</f>
        <v>0</v>
      </c>
      <c r="E181" s="21">
        <f>COUNTIF(April[Reason for Visit], "Re-check")</f>
        <v>0</v>
      </c>
      <c r="F181" s="21">
        <f>COUNTIF(May[Reason for Visit], "Re-check")</f>
        <v>0</v>
      </c>
      <c r="G181" s="21">
        <f>COUNTIF(June[Reason for Visit], "Re-check")</f>
        <v>0</v>
      </c>
      <c r="H181" s="21">
        <f>COUNTIF(July[Reason for Visit], "Re-check")</f>
        <v>0</v>
      </c>
      <c r="I181" s="21">
        <f>COUNTIF(August[Reason for Visit], "Re-check")</f>
        <v>0</v>
      </c>
      <c r="J181" s="21">
        <f>COUNTIF(September[Reason for Visit], "Re-check")</f>
        <v>0</v>
      </c>
      <c r="K181" s="21">
        <f>COUNTIF(October[Reason for Visit], "Re-check")</f>
        <v>0</v>
      </c>
      <c r="L181" s="21">
        <f>COUNTIF(November[Reason for Visit], "Re-check")</f>
        <v>0</v>
      </c>
      <c r="M181" s="21">
        <f>COUNTIF(December[Reason for Visit], "Re-check")</f>
        <v>0</v>
      </c>
      <c r="N181" s="11" t="s">
        <v>19</v>
      </c>
      <c r="O181" s="21">
        <f t="shared" si="4"/>
        <v>0</v>
      </c>
    </row>
    <row r="182" spans="1:15">
      <c r="A182" s="22" t="s">
        <v>20</v>
      </c>
      <c r="B182" s="21">
        <f>COUNTIF(January[Reason for Visit], "Sick")</f>
        <v>0</v>
      </c>
      <c r="C182" s="21">
        <f>COUNTIF(February[Reason for Visit], "Sick")</f>
        <v>0</v>
      </c>
      <c r="D182" s="21">
        <f>COUNTIF(March[Reason for Visit], "Sick")</f>
        <v>0</v>
      </c>
      <c r="E182" s="21">
        <f>COUNTIF(April[Reason for Visit], "Sick")</f>
        <v>0</v>
      </c>
      <c r="F182" s="21">
        <f>COUNTIF(May[Reason for Visit], "Sick")</f>
        <v>0</v>
      </c>
      <c r="G182" s="21">
        <f>COUNTIF(June[Reason for Visit], "Sick")</f>
        <v>0</v>
      </c>
      <c r="H182" s="21">
        <f>COUNTIF(July[Reason for Visit], "Sick")</f>
        <v>0</v>
      </c>
      <c r="I182" s="21">
        <f>COUNTIF(August[Reason for Visit], "Sick")</f>
        <v>0</v>
      </c>
      <c r="J182" s="21">
        <f>COUNTIF(September[Reason for Visit], "Sick")</f>
        <v>0</v>
      </c>
      <c r="K182" s="21">
        <f>COUNTIF(October[Reason for Visit], "Sick")</f>
        <v>0</v>
      </c>
      <c r="L182" s="21">
        <f>COUNTIF(November[Reason for Visit], "Sick")</f>
        <v>0</v>
      </c>
      <c r="M182" s="21">
        <f>COUNTIF(December[Reason for Visit], "Sick")</f>
        <v>0</v>
      </c>
      <c r="N182" s="22" t="s">
        <v>20</v>
      </c>
      <c r="O182" s="21">
        <f t="shared" si="4"/>
        <v>0</v>
      </c>
    </row>
    <row r="183" spans="1:15">
      <c r="A183" s="11" t="s">
        <v>149</v>
      </c>
      <c r="B183" s="21">
        <f>COUNTIF(January[Reason for Visit], "Surgery/Procedure")</f>
        <v>0</v>
      </c>
      <c r="C183" s="21">
        <f>COUNTIF(February[Reason for Visit], "Surgery/Procedure")</f>
        <v>0</v>
      </c>
      <c r="D183" s="21">
        <f>COUNTIF(March[Reason for Visit], "Surgery/Procedure")</f>
        <v>0</v>
      </c>
      <c r="E183" s="21">
        <f>COUNTIF(April[Reason for Visit], "Surgery/Procedure")</f>
        <v>0</v>
      </c>
      <c r="F183" s="21">
        <f>COUNTIF(May[Reason for Visit], "Surgery/Procedure")</f>
        <v>0</v>
      </c>
      <c r="G183" s="21">
        <f>COUNTIF(June[Reason for Visit], "Surgery/Procedure")</f>
        <v>0</v>
      </c>
      <c r="H183" s="21">
        <f>COUNTIF(July[Reason for Visit], "Surgery/Procedure")</f>
        <v>0</v>
      </c>
      <c r="I183" s="21">
        <f>COUNTIF(August[Reason for Visit], "Surgery/Procedure")</f>
        <v>0</v>
      </c>
      <c r="J183" s="21">
        <f>COUNTIF(September[Reason for Visit], "Surgery/Procedure")</f>
        <v>0</v>
      </c>
      <c r="K183" s="21">
        <f>COUNTIF(October[Reason for Visit], "Surgery/Procedure")</f>
        <v>0</v>
      </c>
      <c r="L183" s="21">
        <f>COUNTIF(November[Reason for Visit], "Surgery/Procedure")</f>
        <v>0</v>
      </c>
      <c r="M183" s="21">
        <f>COUNTIF(December[Reason for Visit], "Surgery/Procedure")</f>
        <v>0</v>
      </c>
      <c r="N183" s="11" t="s">
        <v>149</v>
      </c>
      <c r="O183" s="21">
        <f t="shared" si="4"/>
        <v>0</v>
      </c>
    </row>
    <row r="184" spans="1:15">
      <c r="A184" s="22" t="s">
        <v>320</v>
      </c>
      <c r="B184" s="21">
        <f>COUNTIF(January[Reason for Visit], "Euthanasia")</f>
        <v>0</v>
      </c>
      <c r="C184" s="21">
        <f>COUNTIF(February[Reason for Visit], "Euthanasia")</f>
        <v>0</v>
      </c>
      <c r="D184" s="21">
        <f>COUNTIF(March[Reason for Visit], "Euthanasia")</f>
        <v>0</v>
      </c>
      <c r="E184" s="21">
        <f>COUNTIF(April[Reason for Visit], "Euthanasia")</f>
        <v>0</v>
      </c>
      <c r="F184" s="21">
        <f>COUNTIF(May[Reason for Visit], "Euthanasia")</f>
        <v>0</v>
      </c>
      <c r="G184" s="21">
        <f>COUNTIF(June[Reason for Visit], "Euthanasia")</f>
        <v>0</v>
      </c>
      <c r="H184" s="21">
        <f>COUNTIF(July[Reason for Visit], "Euthanasia")</f>
        <v>0</v>
      </c>
      <c r="I184" s="21">
        <f>COUNTIF(August[Reason for Visit], "Euthanasia")</f>
        <v>0</v>
      </c>
      <c r="J184" s="21">
        <f>COUNTIF(September[Reason for Visit], "Euthanasia")</f>
        <v>0</v>
      </c>
      <c r="K184" s="21">
        <f>COUNTIF(October[Reason for Visit], "Euthanasia")</f>
        <v>0</v>
      </c>
      <c r="L184" s="21">
        <f>COUNTIF(November[Reason for Visit], "Euthanasia")</f>
        <v>0</v>
      </c>
      <c r="M184" s="21">
        <f>COUNTIF(December[Reason for Visit], "Euthanasia")</f>
        <v>0</v>
      </c>
      <c r="N184" s="22" t="s">
        <v>320</v>
      </c>
      <c r="O184" s="21">
        <f t="shared" si="4"/>
        <v>0</v>
      </c>
    </row>
    <row r="185" spans="1:15">
      <c r="A185" s="11" t="s">
        <v>21</v>
      </c>
      <c r="B185" s="21">
        <f>COUNTIF(January[Reason for Visit], "Other")</f>
        <v>0</v>
      </c>
      <c r="C185" s="21">
        <f>COUNTIF(February[Reason for Visit], "Other")</f>
        <v>0</v>
      </c>
      <c r="D185" s="21">
        <f>COUNTIF(March[Reason for Visit], "Other")</f>
        <v>0</v>
      </c>
      <c r="E185" s="21">
        <f>COUNTIF(April[Reason for Visit], "Other")</f>
        <v>0</v>
      </c>
      <c r="F185" s="21">
        <f>COUNTIF(May[Reason for Visit], "Other")</f>
        <v>0</v>
      </c>
      <c r="G185" s="21">
        <f>COUNTIF(June[Reason for Visit], "Other")</f>
        <v>0</v>
      </c>
      <c r="H185" s="21">
        <f>COUNTIF(July[Reason for Visit], "Other")</f>
        <v>0</v>
      </c>
      <c r="I185" s="21">
        <f>COUNTIF(August[Reason for Visit], "Other")</f>
        <v>0</v>
      </c>
      <c r="J185" s="21">
        <f>COUNTIF(September[Reason for Visit], "Other")</f>
        <v>0</v>
      </c>
      <c r="K185" s="21">
        <f>COUNTIF(October[Reason for Visit], "Other")</f>
        <v>0</v>
      </c>
      <c r="L185" s="21">
        <f>COUNTIF(November[Reason for Visit], "Other")</f>
        <v>0</v>
      </c>
      <c r="M185" s="21">
        <f>COUNTIF(December[Reason for Visit], "Other")</f>
        <v>0</v>
      </c>
      <c r="N185" s="11" t="s">
        <v>21</v>
      </c>
      <c r="O185" s="21">
        <f t="shared" si="4"/>
        <v>0</v>
      </c>
    </row>
  </sheetData>
  <sheetProtection algorithmName="SHA-512" hashValue="I6lgjAALqbCC8vYiqQ7K4VNvPtLK9oxqolzqgxnIInx92j8m0kC18OoK+3nVuX8gWGyyKzi+n4QtghkTDO5jZw==" saltValue="ZSXO3jIpJiq9IkC4JdHjhg==" spinCount="100000"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02"/>
  <sheetViews>
    <sheetView workbookViewId="0">
      <pane ySplit="3" topLeftCell="A4" activePane="bottomLeft" state="frozen"/>
      <selection pane="bottomLeft" activeCell="A4" sqref="A4"/>
    </sheetView>
  </sheetViews>
  <sheetFormatPr defaultColWidth="10.83203125" defaultRowHeight="15.5"/>
  <cols>
    <col min="1" max="16" width="10.83203125" style="24"/>
    <col min="17" max="17" width="14.1640625" style="24" customWidth="1"/>
    <col min="18" max="18" width="15.83203125" style="24" customWidth="1"/>
    <col min="19" max="16384" width="10.83203125" style="24"/>
  </cols>
  <sheetData>
    <row r="1" spans="1:91" ht="21">
      <c r="A1" s="60" t="s">
        <v>103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43"/>
      <c r="AH1" s="43"/>
      <c r="AI1" s="43"/>
      <c r="AJ1" s="43"/>
      <c r="AK1" s="43"/>
      <c r="AL1" s="70" t="s">
        <v>154</v>
      </c>
      <c r="AM1" s="70"/>
      <c r="AN1" s="70"/>
      <c r="AO1" s="70"/>
      <c r="AP1" s="70"/>
      <c r="AQ1" s="70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5"/>
      <c r="BI1" s="45"/>
      <c r="BJ1" s="45"/>
      <c r="BK1" s="45"/>
      <c r="BL1" s="45"/>
      <c r="BM1" s="71" t="s">
        <v>156</v>
      </c>
      <c r="BN1" s="71"/>
      <c r="BO1" s="71"/>
      <c r="BP1" s="71"/>
      <c r="BQ1" s="71"/>
      <c r="BR1" s="71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7"/>
      <c r="CJ1" s="47"/>
      <c r="CK1" s="47"/>
      <c r="CL1" s="47"/>
      <c r="CM1" s="47"/>
    </row>
    <row r="2" spans="1:91" ht="21">
      <c r="A2" s="60"/>
      <c r="B2" s="60"/>
      <c r="C2" s="60"/>
      <c r="D2" s="60"/>
      <c r="E2" s="60"/>
      <c r="F2" s="60"/>
      <c r="G2" s="60"/>
      <c r="H2" s="60"/>
      <c r="I2" s="60"/>
      <c r="J2" s="60"/>
      <c r="K2" s="62" t="s">
        <v>153</v>
      </c>
      <c r="L2" s="62"/>
      <c r="M2" s="62"/>
      <c r="N2" s="62"/>
      <c r="O2" s="62"/>
      <c r="P2" s="62"/>
      <c r="Q2" s="63" t="s">
        <v>104</v>
      </c>
      <c r="R2" s="63"/>
      <c r="S2" s="63"/>
      <c r="T2" s="63"/>
      <c r="U2" s="63"/>
      <c r="V2" s="63"/>
      <c r="W2" s="48"/>
      <c r="X2" s="64" t="s">
        <v>105</v>
      </c>
      <c r="Y2" s="64"/>
      <c r="Z2" s="64"/>
      <c r="AA2" s="64"/>
      <c r="AB2" s="64"/>
      <c r="AC2" s="64"/>
      <c r="AD2" s="64"/>
      <c r="AE2" s="65" t="s">
        <v>106</v>
      </c>
      <c r="AF2" s="65"/>
      <c r="AG2" s="65"/>
      <c r="AH2" s="65"/>
      <c r="AI2" s="65"/>
      <c r="AJ2" s="65"/>
      <c r="AK2" s="65"/>
      <c r="AL2" s="70"/>
      <c r="AM2" s="70"/>
      <c r="AN2" s="70"/>
      <c r="AO2" s="70"/>
      <c r="AP2" s="70"/>
      <c r="AQ2" s="70"/>
      <c r="AR2" s="66" t="s">
        <v>107</v>
      </c>
      <c r="AS2" s="66"/>
      <c r="AT2" s="66"/>
      <c r="AU2" s="66"/>
      <c r="AV2" s="66"/>
      <c r="AW2" s="66"/>
      <c r="AX2" s="66"/>
      <c r="AY2" s="49" t="s">
        <v>216</v>
      </c>
      <c r="AZ2" s="49"/>
      <c r="BA2" s="49"/>
      <c r="BB2" s="49"/>
      <c r="BC2" s="49"/>
      <c r="BD2" s="49"/>
      <c r="BE2" s="49"/>
      <c r="BF2" s="69" t="s">
        <v>155</v>
      </c>
      <c r="BG2" s="69"/>
      <c r="BH2" s="69"/>
      <c r="BI2" s="69"/>
      <c r="BJ2" s="69"/>
      <c r="BK2" s="69"/>
      <c r="BL2" s="69"/>
      <c r="BM2" s="71"/>
      <c r="BN2" s="71"/>
      <c r="BO2" s="71"/>
      <c r="BP2" s="71"/>
      <c r="BQ2" s="71"/>
      <c r="BR2" s="71"/>
      <c r="BS2" s="67" t="s">
        <v>109</v>
      </c>
      <c r="BT2" s="67"/>
      <c r="BU2" s="67"/>
      <c r="BV2" s="67"/>
      <c r="BW2" s="67"/>
      <c r="BX2" s="67"/>
      <c r="BY2" s="67"/>
      <c r="BZ2" s="68" t="s">
        <v>110</v>
      </c>
      <c r="CA2" s="68"/>
      <c r="CB2" s="68"/>
      <c r="CC2" s="68"/>
      <c r="CD2" s="68"/>
      <c r="CE2" s="68"/>
      <c r="CF2" s="68"/>
      <c r="CG2" s="69" t="s">
        <v>108</v>
      </c>
      <c r="CH2" s="69"/>
      <c r="CI2" s="69"/>
      <c r="CJ2" s="69"/>
      <c r="CK2" s="69"/>
      <c r="CL2" s="69"/>
      <c r="CM2" s="69"/>
    </row>
    <row r="3" spans="1:91" ht="93.5" thickBot="1">
      <c r="A3" s="50" t="s">
        <v>4</v>
      </c>
      <c r="B3" s="50" t="s">
        <v>217</v>
      </c>
      <c r="C3" s="50" t="s">
        <v>5</v>
      </c>
      <c r="D3" s="50" t="s">
        <v>6</v>
      </c>
      <c r="E3" s="50" t="s">
        <v>0</v>
      </c>
      <c r="F3" s="50" t="s">
        <v>111</v>
      </c>
      <c r="G3" s="50" t="s">
        <v>1</v>
      </c>
      <c r="H3" s="50" t="s">
        <v>150</v>
      </c>
      <c r="I3" s="50" t="s">
        <v>218</v>
      </c>
      <c r="J3" s="50" t="s">
        <v>214</v>
      </c>
      <c r="K3" s="50" t="s">
        <v>82</v>
      </c>
      <c r="L3" s="50" t="s">
        <v>215</v>
      </c>
      <c r="M3" s="50" t="s">
        <v>83</v>
      </c>
      <c r="N3" s="50" t="s">
        <v>211</v>
      </c>
      <c r="O3" s="50" t="s">
        <v>212</v>
      </c>
      <c r="P3" s="50" t="s">
        <v>213</v>
      </c>
      <c r="Q3" s="51" t="s">
        <v>8</v>
      </c>
      <c r="R3" s="51" t="s">
        <v>3</v>
      </c>
      <c r="S3" s="50" t="s">
        <v>84</v>
      </c>
      <c r="T3" s="50" t="s">
        <v>65</v>
      </c>
      <c r="U3" s="50" t="s">
        <v>85</v>
      </c>
      <c r="V3" s="50" t="s">
        <v>9</v>
      </c>
      <c r="W3" s="50" t="s">
        <v>219</v>
      </c>
      <c r="X3" s="51" t="s">
        <v>157</v>
      </c>
      <c r="Y3" s="51" t="s">
        <v>164</v>
      </c>
      <c r="Z3" s="50" t="s">
        <v>163</v>
      </c>
      <c r="AA3" s="50" t="s">
        <v>166</v>
      </c>
      <c r="AB3" s="50" t="s">
        <v>167</v>
      </c>
      <c r="AC3" s="50" t="s">
        <v>171</v>
      </c>
      <c r="AD3" s="50" t="s">
        <v>220</v>
      </c>
      <c r="AE3" s="51" t="s">
        <v>168</v>
      </c>
      <c r="AF3" s="51" t="s">
        <v>158</v>
      </c>
      <c r="AG3" s="50" t="s">
        <v>169</v>
      </c>
      <c r="AH3" s="50" t="s">
        <v>165</v>
      </c>
      <c r="AI3" s="50" t="s">
        <v>170</v>
      </c>
      <c r="AJ3" s="50" t="s">
        <v>172</v>
      </c>
      <c r="AK3" s="50" t="s">
        <v>221</v>
      </c>
      <c r="AL3" s="50" t="s">
        <v>173</v>
      </c>
      <c r="AM3" s="50" t="s">
        <v>222</v>
      </c>
      <c r="AN3" s="50" t="s">
        <v>174</v>
      </c>
      <c r="AO3" s="50" t="s">
        <v>175</v>
      </c>
      <c r="AP3" s="50" t="s">
        <v>223</v>
      </c>
      <c r="AQ3" s="50" t="s">
        <v>224</v>
      </c>
      <c r="AR3" s="51" t="s">
        <v>176</v>
      </c>
      <c r="AS3" s="51" t="s">
        <v>177</v>
      </c>
      <c r="AT3" s="50" t="s">
        <v>159</v>
      </c>
      <c r="AU3" s="50" t="s">
        <v>178</v>
      </c>
      <c r="AV3" s="50" t="s">
        <v>179</v>
      </c>
      <c r="AW3" s="50" t="s">
        <v>180</v>
      </c>
      <c r="AX3" s="50" t="s">
        <v>225</v>
      </c>
      <c r="AY3" s="51" t="s">
        <v>181</v>
      </c>
      <c r="AZ3" s="51" t="s">
        <v>182</v>
      </c>
      <c r="BA3" s="50" t="s">
        <v>183</v>
      </c>
      <c r="BB3" s="50" t="s">
        <v>160</v>
      </c>
      <c r="BC3" s="50" t="s">
        <v>184</v>
      </c>
      <c r="BD3" s="50" t="s">
        <v>185</v>
      </c>
      <c r="BE3" s="50" t="s">
        <v>226</v>
      </c>
      <c r="BF3" s="51" t="s">
        <v>186</v>
      </c>
      <c r="BG3" s="51" t="s">
        <v>187</v>
      </c>
      <c r="BH3" s="50" t="s">
        <v>188</v>
      </c>
      <c r="BI3" s="50" t="s">
        <v>189</v>
      </c>
      <c r="BJ3" s="50" t="s">
        <v>161</v>
      </c>
      <c r="BK3" s="50" t="s">
        <v>190</v>
      </c>
      <c r="BL3" s="50" t="s">
        <v>227</v>
      </c>
      <c r="BM3" s="50" t="s">
        <v>191</v>
      </c>
      <c r="BN3" s="50" t="s">
        <v>233</v>
      </c>
      <c r="BO3" s="50" t="s">
        <v>192</v>
      </c>
      <c r="BP3" s="50" t="s">
        <v>193</v>
      </c>
      <c r="BQ3" s="50" t="s">
        <v>228</v>
      </c>
      <c r="BR3" s="50" t="s">
        <v>229</v>
      </c>
      <c r="BS3" s="50" t="s">
        <v>194</v>
      </c>
      <c r="BT3" s="50" t="s">
        <v>195</v>
      </c>
      <c r="BU3" s="50" t="s">
        <v>196</v>
      </c>
      <c r="BV3" s="50" t="s">
        <v>197</v>
      </c>
      <c r="BW3" s="50" t="s">
        <v>198</v>
      </c>
      <c r="BX3" s="50" t="s">
        <v>162</v>
      </c>
      <c r="BY3" s="50" t="s">
        <v>230</v>
      </c>
      <c r="BZ3" s="50" t="s">
        <v>199</v>
      </c>
      <c r="CA3" s="50" t="s">
        <v>200</v>
      </c>
      <c r="CB3" s="50" t="s">
        <v>201</v>
      </c>
      <c r="CC3" s="50" t="s">
        <v>202</v>
      </c>
      <c r="CD3" s="50" t="s">
        <v>203</v>
      </c>
      <c r="CE3" s="50" t="s">
        <v>204</v>
      </c>
      <c r="CF3" s="50" t="s">
        <v>231</v>
      </c>
      <c r="CG3" s="50" t="s">
        <v>205</v>
      </c>
      <c r="CH3" s="50" t="s">
        <v>206</v>
      </c>
      <c r="CI3" s="50" t="s">
        <v>207</v>
      </c>
      <c r="CJ3" s="50" t="s">
        <v>208</v>
      </c>
      <c r="CK3" s="50" t="s">
        <v>209</v>
      </c>
      <c r="CL3" s="50" t="s">
        <v>210</v>
      </c>
      <c r="CM3" s="50" t="s">
        <v>232</v>
      </c>
    </row>
    <row r="4" spans="1:91">
      <c r="A4" s="52"/>
      <c r="B4" s="5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1"/>
      <c r="P4" s="31"/>
      <c r="Q4" s="54"/>
      <c r="R4" s="21" t="str">
        <f>IFERROR(VLOOKUP(January[[#This Row],[Drug Name]],'Data Options'!$R$1:$S$100,2,FALSE), " ")</f>
        <v xml:space="preserve"> </v>
      </c>
      <c r="S4" s="55"/>
      <c r="T4" s="32"/>
      <c r="U4" s="32"/>
      <c r="V4" s="55"/>
      <c r="W4" s="32"/>
      <c r="X4" s="54"/>
      <c r="Y4" s="21" t="str">
        <f>IFERROR(VLOOKUP(January[[#This Row],[Drug Name2]],'Data Options'!$R$1:$S$100,2,FALSE), " ")</f>
        <v xml:space="preserve"> </v>
      </c>
      <c r="Z4" s="55"/>
      <c r="AA4" s="32"/>
      <c r="AB4" s="32"/>
      <c r="AC4" s="55"/>
      <c r="AD4" s="32"/>
      <c r="AE4" s="54"/>
      <c r="AF4" s="21" t="str">
        <f>IFERROR(VLOOKUP(January[[#This Row],[Drug Name3]],'Data Options'!$R$1:$S$100,2,FALSE), " ")</f>
        <v xml:space="preserve"> </v>
      </c>
      <c r="AG4" s="55"/>
      <c r="AH4" s="32"/>
      <c r="AI4" s="32"/>
      <c r="AJ4" s="55"/>
      <c r="AK4" s="32"/>
      <c r="AL4" s="32"/>
      <c r="AM4" s="32"/>
      <c r="AN4" s="32"/>
      <c r="AO4" s="32"/>
      <c r="AP4" s="31"/>
      <c r="AQ4" s="31"/>
      <c r="AR4" s="54"/>
      <c r="AS4" s="21" t="str">
        <f>IFERROR(VLOOKUP(January[[#This Row],[Drug Name4]],'Data Options'!$R$1:$S$100,2,FALSE), " ")</f>
        <v xml:space="preserve"> </v>
      </c>
      <c r="AT4" s="55"/>
      <c r="AU4" s="32"/>
      <c r="AV4" s="32"/>
      <c r="AW4" s="55"/>
      <c r="AX4" s="32"/>
      <c r="AY4" s="54"/>
      <c r="AZ4" s="21" t="str">
        <f>IFERROR(VLOOKUP(January[[#This Row],[Drug Name5]],'Data Options'!$R$1:$S$100,2,FALSE), " ")</f>
        <v xml:space="preserve"> </v>
      </c>
      <c r="BA4" s="55"/>
      <c r="BB4" s="32"/>
      <c r="BC4" s="32"/>
      <c r="BD4" s="55"/>
      <c r="BE4" s="32"/>
      <c r="BF4" s="54"/>
      <c r="BG4" s="21" t="str">
        <f>IFERROR(VLOOKUP(January[[#This Row],[Drug Name6]],'Data Options'!$R$1:$S$100,2,FALSE), " ")</f>
        <v xml:space="preserve"> </v>
      </c>
      <c r="BH4" s="55"/>
      <c r="BI4" s="32"/>
      <c r="BJ4" s="32"/>
      <c r="BK4" s="55"/>
      <c r="BL4" s="32"/>
      <c r="BM4" s="32"/>
      <c r="BN4" s="32"/>
      <c r="BO4" s="32"/>
      <c r="BP4" s="32"/>
      <c r="BQ4" s="31"/>
      <c r="BR4" s="31"/>
      <c r="BS4" s="54"/>
      <c r="BT4" s="21" t="str">
        <f>IFERROR(VLOOKUP(January[[#This Row],[Drug Name7]],'Data Options'!$R$1:$S$100,2,FALSE), " ")</f>
        <v xml:space="preserve"> </v>
      </c>
      <c r="BU4" s="55"/>
      <c r="BV4" s="32"/>
      <c r="BW4" s="32"/>
      <c r="BX4" s="55"/>
      <c r="BY4" s="32"/>
      <c r="BZ4" s="54"/>
      <c r="CA4" s="21" t="str">
        <f>IFERROR(VLOOKUP(January[[#This Row],[Drug Name8]],'Data Options'!$R$1:$S$100,2,FALSE), " ")</f>
        <v xml:space="preserve"> </v>
      </c>
      <c r="CB4" s="55"/>
      <c r="CC4" s="32"/>
      <c r="CD4" s="32"/>
      <c r="CE4" s="55"/>
      <c r="CF4" s="32"/>
      <c r="CG4" s="54"/>
      <c r="CH4" s="21" t="str">
        <f>IFERROR(VLOOKUP(January[[#This Row],[Drug Name9]],'Data Options'!$R$1:$S$100,2,FALSE), " ")</f>
        <v xml:space="preserve"> </v>
      </c>
      <c r="CI4" s="55"/>
      <c r="CJ4" s="32"/>
      <c r="CK4" s="32"/>
      <c r="CL4" s="55"/>
      <c r="CM4" s="32"/>
    </row>
    <row r="5" spans="1:91">
      <c r="A5" s="5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1"/>
      <c r="P5" s="31"/>
      <c r="Q5" s="54"/>
      <c r="R5" s="21" t="str">
        <f>IFERROR(VLOOKUP(January[[#This Row],[Drug Name]],'Data Options'!$R$1:$S$100,2,FALSE), " ")</f>
        <v xml:space="preserve"> </v>
      </c>
      <c r="S5" s="55"/>
      <c r="T5" s="32"/>
      <c r="U5" s="32"/>
      <c r="V5" s="55"/>
      <c r="W5" s="32"/>
      <c r="X5" s="54"/>
      <c r="Y5" s="21" t="str">
        <f>IFERROR(VLOOKUP(January[[#This Row],[Drug Name2]],'Data Options'!$R$1:$S$100,2,FALSE), " ")</f>
        <v xml:space="preserve"> </v>
      </c>
      <c r="Z5" s="55"/>
      <c r="AA5" s="32"/>
      <c r="AB5" s="32"/>
      <c r="AC5" s="55"/>
      <c r="AD5" s="32"/>
      <c r="AE5" s="54"/>
      <c r="AF5" s="21" t="str">
        <f>IFERROR(VLOOKUP(January[[#This Row],[Drug Name3]],'Data Options'!$R$1:$S$100,2,FALSE), " ")</f>
        <v xml:space="preserve"> </v>
      </c>
      <c r="AG5" s="55"/>
      <c r="AH5" s="32"/>
      <c r="AI5" s="32"/>
      <c r="AJ5" s="55"/>
      <c r="AK5" s="32"/>
      <c r="AL5" s="32"/>
      <c r="AM5" s="32"/>
      <c r="AN5" s="32"/>
      <c r="AO5" s="32"/>
      <c r="AP5" s="31"/>
      <c r="AQ5" s="31"/>
      <c r="AR5" s="54"/>
      <c r="AS5" s="21" t="str">
        <f>IFERROR(VLOOKUP(January[[#This Row],[Drug Name4]],'Data Options'!$R$1:$S$100,2,FALSE), " ")</f>
        <v xml:space="preserve"> </v>
      </c>
      <c r="AT5" s="55"/>
      <c r="AU5" s="32"/>
      <c r="AV5" s="32"/>
      <c r="AW5" s="55"/>
      <c r="AX5" s="32"/>
      <c r="AY5" s="54"/>
      <c r="AZ5" s="21" t="str">
        <f>IFERROR(VLOOKUP(January[[#This Row],[Drug Name5]],'Data Options'!$R$1:$S$100,2,FALSE), " ")</f>
        <v xml:space="preserve"> </v>
      </c>
      <c r="BA5" s="55"/>
      <c r="BB5" s="32"/>
      <c r="BC5" s="32"/>
      <c r="BD5" s="55"/>
      <c r="BE5" s="32"/>
      <c r="BF5" s="54"/>
      <c r="BG5" s="21" t="str">
        <f>IFERROR(VLOOKUP(January[[#This Row],[Drug Name6]],'Data Options'!$R$1:$S$100,2,FALSE), " ")</f>
        <v xml:space="preserve"> </v>
      </c>
      <c r="BH5" s="55"/>
      <c r="BI5" s="32"/>
      <c r="BJ5" s="32"/>
      <c r="BK5" s="55"/>
      <c r="BL5" s="32"/>
      <c r="BM5" s="32"/>
      <c r="BN5" s="32"/>
      <c r="BO5" s="32"/>
      <c r="BP5" s="32"/>
      <c r="BQ5" s="31"/>
      <c r="BR5" s="31"/>
      <c r="BS5" s="54"/>
      <c r="BT5" s="21" t="str">
        <f>IFERROR(VLOOKUP(January[[#This Row],[Drug Name7]],'Data Options'!$R$1:$S$100,2,FALSE), " ")</f>
        <v xml:space="preserve"> </v>
      </c>
      <c r="BU5" s="55"/>
      <c r="BV5" s="32"/>
      <c r="BW5" s="32"/>
      <c r="BX5" s="55"/>
      <c r="BY5" s="32"/>
      <c r="BZ5" s="54"/>
      <c r="CA5" s="21" t="str">
        <f>IFERROR(VLOOKUP(January[[#This Row],[Drug Name8]],'Data Options'!$R$1:$S$100,2,FALSE), " ")</f>
        <v xml:space="preserve"> </v>
      </c>
      <c r="CB5" s="55"/>
      <c r="CC5" s="32"/>
      <c r="CD5" s="32"/>
      <c r="CE5" s="55"/>
      <c r="CF5" s="32"/>
      <c r="CG5" s="54"/>
      <c r="CH5" s="21" t="str">
        <f>IFERROR(VLOOKUP(January[[#This Row],[Drug Name9]],'Data Options'!$R$1:$S$100,2,FALSE), " ")</f>
        <v xml:space="preserve"> </v>
      </c>
      <c r="CI5" s="55"/>
      <c r="CJ5" s="32"/>
      <c r="CK5" s="32"/>
      <c r="CL5" s="55"/>
      <c r="CM5" s="32"/>
    </row>
    <row r="6" spans="1:91">
      <c r="A6" s="5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1"/>
      <c r="P6" s="31"/>
      <c r="Q6" s="54"/>
      <c r="R6" s="21" t="str">
        <f>IFERROR(VLOOKUP(January[[#This Row],[Drug Name]],'Data Options'!$R$1:$S$100,2,FALSE), " ")</f>
        <v xml:space="preserve"> </v>
      </c>
      <c r="S6" s="55"/>
      <c r="T6" s="32"/>
      <c r="U6" s="32"/>
      <c r="V6" s="55"/>
      <c r="W6" s="32"/>
      <c r="X6" s="54"/>
      <c r="Y6" s="21" t="str">
        <f>IFERROR(VLOOKUP(January[[#This Row],[Drug Name2]],'Data Options'!$R$1:$S$100,2,FALSE), " ")</f>
        <v xml:space="preserve"> </v>
      </c>
      <c r="Z6" s="55"/>
      <c r="AA6" s="32"/>
      <c r="AB6" s="32"/>
      <c r="AC6" s="55"/>
      <c r="AD6" s="32"/>
      <c r="AE6" s="54"/>
      <c r="AF6" s="21" t="str">
        <f>IFERROR(VLOOKUP(January[[#This Row],[Drug Name3]],'Data Options'!$R$1:$S$100,2,FALSE), " ")</f>
        <v xml:space="preserve"> </v>
      </c>
      <c r="AG6" s="55"/>
      <c r="AH6" s="32"/>
      <c r="AI6" s="32"/>
      <c r="AJ6" s="55"/>
      <c r="AK6" s="32"/>
      <c r="AL6" s="32"/>
      <c r="AM6" s="32"/>
      <c r="AN6" s="32"/>
      <c r="AO6" s="32"/>
      <c r="AP6" s="31"/>
      <c r="AQ6" s="31"/>
      <c r="AR6" s="54"/>
      <c r="AS6" s="21" t="str">
        <f>IFERROR(VLOOKUP(January[[#This Row],[Drug Name4]],'Data Options'!$R$1:$S$100,2,FALSE), " ")</f>
        <v xml:space="preserve"> </v>
      </c>
      <c r="AT6" s="55"/>
      <c r="AU6" s="32"/>
      <c r="AV6" s="32"/>
      <c r="AW6" s="55"/>
      <c r="AX6" s="32"/>
      <c r="AY6" s="54"/>
      <c r="AZ6" s="21" t="str">
        <f>IFERROR(VLOOKUP(January[[#This Row],[Drug Name5]],'Data Options'!$R$1:$S$100,2,FALSE), " ")</f>
        <v xml:space="preserve"> </v>
      </c>
      <c r="BA6" s="55"/>
      <c r="BB6" s="32"/>
      <c r="BC6" s="32"/>
      <c r="BD6" s="55"/>
      <c r="BE6" s="32"/>
      <c r="BF6" s="54"/>
      <c r="BG6" s="21" t="str">
        <f>IFERROR(VLOOKUP(January[[#This Row],[Drug Name6]],'Data Options'!$R$1:$S$100,2,FALSE), " ")</f>
        <v xml:space="preserve"> </v>
      </c>
      <c r="BH6" s="55"/>
      <c r="BI6" s="32"/>
      <c r="BJ6" s="32"/>
      <c r="BK6" s="55"/>
      <c r="BL6" s="32"/>
      <c r="BM6" s="32"/>
      <c r="BN6" s="32"/>
      <c r="BO6" s="32"/>
      <c r="BP6" s="32"/>
      <c r="BQ6" s="31"/>
      <c r="BR6" s="31"/>
      <c r="BS6" s="54"/>
      <c r="BT6" s="21" t="str">
        <f>IFERROR(VLOOKUP(January[[#This Row],[Drug Name7]],'Data Options'!$R$1:$S$100,2,FALSE), " ")</f>
        <v xml:space="preserve"> </v>
      </c>
      <c r="BU6" s="55"/>
      <c r="BV6" s="32"/>
      <c r="BW6" s="32"/>
      <c r="BX6" s="55"/>
      <c r="BY6" s="32"/>
      <c r="BZ6" s="54"/>
      <c r="CA6" s="21" t="str">
        <f>IFERROR(VLOOKUP(January[[#This Row],[Drug Name8]],'Data Options'!$R$1:$S$100,2,FALSE), " ")</f>
        <v xml:space="preserve"> </v>
      </c>
      <c r="CB6" s="55"/>
      <c r="CC6" s="32"/>
      <c r="CD6" s="32"/>
      <c r="CE6" s="55"/>
      <c r="CF6" s="32"/>
      <c r="CG6" s="54"/>
      <c r="CH6" s="21" t="str">
        <f>IFERROR(VLOOKUP(January[[#This Row],[Drug Name9]],'Data Options'!$R$1:$S$100,2,FALSE), " ")</f>
        <v xml:space="preserve"> </v>
      </c>
      <c r="CI6" s="55"/>
      <c r="CJ6" s="32"/>
      <c r="CK6" s="32"/>
      <c r="CL6" s="55"/>
      <c r="CM6" s="32"/>
    </row>
    <row r="7" spans="1:91">
      <c r="A7" s="5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1"/>
      <c r="P7" s="31"/>
      <c r="Q7" s="54"/>
      <c r="R7" s="21" t="str">
        <f>IFERROR(VLOOKUP(January[[#This Row],[Drug Name]],'Data Options'!$R$1:$S$100,2,FALSE), " ")</f>
        <v xml:space="preserve"> </v>
      </c>
      <c r="S7" s="55"/>
      <c r="T7" s="32"/>
      <c r="U7" s="32"/>
      <c r="V7" s="55"/>
      <c r="W7" s="32"/>
      <c r="X7" s="54"/>
      <c r="Y7" s="21" t="str">
        <f>IFERROR(VLOOKUP(January[[#This Row],[Drug Name2]],'Data Options'!$R$1:$S$100,2,FALSE), " ")</f>
        <v xml:space="preserve"> </v>
      </c>
      <c r="Z7" s="55"/>
      <c r="AA7" s="32"/>
      <c r="AB7" s="32"/>
      <c r="AC7" s="55"/>
      <c r="AD7" s="32"/>
      <c r="AE7" s="54"/>
      <c r="AF7" s="21" t="str">
        <f>IFERROR(VLOOKUP(January[[#This Row],[Drug Name3]],'Data Options'!$R$1:$S$100,2,FALSE), " ")</f>
        <v xml:space="preserve"> </v>
      </c>
      <c r="AG7" s="55"/>
      <c r="AH7" s="32"/>
      <c r="AI7" s="32"/>
      <c r="AJ7" s="55"/>
      <c r="AK7" s="32"/>
      <c r="AL7" s="32"/>
      <c r="AM7" s="32"/>
      <c r="AN7" s="32"/>
      <c r="AO7" s="32"/>
      <c r="AP7" s="31"/>
      <c r="AQ7" s="31"/>
      <c r="AR7" s="54"/>
      <c r="AS7" s="21" t="str">
        <f>IFERROR(VLOOKUP(January[[#This Row],[Drug Name4]],'Data Options'!$R$1:$S$100,2,FALSE), " ")</f>
        <v xml:space="preserve"> </v>
      </c>
      <c r="AT7" s="55"/>
      <c r="AU7" s="32"/>
      <c r="AV7" s="32"/>
      <c r="AW7" s="55"/>
      <c r="AX7" s="32"/>
      <c r="AY7" s="54"/>
      <c r="AZ7" s="21" t="str">
        <f>IFERROR(VLOOKUP(January[[#This Row],[Drug Name5]],'Data Options'!$R$1:$S$100,2,FALSE), " ")</f>
        <v xml:space="preserve"> </v>
      </c>
      <c r="BA7" s="55"/>
      <c r="BB7" s="32"/>
      <c r="BC7" s="32"/>
      <c r="BD7" s="55"/>
      <c r="BE7" s="32"/>
      <c r="BF7" s="54"/>
      <c r="BG7" s="21" t="str">
        <f>IFERROR(VLOOKUP(January[[#This Row],[Drug Name6]],'Data Options'!$R$1:$S$100,2,FALSE), " ")</f>
        <v xml:space="preserve"> </v>
      </c>
      <c r="BH7" s="55"/>
      <c r="BI7" s="32"/>
      <c r="BJ7" s="32"/>
      <c r="BK7" s="55"/>
      <c r="BL7" s="32"/>
      <c r="BM7" s="32"/>
      <c r="BN7" s="32"/>
      <c r="BO7" s="32"/>
      <c r="BP7" s="32"/>
      <c r="BQ7" s="31"/>
      <c r="BR7" s="31"/>
      <c r="BS7" s="54"/>
      <c r="BT7" s="21" t="str">
        <f>IFERROR(VLOOKUP(January[[#This Row],[Drug Name7]],'Data Options'!$R$1:$S$100,2,FALSE), " ")</f>
        <v xml:space="preserve"> </v>
      </c>
      <c r="BU7" s="55"/>
      <c r="BV7" s="32"/>
      <c r="BW7" s="32"/>
      <c r="BX7" s="55"/>
      <c r="BY7" s="32"/>
      <c r="BZ7" s="54"/>
      <c r="CA7" s="21" t="str">
        <f>IFERROR(VLOOKUP(January[[#This Row],[Drug Name8]],'Data Options'!$R$1:$S$100,2,FALSE), " ")</f>
        <v xml:space="preserve"> </v>
      </c>
      <c r="CB7" s="55"/>
      <c r="CC7" s="32"/>
      <c r="CD7" s="32"/>
      <c r="CE7" s="55"/>
      <c r="CF7" s="32"/>
      <c r="CG7" s="54"/>
      <c r="CH7" s="21" t="str">
        <f>IFERROR(VLOOKUP(January[[#This Row],[Drug Name9]],'Data Options'!$R$1:$S$100,2,FALSE), " ")</f>
        <v xml:space="preserve"> </v>
      </c>
      <c r="CI7" s="55"/>
      <c r="CJ7" s="32"/>
      <c r="CK7" s="32"/>
      <c r="CL7" s="55"/>
      <c r="CM7" s="32"/>
    </row>
    <row r="8" spans="1:91">
      <c r="A8" s="5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1"/>
      <c r="P8" s="31"/>
      <c r="Q8" s="54"/>
      <c r="R8" s="21" t="str">
        <f>IFERROR(VLOOKUP(January[[#This Row],[Drug Name]],'Data Options'!$R$1:$S$100,2,FALSE), " ")</f>
        <v xml:space="preserve"> </v>
      </c>
      <c r="S8" s="55"/>
      <c r="T8" s="32"/>
      <c r="U8" s="32"/>
      <c r="V8" s="55"/>
      <c r="W8" s="32"/>
      <c r="X8" s="54"/>
      <c r="Y8" s="21" t="str">
        <f>IFERROR(VLOOKUP(January[[#This Row],[Drug Name2]],'Data Options'!$R$1:$S$100,2,FALSE), " ")</f>
        <v xml:space="preserve"> </v>
      </c>
      <c r="Z8" s="55"/>
      <c r="AA8" s="32"/>
      <c r="AB8" s="32"/>
      <c r="AC8" s="55"/>
      <c r="AD8" s="32"/>
      <c r="AE8" s="54"/>
      <c r="AF8" s="21" t="str">
        <f>IFERROR(VLOOKUP(January[[#This Row],[Drug Name3]],'Data Options'!$R$1:$S$100,2,FALSE), " ")</f>
        <v xml:space="preserve"> </v>
      </c>
      <c r="AG8" s="55"/>
      <c r="AH8" s="32"/>
      <c r="AI8" s="32"/>
      <c r="AJ8" s="55"/>
      <c r="AK8" s="32"/>
      <c r="AL8" s="32"/>
      <c r="AM8" s="32"/>
      <c r="AN8" s="32"/>
      <c r="AO8" s="32"/>
      <c r="AP8" s="31"/>
      <c r="AQ8" s="31"/>
      <c r="AR8" s="54"/>
      <c r="AS8" s="21" t="str">
        <f>IFERROR(VLOOKUP(January[[#This Row],[Drug Name4]],'Data Options'!$R$1:$S$100,2,FALSE), " ")</f>
        <v xml:space="preserve"> </v>
      </c>
      <c r="AT8" s="55"/>
      <c r="AU8" s="32"/>
      <c r="AV8" s="32"/>
      <c r="AW8" s="55"/>
      <c r="AX8" s="32"/>
      <c r="AY8" s="54"/>
      <c r="AZ8" s="21" t="str">
        <f>IFERROR(VLOOKUP(January[[#This Row],[Drug Name5]],'Data Options'!$R$1:$S$100,2,FALSE), " ")</f>
        <v xml:space="preserve"> </v>
      </c>
      <c r="BA8" s="55"/>
      <c r="BB8" s="32"/>
      <c r="BC8" s="32"/>
      <c r="BD8" s="55"/>
      <c r="BE8" s="32"/>
      <c r="BF8" s="54"/>
      <c r="BG8" s="21" t="str">
        <f>IFERROR(VLOOKUP(January[[#This Row],[Drug Name6]],'Data Options'!$R$1:$S$100,2,FALSE), " ")</f>
        <v xml:space="preserve"> </v>
      </c>
      <c r="BH8" s="55"/>
      <c r="BI8" s="32"/>
      <c r="BJ8" s="32"/>
      <c r="BK8" s="55"/>
      <c r="BL8" s="32"/>
      <c r="BM8" s="32"/>
      <c r="BN8" s="32"/>
      <c r="BO8" s="32"/>
      <c r="BP8" s="32"/>
      <c r="BQ8" s="31"/>
      <c r="BR8" s="31"/>
      <c r="BS8" s="54"/>
      <c r="BT8" s="21" t="str">
        <f>IFERROR(VLOOKUP(January[[#This Row],[Drug Name7]],'Data Options'!$R$1:$S$100,2,FALSE), " ")</f>
        <v xml:space="preserve"> </v>
      </c>
      <c r="BU8" s="55"/>
      <c r="BV8" s="32"/>
      <c r="BW8" s="32"/>
      <c r="BX8" s="55"/>
      <c r="BY8" s="32"/>
      <c r="BZ8" s="54"/>
      <c r="CA8" s="21" t="str">
        <f>IFERROR(VLOOKUP(January[[#This Row],[Drug Name8]],'Data Options'!$R$1:$S$100,2,FALSE), " ")</f>
        <v xml:space="preserve"> </v>
      </c>
      <c r="CB8" s="55"/>
      <c r="CC8" s="32"/>
      <c r="CD8" s="32"/>
      <c r="CE8" s="55"/>
      <c r="CF8" s="32"/>
      <c r="CG8" s="54"/>
      <c r="CH8" s="21" t="str">
        <f>IFERROR(VLOOKUP(January[[#This Row],[Drug Name9]],'Data Options'!$R$1:$S$100,2,FALSE), " ")</f>
        <v xml:space="preserve"> </v>
      </c>
      <c r="CI8" s="55"/>
      <c r="CJ8" s="32"/>
      <c r="CK8" s="32"/>
      <c r="CL8" s="55"/>
      <c r="CM8" s="32"/>
    </row>
    <row r="9" spans="1:91">
      <c r="A9" s="5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1"/>
      <c r="P9" s="31"/>
      <c r="Q9" s="54"/>
      <c r="R9" s="21" t="str">
        <f>IFERROR(VLOOKUP(January[[#This Row],[Drug Name]],'Data Options'!$R$1:$S$100,2,FALSE), " ")</f>
        <v xml:space="preserve"> </v>
      </c>
      <c r="S9" s="55"/>
      <c r="T9" s="32"/>
      <c r="U9" s="32"/>
      <c r="V9" s="55"/>
      <c r="W9" s="32"/>
      <c r="X9" s="54"/>
      <c r="Y9" s="21" t="str">
        <f>IFERROR(VLOOKUP(January[[#This Row],[Drug Name2]],'Data Options'!$R$1:$S$100,2,FALSE), " ")</f>
        <v xml:space="preserve"> </v>
      </c>
      <c r="Z9" s="55"/>
      <c r="AA9" s="32"/>
      <c r="AB9" s="32"/>
      <c r="AC9" s="55"/>
      <c r="AD9" s="32"/>
      <c r="AE9" s="54"/>
      <c r="AF9" s="21" t="str">
        <f>IFERROR(VLOOKUP(January[[#This Row],[Drug Name3]],'Data Options'!$R$1:$S$100,2,FALSE), " ")</f>
        <v xml:space="preserve"> </v>
      </c>
      <c r="AG9" s="55"/>
      <c r="AH9" s="32"/>
      <c r="AI9" s="32"/>
      <c r="AJ9" s="55"/>
      <c r="AK9" s="32"/>
      <c r="AL9" s="32"/>
      <c r="AM9" s="32"/>
      <c r="AN9" s="32"/>
      <c r="AO9" s="32"/>
      <c r="AP9" s="31"/>
      <c r="AQ9" s="31"/>
      <c r="AR9" s="54"/>
      <c r="AS9" s="21" t="str">
        <f>IFERROR(VLOOKUP(January[[#This Row],[Drug Name4]],'Data Options'!$R$1:$S$100,2,FALSE), " ")</f>
        <v xml:space="preserve"> </v>
      </c>
      <c r="AT9" s="55"/>
      <c r="AU9" s="32"/>
      <c r="AV9" s="32"/>
      <c r="AW9" s="55"/>
      <c r="AX9" s="32"/>
      <c r="AY9" s="54"/>
      <c r="AZ9" s="21" t="str">
        <f>IFERROR(VLOOKUP(January[[#This Row],[Drug Name5]],'Data Options'!$R$1:$S$100,2,FALSE), " ")</f>
        <v xml:space="preserve"> </v>
      </c>
      <c r="BA9" s="55"/>
      <c r="BB9" s="32"/>
      <c r="BC9" s="32"/>
      <c r="BD9" s="55"/>
      <c r="BE9" s="32"/>
      <c r="BF9" s="54"/>
      <c r="BG9" s="21" t="str">
        <f>IFERROR(VLOOKUP(January[[#This Row],[Drug Name6]],'Data Options'!$R$1:$S$100,2,FALSE), " ")</f>
        <v xml:space="preserve"> </v>
      </c>
      <c r="BH9" s="55"/>
      <c r="BI9" s="32"/>
      <c r="BJ9" s="32"/>
      <c r="BK9" s="55"/>
      <c r="BL9" s="32"/>
      <c r="BM9" s="32"/>
      <c r="BN9" s="32"/>
      <c r="BO9" s="32"/>
      <c r="BP9" s="32"/>
      <c r="BQ9" s="31"/>
      <c r="BR9" s="31"/>
      <c r="BS9" s="54"/>
      <c r="BT9" s="21" t="str">
        <f>IFERROR(VLOOKUP(January[[#This Row],[Drug Name7]],'Data Options'!$R$1:$S$100,2,FALSE), " ")</f>
        <v xml:space="preserve"> </v>
      </c>
      <c r="BU9" s="55"/>
      <c r="BV9" s="32"/>
      <c r="BW9" s="32"/>
      <c r="BX9" s="55"/>
      <c r="BY9" s="32"/>
      <c r="BZ9" s="54"/>
      <c r="CA9" s="21" t="str">
        <f>IFERROR(VLOOKUP(January[[#This Row],[Drug Name8]],'Data Options'!$R$1:$S$100,2,FALSE), " ")</f>
        <v xml:space="preserve"> </v>
      </c>
      <c r="CB9" s="55"/>
      <c r="CC9" s="32"/>
      <c r="CD9" s="32"/>
      <c r="CE9" s="55"/>
      <c r="CF9" s="32"/>
      <c r="CG9" s="54"/>
      <c r="CH9" s="21" t="str">
        <f>IFERROR(VLOOKUP(January[[#This Row],[Drug Name9]],'Data Options'!$R$1:$S$100,2,FALSE), " ")</f>
        <v xml:space="preserve"> </v>
      </c>
      <c r="CI9" s="55"/>
      <c r="CJ9" s="32"/>
      <c r="CK9" s="32"/>
      <c r="CL9" s="55"/>
      <c r="CM9" s="32"/>
    </row>
    <row r="10" spans="1:91">
      <c r="A10" s="5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1"/>
      <c r="P10" s="31"/>
      <c r="Q10" s="54"/>
      <c r="R10" s="21" t="str">
        <f>IFERROR(VLOOKUP(January[[#This Row],[Drug Name]],'Data Options'!$R$1:$S$100,2,FALSE), " ")</f>
        <v xml:space="preserve"> </v>
      </c>
      <c r="S10" s="55"/>
      <c r="T10" s="32"/>
      <c r="U10" s="32"/>
      <c r="V10" s="55"/>
      <c r="W10" s="32"/>
      <c r="X10" s="54"/>
      <c r="Y10" s="21" t="str">
        <f>IFERROR(VLOOKUP(January[[#This Row],[Drug Name2]],'Data Options'!$R$1:$S$100,2,FALSE), " ")</f>
        <v xml:space="preserve"> </v>
      </c>
      <c r="Z10" s="55"/>
      <c r="AA10" s="32"/>
      <c r="AB10" s="32"/>
      <c r="AC10" s="55"/>
      <c r="AD10" s="32"/>
      <c r="AE10" s="54"/>
      <c r="AF10" s="21" t="str">
        <f>IFERROR(VLOOKUP(January[[#This Row],[Drug Name3]],'Data Options'!$R$1:$S$100,2,FALSE), " ")</f>
        <v xml:space="preserve"> </v>
      </c>
      <c r="AG10" s="55"/>
      <c r="AH10" s="32"/>
      <c r="AI10" s="32"/>
      <c r="AJ10" s="55"/>
      <c r="AK10" s="32"/>
      <c r="AL10" s="32"/>
      <c r="AM10" s="32"/>
      <c r="AN10" s="32"/>
      <c r="AO10" s="32"/>
      <c r="AP10" s="31"/>
      <c r="AQ10" s="31"/>
      <c r="AR10" s="54"/>
      <c r="AS10" s="21" t="str">
        <f>IFERROR(VLOOKUP(January[[#This Row],[Drug Name4]],'Data Options'!$R$1:$S$100,2,FALSE), " ")</f>
        <v xml:space="preserve"> </v>
      </c>
      <c r="AT10" s="55"/>
      <c r="AU10" s="32"/>
      <c r="AV10" s="32"/>
      <c r="AW10" s="55"/>
      <c r="AX10" s="32"/>
      <c r="AY10" s="54"/>
      <c r="AZ10" s="21" t="str">
        <f>IFERROR(VLOOKUP(January[[#This Row],[Drug Name5]],'Data Options'!$R$1:$S$100,2,FALSE), " ")</f>
        <v xml:space="preserve"> </v>
      </c>
      <c r="BA10" s="55"/>
      <c r="BB10" s="32"/>
      <c r="BC10" s="32"/>
      <c r="BD10" s="55"/>
      <c r="BE10" s="32"/>
      <c r="BF10" s="54"/>
      <c r="BG10" s="21" t="str">
        <f>IFERROR(VLOOKUP(January[[#This Row],[Drug Name6]],'Data Options'!$R$1:$S$100,2,FALSE), " ")</f>
        <v xml:space="preserve"> </v>
      </c>
      <c r="BH10" s="55"/>
      <c r="BI10" s="32"/>
      <c r="BJ10" s="32"/>
      <c r="BK10" s="55"/>
      <c r="BL10" s="32"/>
      <c r="BM10" s="32"/>
      <c r="BN10" s="32"/>
      <c r="BO10" s="32"/>
      <c r="BP10" s="32"/>
      <c r="BQ10" s="31"/>
      <c r="BR10" s="31"/>
      <c r="BS10" s="54"/>
      <c r="BT10" s="21" t="str">
        <f>IFERROR(VLOOKUP(January[[#This Row],[Drug Name7]],'Data Options'!$R$1:$S$100,2,FALSE), " ")</f>
        <v xml:space="preserve"> </v>
      </c>
      <c r="BU10" s="55"/>
      <c r="BV10" s="32"/>
      <c r="BW10" s="32"/>
      <c r="BX10" s="55"/>
      <c r="BY10" s="32"/>
      <c r="BZ10" s="54"/>
      <c r="CA10" s="21" t="str">
        <f>IFERROR(VLOOKUP(January[[#This Row],[Drug Name8]],'Data Options'!$R$1:$S$100,2,FALSE), " ")</f>
        <v xml:space="preserve"> </v>
      </c>
      <c r="CB10" s="55"/>
      <c r="CC10" s="32"/>
      <c r="CD10" s="32"/>
      <c r="CE10" s="55"/>
      <c r="CF10" s="32"/>
      <c r="CG10" s="54"/>
      <c r="CH10" s="21" t="str">
        <f>IFERROR(VLOOKUP(January[[#This Row],[Drug Name9]],'Data Options'!$R$1:$S$100,2,FALSE), " ")</f>
        <v xml:space="preserve"> </v>
      </c>
      <c r="CI10" s="55"/>
      <c r="CJ10" s="32"/>
      <c r="CK10" s="32"/>
      <c r="CL10" s="55"/>
      <c r="CM10" s="32"/>
    </row>
    <row r="11" spans="1:91">
      <c r="A11" s="5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1"/>
      <c r="P11" s="31"/>
      <c r="Q11" s="54"/>
      <c r="R11" s="21" t="str">
        <f>IFERROR(VLOOKUP(January[[#This Row],[Drug Name]],'Data Options'!$R$1:$S$100,2,FALSE), " ")</f>
        <v xml:space="preserve"> </v>
      </c>
      <c r="S11" s="55"/>
      <c r="T11" s="32"/>
      <c r="U11" s="32"/>
      <c r="V11" s="55"/>
      <c r="W11" s="32"/>
      <c r="X11" s="54"/>
      <c r="Y11" s="21" t="str">
        <f>IFERROR(VLOOKUP(January[[#This Row],[Drug Name2]],'Data Options'!$R$1:$S$100,2,FALSE), " ")</f>
        <v xml:space="preserve"> </v>
      </c>
      <c r="Z11" s="55"/>
      <c r="AA11" s="32"/>
      <c r="AB11" s="32"/>
      <c r="AC11" s="55"/>
      <c r="AD11" s="32"/>
      <c r="AE11" s="54"/>
      <c r="AF11" s="21" t="str">
        <f>IFERROR(VLOOKUP(January[[#This Row],[Drug Name3]],'Data Options'!$R$1:$S$100,2,FALSE), " ")</f>
        <v xml:space="preserve"> </v>
      </c>
      <c r="AG11" s="55"/>
      <c r="AH11" s="32"/>
      <c r="AI11" s="32"/>
      <c r="AJ11" s="55"/>
      <c r="AK11" s="32"/>
      <c r="AL11" s="32"/>
      <c r="AM11" s="32"/>
      <c r="AN11" s="32"/>
      <c r="AO11" s="32"/>
      <c r="AP11" s="31"/>
      <c r="AQ11" s="31"/>
      <c r="AR11" s="54"/>
      <c r="AS11" s="21" t="str">
        <f>IFERROR(VLOOKUP(January[[#This Row],[Drug Name4]],'Data Options'!$R$1:$S$100,2,FALSE), " ")</f>
        <v xml:space="preserve"> </v>
      </c>
      <c r="AT11" s="55"/>
      <c r="AU11" s="32"/>
      <c r="AV11" s="32"/>
      <c r="AW11" s="55"/>
      <c r="AX11" s="32"/>
      <c r="AY11" s="54"/>
      <c r="AZ11" s="21" t="str">
        <f>IFERROR(VLOOKUP(January[[#This Row],[Drug Name5]],'Data Options'!$R$1:$S$100,2,FALSE), " ")</f>
        <v xml:space="preserve"> </v>
      </c>
      <c r="BA11" s="55"/>
      <c r="BB11" s="32"/>
      <c r="BC11" s="32"/>
      <c r="BD11" s="55"/>
      <c r="BE11" s="32"/>
      <c r="BF11" s="54"/>
      <c r="BG11" s="21" t="str">
        <f>IFERROR(VLOOKUP(January[[#This Row],[Drug Name6]],'Data Options'!$R$1:$S$100,2,FALSE), " ")</f>
        <v xml:space="preserve"> </v>
      </c>
      <c r="BH11" s="55"/>
      <c r="BI11" s="32"/>
      <c r="BJ11" s="32"/>
      <c r="BK11" s="55"/>
      <c r="BL11" s="32"/>
      <c r="BM11" s="32"/>
      <c r="BN11" s="32"/>
      <c r="BO11" s="32"/>
      <c r="BP11" s="32"/>
      <c r="BQ11" s="31"/>
      <c r="BR11" s="31"/>
      <c r="BS11" s="54"/>
      <c r="BT11" s="21" t="str">
        <f>IFERROR(VLOOKUP(January[[#This Row],[Drug Name7]],'Data Options'!$R$1:$S$100,2,FALSE), " ")</f>
        <v xml:space="preserve"> </v>
      </c>
      <c r="BU11" s="55"/>
      <c r="BV11" s="32"/>
      <c r="BW11" s="32"/>
      <c r="BX11" s="55"/>
      <c r="BY11" s="32"/>
      <c r="BZ11" s="54"/>
      <c r="CA11" s="21" t="str">
        <f>IFERROR(VLOOKUP(January[[#This Row],[Drug Name8]],'Data Options'!$R$1:$S$100,2,FALSE), " ")</f>
        <v xml:space="preserve"> </v>
      </c>
      <c r="CB11" s="55"/>
      <c r="CC11" s="32"/>
      <c r="CD11" s="32"/>
      <c r="CE11" s="55"/>
      <c r="CF11" s="32"/>
      <c r="CG11" s="54"/>
      <c r="CH11" s="21" t="str">
        <f>IFERROR(VLOOKUP(January[[#This Row],[Drug Name9]],'Data Options'!$R$1:$S$100,2,FALSE), " ")</f>
        <v xml:space="preserve"> </v>
      </c>
      <c r="CI11" s="55"/>
      <c r="CJ11" s="32"/>
      <c r="CK11" s="32"/>
      <c r="CL11" s="55"/>
      <c r="CM11" s="32"/>
    </row>
    <row r="12" spans="1:91">
      <c r="A12" s="5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1"/>
      <c r="P12" s="31"/>
      <c r="Q12" s="54"/>
      <c r="R12" s="21" t="str">
        <f>IFERROR(VLOOKUP(January[[#This Row],[Drug Name]],'Data Options'!$R$1:$S$100,2,FALSE), " ")</f>
        <v xml:space="preserve"> </v>
      </c>
      <c r="S12" s="55"/>
      <c r="T12" s="32"/>
      <c r="U12" s="32"/>
      <c r="V12" s="55"/>
      <c r="W12" s="32"/>
      <c r="X12" s="54"/>
      <c r="Y12" s="21" t="str">
        <f>IFERROR(VLOOKUP(January[[#This Row],[Drug Name2]],'Data Options'!$R$1:$S$100,2,FALSE), " ")</f>
        <v xml:space="preserve"> </v>
      </c>
      <c r="Z12" s="55"/>
      <c r="AA12" s="32"/>
      <c r="AB12" s="32"/>
      <c r="AC12" s="55"/>
      <c r="AD12" s="32"/>
      <c r="AE12" s="54"/>
      <c r="AF12" s="21" t="str">
        <f>IFERROR(VLOOKUP(January[[#This Row],[Drug Name3]],'Data Options'!$R$1:$S$100,2,FALSE), " ")</f>
        <v xml:space="preserve"> </v>
      </c>
      <c r="AG12" s="55"/>
      <c r="AH12" s="32"/>
      <c r="AI12" s="32"/>
      <c r="AJ12" s="55"/>
      <c r="AK12" s="32"/>
      <c r="AL12" s="32"/>
      <c r="AM12" s="32"/>
      <c r="AN12" s="32"/>
      <c r="AO12" s="32"/>
      <c r="AP12" s="31"/>
      <c r="AQ12" s="31"/>
      <c r="AR12" s="54"/>
      <c r="AS12" s="21" t="str">
        <f>IFERROR(VLOOKUP(January[[#This Row],[Drug Name4]],'Data Options'!$R$1:$S$100,2,FALSE), " ")</f>
        <v xml:space="preserve"> </v>
      </c>
      <c r="AT12" s="55"/>
      <c r="AU12" s="32"/>
      <c r="AV12" s="32"/>
      <c r="AW12" s="55"/>
      <c r="AX12" s="32"/>
      <c r="AY12" s="54"/>
      <c r="AZ12" s="21" t="str">
        <f>IFERROR(VLOOKUP(January[[#This Row],[Drug Name5]],'Data Options'!$R$1:$S$100,2,FALSE), " ")</f>
        <v xml:space="preserve"> </v>
      </c>
      <c r="BA12" s="55"/>
      <c r="BB12" s="32"/>
      <c r="BC12" s="32"/>
      <c r="BD12" s="55"/>
      <c r="BE12" s="32"/>
      <c r="BF12" s="54"/>
      <c r="BG12" s="21" t="str">
        <f>IFERROR(VLOOKUP(January[[#This Row],[Drug Name6]],'Data Options'!$R$1:$S$100,2,FALSE), " ")</f>
        <v xml:space="preserve"> </v>
      </c>
      <c r="BH12" s="55"/>
      <c r="BI12" s="32"/>
      <c r="BJ12" s="32"/>
      <c r="BK12" s="55"/>
      <c r="BL12" s="32"/>
      <c r="BM12" s="32"/>
      <c r="BN12" s="32"/>
      <c r="BO12" s="32"/>
      <c r="BP12" s="32"/>
      <c r="BQ12" s="31"/>
      <c r="BR12" s="31"/>
      <c r="BS12" s="54"/>
      <c r="BT12" s="21" t="str">
        <f>IFERROR(VLOOKUP(January[[#This Row],[Drug Name7]],'Data Options'!$R$1:$S$100,2,FALSE), " ")</f>
        <v xml:space="preserve"> </v>
      </c>
      <c r="BU12" s="55"/>
      <c r="BV12" s="32"/>
      <c r="BW12" s="32"/>
      <c r="BX12" s="55"/>
      <c r="BY12" s="32"/>
      <c r="BZ12" s="54"/>
      <c r="CA12" s="21" t="str">
        <f>IFERROR(VLOOKUP(January[[#This Row],[Drug Name8]],'Data Options'!$R$1:$S$100,2,FALSE), " ")</f>
        <v xml:space="preserve"> </v>
      </c>
      <c r="CB12" s="55"/>
      <c r="CC12" s="32"/>
      <c r="CD12" s="32"/>
      <c r="CE12" s="55"/>
      <c r="CF12" s="32"/>
      <c r="CG12" s="54"/>
      <c r="CH12" s="21" t="str">
        <f>IFERROR(VLOOKUP(January[[#This Row],[Drug Name9]],'Data Options'!$R$1:$S$100,2,FALSE), " ")</f>
        <v xml:space="preserve"> </v>
      </c>
      <c r="CI12" s="55"/>
      <c r="CJ12" s="32"/>
      <c r="CK12" s="32"/>
      <c r="CL12" s="55"/>
      <c r="CM12" s="32"/>
    </row>
    <row r="13" spans="1:91">
      <c r="A13" s="5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1"/>
      <c r="P13" s="31"/>
      <c r="Q13" s="54"/>
      <c r="R13" s="21" t="str">
        <f>IFERROR(VLOOKUP(January[[#This Row],[Drug Name]],'Data Options'!$R$1:$S$100,2,FALSE), " ")</f>
        <v xml:space="preserve"> </v>
      </c>
      <c r="S13" s="55"/>
      <c r="T13" s="32"/>
      <c r="U13" s="32"/>
      <c r="V13" s="55"/>
      <c r="W13" s="32"/>
      <c r="X13" s="54"/>
      <c r="Y13" s="21" t="str">
        <f>IFERROR(VLOOKUP(January[[#This Row],[Drug Name2]],'Data Options'!$R$1:$S$100,2,FALSE), " ")</f>
        <v xml:space="preserve"> </v>
      </c>
      <c r="Z13" s="55"/>
      <c r="AA13" s="32"/>
      <c r="AB13" s="32"/>
      <c r="AC13" s="55"/>
      <c r="AD13" s="32"/>
      <c r="AE13" s="54"/>
      <c r="AF13" s="21" t="str">
        <f>IFERROR(VLOOKUP(January[[#This Row],[Drug Name3]],'Data Options'!$R$1:$S$100,2,FALSE), " ")</f>
        <v xml:space="preserve"> </v>
      </c>
      <c r="AG13" s="55"/>
      <c r="AH13" s="32"/>
      <c r="AI13" s="32"/>
      <c r="AJ13" s="55"/>
      <c r="AK13" s="32"/>
      <c r="AL13" s="32"/>
      <c r="AM13" s="32"/>
      <c r="AN13" s="32"/>
      <c r="AO13" s="32"/>
      <c r="AP13" s="31"/>
      <c r="AQ13" s="31"/>
      <c r="AR13" s="54"/>
      <c r="AS13" s="21" t="str">
        <f>IFERROR(VLOOKUP(January[[#This Row],[Drug Name4]],'Data Options'!$R$1:$S$100,2,FALSE), " ")</f>
        <v xml:space="preserve"> </v>
      </c>
      <c r="AT13" s="55"/>
      <c r="AU13" s="32"/>
      <c r="AV13" s="32"/>
      <c r="AW13" s="55"/>
      <c r="AX13" s="32"/>
      <c r="AY13" s="54"/>
      <c r="AZ13" s="21" t="str">
        <f>IFERROR(VLOOKUP(January[[#This Row],[Drug Name5]],'Data Options'!$R$1:$S$100,2,FALSE), " ")</f>
        <v xml:space="preserve"> </v>
      </c>
      <c r="BA13" s="55"/>
      <c r="BB13" s="32"/>
      <c r="BC13" s="32"/>
      <c r="BD13" s="55"/>
      <c r="BE13" s="32"/>
      <c r="BF13" s="54"/>
      <c r="BG13" s="21" t="str">
        <f>IFERROR(VLOOKUP(January[[#This Row],[Drug Name6]],'Data Options'!$R$1:$S$100,2,FALSE), " ")</f>
        <v xml:space="preserve"> </v>
      </c>
      <c r="BH13" s="55"/>
      <c r="BI13" s="32"/>
      <c r="BJ13" s="32"/>
      <c r="BK13" s="55"/>
      <c r="BL13" s="32"/>
      <c r="BM13" s="32"/>
      <c r="BN13" s="32"/>
      <c r="BO13" s="32"/>
      <c r="BP13" s="32"/>
      <c r="BQ13" s="31"/>
      <c r="BR13" s="31"/>
      <c r="BS13" s="54"/>
      <c r="BT13" s="21" t="str">
        <f>IFERROR(VLOOKUP(January[[#This Row],[Drug Name7]],'Data Options'!$R$1:$S$100,2,FALSE), " ")</f>
        <v xml:space="preserve"> </v>
      </c>
      <c r="BU13" s="55"/>
      <c r="BV13" s="32"/>
      <c r="BW13" s="32"/>
      <c r="BX13" s="55"/>
      <c r="BY13" s="32"/>
      <c r="BZ13" s="54"/>
      <c r="CA13" s="21" t="str">
        <f>IFERROR(VLOOKUP(January[[#This Row],[Drug Name8]],'Data Options'!$R$1:$S$100,2,FALSE), " ")</f>
        <v xml:space="preserve"> </v>
      </c>
      <c r="CB13" s="55"/>
      <c r="CC13" s="32"/>
      <c r="CD13" s="32"/>
      <c r="CE13" s="55"/>
      <c r="CF13" s="32"/>
      <c r="CG13" s="54"/>
      <c r="CH13" s="21" t="str">
        <f>IFERROR(VLOOKUP(January[[#This Row],[Drug Name9]],'Data Options'!$R$1:$S$100,2,FALSE), " ")</f>
        <v xml:space="preserve"> </v>
      </c>
      <c r="CI13" s="55"/>
      <c r="CJ13" s="32"/>
      <c r="CK13" s="32"/>
      <c r="CL13" s="55"/>
      <c r="CM13" s="32"/>
    </row>
    <row r="14" spans="1:91">
      <c r="A14" s="5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54"/>
      <c r="R14" s="21" t="str">
        <f>IFERROR(VLOOKUP(January[[#This Row],[Drug Name]],'Data Options'!$R$1:$S$100,2,FALSE), " ")</f>
        <v xml:space="preserve"> </v>
      </c>
      <c r="S14" s="55"/>
      <c r="T14" s="32"/>
      <c r="U14" s="32"/>
      <c r="V14" s="55"/>
      <c r="W14" s="32"/>
      <c r="X14" s="54"/>
      <c r="Y14" s="21" t="str">
        <f>IFERROR(VLOOKUP(January[[#This Row],[Drug Name2]],'Data Options'!$R$1:$S$100,2,FALSE), " ")</f>
        <v xml:space="preserve"> </v>
      </c>
      <c r="Z14" s="55"/>
      <c r="AA14" s="32"/>
      <c r="AB14" s="32"/>
      <c r="AC14" s="55"/>
      <c r="AD14" s="32"/>
      <c r="AE14" s="54"/>
      <c r="AF14" s="21" t="str">
        <f>IFERROR(VLOOKUP(January[[#This Row],[Drug Name3]],'Data Options'!$R$1:$S$100,2,FALSE), " ")</f>
        <v xml:space="preserve"> </v>
      </c>
      <c r="AG14" s="55"/>
      <c r="AH14" s="32"/>
      <c r="AI14" s="32"/>
      <c r="AJ14" s="55"/>
      <c r="AK14" s="32"/>
      <c r="AL14" s="32"/>
      <c r="AM14" s="32"/>
      <c r="AN14" s="32"/>
      <c r="AO14" s="32"/>
      <c r="AP14" s="31"/>
      <c r="AQ14" s="31"/>
      <c r="AR14" s="54"/>
      <c r="AS14" s="21" t="str">
        <f>IFERROR(VLOOKUP(January[[#This Row],[Drug Name4]],'Data Options'!$R$1:$S$100,2,FALSE), " ")</f>
        <v xml:space="preserve"> </v>
      </c>
      <c r="AT14" s="55"/>
      <c r="AU14" s="32"/>
      <c r="AV14" s="32"/>
      <c r="AW14" s="55"/>
      <c r="AX14" s="32"/>
      <c r="AY14" s="54"/>
      <c r="AZ14" s="21" t="str">
        <f>IFERROR(VLOOKUP(January[[#This Row],[Drug Name5]],'Data Options'!$R$1:$S$100,2,FALSE), " ")</f>
        <v xml:space="preserve"> </v>
      </c>
      <c r="BA14" s="55"/>
      <c r="BB14" s="32"/>
      <c r="BC14" s="32"/>
      <c r="BD14" s="55"/>
      <c r="BE14" s="32"/>
      <c r="BF14" s="54"/>
      <c r="BG14" s="21" t="str">
        <f>IFERROR(VLOOKUP(January[[#This Row],[Drug Name6]],'Data Options'!$R$1:$S$100,2,FALSE), " ")</f>
        <v xml:space="preserve"> </v>
      </c>
      <c r="BH14" s="55"/>
      <c r="BI14" s="32"/>
      <c r="BJ14" s="32"/>
      <c r="BK14" s="55"/>
      <c r="BL14" s="32"/>
      <c r="BM14" s="32"/>
      <c r="BN14" s="32"/>
      <c r="BO14" s="32"/>
      <c r="BP14" s="32"/>
      <c r="BQ14" s="31"/>
      <c r="BR14" s="31"/>
      <c r="BS14" s="54"/>
      <c r="BT14" s="21" t="str">
        <f>IFERROR(VLOOKUP(January[[#This Row],[Drug Name7]],'Data Options'!$R$1:$S$100,2,FALSE), " ")</f>
        <v xml:space="preserve"> </v>
      </c>
      <c r="BU14" s="55"/>
      <c r="BV14" s="32"/>
      <c r="BW14" s="32"/>
      <c r="BX14" s="55"/>
      <c r="BY14" s="32"/>
      <c r="BZ14" s="54"/>
      <c r="CA14" s="21" t="str">
        <f>IFERROR(VLOOKUP(January[[#This Row],[Drug Name8]],'Data Options'!$R$1:$S$100,2,FALSE), " ")</f>
        <v xml:space="preserve"> </v>
      </c>
      <c r="CB14" s="55"/>
      <c r="CC14" s="32"/>
      <c r="CD14" s="32"/>
      <c r="CE14" s="55"/>
      <c r="CF14" s="32"/>
      <c r="CG14" s="54"/>
      <c r="CH14" s="21" t="str">
        <f>IFERROR(VLOOKUP(January[[#This Row],[Drug Name9]],'Data Options'!$R$1:$S$100,2,FALSE), " ")</f>
        <v xml:space="preserve"> </v>
      </c>
      <c r="CI14" s="55"/>
      <c r="CJ14" s="32"/>
      <c r="CK14" s="32"/>
      <c r="CL14" s="55"/>
      <c r="CM14" s="32"/>
    </row>
    <row r="15" spans="1:91">
      <c r="A15" s="5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54"/>
      <c r="R15" s="21" t="str">
        <f>IFERROR(VLOOKUP(January[[#This Row],[Drug Name]],'Data Options'!$R$1:$S$100,2,FALSE), " ")</f>
        <v xml:space="preserve"> </v>
      </c>
      <c r="S15" s="55"/>
      <c r="T15" s="32"/>
      <c r="U15" s="32"/>
      <c r="V15" s="55"/>
      <c r="W15" s="32"/>
      <c r="X15" s="54"/>
      <c r="Y15" s="21" t="str">
        <f>IFERROR(VLOOKUP(January[[#This Row],[Drug Name2]],'Data Options'!$R$1:$S$100,2,FALSE), " ")</f>
        <v xml:space="preserve"> </v>
      </c>
      <c r="Z15" s="55"/>
      <c r="AA15" s="32"/>
      <c r="AB15" s="32"/>
      <c r="AC15" s="55"/>
      <c r="AD15" s="32"/>
      <c r="AE15" s="54"/>
      <c r="AF15" s="21" t="str">
        <f>IFERROR(VLOOKUP(January[[#This Row],[Drug Name3]],'Data Options'!$R$1:$S$100,2,FALSE), " ")</f>
        <v xml:space="preserve"> </v>
      </c>
      <c r="AG15" s="55"/>
      <c r="AH15" s="32"/>
      <c r="AI15" s="32"/>
      <c r="AJ15" s="55"/>
      <c r="AK15" s="32"/>
      <c r="AL15" s="32"/>
      <c r="AM15" s="32"/>
      <c r="AN15" s="32"/>
      <c r="AO15" s="32"/>
      <c r="AP15" s="31"/>
      <c r="AQ15" s="31"/>
      <c r="AR15" s="54"/>
      <c r="AS15" s="21" t="str">
        <f>IFERROR(VLOOKUP(January[[#This Row],[Drug Name4]],'Data Options'!$R$1:$S$100,2,FALSE), " ")</f>
        <v xml:space="preserve"> </v>
      </c>
      <c r="AT15" s="55"/>
      <c r="AU15" s="32"/>
      <c r="AV15" s="32"/>
      <c r="AW15" s="55"/>
      <c r="AX15" s="32"/>
      <c r="AY15" s="54"/>
      <c r="AZ15" s="21" t="str">
        <f>IFERROR(VLOOKUP(January[[#This Row],[Drug Name5]],'Data Options'!$R$1:$S$100,2,FALSE), " ")</f>
        <v xml:space="preserve"> </v>
      </c>
      <c r="BA15" s="55"/>
      <c r="BB15" s="32"/>
      <c r="BC15" s="32"/>
      <c r="BD15" s="55"/>
      <c r="BE15" s="32"/>
      <c r="BF15" s="54"/>
      <c r="BG15" s="21" t="str">
        <f>IFERROR(VLOOKUP(January[[#This Row],[Drug Name6]],'Data Options'!$R$1:$S$100,2,FALSE), " ")</f>
        <v xml:space="preserve"> </v>
      </c>
      <c r="BH15" s="55"/>
      <c r="BI15" s="32"/>
      <c r="BJ15" s="32"/>
      <c r="BK15" s="55"/>
      <c r="BL15" s="32"/>
      <c r="BM15" s="32"/>
      <c r="BN15" s="32"/>
      <c r="BO15" s="32"/>
      <c r="BP15" s="32"/>
      <c r="BQ15" s="31"/>
      <c r="BR15" s="31"/>
      <c r="BS15" s="54"/>
      <c r="BT15" s="21" t="str">
        <f>IFERROR(VLOOKUP(January[[#This Row],[Drug Name7]],'Data Options'!$R$1:$S$100,2,FALSE), " ")</f>
        <v xml:space="preserve"> </v>
      </c>
      <c r="BU15" s="55"/>
      <c r="BV15" s="32"/>
      <c r="BW15" s="32"/>
      <c r="BX15" s="55"/>
      <c r="BY15" s="32"/>
      <c r="BZ15" s="54"/>
      <c r="CA15" s="21" t="str">
        <f>IFERROR(VLOOKUP(January[[#This Row],[Drug Name8]],'Data Options'!$R$1:$S$100,2,FALSE), " ")</f>
        <v xml:space="preserve"> </v>
      </c>
      <c r="CB15" s="55"/>
      <c r="CC15" s="32"/>
      <c r="CD15" s="32"/>
      <c r="CE15" s="55"/>
      <c r="CF15" s="32"/>
      <c r="CG15" s="54"/>
      <c r="CH15" s="21" t="str">
        <f>IFERROR(VLOOKUP(January[[#This Row],[Drug Name9]],'Data Options'!$R$1:$S$100,2,FALSE), " ")</f>
        <v xml:space="preserve"> </v>
      </c>
      <c r="CI15" s="55"/>
      <c r="CJ15" s="32"/>
      <c r="CK15" s="32"/>
      <c r="CL15" s="55"/>
      <c r="CM15" s="32"/>
    </row>
    <row r="16" spans="1:91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1"/>
      <c r="Q16" s="54"/>
      <c r="R16" s="21" t="str">
        <f>IFERROR(VLOOKUP(January[[#This Row],[Drug Name]],'Data Options'!$R$1:$S$100,2,FALSE), " ")</f>
        <v xml:space="preserve"> </v>
      </c>
      <c r="S16" s="55"/>
      <c r="T16" s="32"/>
      <c r="U16" s="32"/>
      <c r="V16" s="55"/>
      <c r="W16" s="32"/>
      <c r="X16" s="54"/>
      <c r="Y16" s="21" t="str">
        <f>IFERROR(VLOOKUP(January[[#This Row],[Drug Name2]],'Data Options'!$R$1:$S$100,2,FALSE), " ")</f>
        <v xml:space="preserve"> </v>
      </c>
      <c r="Z16" s="55"/>
      <c r="AA16" s="32"/>
      <c r="AB16" s="32"/>
      <c r="AC16" s="55"/>
      <c r="AD16" s="32"/>
      <c r="AE16" s="54"/>
      <c r="AF16" s="21" t="str">
        <f>IFERROR(VLOOKUP(January[[#This Row],[Drug Name3]],'Data Options'!$R$1:$S$100,2,FALSE), " ")</f>
        <v xml:space="preserve"> </v>
      </c>
      <c r="AG16" s="55"/>
      <c r="AH16" s="32"/>
      <c r="AI16" s="32"/>
      <c r="AJ16" s="55"/>
      <c r="AK16" s="32"/>
      <c r="AL16" s="32"/>
      <c r="AM16" s="32"/>
      <c r="AN16" s="32"/>
      <c r="AO16" s="32"/>
      <c r="AP16" s="31"/>
      <c r="AQ16" s="31"/>
      <c r="AR16" s="54"/>
      <c r="AS16" s="21" t="str">
        <f>IFERROR(VLOOKUP(January[[#This Row],[Drug Name4]],'Data Options'!$R$1:$S$100,2,FALSE), " ")</f>
        <v xml:space="preserve"> </v>
      </c>
      <c r="AT16" s="55"/>
      <c r="AU16" s="32"/>
      <c r="AV16" s="32"/>
      <c r="AW16" s="55"/>
      <c r="AX16" s="32"/>
      <c r="AY16" s="54"/>
      <c r="AZ16" s="21" t="str">
        <f>IFERROR(VLOOKUP(January[[#This Row],[Drug Name5]],'Data Options'!$R$1:$S$100,2,FALSE), " ")</f>
        <v xml:space="preserve"> </v>
      </c>
      <c r="BA16" s="55"/>
      <c r="BB16" s="32"/>
      <c r="BC16" s="32"/>
      <c r="BD16" s="55"/>
      <c r="BE16" s="32"/>
      <c r="BF16" s="54"/>
      <c r="BG16" s="21" t="str">
        <f>IFERROR(VLOOKUP(January[[#This Row],[Drug Name6]],'Data Options'!$R$1:$S$100,2,FALSE), " ")</f>
        <v xml:space="preserve"> </v>
      </c>
      <c r="BH16" s="55"/>
      <c r="BI16" s="32"/>
      <c r="BJ16" s="32"/>
      <c r="BK16" s="55"/>
      <c r="BL16" s="32"/>
      <c r="BM16" s="32"/>
      <c r="BN16" s="32"/>
      <c r="BO16" s="32"/>
      <c r="BP16" s="32"/>
      <c r="BQ16" s="31"/>
      <c r="BR16" s="31"/>
      <c r="BS16" s="54"/>
      <c r="BT16" s="21" t="str">
        <f>IFERROR(VLOOKUP(January[[#This Row],[Drug Name7]],'Data Options'!$R$1:$S$100,2,FALSE), " ")</f>
        <v xml:space="preserve"> </v>
      </c>
      <c r="BU16" s="55"/>
      <c r="BV16" s="32"/>
      <c r="BW16" s="32"/>
      <c r="BX16" s="55"/>
      <c r="BY16" s="32"/>
      <c r="BZ16" s="54"/>
      <c r="CA16" s="21" t="str">
        <f>IFERROR(VLOOKUP(January[[#This Row],[Drug Name8]],'Data Options'!$R$1:$S$100,2,FALSE), " ")</f>
        <v xml:space="preserve"> </v>
      </c>
      <c r="CB16" s="55"/>
      <c r="CC16" s="32"/>
      <c r="CD16" s="32"/>
      <c r="CE16" s="55"/>
      <c r="CF16" s="32"/>
      <c r="CG16" s="54"/>
      <c r="CH16" s="21" t="str">
        <f>IFERROR(VLOOKUP(January[[#This Row],[Drug Name9]],'Data Options'!$R$1:$S$100,2,FALSE), " ")</f>
        <v xml:space="preserve"> </v>
      </c>
      <c r="CI16" s="55"/>
      <c r="CJ16" s="32"/>
      <c r="CK16" s="32"/>
      <c r="CL16" s="55"/>
      <c r="CM16" s="32"/>
    </row>
    <row r="17" spans="1:91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1"/>
      <c r="Q17" s="54"/>
      <c r="R17" s="21" t="str">
        <f>IFERROR(VLOOKUP(January[[#This Row],[Drug Name]],'Data Options'!$R$1:$S$100,2,FALSE), " ")</f>
        <v xml:space="preserve"> </v>
      </c>
      <c r="S17" s="55"/>
      <c r="T17" s="32"/>
      <c r="U17" s="32"/>
      <c r="V17" s="55"/>
      <c r="W17" s="32"/>
      <c r="X17" s="54"/>
      <c r="Y17" s="21" t="str">
        <f>IFERROR(VLOOKUP(January[[#This Row],[Drug Name2]],'Data Options'!$R$1:$S$100,2,FALSE), " ")</f>
        <v xml:space="preserve"> </v>
      </c>
      <c r="Z17" s="55"/>
      <c r="AA17" s="32"/>
      <c r="AB17" s="32"/>
      <c r="AC17" s="55"/>
      <c r="AD17" s="32"/>
      <c r="AE17" s="54"/>
      <c r="AF17" s="21" t="str">
        <f>IFERROR(VLOOKUP(January[[#This Row],[Drug Name3]],'Data Options'!$R$1:$S$100,2,FALSE), " ")</f>
        <v xml:space="preserve"> </v>
      </c>
      <c r="AG17" s="55"/>
      <c r="AH17" s="32"/>
      <c r="AI17" s="32"/>
      <c r="AJ17" s="55"/>
      <c r="AK17" s="32"/>
      <c r="AL17" s="32"/>
      <c r="AM17" s="32"/>
      <c r="AN17" s="32"/>
      <c r="AO17" s="32"/>
      <c r="AP17" s="31"/>
      <c r="AQ17" s="31"/>
      <c r="AR17" s="54"/>
      <c r="AS17" s="21" t="str">
        <f>IFERROR(VLOOKUP(January[[#This Row],[Drug Name4]],'Data Options'!$R$1:$S$100,2,FALSE), " ")</f>
        <v xml:space="preserve"> </v>
      </c>
      <c r="AT17" s="55"/>
      <c r="AU17" s="32"/>
      <c r="AV17" s="32"/>
      <c r="AW17" s="55"/>
      <c r="AX17" s="32"/>
      <c r="AY17" s="54"/>
      <c r="AZ17" s="21" t="str">
        <f>IFERROR(VLOOKUP(January[[#This Row],[Drug Name5]],'Data Options'!$R$1:$S$100,2,FALSE), " ")</f>
        <v xml:space="preserve"> </v>
      </c>
      <c r="BA17" s="55"/>
      <c r="BB17" s="32"/>
      <c r="BC17" s="32"/>
      <c r="BD17" s="55"/>
      <c r="BE17" s="32"/>
      <c r="BF17" s="54"/>
      <c r="BG17" s="21" t="str">
        <f>IFERROR(VLOOKUP(January[[#This Row],[Drug Name6]],'Data Options'!$R$1:$S$100,2,FALSE), " ")</f>
        <v xml:space="preserve"> </v>
      </c>
      <c r="BH17" s="55"/>
      <c r="BI17" s="32"/>
      <c r="BJ17" s="32"/>
      <c r="BK17" s="55"/>
      <c r="BL17" s="32"/>
      <c r="BM17" s="32"/>
      <c r="BN17" s="32"/>
      <c r="BO17" s="32"/>
      <c r="BP17" s="32"/>
      <c r="BQ17" s="31"/>
      <c r="BR17" s="31"/>
      <c r="BS17" s="54"/>
      <c r="BT17" s="21" t="str">
        <f>IFERROR(VLOOKUP(January[[#This Row],[Drug Name7]],'Data Options'!$R$1:$S$100,2,FALSE), " ")</f>
        <v xml:space="preserve"> </v>
      </c>
      <c r="BU17" s="55"/>
      <c r="BV17" s="32"/>
      <c r="BW17" s="32"/>
      <c r="BX17" s="55"/>
      <c r="BY17" s="32"/>
      <c r="BZ17" s="54"/>
      <c r="CA17" s="21" t="str">
        <f>IFERROR(VLOOKUP(January[[#This Row],[Drug Name8]],'Data Options'!$R$1:$S$100,2,FALSE), " ")</f>
        <v xml:space="preserve"> </v>
      </c>
      <c r="CB17" s="55"/>
      <c r="CC17" s="32"/>
      <c r="CD17" s="32"/>
      <c r="CE17" s="55"/>
      <c r="CF17" s="32"/>
      <c r="CG17" s="54"/>
      <c r="CH17" s="21" t="str">
        <f>IFERROR(VLOOKUP(January[[#This Row],[Drug Name9]],'Data Options'!$R$1:$S$100,2,FALSE), " ")</f>
        <v xml:space="preserve"> </v>
      </c>
      <c r="CI17" s="55"/>
      <c r="CJ17" s="32"/>
      <c r="CK17" s="32"/>
      <c r="CL17" s="55"/>
      <c r="CM17" s="32"/>
    </row>
    <row r="18" spans="1:9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1"/>
      <c r="Q18" s="54"/>
      <c r="R18" s="21" t="str">
        <f>IFERROR(VLOOKUP(January[[#This Row],[Drug Name]],'Data Options'!$R$1:$S$100,2,FALSE), " ")</f>
        <v xml:space="preserve"> </v>
      </c>
      <c r="S18" s="55"/>
      <c r="T18" s="32"/>
      <c r="U18" s="32"/>
      <c r="V18" s="55"/>
      <c r="W18" s="32"/>
      <c r="X18" s="54"/>
      <c r="Y18" s="21" t="str">
        <f>IFERROR(VLOOKUP(January[[#This Row],[Drug Name2]],'Data Options'!$R$1:$S$100,2,FALSE), " ")</f>
        <v xml:space="preserve"> </v>
      </c>
      <c r="Z18" s="55"/>
      <c r="AA18" s="32"/>
      <c r="AB18" s="32"/>
      <c r="AC18" s="55"/>
      <c r="AD18" s="32"/>
      <c r="AE18" s="54"/>
      <c r="AF18" s="21" t="str">
        <f>IFERROR(VLOOKUP(January[[#This Row],[Drug Name3]],'Data Options'!$R$1:$S$100,2,FALSE), " ")</f>
        <v xml:space="preserve"> </v>
      </c>
      <c r="AG18" s="55"/>
      <c r="AH18" s="32"/>
      <c r="AI18" s="32"/>
      <c r="AJ18" s="55"/>
      <c r="AK18" s="32"/>
      <c r="AL18" s="32"/>
      <c r="AM18" s="32"/>
      <c r="AN18" s="32"/>
      <c r="AO18" s="32"/>
      <c r="AP18" s="31"/>
      <c r="AQ18" s="31"/>
      <c r="AR18" s="54"/>
      <c r="AS18" s="21" t="str">
        <f>IFERROR(VLOOKUP(January[[#This Row],[Drug Name4]],'Data Options'!$R$1:$S$100,2,FALSE), " ")</f>
        <v xml:space="preserve"> </v>
      </c>
      <c r="AT18" s="55"/>
      <c r="AU18" s="32"/>
      <c r="AV18" s="32"/>
      <c r="AW18" s="55"/>
      <c r="AX18" s="32"/>
      <c r="AY18" s="54"/>
      <c r="AZ18" s="21" t="str">
        <f>IFERROR(VLOOKUP(January[[#This Row],[Drug Name5]],'Data Options'!$R$1:$S$100,2,FALSE), " ")</f>
        <v xml:space="preserve"> </v>
      </c>
      <c r="BA18" s="55"/>
      <c r="BB18" s="32"/>
      <c r="BC18" s="32"/>
      <c r="BD18" s="55"/>
      <c r="BE18" s="32"/>
      <c r="BF18" s="54"/>
      <c r="BG18" s="21" t="str">
        <f>IFERROR(VLOOKUP(January[[#This Row],[Drug Name6]],'Data Options'!$R$1:$S$100,2,FALSE), " ")</f>
        <v xml:space="preserve"> </v>
      </c>
      <c r="BH18" s="55"/>
      <c r="BI18" s="32"/>
      <c r="BJ18" s="32"/>
      <c r="BK18" s="55"/>
      <c r="BL18" s="32"/>
      <c r="BM18" s="32"/>
      <c r="BN18" s="32"/>
      <c r="BO18" s="32"/>
      <c r="BP18" s="32"/>
      <c r="BQ18" s="31"/>
      <c r="BR18" s="31"/>
      <c r="BS18" s="54"/>
      <c r="BT18" s="21" t="str">
        <f>IFERROR(VLOOKUP(January[[#This Row],[Drug Name7]],'Data Options'!$R$1:$S$100,2,FALSE), " ")</f>
        <v xml:space="preserve"> </v>
      </c>
      <c r="BU18" s="55"/>
      <c r="BV18" s="32"/>
      <c r="BW18" s="32"/>
      <c r="BX18" s="55"/>
      <c r="BY18" s="32"/>
      <c r="BZ18" s="54"/>
      <c r="CA18" s="21" t="str">
        <f>IFERROR(VLOOKUP(January[[#This Row],[Drug Name8]],'Data Options'!$R$1:$S$100,2,FALSE), " ")</f>
        <v xml:space="preserve"> </v>
      </c>
      <c r="CB18" s="55"/>
      <c r="CC18" s="32"/>
      <c r="CD18" s="32"/>
      <c r="CE18" s="55"/>
      <c r="CF18" s="32"/>
      <c r="CG18" s="54"/>
      <c r="CH18" s="21" t="str">
        <f>IFERROR(VLOOKUP(January[[#This Row],[Drug Name9]],'Data Options'!$R$1:$S$100,2,FALSE), " ")</f>
        <v xml:space="preserve"> </v>
      </c>
      <c r="CI18" s="55"/>
      <c r="CJ18" s="32"/>
      <c r="CK18" s="32"/>
      <c r="CL18" s="55"/>
      <c r="CM18" s="32"/>
    </row>
    <row r="19" spans="1:9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54"/>
      <c r="R19" s="21" t="str">
        <f>IFERROR(VLOOKUP(January[[#This Row],[Drug Name]],'Data Options'!$R$1:$S$100,2,FALSE), " ")</f>
        <v xml:space="preserve"> </v>
      </c>
      <c r="S19" s="55"/>
      <c r="T19" s="32"/>
      <c r="U19" s="32"/>
      <c r="V19" s="55"/>
      <c r="W19" s="32"/>
      <c r="X19" s="54"/>
      <c r="Y19" s="21" t="str">
        <f>IFERROR(VLOOKUP(January[[#This Row],[Drug Name2]],'Data Options'!$R$1:$S$100,2,FALSE), " ")</f>
        <v xml:space="preserve"> </v>
      </c>
      <c r="Z19" s="55"/>
      <c r="AA19" s="32"/>
      <c r="AB19" s="32"/>
      <c r="AC19" s="55"/>
      <c r="AD19" s="32"/>
      <c r="AE19" s="54"/>
      <c r="AF19" s="21" t="str">
        <f>IFERROR(VLOOKUP(January[[#This Row],[Drug Name3]],'Data Options'!$R$1:$S$100,2,FALSE), " ")</f>
        <v xml:space="preserve"> </v>
      </c>
      <c r="AG19" s="55"/>
      <c r="AH19" s="32"/>
      <c r="AI19" s="32"/>
      <c r="AJ19" s="55"/>
      <c r="AK19" s="32"/>
      <c r="AL19" s="32"/>
      <c r="AM19" s="32"/>
      <c r="AN19" s="32"/>
      <c r="AO19" s="32"/>
      <c r="AP19" s="31"/>
      <c r="AQ19" s="31"/>
      <c r="AR19" s="54"/>
      <c r="AS19" s="21" t="str">
        <f>IFERROR(VLOOKUP(January[[#This Row],[Drug Name4]],'Data Options'!$R$1:$S$100,2,FALSE), " ")</f>
        <v xml:space="preserve"> </v>
      </c>
      <c r="AT19" s="55"/>
      <c r="AU19" s="32"/>
      <c r="AV19" s="32"/>
      <c r="AW19" s="55"/>
      <c r="AX19" s="32"/>
      <c r="AY19" s="54"/>
      <c r="AZ19" s="21" t="str">
        <f>IFERROR(VLOOKUP(January[[#This Row],[Drug Name5]],'Data Options'!$R$1:$S$100,2,FALSE), " ")</f>
        <v xml:space="preserve"> </v>
      </c>
      <c r="BA19" s="55"/>
      <c r="BB19" s="32"/>
      <c r="BC19" s="32"/>
      <c r="BD19" s="55"/>
      <c r="BE19" s="32"/>
      <c r="BF19" s="54"/>
      <c r="BG19" s="21" t="str">
        <f>IFERROR(VLOOKUP(January[[#This Row],[Drug Name6]],'Data Options'!$R$1:$S$100,2,FALSE), " ")</f>
        <v xml:space="preserve"> </v>
      </c>
      <c r="BH19" s="55"/>
      <c r="BI19" s="32"/>
      <c r="BJ19" s="32"/>
      <c r="BK19" s="55"/>
      <c r="BL19" s="32"/>
      <c r="BM19" s="32"/>
      <c r="BN19" s="32"/>
      <c r="BO19" s="32"/>
      <c r="BP19" s="32"/>
      <c r="BQ19" s="31"/>
      <c r="BR19" s="31"/>
      <c r="BS19" s="54"/>
      <c r="BT19" s="21" t="str">
        <f>IFERROR(VLOOKUP(January[[#This Row],[Drug Name7]],'Data Options'!$R$1:$S$100,2,FALSE), " ")</f>
        <v xml:space="preserve"> </v>
      </c>
      <c r="BU19" s="55"/>
      <c r="BV19" s="32"/>
      <c r="BW19" s="32"/>
      <c r="BX19" s="55"/>
      <c r="BY19" s="32"/>
      <c r="BZ19" s="54"/>
      <c r="CA19" s="21" t="str">
        <f>IFERROR(VLOOKUP(January[[#This Row],[Drug Name8]],'Data Options'!$R$1:$S$100,2,FALSE), " ")</f>
        <v xml:space="preserve"> </v>
      </c>
      <c r="CB19" s="55"/>
      <c r="CC19" s="32"/>
      <c r="CD19" s="32"/>
      <c r="CE19" s="55"/>
      <c r="CF19" s="32"/>
      <c r="CG19" s="54"/>
      <c r="CH19" s="21" t="str">
        <f>IFERROR(VLOOKUP(January[[#This Row],[Drug Name9]],'Data Options'!$R$1:$S$100,2,FALSE), " ")</f>
        <v xml:space="preserve"> </v>
      </c>
      <c r="CI19" s="55"/>
      <c r="CJ19" s="32"/>
      <c r="CK19" s="32"/>
      <c r="CL19" s="55"/>
      <c r="CM19" s="32"/>
    </row>
    <row r="20" spans="1:9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1"/>
      <c r="Q20" s="54"/>
      <c r="R20" s="21" t="str">
        <f>IFERROR(VLOOKUP(January[[#This Row],[Drug Name]],'Data Options'!$R$1:$S$100,2,FALSE), " ")</f>
        <v xml:space="preserve"> </v>
      </c>
      <c r="S20" s="55"/>
      <c r="T20" s="32"/>
      <c r="U20" s="32"/>
      <c r="V20" s="55"/>
      <c r="W20" s="32"/>
      <c r="X20" s="54"/>
      <c r="Y20" s="21" t="str">
        <f>IFERROR(VLOOKUP(January[[#This Row],[Drug Name2]],'Data Options'!$R$1:$S$100,2,FALSE), " ")</f>
        <v xml:space="preserve"> </v>
      </c>
      <c r="Z20" s="55"/>
      <c r="AA20" s="32"/>
      <c r="AB20" s="32"/>
      <c r="AC20" s="55"/>
      <c r="AD20" s="32"/>
      <c r="AE20" s="54"/>
      <c r="AF20" s="21" t="str">
        <f>IFERROR(VLOOKUP(January[[#This Row],[Drug Name3]],'Data Options'!$R$1:$S$100,2,FALSE), " ")</f>
        <v xml:space="preserve"> </v>
      </c>
      <c r="AG20" s="55"/>
      <c r="AH20" s="32"/>
      <c r="AI20" s="32"/>
      <c r="AJ20" s="55"/>
      <c r="AK20" s="32"/>
      <c r="AL20" s="32"/>
      <c r="AM20" s="32"/>
      <c r="AN20" s="32"/>
      <c r="AO20" s="32"/>
      <c r="AP20" s="31"/>
      <c r="AQ20" s="31"/>
      <c r="AR20" s="54"/>
      <c r="AS20" s="21" t="str">
        <f>IFERROR(VLOOKUP(January[[#This Row],[Drug Name4]],'Data Options'!$R$1:$S$100,2,FALSE), " ")</f>
        <v xml:space="preserve"> </v>
      </c>
      <c r="AT20" s="55"/>
      <c r="AU20" s="32"/>
      <c r="AV20" s="32"/>
      <c r="AW20" s="55"/>
      <c r="AX20" s="32"/>
      <c r="AY20" s="54"/>
      <c r="AZ20" s="21" t="str">
        <f>IFERROR(VLOOKUP(January[[#This Row],[Drug Name5]],'Data Options'!$R$1:$S$100,2,FALSE), " ")</f>
        <v xml:space="preserve"> </v>
      </c>
      <c r="BA20" s="55"/>
      <c r="BB20" s="32"/>
      <c r="BC20" s="32"/>
      <c r="BD20" s="55"/>
      <c r="BE20" s="32"/>
      <c r="BF20" s="54"/>
      <c r="BG20" s="21" t="str">
        <f>IFERROR(VLOOKUP(January[[#This Row],[Drug Name6]],'Data Options'!$R$1:$S$100,2,FALSE), " ")</f>
        <v xml:space="preserve"> </v>
      </c>
      <c r="BH20" s="55"/>
      <c r="BI20" s="32"/>
      <c r="BJ20" s="32"/>
      <c r="BK20" s="55"/>
      <c r="BL20" s="32"/>
      <c r="BM20" s="32"/>
      <c r="BN20" s="32"/>
      <c r="BO20" s="32"/>
      <c r="BP20" s="32"/>
      <c r="BQ20" s="31"/>
      <c r="BR20" s="31"/>
      <c r="BS20" s="54"/>
      <c r="BT20" s="21" t="str">
        <f>IFERROR(VLOOKUP(January[[#This Row],[Drug Name7]],'Data Options'!$R$1:$S$100,2,FALSE), " ")</f>
        <v xml:space="preserve"> </v>
      </c>
      <c r="BU20" s="55"/>
      <c r="BV20" s="32"/>
      <c r="BW20" s="32"/>
      <c r="BX20" s="55"/>
      <c r="BY20" s="32"/>
      <c r="BZ20" s="54"/>
      <c r="CA20" s="21" t="str">
        <f>IFERROR(VLOOKUP(January[[#This Row],[Drug Name8]],'Data Options'!$R$1:$S$100,2,FALSE), " ")</f>
        <v xml:space="preserve"> </v>
      </c>
      <c r="CB20" s="55"/>
      <c r="CC20" s="32"/>
      <c r="CD20" s="32"/>
      <c r="CE20" s="55"/>
      <c r="CF20" s="32"/>
      <c r="CG20" s="54"/>
      <c r="CH20" s="21" t="str">
        <f>IFERROR(VLOOKUP(January[[#This Row],[Drug Name9]],'Data Options'!$R$1:$S$100,2,FALSE), " ")</f>
        <v xml:space="preserve"> </v>
      </c>
      <c r="CI20" s="55"/>
      <c r="CJ20" s="32"/>
      <c r="CK20" s="32"/>
      <c r="CL20" s="55"/>
      <c r="CM20" s="32"/>
    </row>
    <row r="21" spans="1:91">
      <c r="A21" s="5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1"/>
      <c r="Q21" s="54"/>
      <c r="R21" s="21" t="str">
        <f>IFERROR(VLOOKUP(January[[#This Row],[Drug Name]],'Data Options'!$R$1:$S$100,2,FALSE), " ")</f>
        <v xml:space="preserve"> </v>
      </c>
      <c r="S21" s="55"/>
      <c r="T21" s="32"/>
      <c r="U21" s="32"/>
      <c r="V21" s="55"/>
      <c r="W21" s="32"/>
      <c r="X21" s="54"/>
      <c r="Y21" s="21" t="str">
        <f>IFERROR(VLOOKUP(January[[#This Row],[Drug Name2]],'Data Options'!$R$1:$S$100,2,FALSE), " ")</f>
        <v xml:space="preserve"> </v>
      </c>
      <c r="Z21" s="55"/>
      <c r="AA21" s="32"/>
      <c r="AB21" s="32"/>
      <c r="AC21" s="55"/>
      <c r="AD21" s="32"/>
      <c r="AE21" s="54"/>
      <c r="AF21" s="21" t="str">
        <f>IFERROR(VLOOKUP(January[[#This Row],[Drug Name3]],'Data Options'!$R$1:$S$100,2,FALSE), " ")</f>
        <v xml:space="preserve"> </v>
      </c>
      <c r="AG21" s="55"/>
      <c r="AH21" s="32"/>
      <c r="AI21" s="32"/>
      <c r="AJ21" s="55"/>
      <c r="AK21" s="32"/>
      <c r="AL21" s="32"/>
      <c r="AM21" s="32"/>
      <c r="AN21" s="32"/>
      <c r="AO21" s="32"/>
      <c r="AP21" s="31"/>
      <c r="AQ21" s="31"/>
      <c r="AR21" s="54"/>
      <c r="AS21" s="21" t="str">
        <f>IFERROR(VLOOKUP(January[[#This Row],[Drug Name4]],'Data Options'!$R$1:$S$100,2,FALSE), " ")</f>
        <v xml:space="preserve"> </v>
      </c>
      <c r="AT21" s="55"/>
      <c r="AU21" s="32"/>
      <c r="AV21" s="32"/>
      <c r="AW21" s="55"/>
      <c r="AX21" s="32"/>
      <c r="AY21" s="54"/>
      <c r="AZ21" s="21" t="str">
        <f>IFERROR(VLOOKUP(January[[#This Row],[Drug Name5]],'Data Options'!$R$1:$S$100,2,FALSE), " ")</f>
        <v xml:space="preserve"> </v>
      </c>
      <c r="BA21" s="55"/>
      <c r="BB21" s="32"/>
      <c r="BC21" s="32"/>
      <c r="BD21" s="55"/>
      <c r="BE21" s="32"/>
      <c r="BF21" s="54"/>
      <c r="BG21" s="21" t="str">
        <f>IFERROR(VLOOKUP(January[[#This Row],[Drug Name6]],'Data Options'!$R$1:$S$100,2,FALSE), " ")</f>
        <v xml:space="preserve"> </v>
      </c>
      <c r="BH21" s="55"/>
      <c r="BI21" s="32"/>
      <c r="BJ21" s="32"/>
      <c r="BK21" s="55"/>
      <c r="BL21" s="32"/>
      <c r="BM21" s="32"/>
      <c r="BN21" s="32"/>
      <c r="BO21" s="32"/>
      <c r="BP21" s="32"/>
      <c r="BQ21" s="31"/>
      <c r="BR21" s="31"/>
      <c r="BS21" s="54"/>
      <c r="BT21" s="21" t="str">
        <f>IFERROR(VLOOKUP(January[[#This Row],[Drug Name7]],'Data Options'!$R$1:$S$100,2,FALSE), " ")</f>
        <v xml:space="preserve"> </v>
      </c>
      <c r="BU21" s="55"/>
      <c r="BV21" s="32"/>
      <c r="BW21" s="32"/>
      <c r="BX21" s="55"/>
      <c r="BY21" s="32"/>
      <c r="BZ21" s="54"/>
      <c r="CA21" s="21" t="str">
        <f>IFERROR(VLOOKUP(January[[#This Row],[Drug Name8]],'Data Options'!$R$1:$S$100,2,FALSE), " ")</f>
        <v xml:space="preserve"> </v>
      </c>
      <c r="CB21" s="55"/>
      <c r="CC21" s="32"/>
      <c r="CD21" s="32"/>
      <c r="CE21" s="55"/>
      <c r="CF21" s="32"/>
      <c r="CG21" s="54"/>
      <c r="CH21" s="21" t="str">
        <f>IFERROR(VLOOKUP(January[[#This Row],[Drug Name9]],'Data Options'!$R$1:$S$100,2,FALSE), " ")</f>
        <v xml:space="preserve"> </v>
      </c>
      <c r="CI21" s="55"/>
      <c r="CJ21" s="32"/>
      <c r="CK21" s="32"/>
      <c r="CL21" s="55"/>
      <c r="CM21" s="32"/>
    </row>
    <row r="22" spans="1:91">
      <c r="A22" s="5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1"/>
      <c r="Q22" s="54"/>
      <c r="R22" s="21" t="str">
        <f>IFERROR(VLOOKUP(January[[#This Row],[Drug Name]],'Data Options'!$R$1:$S$100,2,FALSE), " ")</f>
        <v xml:space="preserve"> </v>
      </c>
      <c r="S22" s="55"/>
      <c r="T22" s="32"/>
      <c r="U22" s="32"/>
      <c r="V22" s="55"/>
      <c r="W22" s="32"/>
      <c r="X22" s="54"/>
      <c r="Y22" s="21" t="str">
        <f>IFERROR(VLOOKUP(January[[#This Row],[Drug Name2]],'Data Options'!$R$1:$S$100,2,FALSE), " ")</f>
        <v xml:space="preserve"> </v>
      </c>
      <c r="Z22" s="55"/>
      <c r="AA22" s="32"/>
      <c r="AB22" s="32"/>
      <c r="AC22" s="55"/>
      <c r="AD22" s="32"/>
      <c r="AE22" s="54"/>
      <c r="AF22" s="21" t="str">
        <f>IFERROR(VLOOKUP(January[[#This Row],[Drug Name3]],'Data Options'!$R$1:$S$100,2,FALSE), " ")</f>
        <v xml:space="preserve"> </v>
      </c>
      <c r="AG22" s="55"/>
      <c r="AH22" s="32"/>
      <c r="AI22" s="32"/>
      <c r="AJ22" s="55"/>
      <c r="AK22" s="32"/>
      <c r="AL22" s="32"/>
      <c r="AM22" s="32"/>
      <c r="AN22" s="32"/>
      <c r="AO22" s="32"/>
      <c r="AP22" s="31"/>
      <c r="AQ22" s="31"/>
      <c r="AR22" s="54"/>
      <c r="AS22" s="21" t="str">
        <f>IFERROR(VLOOKUP(January[[#This Row],[Drug Name4]],'Data Options'!$R$1:$S$100,2,FALSE), " ")</f>
        <v xml:space="preserve"> </v>
      </c>
      <c r="AT22" s="55"/>
      <c r="AU22" s="32"/>
      <c r="AV22" s="32"/>
      <c r="AW22" s="55"/>
      <c r="AX22" s="32"/>
      <c r="AY22" s="54"/>
      <c r="AZ22" s="21" t="str">
        <f>IFERROR(VLOOKUP(January[[#This Row],[Drug Name5]],'Data Options'!$R$1:$S$100,2,FALSE), " ")</f>
        <v xml:space="preserve"> </v>
      </c>
      <c r="BA22" s="55"/>
      <c r="BB22" s="32"/>
      <c r="BC22" s="32"/>
      <c r="BD22" s="55"/>
      <c r="BE22" s="32"/>
      <c r="BF22" s="54"/>
      <c r="BG22" s="21" t="str">
        <f>IFERROR(VLOOKUP(January[[#This Row],[Drug Name6]],'Data Options'!$R$1:$S$100,2,FALSE), " ")</f>
        <v xml:space="preserve"> </v>
      </c>
      <c r="BH22" s="55"/>
      <c r="BI22" s="32"/>
      <c r="BJ22" s="32"/>
      <c r="BK22" s="55"/>
      <c r="BL22" s="32"/>
      <c r="BM22" s="32"/>
      <c r="BN22" s="32"/>
      <c r="BO22" s="32"/>
      <c r="BP22" s="32"/>
      <c r="BQ22" s="31"/>
      <c r="BR22" s="31"/>
      <c r="BS22" s="54"/>
      <c r="BT22" s="21" t="str">
        <f>IFERROR(VLOOKUP(January[[#This Row],[Drug Name7]],'Data Options'!$R$1:$S$100,2,FALSE), " ")</f>
        <v xml:space="preserve"> </v>
      </c>
      <c r="BU22" s="55"/>
      <c r="BV22" s="32"/>
      <c r="BW22" s="32"/>
      <c r="BX22" s="55"/>
      <c r="BY22" s="32"/>
      <c r="BZ22" s="54"/>
      <c r="CA22" s="21" t="str">
        <f>IFERROR(VLOOKUP(January[[#This Row],[Drug Name8]],'Data Options'!$R$1:$S$100,2,FALSE), " ")</f>
        <v xml:space="preserve"> </v>
      </c>
      <c r="CB22" s="55"/>
      <c r="CC22" s="32"/>
      <c r="CD22" s="32"/>
      <c r="CE22" s="55"/>
      <c r="CF22" s="32"/>
      <c r="CG22" s="54"/>
      <c r="CH22" s="21" t="str">
        <f>IFERROR(VLOOKUP(January[[#This Row],[Drug Name9]],'Data Options'!$R$1:$S$100,2,FALSE), " ")</f>
        <v xml:space="preserve"> </v>
      </c>
      <c r="CI22" s="55"/>
      <c r="CJ22" s="32"/>
      <c r="CK22" s="32"/>
      <c r="CL22" s="55"/>
      <c r="CM22" s="32"/>
    </row>
    <row r="23" spans="1:9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54"/>
      <c r="R23" s="21" t="str">
        <f>IFERROR(VLOOKUP(January[[#This Row],[Drug Name]],'Data Options'!$R$1:$S$100,2,FALSE), " ")</f>
        <v xml:space="preserve"> </v>
      </c>
      <c r="S23" s="55"/>
      <c r="T23" s="32"/>
      <c r="U23" s="32"/>
      <c r="V23" s="55"/>
      <c r="W23" s="32"/>
      <c r="X23" s="54"/>
      <c r="Y23" s="21" t="str">
        <f>IFERROR(VLOOKUP(January[[#This Row],[Drug Name2]],'Data Options'!$R$1:$S$100,2,FALSE), " ")</f>
        <v xml:space="preserve"> </v>
      </c>
      <c r="Z23" s="55"/>
      <c r="AA23" s="32"/>
      <c r="AB23" s="32"/>
      <c r="AC23" s="55"/>
      <c r="AD23" s="32"/>
      <c r="AE23" s="54"/>
      <c r="AF23" s="21" t="str">
        <f>IFERROR(VLOOKUP(January[[#This Row],[Drug Name3]],'Data Options'!$R$1:$S$100,2,FALSE), " ")</f>
        <v xml:space="preserve"> </v>
      </c>
      <c r="AG23" s="55"/>
      <c r="AH23" s="32"/>
      <c r="AI23" s="32"/>
      <c r="AJ23" s="55"/>
      <c r="AK23" s="32"/>
      <c r="AL23" s="32"/>
      <c r="AM23" s="32"/>
      <c r="AN23" s="32"/>
      <c r="AO23" s="32"/>
      <c r="AP23" s="31"/>
      <c r="AQ23" s="31"/>
      <c r="AR23" s="54"/>
      <c r="AS23" s="21" t="str">
        <f>IFERROR(VLOOKUP(January[[#This Row],[Drug Name4]],'Data Options'!$R$1:$S$100,2,FALSE), " ")</f>
        <v xml:space="preserve"> </v>
      </c>
      <c r="AT23" s="55"/>
      <c r="AU23" s="32"/>
      <c r="AV23" s="32"/>
      <c r="AW23" s="55"/>
      <c r="AX23" s="32"/>
      <c r="AY23" s="54"/>
      <c r="AZ23" s="21" t="str">
        <f>IFERROR(VLOOKUP(January[[#This Row],[Drug Name5]],'Data Options'!$R$1:$S$100,2,FALSE), " ")</f>
        <v xml:space="preserve"> </v>
      </c>
      <c r="BA23" s="55"/>
      <c r="BB23" s="32"/>
      <c r="BC23" s="32"/>
      <c r="BD23" s="55"/>
      <c r="BE23" s="32"/>
      <c r="BF23" s="54"/>
      <c r="BG23" s="21" t="str">
        <f>IFERROR(VLOOKUP(January[[#This Row],[Drug Name6]],'Data Options'!$R$1:$S$100,2,FALSE), " ")</f>
        <v xml:space="preserve"> </v>
      </c>
      <c r="BH23" s="55"/>
      <c r="BI23" s="32"/>
      <c r="BJ23" s="32"/>
      <c r="BK23" s="55"/>
      <c r="BL23" s="32"/>
      <c r="BM23" s="32"/>
      <c r="BN23" s="32"/>
      <c r="BO23" s="32"/>
      <c r="BP23" s="32"/>
      <c r="BQ23" s="31"/>
      <c r="BR23" s="31"/>
      <c r="BS23" s="54"/>
      <c r="BT23" s="21" t="str">
        <f>IFERROR(VLOOKUP(January[[#This Row],[Drug Name7]],'Data Options'!$R$1:$S$100,2,FALSE), " ")</f>
        <v xml:space="preserve"> </v>
      </c>
      <c r="BU23" s="55"/>
      <c r="BV23" s="32"/>
      <c r="BW23" s="32"/>
      <c r="BX23" s="55"/>
      <c r="BY23" s="32"/>
      <c r="BZ23" s="54"/>
      <c r="CA23" s="21" t="str">
        <f>IFERROR(VLOOKUP(January[[#This Row],[Drug Name8]],'Data Options'!$R$1:$S$100,2,FALSE), " ")</f>
        <v xml:space="preserve"> </v>
      </c>
      <c r="CB23" s="55"/>
      <c r="CC23" s="32"/>
      <c r="CD23" s="32"/>
      <c r="CE23" s="55"/>
      <c r="CF23" s="32"/>
      <c r="CG23" s="54"/>
      <c r="CH23" s="21" t="str">
        <f>IFERROR(VLOOKUP(January[[#This Row],[Drug Name9]],'Data Options'!$R$1:$S$100,2,FALSE), " ")</f>
        <v xml:space="preserve"> </v>
      </c>
      <c r="CI23" s="55"/>
      <c r="CJ23" s="32"/>
      <c r="CK23" s="32"/>
      <c r="CL23" s="55"/>
      <c r="CM23" s="32"/>
    </row>
    <row r="24" spans="1:91">
      <c r="A24" s="5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54"/>
      <c r="R24" s="21" t="str">
        <f>IFERROR(VLOOKUP(January[[#This Row],[Drug Name]],'Data Options'!$R$1:$S$100,2,FALSE), " ")</f>
        <v xml:space="preserve"> </v>
      </c>
      <c r="S24" s="55"/>
      <c r="T24" s="32"/>
      <c r="U24" s="32"/>
      <c r="V24" s="55"/>
      <c r="W24" s="32"/>
      <c r="X24" s="54"/>
      <c r="Y24" s="21" t="str">
        <f>IFERROR(VLOOKUP(January[[#This Row],[Drug Name2]],'Data Options'!$R$1:$S$100,2,FALSE), " ")</f>
        <v xml:space="preserve"> </v>
      </c>
      <c r="Z24" s="55"/>
      <c r="AA24" s="32"/>
      <c r="AB24" s="32"/>
      <c r="AC24" s="55"/>
      <c r="AD24" s="32"/>
      <c r="AE24" s="54"/>
      <c r="AF24" s="21" t="str">
        <f>IFERROR(VLOOKUP(January[[#This Row],[Drug Name3]],'Data Options'!$R$1:$S$100,2,FALSE), " ")</f>
        <v xml:space="preserve"> </v>
      </c>
      <c r="AG24" s="55"/>
      <c r="AH24" s="32"/>
      <c r="AI24" s="32"/>
      <c r="AJ24" s="55"/>
      <c r="AK24" s="32"/>
      <c r="AL24" s="32"/>
      <c r="AM24" s="32"/>
      <c r="AN24" s="32"/>
      <c r="AO24" s="32"/>
      <c r="AP24" s="31"/>
      <c r="AQ24" s="31"/>
      <c r="AR24" s="54"/>
      <c r="AS24" s="21" t="str">
        <f>IFERROR(VLOOKUP(January[[#This Row],[Drug Name4]],'Data Options'!$R$1:$S$100,2,FALSE), " ")</f>
        <v xml:space="preserve"> </v>
      </c>
      <c r="AT24" s="55"/>
      <c r="AU24" s="32"/>
      <c r="AV24" s="32"/>
      <c r="AW24" s="55"/>
      <c r="AX24" s="32"/>
      <c r="AY24" s="54"/>
      <c r="AZ24" s="21" t="str">
        <f>IFERROR(VLOOKUP(January[[#This Row],[Drug Name5]],'Data Options'!$R$1:$S$100,2,FALSE), " ")</f>
        <v xml:space="preserve"> </v>
      </c>
      <c r="BA24" s="55"/>
      <c r="BB24" s="32"/>
      <c r="BC24" s="32"/>
      <c r="BD24" s="55"/>
      <c r="BE24" s="32"/>
      <c r="BF24" s="54"/>
      <c r="BG24" s="21" t="str">
        <f>IFERROR(VLOOKUP(January[[#This Row],[Drug Name6]],'Data Options'!$R$1:$S$100,2,FALSE), " ")</f>
        <v xml:space="preserve"> </v>
      </c>
      <c r="BH24" s="55"/>
      <c r="BI24" s="32"/>
      <c r="BJ24" s="32"/>
      <c r="BK24" s="55"/>
      <c r="BL24" s="32"/>
      <c r="BM24" s="32"/>
      <c r="BN24" s="32"/>
      <c r="BO24" s="32"/>
      <c r="BP24" s="32"/>
      <c r="BQ24" s="31"/>
      <c r="BR24" s="31"/>
      <c r="BS24" s="54"/>
      <c r="BT24" s="21" t="str">
        <f>IFERROR(VLOOKUP(January[[#This Row],[Drug Name7]],'Data Options'!$R$1:$S$100,2,FALSE), " ")</f>
        <v xml:space="preserve"> </v>
      </c>
      <c r="BU24" s="55"/>
      <c r="BV24" s="32"/>
      <c r="BW24" s="32"/>
      <c r="BX24" s="55"/>
      <c r="BY24" s="32"/>
      <c r="BZ24" s="54"/>
      <c r="CA24" s="21" t="str">
        <f>IFERROR(VLOOKUP(January[[#This Row],[Drug Name8]],'Data Options'!$R$1:$S$100,2,FALSE), " ")</f>
        <v xml:space="preserve"> </v>
      </c>
      <c r="CB24" s="55"/>
      <c r="CC24" s="32"/>
      <c r="CD24" s="32"/>
      <c r="CE24" s="55"/>
      <c r="CF24" s="32"/>
      <c r="CG24" s="54"/>
      <c r="CH24" s="21" t="str">
        <f>IFERROR(VLOOKUP(January[[#This Row],[Drug Name9]],'Data Options'!$R$1:$S$100,2,FALSE), " ")</f>
        <v xml:space="preserve"> </v>
      </c>
      <c r="CI24" s="55"/>
      <c r="CJ24" s="32"/>
      <c r="CK24" s="32"/>
      <c r="CL24" s="55"/>
      <c r="CM24" s="32"/>
    </row>
    <row r="25" spans="1:9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54"/>
      <c r="R25" s="21" t="str">
        <f>IFERROR(VLOOKUP(January[[#This Row],[Drug Name]],'Data Options'!$R$1:$S$100,2,FALSE), " ")</f>
        <v xml:space="preserve"> </v>
      </c>
      <c r="S25" s="55"/>
      <c r="T25" s="32"/>
      <c r="U25" s="32"/>
      <c r="V25" s="55"/>
      <c r="W25" s="32"/>
      <c r="X25" s="54"/>
      <c r="Y25" s="21" t="str">
        <f>IFERROR(VLOOKUP(January[[#This Row],[Drug Name2]],'Data Options'!$R$1:$S$100,2,FALSE), " ")</f>
        <v xml:space="preserve"> </v>
      </c>
      <c r="Z25" s="55"/>
      <c r="AA25" s="32"/>
      <c r="AB25" s="32"/>
      <c r="AC25" s="55"/>
      <c r="AD25" s="32"/>
      <c r="AE25" s="54"/>
      <c r="AF25" s="21" t="str">
        <f>IFERROR(VLOOKUP(January[[#This Row],[Drug Name3]],'Data Options'!$R$1:$S$100,2,FALSE), " ")</f>
        <v xml:space="preserve"> </v>
      </c>
      <c r="AG25" s="55"/>
      <c r="AH25" s="32"/>
      <c r="AI25" s="32"/>
      <c r="AJ25" s="55"/>
      <c r="AK25" s="32"/>
      <c r="AL25" s="32"/>
      <c r="AM25" s="32"/>
      <c r="AN25" s="32"/>
      <c r="AO25" s="32"/>
      <c r="AP25" s="31"/>
      <c r="AQ25" s="31"/>
      <c r="AR25" s="54"/>
      <c r="AS25" s="21" t="str">
        <f>IFERROR(VLOOKUP(January[[#This Row],[Drug Name4]],'Data Options'!$R$1:$S$100,2,FALSE), " ")</f>
        <v xml:space="preserve"> </v>
      </c>
      <c r="AT25" s="55"/>
      <c r="AU25" s="32"/>
      <c r="AV25" s="32"/>
      <c r="AW25" s="55"/>
      <c r="AX25" s="32"/>
      <c r="AY25" s="54"/>
      <c r="AZ25" s="21" t="str">
        <f>IFERROR(VLOOKUP(January[[#This Row],[Drug Name5]],'Data Options'!$R$1:$S$100,2,FALSE), " ")</f>
        <v xml:space="preserve"> </v>
      </c>
      <c r="BA25" s="55"/>
      <c r="BB25" s="32"/>
      <c r="BC25" s="32"/>
      <c r="BD25" s="55"/>
      <c r="BE25" s="32"/>
      <c r="BF25" s="54"/>
      <c r="BG25" s="21" t="str">
        <f>IFERROR(VLOOKUP(January[[#This Row],[Drug Name6]],'Data Options'!$R$1:$S$100,2,FALSE), " ")</f>
        <v xml:space="preserve"> </v>
      </c>
      <c r="BH25" s="55"/>
      <c r="BI25" s="32"/>
      <c r="BJ25" s="32"/>
      <c r="BK25" s="55"/>
      <c r="BL25" s="32"/>
      <c r="BM25" s="32"/>
      <c r="BN25" s="32"/>
      <c r="BO25" s="32"/>
      <c r="BP25" s="32"/>
      <c r="BQ25" s="31"/>
      <c r="BR25" s="31"/>
      <c r="BS25" s="54"/>
      <c r="BT25" s="21" t="str">
        <f>IFERROR(VLOOKUP(January[[#This Row],[Drug Name7]],'Data Options'!$R$1:$S$100,2,FALSE), " ")</f>
        <v xml:space="preserve"> </v>
      </c>
      <c r="BU25" s="55"/>
      <c r="BV25" s="32"/>
      <c r="BW25" s="32"/>
      <c r="BX25" s="55"/>
      <c r="BY25" s="32"/>
      <c r="BZ25" s="54"/>
      <c r="CA25" s="21" t="str">
        <f>IFERROR(VLOOKUP(January[[#This Row],[Drug Name8]],'Data Options'!$R$1:$S$100,2,FALSE), " ")</f>
        <v xml:space="preserve"> </v>
      </c>
      <c r="CB25" s="55"/>
      <c r="CC25" s="32"/>
      <c r="CD25" s="32"/>
      <c r="CE25" s="55"/>
      <c r="CF25" s="32"/>
      <c r="CG25" s="54"/>
      <c r="CH25" s="21" t="str">
        <f>IFERROR(VLOOKUP(January[[#This Row],[Drug Name9]],'Data Options'!$R$1:$S$100,2,FALSE), " ")</f>
        <v xml:space="preserve"> </v>
      </c>
      <c r="CI25" s="55"/>
      <c r="CJ25" s="32"/>
      <c r="CK25" s="32"/>
      <c r="CL25" s="55"/>
      <c r="CM25" s="32"/>
    </row>
    <row r="26" spans="1:91">
      <c r="A26" s="5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54"/>
      <c r="R26" s="21" t="str">
        <f>IFERROR(VLOOKUP(January[[#This Row],[Drug Name]],'Data Options'!$R$1:$S$100,2,FALSE), " ")</f>
        <v xml:space="preserve"> </v>
      </c>
      <c r="S26" s="55"/>
      <c r="T26" s="32"/>
      <c r="U26" s="32"/>
      <c r="V26" s="55"/>
      <c r="W26" s="32"/>
      <c r="X26" s="54"/>
      <c r="Y26" s="21" t="str">
        <f>IFERROR(VLOOKUP(January[[#This Row],[Drug Name2]],'Data Options'!$R$1:$S$100,2,FALSE), " ")</f>
        <v xml:space="preserve"> </v>
      </c>
      <c r="Z26" s="55"/>
      <c r="AA26" s="32"/>
      <c r="AB26" s="32"/>
      <c r="AC26" s="55"/>
      <c r="AD26" s="32"/>
      <c r="AE26" s="54"/>
      <c r="AF26" s="21" t="str">
        <f>IFERROR(VLOOKUP(January[[#This Row],[Drug Name3]],'Data Options'!$R$1:$S$100,2,FALSE), " ")</f>
        <v xml:space="preserve"> </v>
      </c>
      <c r="AG26" s="55"/>
      <c r="AH26" s="32"/>
      <c r="AI26" s="32"/>
      <c r="AJ26" s="55"/>
      <c r="AK26" s="32"/>
      <c r="AL26" s="32"/>
      <c r="AM26" s="32"/>
      <c r="AN26" s="32"/>
      <c r="AO26" s="32"/>
      <c r="AP26" s="31"/>
      <c r="AQ26" s="31"/>
      <c r="AR26" s="54"/>
      <c r="AS26" s="21" t="str">
        <f>IFERROR(VLOOKUP(January[[#This Row],[Drug Name4]],'Data Options'!$R$1:$S$100,2,FALSE), " ")</f>
        <v xml:space="preserve"> </v>
      </c>
      <c r="AT26" s="55"/>
      <c r="AU26" s="32"/>
      <c r="AV26" s="32"/>
      <c r="AW26" s="55"/>
      <c r="AX26" s="32"/>
      <c r="AY26" s="54"/>
      <c r="AZ26" s="21" t="str">
        <f>IFERROR(VLOOKUP(January[[#This Row],[Drug Name5]],'Data Options'!$R$1:$S$100,2,FALSE), " ")</f>
        <v xml:space="preserve"> </v>
      </c>
      <c r="BA26" s="55"/>
      <c r="BB26" s="32"/>
      <c r="BC26" s="32"/>
      <c r="BD26" s="55"/>
      <c r="BE26" s="32"/>
      <c r="BF26" s="54"/>
      <c r="BG26" s="21" t="str">
        <f>IFERROR(VLOOKUP(January[[#This Row],[Drug Name6]],'Data Options'!$R$1:$S$100,2,FALSE), " ")</f>
        <v xml:space="preserve"> </v>
      </c>
      <c r="BH26" s="55"/>
      <c r="BI26" s="32"/>
      <c r="BJ26" s="32"/>
      <c r="BK26" s="55"/>
      <c r="BL26" s="32"/>
      <c r="BM26" s="32"/>
      <c r="BN26" s="32"/>
      <c r="BO26" s="32"/>
      <c r="BP26" s="32"/>
      <c r="BQ26" s="31"/>
      <c r="BR26" s="31"/>
      <c r="BS26" s="54"/>
      <c r="BT26" s="21" t="str">
        <f>IFERROR(VLOOKUP(January[[#This Row],[Drug Name7]],'Data Options'!$R$1:$S$100,2,FALSE), " ")</f>
        <v xml:space="preserve"> </v>
      </c>
      <c r="BU26" s="55"/>
      <c r="BV26" s="32"/>
      <c r="BW26" s="32"/>
      <c r="BX26" s="55"/>
      <c r="BY26" s="32"/>
      <c r="BZ26" s="54"/>
      <c r="CA26" s="21" t="str">
        <f>IFERROR(VLOOKUP(January[[#This Row],[Drug Name8]],'Data Options'!$R$1:$S$100,2,FALSE), " ")</f>
        <v xml:space="preserve"> </v>
      </c>
      <c r="CB26" s="55"/>
      <c r="CC26" s="32"/>
      <c r="CD26" s="32"/>
      <c r="CE26" s="55"/>
      <c r="CF26" s="32"/>
      <c r="CG26" s="54"/>
      <c r="CH26" s="21" t="str">
        <f>IFERROR(VLOOKUP(January[[#This Row],[Drug Name9]],'Data Options'!$R$1:$S$100,2,FALSE), " ")</f>
        <v xml:space="preserve"> </v>
      </c>
      <c r="CI26" s="55"/>
      <c r="CJ26" s="32"/>
      <c r="CK26" s="32"/>
      <c r="CL26" s="55"/>
      <c r="CM26" s="32"/>
    </row>
    <row r="27" spans="1:91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54"/>
      <c r="R27" s="21" t="str">
        <f>IFERROR(VLOOKUP(January[[#This Row],[Drug Name]],'Data Options'!$R$1:$S$100,2,FALSE), " ")</f>
        <v xml:space="preserve"> </v>
      </c>
      <c r="S27" s="55"/>
      <c r="T27" s="32"/>
      <c r="U27" s="32"/>
      <c r="V27" s="55"/>
      <c r="W27" s="32"/>
      <c r="X27" s="54"/>
      <c r="Y27" s="21" t="str">
        <f>IFERROR(VLOOKUP(January[[#This Row],[Drug Name2]],'Data Options'!$R$1:$S$100,2,FALSE), " ")</f>
        <v xml:space="preserve"> </v>
      </c>
      <c r="Z27" s="55"/>
      <c r="AA27" s="32"/>
      <c r="AB27" s="32"/>
      <c r="AC27" s="55"/>
      <c r="AD27" s="32"/>
      <c r="AE27" s="54"/>
      <c r="AF27" s="21" t="str">
        <f>IFERROR(VLOOKUP(January[[#This Row],[Drug Name3]],'Data Options'!$R$1:$S$100,2,FALSE), " ")</f>
        <v xml:space="preserve"> </v>
      </c>
      <c r="AG27" s="55"/>
      <c r="AH27" s="32"/>
      <c r="AI27" s="32"/>
      <c r="AJ27" s="55"/>
      <c r="AK27" s="32"/>
      <c r="AL27" s="32"/>
      <c r="AM27" s="32"/>
      <c r="AN27" s="32"/>
      <c r="AO27" s="32"/>
      <c r="AP27" s="31"/>
      <c r="AQ27" s="31"/>
      <c r="AR27" s="54"/>
      <c r="AS27" s="21" t="str">
        <f>IFERROR(VLOOKUP(January[[#This Row],[Drug Name4]],'Data Options'!$R$1:$S$100,2,FALSE), " ")</f>
        <v xml:space="preserve"> </v>
      </c>
      <c r="AT27" s="55"/>
      <c r="AU27" s="32"/>
      <c r="AV27" s="32"/>
      <c r="AW27" s="55"/>
      <c r="AX27" s="32"/>
      <c r="AY27" s="54"/>
      <c r="AZ27" s="21" t="str">
        <f>IFERROR(VLOOKUP(January[[#This Row],[Drug Name5]],'Data Options'!$R$1:$S$100,2,FALSE), " ")</f>
        <v xml:space="preserve"> </v>
      </c>
      <c r="BA27" s="55"/>
      <c r="BB27" s="32"/>
      <c r="BC27" s="32"/>
      <c r="BD27" s="55"/>
      <c r="BE27" s="32"/>
      <c r="BF27" s="54"/>
      <c r="BG27" s="21" t="str">
        <f>IFERROR(VLOOKUP(January[[#This Row],[Drug Name6]],'Data Options'!$R$1:$S$100,2,FALSE), " ")</f>
        <v xml:space="preserve"> </v>
      </c>
      <c r="BH27" s="55"/>
      <c r="BI27" s="32"/>
      <c r="BJ27" s="32"/>
      <c r="BK27" s="55"/>
      <c r="BL27" s="32"/>
      <c r="BM27" s="32"/>
      <c r="BN27" s="32"/>
      <c r="BO27" s="32"/>
      <c r="BP27" s="32"/>
      <c r="BQ27" s="31"/>
      <c r="BR27" s="31"/>
      <c r="BS27" s="54"/>
      <c r="BT27" s="21" t="str">
        <f>IFERROR(VLOOKUP(January[[#This Row],[Drug Name7]],'Data Options'!$R$1:$S$100,2,FALSE), " ")</f>
        <v xml:space="preserve"> </v>
      </c>
      <c r="BU27" s="55"/>
      <c r="BV27" s="32"/>
      <c r="BW27" s="32"/>
      <c r="BX27" s="55"/>
      <c r="BY27" s="32"/>
      <c r="BZ27" s="54"/>
      <c r="CA27" s="21" t="str">
        <f>IFERROR(VLOOKUP(January[[#This Row],[Drug Name8]],'Data Options'!$R$1:$S$100,2,FALSE), " ")</f>
        <v xml:space="preserve"> </v>
      </c>
      <c r="CB27" s="55"/>
      <c r="CC27" s="32"/>
      <c r="CD27" s="32"/>
      <c r="CE27" s="55"/>
      <c r="CF27" s="32"/>
      <c r="CG27" s="54"/>
      <c r="CH27" s="21" t="str">
        <f>IFERROR(VLOOKUP(January[[#This Row],[Drug Name9]],'Data Options'!$R$1:$S$100,2,FALSE), " ")</f>
        <v xml:space="preserve"> </v>
      </c>
      <c r="CI27" s="55"/>
      <c r="CJ27" s="32"/>
      <c r="CK27" s="32"/>
      <c r="CL27" s="55"/>
      <c r="CM27" s="32"/>
    </row>
    <row r="28" spans="1:91">
      <c r="A28" s="5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54"/>
      <c r="R28" s="21" t="str">
        <f>IFERROR(VLOOKUP(January[[#This Row],[Drug Name]],'Data Options'!$R$1:$S$100,2,FALSE), " ")</f>
        <v xml:space="preserve"> </v>
      </c>
      <c r="S28" s="55"/>
      <c r="T28" s="32"/>
      <c r="U28" s="32"/>
      <c r="V28" s="55"/>
      <c r="W28" s="32"/>
      <c r="X28" s="54"/>
      <c r="Y28" s="21" t="str">
        <f>IFERROR(VLOOKUP(January[[#This Row],[Drug Name2]],'Data Options'!$R$1:$S$100,2,FALSE), " ")</f>
        <v xml:space="preserve"> </v>
      </c>
      <c r="Z28" s="55"/>
      <c r="AA28" s="32"/>
      <c r="AB28" s="32"/>
      <c r="AC28" s="55"/>
      <c r="AD28" s="32"/>
      <c r="AE28" s="54"/>
      <c r="AF28" s="21" t="str">
        <f>IFERROR(VLOOKUP(January[[#This Row],[Drug Name3]],'Data Options'!$R$1:$S$100,2,FALSE), " ")</f>
        <v xml:space="preserve"> </v>
      </c>
      <c r="AG28" s="55"/>
      <c r="AH28" s="32"/>
      <c r="AI28" s="32"/>
      <c r="AJ28" s="55"/>
      <c r="AK28" s="32"/>
      <c r="AL28" s="32"/>
      <c r="AM28" s="32"/>
      <c r="AN28" s="32"/>
      <c r="AO28" s="32"/>
      <c r="AP28" s="31"/>
      <c r="AQ28" s="31"/>
      <c r="AR28" s="54"/>
      <c r="AS28" s="21" t="str">
        <f>IFERROR(VLOOKUP(January[[#This Row],[Drug Name4]],'Data Options'!$R$1:$S$100,2,FALSE), " ")</f>
        <v xml:space="preserve"> </v>
      </c>
      <c r="AT28" s="55"/>
      <c r="AU28" s="32"/>
      <c r="AV28" s="32"/>
      <c r="AW28" s="55"/>
      <c r="AX28" s="32"/>
      <c r="AY28" s="54"/>
      <c r="AZ28" s="21" t="str">
        <f>IFERROR(VLOOKUP(January[[#This Row],[Drug Name5]],'Data Options'!$R$1:$S$100,2,FALSE), " ")</f>
        <v xml:space="preserve"> </v>
      </c>
      <c r="BA28" s="55"/>
      <c r="BB28" s="32"/>
      <c r="BC28" s="32"/>
      <c r="BD28" s="55"/>
      <c r="BE28" s="32"/>
      <c r="BF28" s="54"/>
      <c r="BG28" s="21" t="str">
        <f>IFERROR(VLOOKUP(January[[#This Row],[Drug Name6]],'Data Options'!$R$1:$S$100,2,FALSE), " ")</f>
        <v xml:space="preserve"> </v>
      </c>
      <c r="BH28" s="55"/>
      <c r="BI28" s="32"/>
      <c r="BJ28" s="32"/>
      <c r="BK28" s="55"/>
      <c r="BL28" s="32"/>
      <c r="BM28" s="32"/>
      <c r="BN28" s="32"/>
      <c r="BO28" s="32"/>
      <c r="BP28" s="32"/>
      <c r="BQ28" s="31"/>
      <c r="BR28" s="31"/>
      <c r="BS28" s="54"/>
      <c r="BT28" s="21" t="str">
        <f>IFERROR(VLOOKUP(January[[#This Row],[Drug Name7]],'Data Options'!$R$1:$S$100,2,FALSE), " ")</f>
        <v xml:space="preserve"> </v>
      </c>
      <c r="BU28" s="55"/>
      <c r="BV28" s="32"/>
      <c r="BW28" s="32"/>
      <c r="BX28" s="55"/>
      <c r="BY28" s="32"/>
      <c r="BZ28" s="54"/>
      <c r="CA28" s="21" t="str">
        <f>IFERROR(VLOOKUP(January[[#This Row],[Drug Name8]],'Data Options'!$R$1:$S$100,2,FALSE), " ")</f>
        <v xml:space="preserve"> </v>
      </c>
      <c r="CB28" s="55"/>
      <c r="CC28" s="32"/>
      <c r="CD28" s="32"/>
      <c r="CE28" s="55"/>
      <c r="CF28" s="32"/>
      <c r="CG28" s="54"/>
      <c r="CH28" s="21" t="str">
        <f>IFERROR(VLOOKUP(January[[#This Row],[Drug Name9]],'Data Options'!$R$1:$S$100,2,FALSE), " ")</f>
        <v xml:space="preserve"> </v>
      </c>
      <c r="CI28" s="55"/>
      <c r="CJ28" s="32"/>
      <c r="CK28" s="32"/>
      <c r="CL28" s="55"/>
      <c r="CM28" s="32"/>
    </row>
    <row r="29" spans="1:91">
      <c r="A29" s="5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54"/>
      <c r="R29" s="21" t="str">
        <f>IFERROR(VLOOKUP(January[[#This Row],[Drug Name]],'Data Options'!$R$1:$S$100,2,FALSE), " ")</f>
        <v xml:space="preserve"> </v>
      </c>
      <c r="S29" s="55"/>
      <c r="T29" s="32"/>
      <c r="U29" s="32"/>
      <c r="V29" s="55"/>
      <c r="W29" s="32"/>
      <c r="X29" s="54"/>
      <c r="Y29" s="21" t="str">
        <f>IFERROR(VLOOKUP(January[[#This Row],[Drug Name2]],'Data Options'!$R$1:$S$100,2,FALSE), " ")</f>
        <v xml:space="preserve"> </v>
      </c>
      <c r="Z29" s="55"/>
      <c r="AA29" s="32"/>
      <c r="AB29" s="32"/>
      <c r="AC29" s="55"/>
      <c r="AD29" s="32"/>
      <c r="AE29" s="54"/>
      <c r="AF29" s="21" t="str">
        <f>IFERROR(VLOOKUP(January[[#This Row],[Drug Name3]],'Data Options'!$R$1:$S$100,2,FALSE), " ")</f>
        <v xml:space="preserve"> </v>
      </c>
      <c r="AG29" s="55"/>
      <c r="AH29" s="32"/>
      <c r="AI29" s="32"/>
      <c r="AJ29" s="55"/>
      <c r="AK29" s="32"/>
      <c r="AL29" s="32"/>
      <c r="AM29" s="32"/>
      <c r="AN29" s="32"/>
      <c r="AO29" s="32"/>
      <c r="AP29" s="31"/>
      <c r="AQ29" s="31"/>
      <c r="AR29" s="54"/>
      <c r="AS29" s="21" t="str">
        <f>IFERROR(VLOOKUP(January[[#This Row],[Drug Name4]],'Data Options'!$R$1:$S$100,2,FALSE), " ")</f>
        <v xml:space="preserve"> </v>
      </c>
      <c r="AT29" s="55"/>
      <c r="AU29" s="32"/>
      <c r="AV29" s="32"/>
      <c r="AW29" s="55"/>
      <c r="AX29" s="32"/>
      <c r="AY29" s="54"/>
      <c r="AZ29" s="21" t="str">
        <f>IFERROR(VLOOKUP(January[[#This Row],[Drug Name5]],'Data Options'!$R$1:$S$100,2,FALSE), " ")</f>
        <v xml:space="preserve"> </v>
      </c>
      <c r="BA29" s="55"/>
      <c r="BB29" s="32"/>
      <c r="BC29" s="32"/>
      <c r="BD29" s="55"/>
      <c r="BE29" s="32"/>
      <c r="BF29" s="54"/>
      <c r="BG29" s="21" t="str">
        <f>IFERROR(VLOOKUP(January[[#This Row],[Drug Name6]],'Data Options'!$R$1:$S$100,2,FALSE), " ")</f>
        <v xml:space="preserve"> </v>
      </c>
      <c r="BH29" s="55"/>
      <c r="BI29" s="32"/>
      <c r="BJ29" s="32"/>
      <c r="BK29" s="55"/>
      <c r="BL29" s="32"/>
      <c r="BM29" s="32"/>
      <c r="BN29" s="32"/>
      <c r="BO29" s="32"/>
      <c r="BP29" s="32"/>
      <c r="BQ29" s="31"/>
      <c r="BR29" s="31"/>
      <c r="BS29" s="54"/>
      <c r="BT29" s="21" t="str">
        <f>IFERROR(VLOOKUP(January[[#This Row],[Drug Name7]],'Data Options'!$R$1:$S$100,2,FALSE), " ")</f>
        <v xml:space="preserve"> </v>
      </c>
      <c r="BU29" s="55"/>
      <c r="BV29" s="32"/>
      <c r="BW29" s="32"/>
      <c r="BX29" s="55"/>
      <c r="BY29" s="32"/>
      <c r="BZ29" s="54"/>
      <c r="CA29" s="21" t="str">
        <f>IFERROR(VLOOKUP(January[[#This Row],[Drug Name8]],'Data Options'!$R$1:$S$100,2,FALSE), " ")</f>
        <v xml:space="preserve"> </v>
      </c>
      <c r="CB29" s="55"/>
      <c r="CC29" s="32"/>
      <c r="CD29" s="32"/>
      <c r="CE29" s="55"/>
      <c r="CF29" s="32"/>
      <c r="CG29" s="54"/>
      <c r="CH29" s="21" t="str">
        <f>IFERROR(VLOOKUP(January[[#This Row],[Drug Name9]],'Data Options'!$R$1:$S$100,2,FALSE), " ")</f>
        <v xml:space="preserve"> </v>
      </c>
      <c r="CI29" s="55"/>
      <c r="CJ29" s="32"/>
      <c r="CK29" s="32"/>
      <c r="CL29" s="55"/>
      <c r="CM29" s="32"/>
    </row>
    <row r="30" spans="1:91">
      <c r="A30" s="5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54"/>
      <c r="R30" s="21" t="str">
        <f>IFERROR(VLOOKUP(January[[#This Row],[Drug Name]],'Data Options'!$R$1:$S$100,2,FALSE), " ")</f>
        <v xml:space="preserve"> </v>
      </c>
      <c r="S30" s="55"/>
      <c r="T30" s="32"/>
      <c r="U30" s="32"/>
      <c r="V30" s="55"/>
      <c r="W30" s="32"/>
      <c r="X30" s="54"/>
      <c r="Y30" s="21" t="str">
        <f>IFERROR(VLOOKUP(January[[#This Row],[Drug Name2]],'Data Options'!$R$1:$S$100,2,FALSE), " ")</f>
        <v xml:space="preserve"> </v>
      </c>
      <c r="Z30" s="55"/>
      <c r="AA30" s="32"/>
      <c r="AB30" s="32"/>
      <c r="AC30" s="55"/>
      <c r="AD30" s="32"/>
      <c r="AE30" s="54"/>
      <c r="AF30" s="21" t="str">
        <f>IFERROR(VLOOKUP(January[[#This Row],[Drug Name3]],'Data Options'!$R$1:$S$100,2,FALSE), " ")</f>
        <v xml:space="preserve"> </v>
      </c>
      <c r="AG30" s="55"/>
      <c r="AH30" s="32"/>
      <c r="AI30" s="32"/>
      <c r="AJ30" s="55"/>
      <c r="AK30" s="32"/>
      <c r="AL30" s="32"/>
      <c r="AM30" s="32"/>
      <c r="AN30" s="32"/>
      <c r="AO30" s="32"/>
      <c r="AP30" s="31"/>
      <c r="AQ30" s="31"/>
      <c r="AR30" s="54"/>
      <c r="AS30" s="21" t="str">
        <f>IFERROR(VLOOKUP(January[[#This Row],[Drug Name4]],'Data Options'!$R$1:$S$100,2,FALSE), " ")</f>
        <v xml:space="preserve"> </v>
      </c>
      <c r="AT30" s="55"/>
      <c r="AU30" s="32"/>
      <c r="AV30" s="32"/>
      <c r="AW30" s="55"/>
      <c r="AX30" s="32"/>
      <c r="AY30" s="54"/>
      <c r="AZ30" s="21" t="str">
        <f>IFERROR(VLOOKUP(January[[#This Row],[Drug Name5]],'Data Options'!$R$1:$S$100,2,FALSE), " ")</f>
        <v xml:space="preserve"> </v>
      </c>
      <c r="BA30" s="55"/>
      <c r="BB30" s="32"/>
      <c r="BC30" s="32"/>
      <c r="BD30" s="55"/>
      <c r="BE30" s="32"/>
      <c r="BF30" s="54"/>
      <c r="BG30" s="21" t="str">
        <f>IFERROR(VLOOKUP(January[[#This Row],[Drug Name6]],'Data Options'!$R$1:$S$100,2,FALSE), " ")</f>
        <v xml:space="preserve"> </v>
      </c>
      <c r="BH30" s="55"/>
      <c r="BI30" s="32"/>
      <c r="BJ30" s="32"/>
      <c r="BK30" s="55"/>
      <c r="BL30" s="32"/>
      <c r="BM30" s="32"/>
      <c r="BN30" s="32"/>
      <c r="BO30" s="32"/>
      <c r="BP30" s="32"/>
      <c r="BQ30" s="31"/>
      <c r="BR30" s="31"/>
      <c r="BS30" s="54"/>
      <c r="BT30" s="21" t="str">
        <f>IFERROR(VLOOKUP(January[[#This Row],[Drug Name7]],'Data Options'!$R$1:$S$100,2,FALSE), " ")</f>
        <v xml:space="preserve"> </v>
      </c>
      <c r="BU30" s="55"/>
      <c r="BV30" s="32"/>
      <c r="BW30" s="32"/>
      <c r="BX30" s="55"/>
      <c r="BY30" s="32"/>
      <c r="BZ30" s="54"/>
      <c r="CA30" s="21" t="str">
        <f>IFERROR(VLOOKUP(January[[#This Row],[Drug Name8]],'Data Options'!$R$1:$S$100,2,FALSE), " ")</f>
        <v xml:space="preserve"> </v>
      </c>
      <c r="CB30" s="55"/>
      <c r="CC30" s="32"/>
      <c r="CD30" s="32"/>
      <c r="CE30" s="55"/>
      <c r="CF30" s="32"/>
      <c r="CG30" s="54"/>
      <c r="CH30" s="21" t="str">
        <f>IFERROR(VLOOKUP(January[[#This Row],[Drug Name9]],'Data Options'!$R$1:$S$100,2,FALSE), " ")</f>
        <v xml:space="preserve"> </v>
      </c>
      <c r="CI30" s="55"/>
      <c r="CJ30" s="32"/>
      <c r="CK30" s="32"/>
      <c r="CL30" s="55"/>
      <c r="CM30" s="32"/>
    </row>
    <row r="31" spans="1:9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54"/>
      <c r="R31" s="21" t="str">
        <f>IFERROR(VLOOKUP(January[[#This Row],[Drug Name]],'Data Options'!$R$1:$S$100,2,FALSE), " ")</f>
        <v xml:space="preserve"> </v>
      </c>
      <c r="S31" s="55"/>
      <c r="T31" s="32"/>
      <c r="U31" s="32"/>
      <c r="V31" s="55"/>
      <c r="W31" s="32"/>
      <c r="X31" s="54"/>
      <c r="Y31" s="21" t="str">
        <f>IFERROR(VLOOKUP(January[[#This Row],[Drug Name2]],'Data Options'!$R$1:$S$100,2,FALSE), " ")</f>
        <v xml:space="preserve"> </v>
      </c>
      <c r="Z31" s="55"/>
      <c r="AA31" s="32"/>
      <c r="AB31" s="32"/>
      <c r="AC31" s="55"/>
      <c r="AD31" s="32"/>
      <c r="AE31" s="54"/>
      <c r="AF31" s="21" t="str">
        <f>IFERROR(VLOOKUP(January[[#This Row],[Drug Name3]],'Data Options'!$R$1:$S$100,2,FALSE), " ")</f>
        <v xml:space="preserve"> </v>
      </c>
      <c r="AG31" s="55"/>
      <c r="AH31" s="32"/>
      <c r="AI31" s="32"/>
      <c r="AJ31" s="55"/>
      <c r="AK31" s="32"/>
      <c r="AL31" s="32"/>
      <c r="AM31" s="32"/>
      <c r="AN31" s="32"/>
      <c r="AO31" s="32"/>
      <c r="AP31" s="31"/>
      <c r="AQ31" s="31"/>
      <c r="AR31" s="54"/>
      <c r="AS31" s="21" t="str">
        <f>IFERROR(VLOOKUP(January[[#This Row],[Drug Name4]],'Data Options'!$R$1:$S$100,2,FALSE), " ")</f>
        <v xml:space="preserve"> </v>
      </c>
      <c r="AT31" s="55"/>
      <c r="AU31" s="32"/>
      <c r="AV31" s="32"/>
      <c r="AW31" s="55"/>
      <c r="AX31" s="32"/>
      <c r="AY31" s="54"/>
      <c r="AZ31" s="21" t="str">
        <f>IFERROR(VLOOKUP(January[[#This Row],[Drug Name5]],'Data Options'!$R$1:$S$100,2,FALSE), " ")</f>
        <v xml:space="preserve"> </v>
      </c>
      <c r="BA31" s="55"/>
      <c r="BB31" s="32"/>
      <c r="BC31" s="32"/>
      <c r="BD31" s="55"/>
      <c r="BE31" s="32"/>
      <c r="BF31" s="54"/>
      <c r="BG31" s="21" t="str">
        <f>IFERROR(VLOOKUP(January[[#This Row],[Drug Name6]],'Data Options'!$R$1:$S$100,2,FALSE), " ")</f>
        <v xml:space="preserve"> </v>
      </c>
      <c r="BH31" s="55"/>
      <c r="BI31" s="32"/>
      <c r="BJ31" s="32"/>
      <c r="BK31" s="55"/>
      <c r="BL31" s="32"/>
      <c r="BM31" s="32"/>
      <c r="BN31" s="32"/>
      <c r="BO31" s="32"/>
      <c r="BP31" s="32"/>
      <c r="BQ31" s="31"/>
      <c r="BR31" s="31"/>
      <c r="BS31" s="54"/>
      <c r="BT31" s="21" t="str">
        <f>IFERROR(VLOOKUP(January[[#This Row],[Drug Name7]],'Data Options'!$R$1:$S$100,2,FALSE), " ")</f>
        <v xml:space="preserve"> </v>
      </c>
      <c r="BU31" s="55"/>
      <c r="BV31" s="32"/>
      <c r="BW31" s="32"/>
      <c r="BX31" s="55"/>
      <c r="BY31" s="32"/>
      <c r="BZ31" s="54"/>
      <c r="CA31" s="21" t="str">
        <f>IFERROR(VLOOKUP(January[[#This Row],[Drug Name8]],'Data Options'!$R$1:$S$100,2,FALSE), " ")</f>
        <v xml:space="preserve"> </v>
      </c>
      <c r="CB31" s="55"/>
      <c r="CC31" s="32"/>
      <c r="CD31" s="32"/>
      <c r="CE31" s="55"/>
      <c r="CF31" s="32"/>
      <c r="CG31" s="54"/>
      <c r="CH31" s="21" t="str">
        <f>IFERROR(VLOOKUP(January[[#This Row],[Drug Name9]],'Data Options'!$R$1:$S$100,2,FALSE), " ")</f>
        <v xml:space="preserve"> </v>
      </c>
      <c r="CI31" s="55"/>
      <c r="CJ31" s="32"/>
      <c r="CK31" s="32"/>
      <c r="CL31" s="55"/>
      <c r="CM31" s="32"/>
    </row>
    <row r="32" spans="1:91">
      <c r="A32" s="5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54"/>
      <c r="R32" s="21" t="str">
        <f>IFERROR(VLOOKUP(January[[#This Row],[Drug Name]],'Data Options'!$R$1:$S$100,2,FALSE), " ")</f>
        <v xml:space="preserve"> </v>
      </c>
      <c r="S32" s="55"/>
      <c r="T32" s="32"/>
      <c r="U32" s="32"/>
      <c r="V32" s="55"/>
      <c r="W32" s="32"/>
      <c r="X32" s="54"/>
      <c r="Y32" s="21" t="str">
        <f>IFERROR(VLOOKUP(January[[#This Row],[Drug Name2]],'Data Options'!$R$1:$S$100,2,FALSE), " ")</f>
        <v xml:space="preserve"> </v>
      </c>
      <c r="Z32" s="55"/>
      <c r="AA32" s="32"/>
      <c r="AB32" s="32"/>
      <c r="AC32" s="55"/>
      <c r="AD32" s="32"/>
      <c r="AE32" s="54"/>
      <c r="AF32" s="21" t="str">
        <f>IFERROR(VLOOKUP(January[[#This Row],[Drug Name3]],'Data Options'!$R$1:$S$100,2,FALSE), " ")</f>
        <v xml:space="preserve"> </v>
      </c>
      <c r="AG32" s="55"/>
      <c r="AH32" s="32"/>
      <c r="AI32" s="32"/>
      <c r="AJ32" s="55"/>
      <c r="AK32" s="32"/>
      <c r="AL32" s="32"/>
      <c r="AM32" s="32"/>
      <c r="AN32" s="32"/>
      <c r="AO32" s="32"/>
      <c r="AP32" s="31"/>
      <c r="AQ32" s="31"/>
      <c r="AR32" s="54"/>
      <c r="AS32" s="21" t="str">
        <f>IFERROR(VLOOKUP(January[[#This Row],[Drug Name4]],'Data Options'!$R$1:$S$100,2,FALSE), " ")</f>
        <v xml:space="preserve"> </v>
      </c>
      <c r="AT32" s="55"/>
      <c r="AU32" s="32"/>
      <c r="AV32" s="32"/>
      <c r="AW32" s="55"/>
      <c r="AX32" s="32"/>
      <c r="AY32" s="54"/>
      <c r="AZ32" s="21" t="str">
        <f>IFERROR(VLOOKUP(January[[#This Row],[Drug Name5]],'Data Options'!$R$1:$S$100,2,FALSE), " ")</f>
        <v xml:space="preserve"> </v>
      </c>
      <c r="BA32" s="55"/>
      <c r="BB32" s="32"/>
      <c r="BC32" s="32"/>
      <c r="BD32" s="55"/>
      <c r="BE32" s="32"/>
      <c r="BF32" s="54"/>
      <c r="BG32" s="21" t="str">
        <f>IFERROR(VLOOKUP(January[[#This Row],[Drug Name6]],'Data Options'!$R$1:$S$100,2,FALSE), " ")</f>
        <v xml:space="preserve"> </v>
      </c>
      <c r="BH32" s="55"/>
      <c r="BI32" s="32"/>
      <c r="BJ32" s="32"/>
      <c r="BK32" s="55"/>
      <c r="BL32" s="32"/>
      <c r="BM32" s="32"/>
      <c r="BN32" s="32"/>
      <c r="BO32" s="32"/>
      <c r="BP32" s="32"/>
      <c r="BQ32" s="31"/>
      <c r="BR32" s="31"/>
      <c r="BS32" s="54"/>
      <c r="BT32" s="21" t="str">
        <f>IFERROR(VLOOKUP(January[[#This Row],[Drug Name7]],'Data Options'!$R$1:$S$100,2,FALSE), " ")</f>
        <v xml:space="preserve"> </v>
      </c>
      <c r="BU32" s="55"/>
      <c r="BV32" s="32"/>
      <c r="BW32" s="32"/>
      <c r="BX32" s="55"/>
      <c r="BY32" s="32"/>
      <c r="BZ32" s="54"/>
      <c r="CA32" s="21" t="str">
        <f>IFERROR(VLOOKUP(January[[#This Row],[Drug Name8]],'Data Options'!$R$1:$S$100,2,FALSE), " ")</f>
        <v xml:space="preserve"> </v>
      </c>
      <c r="CB32" s="55"/>
      <c r="CC32" s="32"/>
      <c r="CD32" s="32"/>
      <c r="CE32" s="55"/>
      <c r="CF32" s="32"/>
      <c r="CG32" s="54"/>
      <c r="CH32" s="21" t="str">
        <f>IFERROR(VLOOKUP(January[[#This Row],[Drug Name9]],'Data Options'!$R$1:$S$100,2,FALSE), " ")</f>
        <v xml:space="preserve"> </v>
      </c>
      <c r="CI32" s="55"/>
      <c r="CJ32" s="32"/>
      <c r="CK32" s="32"/>
      <c r="CL32" s="55"/>
      <c r="CM32" s="32"/>
    </row>
    <row r="33" spans="1:9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54"/>
      <c r="R33" s="21" t="str">
        <f>IFERROR(VLOOKUP(January[[#This Row],[Drug Name]],'Data Options'!$R$1:$S$100,2,FALSE), " ")</f>
        <v xml:space="preserve"> </v>
      </c>
      <c r="S33" s="55"/>
      <c r="T33" s="32"/>
      <c r="U33" s="32"/>
      <c r="V33" s="55"/>
      <c r="W33" s="32"/>
      <c r="X33" s="54"/>
      <c r="Y33" s="21" t="str">
        <f>IFERROR(VLOOKUP(January[[#This Row],[Drug Name2]],'Data Options'!$R$1:$S$100,2,FALSE), " ")</f>
        <v xml:space="preserve"> </v>
      </c>
      <c r="Z33" s="55"/>
      <c r="AA33" s="32"/>
      <c r="AB33" s="32"/>
      <c r="AC33" s="55"/>
      <c r="AD33" s="32"/>
      <c r="AE33" s="54"/>
      <c r="AF33" s="21" t="str">
        <f>IFERROR(VLOOKUP(January[[#This Row],[Drug Name3]],'Data Options'!$R$1:$S$100,2,FALSE), " ")</f>
        <v xml:space="preserve"> </v>
      </c>
      <c r="AG33" s="55"/>
      <c r="AH33" s="32"/>
      <c r="AI33" s="32"/>
      <c r="AJ33" s="55"/>
      <c r="AK33" s="32"/>
      <c r="AL33" s="32"/>
      <c r="AM33" s="32"/>
      <c r="AN33" s="32"/>
      <c r="AO33" s="32"/>
      <c r="AP33" s="31"/>
      <c r="AQ33" s="31"/>
      <c r="AR33" s="54"/>
      <c r="AS33" s="21" t="str">
        <f>IFERROR(VLOOKUP(January[[#This Row],[Drug Name4]],'Data Options'!$R$1:$S$100,2,FALSE), " ")</f>
        <v xml:space="preserve"> </v>
      </c>
      <c r="AT33" s="55"/>
      <c r="AU33" s="32"/>
      <c r="AV33" s="32"/>
      <c r="AW33" s="55"/>
      <c r="AX33" s="32"/>
      <c r="AY33" s="54"/>
      <c r="AZ33" s="21" t="str">
        <f>IFERROR(VLOOKUP(January[[#This Row],[Drug Name5]],'Data Options'!$R$1:$S$100,2,FALSE), " ")</f>
        <v xml:space="preserve"> </v>
      </c>
      <c r="BA33" s="55"/>
      <c r="BB33" s="32"/>
      <c r="BC33" s="32"/>
      <c r="BD33" s="55"/>
      <c r="BE33" s="32"/>
      <c r="BF33" s="54"/>
      <c r="BG33" s="21" t="str">
        <f>IFERROR(VLOOKUP(January[[#This Row],[Drug Name6]],'Data Options'!$R$1:$S$100,2,FALSE), " ")</f>
        <v xml:space="preserve"> </v>
      </c>
      <c r="BH33" s="55"/>
      <c r="BI33" s="32"/>
      <c r="BJ33" s="32"/>
      <c r="BK33" s="55"/>
      <c r="BL33" s="32"/>
      <c r="BM33" s="32"/>
      <c r="BN33" s="32"/>
      <c r="BO33" s="32"/>
      <c r="BP33" s="32"/>
      <c r="BQ33" s="31"/>
      <c r="BR33" s="31"/>
      <c r="BS33" s="54"/>
      <c r="BT33" s="21" t="str">
        <f>IFERROR(VLOOKUP(January[[#This Row],[Drug Name7]],'Data Options'!$R$1:$S$100,2,FALSE), " ")</f>
        <v xml:space="preserve"> </v>
      </c>
      <c r="BU33" s="55"/>
      <c r="BV33" s="32"/>
      <c r="BW33" s="32"/>
      <c r="BX33" s="55"/>
      <c r="BY33" s="32"/>
      <c r="BZ33" s="54"/>
      <c r="CA33" s="21" t="str">
        <f>IFERROR(VLOOKUP(January[[#This Row],[Drug Name8]],'Data Options'!$R$1:$S$100,2,FALSE), " ")</f>
        <v xml:space="preserve"> </v>
      </c>
      <c r="CB33" s="55"/>
      <c r="CC33" s="32"/>
      <c r="CD33" s="32"/>
      <c r="CE33" s="55"/>
      <c r="CF33" s="32"/>
      <c r="CG33" s="54"/>
      <c r="CH33" s="21" t="str">
        <f>IFERROR(VLOOKUP(January[[#This Row],[Drug Name9]],'Data Options'!$R$1:$S$100,2,FALSE), " ")</f>
        <v xml:space="preserve"> </v>
      </c>
      <c r="CI33" s="55"/>
      <c r="CJ33" s="32"/>
      <c r="CK33" s="32"/>
      <c r="CL33" s="55"/>
      <c r="CM33" s="32"/>
    </row>
    <row r="34" spans="1:9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54"/>
      <c r="R34" s="21" t="str">
        <f>IFERROR(VLOOKUP(January[[#This Row],[Drug Name]],'Data Options'!$R$1:$S$100,2,FALSE), " ")</f>
        <v xml:space="preserve"> </v>
      </c>
      <c r="S34" s="55"/>
      <c r="T34" s="32"/>
      <c r="U34" s="32"/>
      <c r="V34" s="55"/>
      <c r="W34" s="32"/>
      <c r="X34" s="54"/>
      <c r="Y34" s="21" t="str">
        <f>IFERROR(VLOOKUP(January[[#This Row],[Drug Name2]],'Data Options'!$R$1:$S$100,2,FALSE), " ")</f>
        <v xml:space="preserve"> </v>
      </c>
      <c r="Z34" s="55"/>
      <c r="AA34" s="32"/>
      <c r="AB34" s="32"/>
      <c r="AC34" s="55"/>
      <c r="AD34" s="32"/>
      <c r="AE34" s="54"/>
      <c r="AF34" s="21" t="str">
        <f>IFERROR(VLOOKUP(January[[#This Row],[Drug Name3]],'Data Options'!$R$1:$S$100,2,FALSE), " ")</f>
        <v xml:space="preserve"> </v>
      </c>
      <c r="AG34" s="55"/>
      <c r="AH34" s="32"/>
      <c r="AI34" s="32"/>
      <c r="AJ34" s="55"/>
      <c r="AK34" s="32"/>
      <c r="AL34" s="32"/>
      <c r="AM34" s="32"/>
      <c r="AN34" s="32"/>
      <c r="AO34" s="32"/>
      <c r="AP34" s="31"/>
      <c r="AQ34" s="31"/>
      <c r="AR34" s="54"/>
      <c r="AS34" s="21" t="str">
        <f>IFERROR(VLOOKUP(January[[#This Row],[Drug Name4]],'Data Options'!$R$1:$S$100,2,FALSE), " ")</f>
        <v xml:space="preserve"> </v>
      </c>
      <c r="AT34" s="55"/>
      <c r="AU34" s="32"/>
      <c r="AV34" s="32"/>
      <c r="AW34" s="55"/>
      <c r="AX34" s="32"/>
      <c r="AY34" s="54"/>
      <c r="AZ34" s="21" t="str">
        <f>IFERROR(VLOOKUP(January[[#This Row],[Drug Name5]],'Data Options'!$R$1:$S$100,2,FALSE), " ")</f>
        <v xml:space="preserve"> </v>
      </c>
      <c r="BA34" s="55"/>
      <c r="BB34" s="32"/>
      <c r="BC34" s="32"/>
      <c r="BD34" s="55"/>
      <c r="BE34" s="32"/>
      <c r="BF34" s="54"/>
      <c r="BG34" s="21" t="str">
        <f>IFERROR(VLOOKUP(January[[#This Row],[Drug Name6]],'Data Options'!$R$1:$S$100,2,FALSE), " ")</f>
        <v xml:space="preserve"> </v>
      </c>
      <c r="BH34" s="55"/>
      <c r="BI34" s="32"/>
      <c r="BJ34" s="32"/>
      <c r="BK34" s="55"/>
      <c r="BL34" s="32"/>
      <c r="BM34" s="32"/>
      <c r="BN34" s="32"/>
      <c r="BO34" s="32"/>
      <c r="BP34" s="32"/>
      <c r="BQ34" s="31"/>
      <c r="BR34" s="31"/>
      <c r="BS34" s="54"/>
      <c r="BT34" s="21" t="str">
        <f>IFERROR(VLOOKUP(January[[#This Row],[Drug Name7]],'Data Options'!$R$1:$S$100,2,FALSE), " ")</f>
        <v xml:space="preserve"> </v>
      </c>
      <c r="BU34" s="55"/>
      <c r="BV34" s="32"/>
      <c r="BW34" s="32"/>
      <c r="BX34" s="55"/>
      <c r="BY34" s="32"/>
      <c r="BZ34" s="54"/>
      <c r="CA34" s="21" t="str">
        <f>IFERROR(VLOOKUP(January[[#This Row],[Drug Name8]],'Data Options'!$R$1:$S$100,2,FALSE), " ")</f>
        <v xml:space="preserve"> </v>
      </c>
      <c r="CB34" s="55"/>
      <c r="CC34" s="32"/>
      <c r="CD34" s="32"/>
      <c r="CE34" s="55"/>
      <c r="CF34" s="32"/>
      <c r="CG34" s="54"/>
      <c r="CH34" s="21" t="str">
        <f>IFERROR(VLOOKUP(January[[#This Row],[Drug Name9]],'Data Options'!$R$1:$S$100,2,FALSE), " ")</f>
        <v xml:space="preserve"> </v>
      </c>
      <c r="CI34" s="55"/>
      <c r="CJ34" s="32"/>
      <c r="CK34" s="32"/>
      <c r="CL34" s="55"/>
      <c r="CM34" s="32"/>
    </row>
    <row r="35" spans="1:9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54"/>
      <c r="R35" s="21" t="str">
        <f>IFERROR(VLOOKUP(January[[#This Row],[Drug Name]],'Data Options'!$R$1:$S$100,2,FALSE), " ")</f>
        <v xml:space="preserve"> </v>
      </c>
      <c r="S35" s="55"/>
      <c r="T35" s="32"/>
      <c r="U35" s="32"/>
      <c r="V35" s="55"/>
      <c r="W35" s="32"/>
      <c r="X35" s="54"/>
      <c r="Y35" s="21" t="str">
        <f>IFERROR(VLOOKUP(January[[#This Row],[Drug Name2]],'Data Options'!$R$1:$S$100,2,FALSE), " ")</f>
        <v xml:space="preserve"> </v>
      </c>
      <c r="Z35" s="55"/>
      <c r="AA35" s="32"/>
      <c r="AB35" s="32"/>
      <c r="AC35" s="55"/>
      <c r="AD35" s="32"/>
      <c r="AE35" s="54"/>
      <c r="AF35" s="21" t="str">
        <f>IFERROR(VLOOKUP(January[[#This Row],[Drug Name3]],'Data Options'!$R$1:$S$100,2,FALSE), " ")</f>
        <v xml:space="preserve"> </v>
      </c>
      <c r="AG35" s="55"/>
      <c r="AH35" s="32"/>
      <c r="AI35" s="32"/>
      <c r="AJ35" s="55"/>
      <c r="AK35" s="32"/>
      <c r="AL35" s="32"/>
      <c r="AM35" s="32"/>
      <c r="AN35" s="32"/>
      <c r="AO35" s="32"/>
      <c r="AP35" s="31"/>
      <c r="AQ35" s="31"/>
      <c r="AR35" s="54"/>
      <c r="AS35" s="21" t="str">
        <f>IFERROR(VLOOKUP(January[[#This Row],[Drug Name4]],'Data Options'!$R$1:$S$100,2,FALSE), " ")</f>
        <v xml:space="preserve"> </v>
      </c>
      <c r="AT35" s="55"/>
      <c r="AU35" s="32"/>
      <c r="AV35" s="32"/>
      <c r="AW35" s="55"/>
      <c r="AX35" s="32"/>
      <c r="AY35" s="54"/>
      <c r="AZ35" s="21" t="str">
        <f>IFERROR(VLOOKUP(January[[#This Row],[Drug Name5]],'Data Options'!$R$1:$S$100,2,FALSE), " ")</f>
        <v xml:space="preserve"> </v>
      </c>
      <c r="BA35" s="55"/>
      <c r="BB35" s="32"/>
      <c r="BC35" s="32"/>
      <c r="BD35" s="55"/>
      <c r="BE35" s="32"/>
      <c r="BF35" s="54"/>
      <c r="BG35" s="21" t="str">
        <f>IFERROR(VLOOKUP(January[[#This Row],[Drug Name6]],'Data Options'!$R$1:$S$100,2,FALSE), " ")</f>
        <v xml:space="preserve"> </v>
      </c>
      <c r="BH35" s="55"/>
      <c r="BI35" s="32"/>
      <c r="BJ35" s="32"/>
      <c r="BK35" s="55"/>
      <c r="BL35" s="32"/>
      <c r="BM35" s="32"/>
      <c r="BN35" s="32"/>
      <c r="BO35" s="32"/>
      <c r="BP35" s="32"/>
      <c r="BQ35" s="31"/>
      <c r="BR35" s="31"/>
      <c r="BS35" s="54"/>
      <c r="BT35" s="21" t="str">
        <f>IFERROR(VLOOKUP(January[[#This Row],[Drug Name7]],'Data Options'!$R$1:$S$100,2,FALSE), " ")</f>
        <v xml:space="preserve"> </v>
      </c>
      <c r="BU35" s="55"/>
      <c r="BV35" s="32"/>
      <c r="BW35" s="32"/>
      <c r="BX35" s="55"/>
      <c r="BY35" s="32"/>
      <c r="BZ35" s="54"/>
      <c r="CA35" s="21" t="str">
        <f>IFERROR(VLOOKUP(January[[#This Row],[Drug Name8]],'Data Options'!$R$1:$S$100,2,FALSE), " ")</f>
        <v xml:space="preserve"> </v>
      </c>
      <c r="CB35" s="55"/>
      <c r="CC35" s="32"/>
      <c r="CD35" s="32"/>
      <c r="CE35" s="55"/>
      <c r="CF35" s="32"/>
      <c r="CG35" s="54"/>
      <c r="CH35" s="21" t="str">
        <f>IFERROR(VLOOKUP(January[[#This Row],[Drug Name9]],'Data Options'!$R$1:$S$100,2,FALSE), " ")</f>
        <v xml:space="preserve"> </v>
      </c>
      <c r="CI35" s="55"/>
      <c r="CJ35" s="32"/>
      <c r="CK35" s="32"/>
      <c r="CL35" s="55"/>
      <c r="CM35" s="32"/>
    </row>
    <row r="36" spans="1:91">
      <c r="A36" s="5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54"/>
      <c r="R36" s="21" t="str">
        <f>IFERROR(VLOOKUP(January[[#This Row],[Drug Name]],'Data Options'!$R$1:$S$100,2,FALSE), " ")</f>
        <v xml:space="preserve"> </v>
      </c>
      <c r="S36" s="55"/>
      <c r="T36" s="32"/>
      <c r="U36" s="32"/>
      <c r="V36" s="55"/>
      <c r="W36" s="32"/>
      <c r="X36" s="54"/>
      <c r="Y36" s="21" t="str">
        <f>IFERROR(VLOOKUP(January[[#This Row],[Drug Name2]],'Data Options'!$R$1:$S$100,2,FALSE), " ")</f>
        <v xml:space="preserve"> </v>
      </c>
      <c r="Z36" s="55"/>
      <c r="AA36" s="32"/>
      <c r="AB36" s="32"/>
      <c r="AC36" s="55"/>
      <c r="AD36" s="32"/>
      <c r="AE36" s="54"/>
      <c r="AF36" s="21" t="str">
        <f>IFERROR(VLOOKUP(January[[#This Row],[Drug Name3]],'Data Options'!$R$1:$S$100,2,FALSE), " ")</f>
        <v xml:space="preserve"> </v>
      </c>
      <c r="AG36" s="55"/>
      <c r="AH36" s="32"/>
      <c r="AI36" s="32"/>
      <c r="AJ36" s="55"/>
      <c r="AK36" s="32"/>
      <c r="AL36" s="32"/>
      <c r="AM36" s="32"/>
      <c r="AN36" s="32"/>
      <c r="AO36" s="32"/>
      <c r="AP36" s="31"/>
      <c r="AQ36" s="31"/>
      <c r="AR36" s="54"/>
      <c r="AS36" s="21" t="str">
        <f>IFERROR(VLOOKUP(January[[#This Row],[Drug Name4]],'Data Options'!$R$1:$S$100,2,FALSE), " ")</f>
        <v xml:space="preserve"> </v>
      </c>
      <c r="AT36" s="55"/>
      <c r="AU36" s="32"/>
      <c r="AV36" s="32"/>
      <c r="AW36" s="55"/>
      <c r="AX36" s="32"/>
      <c r="AY36" s="54"/>
      <c r="AZ36" s="21" t="str">
        <f>IFERROR(VLOOKUP(January[[#This Row],[Drug Name5]],'Data Options'!$R$1:$S$100,2,FALSE), " ")</f>
        <v xml:space="preserve"> </v>
      </c>
      <c r="BA36" s="55"/>
      <c r="BB36" s="32"/>
      <c r="BC36" s="32"/>
      <c r="BD36" s="55"/>
      <c r="BE36" s="32"/>
      <c r="BF36" s="54"/>
      <c r="BG36" s="21" t="str">
        <f>IFERROR(VLOOKUP(January[[#This Row],[Drug Name6]],'Data Options'!$R$1:$S$100,2,FALSE), " ")</f>
        <v xml:space="preserve"> </v>
      </c>
      <c r="BH36" s="55"/>
      <c r="BI36" s="32"/>
      <c r="BJ36" s="32"/>
      <c r="BK36" s="55"/>
      <c r="BL36" s="32"/>
      <c r="BM36" s="32"/>
      <c r="BN36" s="32"/>
      <c r="BO36" s="32"/>
      <c r="BP36" s="32"/>
      <c r="BQ36" s="31"/>
      <c r="BR36" s="31"/>
      <c r="BS36" s="54"/>
      <c r="BT36" s="21" t="str">
        <f>IFERROR(VLOOKUP(January[[#This Row],[Drug Name7]],'Data Options'!$R$1:$S$100,2,FALSE), " ")</f>
        <v xml:space="preserve"> </v>
      </c>
      <c r="BU36" s="55"/>
      <c r="BV36" s="32"/>
      <c r="BW36" s="32"/>
      <c r="BX36" s="55"/>
      <c r="BY36" s="32"/>
      <c r="BZ36" s="54"/>
      <c r="CA36" s="21" t="str">
        <f>IFERROR(VLOOKUP(January[[#This Row],[Drug Name8]],'Data Options'!$R$1:$S$100,2,FALSE), " ")</f>
        <v xml:space="preserve"> </v>
      </c>
      <c r="CB36" s="55"/>
      <c r="CC36" s="32"/>
      <c r="CD36" s="32"/>
      <c r="CE36" s="55"/>
      <c r="CF36" s="32"/>
      <c r="CG36" s="54"/>
      <c r="CH36" s="21" t="str">
        <f>IFERROR(VLOOKUP(January[[#This Row],[Drug Name9]],'Data Options'!$R$1:$S$100,2,FALSE), " ")</f>
        <v xml:space="preserve"> </v>
      </c>
      <c r="CI36" s="55"/>
      <c r="CJ36" s="32"/>
      <c r="CK36" s="32"/>
      <c r="CL36" s="55"/>
      <c r="CM36" s="32"/>
    </row>
    <row r="37" spans="1:9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54"/>
      <c r="R37" s="21" t="str">
        <f>IFERROR(VLOOKUP(January[[#This Row],[Drug Name]],'Data Options'!$R$1:$S$100,2,FALSE), " ")</f>
        <v xml:space="preserve"> </v>
      </c>
      <c r="S37" s="55"/>
      <c r="T37" s="32"/>
      <c r="U37" s="32"/>
      <c r="V37" s="55"/>
      <c r="W37" s="32"/>
      <c r="X37" s="54"/>
      <c r="Y37" s="21" t="str">
        <f>IFERROR(VLOOKUP(January[[#This Row],[Drug Name2]],'Data Options'!$R$1:$S$100,2,FALSE), " ")</f>
        <v xml:space="preserve"> </v>
      </c>
      <c r="Z37" s="55"/>
      <c r="AA37" s="32"/>
      <c r="AB37" s="32"/>
      <c r="AC37" s="55"/>
      <c r="AD37" s="32"/>
      <c r="AE37" s="54"/>
      <c r="AF37" s="21" t="str">
        <f>IFERROR(VLOOKUP(January[[#This Row],[Drug Name3]],'Data Options'!$R$1:$S$100,2,FALSE), " ")</f>
        <v xml:space="preserve"> </v>
      </c>
      <c r="AG37" s="55"/>
      <c r="AH37" s="32"/>
      <c r="AI37" s="32"/>
      <c r="AJ37" s="55"/>
      <c r="AK37" s="32"/>
      <c r="AL37" s="32"/>
      <c r="AM37" s="32"/>
      <c r="AN37" s="32"/>
      <c r="AO37" s="32"/>
      <c r="AP37" s="31"/>
      <c r="AQ37" s="31"/>
      <c r="AR37" s="54"/>
      <c r="AS37" s="21" t="str">
        <f>IFERROR(VLOOKUP(January[[#This Row],[Drug Name4]],'Data Options'!$R$1:$S$100,2,FALSE), " ")</f>
        <v xml:space="preserve"> </v>
      </c>
      <c r="AT37" s="55"/>
      <c r="AU37" s="32"/>
      <c r="AV37" s="32"/>
      <c r="AW37" s="55"/>
      <c r="AX37" s="32"/>
      <c r="AY37" s="54"/>
      <c r="AZ37" s="21" t="str">
        <f>IFERROR(VLOOKUP(January[[#This Row],[Drug Name5]],'Data Options'!$R$1:$S$100,2,FALSE), " ")</f>
        <v xml:space="preserve"> </v>
      </c>
      <c r="BA37" s="55"/>
      <c r="BB37" s="32"/>
      <c r="BC37" s="32"/>
      <c r="BD37" s="55"/>
      <c r="BE37" s="32"/>
      <c r="BF37" s="54"/>
      <c r="BG37" s="21" t="str">
        <f>IFERROR(VLOOKUP(January[[#This Row],[Drug Name6]],'Data Options'!$R$1:$S$100,2,FALSE), " ")</f>
        <v xml:space="preserve"> </v>
      </c>
      <c r="BH37" s="55"/>
      <c r="BI37" s="32"/>
      <c r="BJ37" s="32"/>
      <c r="BK37" s="55"/>
      <c r="BL37" s="32"/>
      <c r="BM37" s="32"/>
      <c r="BN37" s="32"/>
      <c r="BO37" s="32"/>
      <c r="BP37" s="32"/>
      <c r="BQ37" s="31"/>
      <c r="BR37" s="31"/>
      <c r="BS37" s="54"/>
      <c r="BT37" s="21" t="str">
        <f>IFERROR(VLOOKUP(January[[#This Row],[Drug Name7]],'Data Options'!$R$1:$S$100,2,FALSE), " ")</f>
        <v xml:space="preserve"> </v>
      </c>
      <c r="BU37" s="55"/>
      <c r="BV37" s="32"/>
      <c r="BW37" s="32"/>
      <c r="BX37" s="55"/>
      <c r="BY37" s="32"/>
      <c r="BZ37" s="54"/>
      <c r="CA37" s="21" t="str">
        <f>IFERROR(VLOOKUP(January[[#This Row],[Drug Name8]],'Data Options'!$R$1:$S$100,2,FALSE), " ")</f>
        <v xml:space="preserve"> </v>
      </c>
      <c r="CB37" s="55"/>
      <c r="CC37" s="32"/>
      <c r="CD37" s="32"/>
      <c r="CE37" s="55"/>
      <c r="CF37" s="32"/>
      <c r="CG37" s="54"/>
      <c r="CH37" s="21" t="str">
        <f>IFERROR(VLOOKUP(January[[#This Row],[Drug Name9]],'Data Options'!$R$1:$S$100,2,FALSE), " ")</f>
        <v xml:space="preserve"> </v>
      </c>
      <c r="CI37" s="55"/>
      <c r="CJ37" s="32"/>
      <c r="CK37" s="32"/>
      <c r="CL37" s="55"/>
      <c r="CM37" s="32"/>
    </row>
    <row r="38" spans="1:9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54"/>
      <c r="R38" s="21" t="str">
        <f>IFERROR(VLOOKUP(January[[#This Row],[Drug Name]],'Data Options'!$R$1:$S$100,2,FALSE), " ")</f>
        <v xml:space="preserve"> </v>
      </c>
      <c r="S38" s="55"/>
      <c r="T38" s="32"/>
      <c r="U38" s="32"/>
      <c r="V38" s="55"/>
      <c r="W38" s="32"/>
      <c r="X38" s="54"/>
      <c r="Y38" s="21" t="str">
        <f>IFERROR(VLOOKUP(January[[#This Row],[Drug Name2]],'Data Options'!$R$1:$S$100,2,FALSE), " ")</f>
        <v xml:space="preserve"> </v>
      </c>
      <c r="Z38" s="55"/>
      <c r="AA38" s="32"/>
      <c r="AB38" s="32"/>
      <c r="AC38" s="55"/>
      <c r="AD38" s="32"/>
      <c r="AE38" s="54"/>
      <c r="AF38" s="21" t="str">
        <f>IFERROR(VLOOKUP(January[[#This Row],[Drug Name3]],'Data Options'!$R$1:$S$100,2,FALSE), " ")</f>
        <v xml:space="preserve"> </v>
      </c>
      <c r="AG38" s="55"/>
      <c r="AH38" s="32"/>
      <c r="AI38" s="32"/>
      <c r="AJ38" s="55"/>
      <c r="AK38" s="32"/>
      <c r="AL38" s="32"/>
      <c r="AM38" s="32"/>
      <c r="AN38" s="32"/>
      <c r="AO38" s="32"/>
      <c r="AP38" s="31"/>
      <c r="AQ38" s="31"/>
      <c r="AR38" s="54"/>
      <c r="AS38" s="21" t="str">
        <f>IFERROR(VLOOKUP(January[[#This Row],[Drug Name4]],'Data Options'!$R$1:$S$100,2,FALSE), " ")</f>
        <v xml:space="preserve"> </v>
      </c>
      <c r="AT38" s="55"/>
      <c r="AU38" s="32"/>
      <c r="AV38" s="32"/>
      <c r="AW38" s="55"/>
      <c r="AX38" s="32"/>
      <c r="AY38" s="54"/>
      <c r="AZ38" s="21" t="str">
        <f>IFERROR(VLOOKUP(January[[#This Row],[Drug Name5]],'Data Options'!$R$1:$S$100,2,FALSE), " ")</f>
        <v xml:space="preserve"> </v>
      </c>
      <c r="BA38" s="55"/>
      <c r="BB38" s="32"/>
      <c r="BC38" s="32"/>
      <c r="BD38" s="55"/>
      <c r="BE38" s="32"/>
      <c r="BF38" s="54"/>
      <c r="BG38" s="21" t="str">
        <f>IFERROR(VLOOKUP(January[[#This Row],[Drug Name6]],'Data Options'!$R$1:$S$100,2,FALSE), " ")</f>
        <v xml:space="preserve"> </v>
      </c>
      <c r="BH38" s="55"/>
      <c r="BI38" s="32"/>
      <c r="BJ38" s="32"/>
      <c r="BK38" s="55"/>
      <c r="BL38" s="32"/>
      <c r="BM38" s="32"/>
      <c r="BN38" s="32"/>
      <c r="BO38" s="32"/>
      <c r="BP38" s="32"/>
      <c r="BQ38" s="31"/>
      <c r="BR38" s="31"/>
      <c r="BS38" s="54"/>
      <c r="BT38" s="21" t="str">
        <f>IFERROR(VLOOKUP(January[[#This Row],[Drug Name7]],'Data Options'!$R$1:$S$100,2,FALSE), " ")</f>
        <v xml:space="preserve"> </v>
      </c>
      <c r="BU38" s="55"/>
      <c r="BV38" s="32"/>
      <c r="BW38" s="32"/>
      <c r="BX38" s="55"/>
      <c r="BY38" s="32"/>
      <c r="BZ38" s="54"/>
      <c r="CA38" s="21" t="str">
        <f>IFERROR(VLOOKUP(January[[#This Row],[Drug Name8]],'Data Options'!$R$1:$S$100,2,FALSE), " ")</f>
        <v xml:space="preserve"> </v>
      </c>
      <c r="CB38" s="55"/>
      <c r="CC38" s="32"/>
      <c r="CD38" s="32"/>
      <c r="CE38" s="55"/>
      <c r="CF38" s="32"/>
      <c r="CG38" s="54"/>
      <c r="CH38" s="21" t="str">
        <f>IFERROR(VLOOKUP(January[[#This Row],[Drug Name9]],'Data Options'!$R$1:$S$100,2,FALSE), " ")</f>
        <v xml:space="preserve"> </v>
      </c>
      <c r="CI38" s="55"/>
      <c r="CJ38" s="32"/>
      <c r="CK38" s="32"/>
      <c r="CL38" s="55"/>
      <c r="CM38" s="32"/>
    </row>
    <row r="39" spans="1:9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54"/>
      <c r="R39" s="21" t="str">
        <f>IFERROR(VLOOKUP(January[[#This Row],[Drug Name]],'Data Options'!$R$1:$S$100,2,FALSE), " ")</f>
        <v xml:space="preserve"> </v>
      </c>
      <c r="S39" s="55"/>
      <c r="T39" s="32"/>
      <c r="U39" s="32"/>
      <c r="V39" s="55"/>
      <c r="W39" s="32"/>
      <c r="X39" s="54"/>
      <c r="Y39" s="21" t="str">
        <f>IFERROR(VLOOKUP(January[[#This Row],[Drug Name2]],'Data Options'!$R$1:$S$100,2,FALSE), " ")</f>
        <v xml:space="preserve"> </v>
      </c>
      <c r="Z39" s="55"/>
      <c r="AA39" s="32"/>
      <c r="AB39" s="32"/>
      <c r="AC39" s="55"/>
      <c r="AD39" s="32"/>
      <c r="AE39" s="54"/>
      <c r="AF39" s="21" t="str">
        <f>IFERROR(VLOOKUP(January[[#This Row],[Drug Name3]],'Data Options'!$R$1:$S$100,2,FALSE), " ")</f>
        <v xml:space="preserve"> </v>
      </c>
      <c r="AG39" s="55"/>
      <c r="AH39" s="32"/>
      <c r="AI39" s="32"/>
      <c r="AJ39" s="55"/>
      <c r="AK39" s="32"/>
      <c r="AL39" s="32"/>
      <c r="AM39" s="32"/>
      <c r="AN39" s="32"/>
      <c r="AO39" s="32"/>
      <c r="AP39" s="31"/>
      <c r="AQ39" s="31"/>
      <c r="AR39" s="54"/>
      <c r="AS39" s="21" t="str">
        <f>IFERROR(VLOOKUP(January[[#This Row],[Drug Name4]],'Data Options'!$R$1:$S$100,2,FALSE), " ")</f>
        <v xml:space="preserve"> </v>
      </c>
      <c r="AT39" s="55"/>
      <c r="AU39" s="32"/>
      <c r="AV39" s="32"/>
      <c r="AW39" s="55"/>
      <c r="AX39" s="32"/>
      <c r="AY39" s="54"/>
      <c r="AZ39" s="21" t="str">
        <f>IFERROR(VLOOKUP(January[[#This Row],[Drug Name5]],'Data Options'!$R$1:$S$100,2,FALSE), " ")</f>
        <v xml:space="preserve"> </v>
      </c>
      <c r="BA39" s="55"/>
      <c r="BB39" s="32"/>
      <c r="BC39" s="32"/>
      <c r="BD39" s="55"/>
      <c r="BE39" s="32"/>
      <c r="BF39" s="54"/>
      <c r="BG39" s="21" t="str">
        <f>IFERROR(VLOOKUP(January[[#This Row],[Drug Name6]],'Data Options'!$R$1:$S$100,2,FALSE), " ")</f>
        <v xml:space="preserve"> </v>
      </c>
      <c r="BH39" s="55"/>
      <c r="BI39" s="32"/>
      <c r="BJ39" s="32"/>
      <c r="BK39" s="55"/>
      <c r="BL39" s="32"/>
      <c r="BM39" s="32"/>
      <c r="BN39" s="32"/>
      <c r="BO39" s="32"/>
      <c r="BP39" s="32"/>
      <c r="BQ39" s="31"/>
      <c r="BR39" s="31"/>
      <c r="BS39" s="54"/>
      <c r="BT39" s="21" t="str">
        <f>IFERROR(VLOOKUP(January[[#This Row],[Drug Name7]],'Data Options'!$R$1:$S$100,2,FALSE), " ")</f>
        <v xml:space="preserve"> </v>
      </c>
      <c r="BU39" s="55"/>
      <c r="BV39" s="32"/>
      <c r="BW39" s="32"/>
      <c r="BX39" s="55"/>
      <c r="BY39" s="32"/>
      <c r="BZ39" s="54"/>
      <c r="CA39" s="21" t="str">
        <f>IFERROR(VLOOKUP(January[[#This Row],[Drug Name8]],'Data Options'!$R$1:$S$100,2,FALSE), " ")</f>
        <v xml:space="preserve"> </v>
      </c>
      <c r="CB39" s="55"/>
      <c r="CC39" s="32"/>
      <c r="CD39" s="32"/>
      <c r="CE39" s="55"/>
      <c r="CF39" s="32"/>
      <c r="CG39" s="54"/>
      <c r="CH39" s="21" t="str">
        <f>IFERROR(VLOOKUP(January[[#This Row],[Drug Name9]],'Data Options'!$R$1:$S$100,2,FALSE), " ")</f>
        <v xml:space="preserve"> </v>
      </c>
      <c r="CI39" s="55"/>
      <c r="CJ39" s="32"/>
      <c r="CK39" s="32"/>
      <c r="CL39" s="55"/>
      <c r="CM39" s="32"/>
    </row>
    <row r="40" spans="1:91">
      <c r="A40" s="5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54"/>
      <c r="R40" s="21" t="str">
        <f>IFERROR(VLOOKUP(January[[#This Row],[Drug Name]],'Data Options'!$R$1:$S$100,2,FALSE), " ")</f>
        <v xml:space="preserve"> </v>
      </c>
      <c r="S40" s="55"/>
      <c r="T40" s="32"/>
      <c r="U40" s="32"/>
      <c r="V40" s="55"/>
      <c r="W40" s="32"/>
      <c r="X40" s="54"/>
      <c r="Y40" s="21" t="str">
        <f>IFERROR(VLOOKUP(January[[#This Row],[Drug Name2]],'Data Options'!$R$1:$S$100,2,FALSE), " ")</f>
        <v xml:space="preserve"> </v>
      </c>
      <c r="Z40" s="55"/>
      <c r="AA40" s="32"/>
      <c r="AB40" s="32"/>
      <c r="AC40" s="55"/>
      <c r="AD40" s="32"/>
      <c r="AE40" s="54"/>
      <c r="AF40" s="21" t="str">
        <f>IFERROR(VLOOKUP(January[[#This Row],[Drug Name3]],'Data Options'!$R$1:$S$100,2,FALSE), " ")</f>
        <v xml:space="preserve"> </v>
      </c>
      <c r="AG40" s="55"/>
      <c r="AH40" s="32"/>
      <c r="AI40" s="32"/>
      <c r="AJ40" s="55"/>
      <c r="AK40" s="32"/>
      <c r="AL40" s="32"/>
      <c r="AM40" s="32"/>
      <c r="AN40" s="32"/>
      <c r="AO40" s="32"/>
      <c r="AP40" s="31"/>
      <c r="AQ40" s="31"/>
      <c r="AR40" s="54"/>
      <c r="AS40" s="21" t="str">
        <f>IFERROR(VLOOKUP(January[[#This Row],[Drug Name4]],'Data Options'!$R$1:$S$100,2,FALSE), " ")</f>
        <v xml:space="preserve"> </v>
      </c>
      <c r="AT40" s="55"/>
      <c r="AU40" s="32"/>
      <c r="AV40" s="32"/>
      <c r="AW40" s="55"/>
      <c r="AX40" s="32"/>
      <c r="AY40" s="54"/>
      <c r="AZ40" s="21" t="str">
        <f>IFERROR(VLOOKUP(January[[#This Row],[Drug Name5]],'Data Options'!$R$1:$S$100,2,FALSE), " ")</f>
        <v xml:space="preserve"> </v>
      </c>
      <c r="BA40" s="55"/>
      <c r="BB40" s="32"/>
      <c r="BC40" s="32"/>
      <c r="BD40" s="55"/>
      <c r="BE40" s="32"/>
      <c r="BF40" s="54"/>
      <c r="BG40" s="21" t="str">
        <f>IFERROR(VLOOKUP(January[[#This Row],[Drug Name6]],'Data Options'!$R$1:$S$100,2,FALSE), " ")</f>
        <v xml:space="preserve"> </v>
      </c>
      <c r="BH40" s="55"/>
      <c r="BI40" s="32"/>
      <c r="BJ40" s="32"/>
      <c r="BK40" s="55"/>
      <c r="BL40" s="32"/>
      <c r="BM40" s="32"/>
      <c r="BN40" s="32"/>
      <c r="BO40" s="32"/>
      <c r="BP40" s="32"/>
      <c r="BQ40" s="31"/>
      <c r="BR40" s="31"/>
      <c r="BS40" s="54"/>
      <c r="BT40" s="21" t="str">
        <f>IFERROR(VLOOKUP(January[[#This Row],[Drug Name7]],'Data Options'!$R$1:$S$100,2,FALSE), " ")</f>
        <v xml:space="preserve"> </v>
      </c>
      <c r="BU40" s="55"/>
      <c r="BV40" s="32"/>
      <c r="BW40" s="32"/>
      <c r="BX40" s="55"/>
      <c r="BY40" s="32"/>
      <c r="BZ40" s="54"/>
      <c r="CA40" s="21" t="str">
        <f>IFERROR(VLOOKUP(January[[#This Row],[Drug Name8]],'Data Options'!$R$1:$S$100,2,FALSE), " ")</f>
        <v xml:space="preserve"> </v>
      </c>
      <c r="CB40" s="55"/>
      <c r="CC40" s="32"/>
      <c r="CD40" s="32"/>
      <c r="CE40" s="55"/>
      <c r="CF40" s="32"/>
      <c r="CG40" s="54"/>
      <c r="CH40" s="21" t="str">
        <f>IFERROR(VLOOKUP(January[[#This Row],[Drug Name9]],'Data Options'!$R$1:$S$100,2,FALSE), " ")</f>
        <v xml:space="preserve"> </v>
      </c>
      <c r="CI40" s="55"/>
      <c r="CJ40" s="32"/>
      <c r="CK40" s="32"/>
      <c r="CL40" s="55"/>
      <c r="CM40" s="32"/>
    </row>
    <row r="41" spans="1:91">
      <c r="A41" s="5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54"/>
      <c r="R41" s="21" t="str">
        <f>IFERROR(VLOOKUP(January[[#This Row],[Drug Name]],'Data Options'!$R$1:$S$100,2,FALSE), " ")</f>
        <v xml:space="preserve"> </v>
      </c>
      <c r="S41" s="55"/>
      <c r="T41" s="32"/>
      <c r="U41" s="32"/>
      <c r="V41" s="55"/>
      <c r="W41" s="32"/>
      <c r="X41" s="54"/>
      <c r="Y41" s="21" t="str">
        <f>IFERROR(VLOOKUP(January[[#This Row],[Drug Name2]],'Data Options'!$R$1:$S$100,2,FALSE), " ")</f>
        <v xml:space="preserve"> </v>
      </c>
      <c r="Z41" s="55"/>
      <c r="AA41" s="32"/>
      <c r="AB41" s="32"/>
      <c r="AC41" s="55"/>
      <c r="AD41" s="32"/>
      <c r="AE41" s="54"/>
      <c r="AF41" s="21" t="str">
        <f>IFERROR(VLOOKUP(January[[#This Row],[Drug Name3]],'Data Options'!$R$1:$S$100,2,FALSE), " ")</f>
        <v xml:space="preserve"> </v>
      </c>
      <c r="AG41" s="55"/>
      <c r="AH41" s="32"/>
      <c r="AI41" s="32"/>
      <c r="AJ41" s="55"/>
      <c r="AK41" s="32"/>
      <c r="AL41" s="32"/>
      <c r="AM41" s="32"/>
      <c r="AN41" s="32"/>
      <c r="AO41" s="32"/>
      <c r="AP41" s="31"/>
      <c r="AQ41" s="31"/>
      <c r="AR41" s="54"/>
      <c r="AS41" s="21" t="str">
        <f>IFERROR(VLOOKUP(January[[#This Row],[Drug Name4]],'Data Options'!$R$1:$S$100,2,FALSE), " ")</f>
        <v xml:space="preserve"> </v>
      </c>
      <c r="AT41" s="55"/>
      <c r="AU41" s="32"/>
      <c r="AV41" s="32"/>
      <c r="AW41" s="55"/>
      <c r="AX41" s="32"/>
      <c r="AY41" s="54"/>
      <c r="AZ41" s="21" t="str">
        <f>IFERROR(VLOOKUP(January[[#This Row],[Drug Name5]],'Data Options'!$R$1:$S$100,2,FALSE), " ")</f>
        <v xml:space="preserve"> </v>
      </c>
      <c r="BA41" s="55"/>
      <c r="BB41" s="32"/>
      <c r="BC41" s="32"/>
      <c r="BD41" s="55"/>
      <c r="BE41" s="32"/>
      <c r="BF41" s="54"/>
      <c r="BG41" s="21" t="str">
        <f>IFERROR(VLOOKUP(January[[#This Row],[Drug Name6]],'Data Options'!$R$1:$S$100,2,FALSE), " ")</f>
        <v xml:space="preserve"> </v>
      </c>
      <c r="BH41" s="55"/>
      <c r="BI41" s="32"/>
      <c r="BJ41" s="32"/>
      <c r="BK41" s="55"/>
      <c r="BL41" s="32"/>
      <c r="BM41" s="32"/>
      <c r="BN41" s="32"/>
      <c r="BO41" s="32"/>
      <c r="BP41" s="32"/>
      <c r="BQ41" s="31"/>
      <c r="BR41" s="31"/>
      <c r="BS41" s="54"/>
      <c r="BT41" s="21" t="str">
        <f>IFERROR(VLOOKUP(January[[#This Row],[Drug Name7]],'Data Options'!$R$1:$S$100,2,FALSE), " ")</f>
        <v xml:space="preserve"> </v>
      </c>
      <c r="BU41" s="55"/>
      <c r="BV41" s="32"/>
      <c r="BW41" s="32"/>
      <c r="BX41" s="55"/>
      <c r="BY41" s="32"/>
      <c r="BZ41" s="54"/>
      <c r="CA41" s="21" t="str">
        <f>IFERROR(VLOOKUP(January[[#This Row],[Drug Name8]],'Data Options'!$R$1:$S$100,2,FALSE), " ")</f>
        <v xml:space="preserve"> </v>
      </c>
      <c r="CB41" s="55"/>
      <c r="CC41" s="32"/>
      <c r="CD41" s="32"/>
      <c r="CE41" s="55"/>
      <c r="CF41" s="32"/>
      <c r="CG41" s="54"/>
      <c r="CH41" s="21" t="str">
        <f>IFERROR(VLOOKUP(January[[#This Row],[Drug Name9]],'Data Options'!$R$1:$S$100,2,FALSE), " ")</f>
        <v xml:space="preserve"> </v>
      </c>
      <c r="CI41" s="55"/>
      <c r="CJ41" s="32"/>
      <c r="CK41" s="32"/>
      <c r="CL41" s="55"/>
      <c r="CM41" s="32"/>
    </row>
    <row r="42" spans="1:91">
      <c r="A42" s="5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54"/>
      <c r="R42" s="21" t="str">
        <f>IFERROR(VLOOKUP(January[[#This Row],[Drug Name]],'Data Options'!$R$1:$S$100,2,FALSE), " ")</f>
        <v xml:space="preserve"> </v>
      </c>
      <c r="S42" s="55"/>
      <c r="T42" s="32"/>
      <c r="U42" s="32"/>
      <c r="V42" s="55"/>
      <c r="W42" s="32"/>
      <c r="X42" s="54"/>
      <c r="Y42" s="21" t="str">
        <f>IFERROR(VLOOKUP(January[[#This Row],[Drug Name2]],'Data Options'!$R$1:$S$100,2,FALSE), " ")</f>
        <v xml:space="preserve"> </v>
      </c>
      <c r="Z42" s="55"/>
      <c r="AA42" s="32"/>
      <c r="AB42" s="32"/>
      <c r="AC42" s="55"/>
      <c r="AD42" s="32"/>
      <c r="AE42" s="54"/>
      <c r="AF42" s="21" t="str">
        <f>IFERROR(VLOOKUP(January[[#This Row],[Drug Name3]],'Data Options'!$R$1:$S$100,2,FALSE), " ")</f>
        <v xml:space="preserve"> </v>
      </c>
      <c r="AG42" s="55"/>
      <c r="AH42" s="32"/>
      <c r="AI42" s="32"/>
      <c r="AJ42" s="55"/>
      <c r="AK42" s="32"/>
      <c r="AL42" s="32"/>
      <c r="AM42" s="32"/>
      <c r="AN42" s="32"/>
      <c r="AO42" s="32"/>
      <c r="AP42" s="31"/>
      <c r="AQ42" s="31"/>
      <c r="AR42" s="54"/>
      <c r="AS42" s="21" t="str">
        <f>IFERROR(VLOOKUP(January[[#This Row],[Drug Name4]],'Data Options'!$R$1:$S$100,2,FALSE), " ")</f>
        <v xml:space="preserve"> </v>
      </c>
      <c r="AT42" s="55"/>
      <c r="AU42" s="32"/>
      <c r="AV42" s="32"/>
      <c r="AW42" s="55"/>
      <c r="AX42" s="32"/>
      <c r="AY42" s="54"/>
      <c r="AZ42" s="21" t="str">
        <f>IFERROR(VLOOKUP(January[[#This Row],[Drug Name5]],'Data Options'!$R$1:$S$100,2,FALSE), " ")</f>
        <v xml:space="preserve"> </v>
      </c>
      <c r="BA42" s="55"/>
      <c r="BB42" s="32"/>
      <c r="BC42" s="32"/>
      <c r="BD42" s="55"/>
      <c r="BE42" s="32"/>
      <c r="BF42" s="54"/>
      <c r="BG42" s="21" t="str">
        <f>IFERROR(VLOOKUP(January[[#This Row],[Drug Name6]],'Data Options'!$R$1:$S$100,2,FALSE), " ")</f>
        <v xml:space="preserve"> </v>
      </c>
      <c r="BH42" s="55"/>
      <c r="BI42" s="32"/>
      <c r="BJ42" s="32"/>
      <c r="BK42" s="55"/>
      <c r="BL42" s="32"/>
      <c r="BM42" s="32"/>
      <c r="BN42" s="32"/>
      <c r="BO42" s="32"/>
      <c r="BP42" s="32"/>
      <c r="BQ42" s="31"/>
      <c r="BR42" s="31"/>
      <c r="BS42" s="54"/>
      <c r="BT42" s="21" t="str">
        <f>IFERROR(VLOOKUP(January[[#This Row],[Drug Name7]],'Data Options'!$R$1:$S$100,2,FALSE), " ")</f>
        <v xml:space="preserve"> </v>
      </c>
      <c r="BU42" s="55"/>
      <c r="BV42" s="32"/>
      <c r="BW42" s="32"/>
      <c r="BX42" s="55"/>
      <c r="BY42" s="32"/>
      <c r="BZ42" s="54"/>
      <c r="CA42" s="21" t="str">
        <f>IFERROR(VLOOKUP(January[[#This Row],[Drug Name8]],'Data Options'!$R$1:$S$100,2,FALSE), " ")</f>
        <v xml:space="preserve"> </v>
      </c>
      <c r="CB42" s="55"/>
      <c r="CC42" s="32"/>
      <c r="CD42" s="32"/>
      <c r="CE42" s="55"/>
      <c r="CF42" s="32"/>
      <c r="CG42" s="54"/>
      <c r="CH42" s="21" t="str">
        <f>IFERROR(VLOOKUP(January[[#This Row],[Drug Name9]],'Data Options'!$R$1:$S$100,2,FALSE), " ")</f>
        <v xml:space="preserve"> </v>
      </c>
      <c r="CI42" s="55"/>
      <c r="CJ42" s="32"/>
      <c r="CK42" s="32"/>
      <c r="CL42" s="55"/>
      <c r="CM42" s="32"/>
    </row>
    <row r="43" spans="1:91">
      <c r="A43" s="5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54"/>
      <c r="R43" s="21" t="str">
        <f>IFERROR(VLOOKUP(January[[#This Row],[Drug Name]],'Data Options'!$R$1:$S$100,2,FALSE), " ")</f>
        <v xml:space="preserve"> </v>
      </c>
      <c r="S43" s="55"/>
      <c r="T43" s="32"/>
      <c r="U43" s="32"/>
      <c r="V43" s="55"/>
      <c r="W43" s="32"/>
      <c r="X43" s="54"/>
      <c r="Y43" s="21" t="str">
        <f>IFERROR(VLOOKUP(January[[#This Row],[Drug Name2]],'Data Options'!$R$1:$S$100,2,FALSE), " ")</f>
        <v xml:space="preserve"> </v>
      </c>
      <c r="Z43" s="55"/>
      <c r="AA43" s="32"/>
      <c r="AB43" s="32"/>
      <c r="AC43" s="55"/>
      <c r="AD43" s="32"/>
      <c r="AE43" s="54"/>
      <c r="AF43" s="21" t="str">
        <f>IFERROR(VLOOKUP(January[[#This Row],[Drug Name3]],'Data Options'!$R$1:$S$100,2,FALSE), " ")</f>
        <v xml:space="preserve"> </v>
      </c>
      <c r="AG43" s="55"/>
      <c r="AH43" s="32"/>
      <c r="AI43" s="32"/>
      <c r="AJ43" s="55"/>
      <c r="AK43" s="32"/>
      <c r="AL43" s="32"/>
      <c r="AM43" s="32"/>
      <c r="AN43" s="32"/>
      <c r="AO43" s="32"/>
      <c r="AP43" s="31"/>
      <c r="AQ43" s="31"/>
      <c r="AR43" s="54"/>
      <c r="AS43" s="21" t="str">
        <f>IFERROR(VLOOKUP(January[[#This Row],[Drug Name4]],'Data Options'!$R$1:$S$100,2,FALSE), " ")</f>
        <v xml:space="preserve"> </v>
      </c>
      <c r="AT43" s="55"/>
      <c r="AU43" s="32"/>
      <c r="AV43" s="32"/>
      <c r="AW43" s="55"/>
      <c r="AX43" s="32"/>
      <c r="AY43" s="54"/>
      <c r="AZ43" s="21" t="str">
        <f>IFERROR(VLOOKUP(January[[#This Row],[Drug Name5]],'Data Options'!$R$1:$S$100,2,FALSE), " ")</f>
        <v xml:space="preserve"> </v>
      </c>
      <c r="BA43" s="55"/>
      <c r="BB43" s="32"/>
      <c r="BC43" s="32"/>
      <c r="BD43" s="55"/>
      <c r="BE43" s="32"/>
      <c r="BF43" s="54"/>
      <c r="BG43" s="21" t="str">
        <f>IFERROR(VLOOKUP(January[[#This Row],[Drug Name6]],'Data Options'!$R$1:$S$100,2,FALSE), " ")</f>
        <v xml:space="preserve"> </v>
      </c>
      <c r="BH43" s="55"/>
      <c r="BI43" s="32"/>
      <c r="BJ43" s="32"/>
      <c r="BK43" s="55"/>
      <c r="BL43" s="32"/>
      <c r="BM43" s="32"/>
      <c r="BN43" s="32"/>
      <c r="BO43" s="32"/>
      <c r="BP43" s="32"/>
      <c r="BQ43" s="31"/>
      <c r="BR43" s="31"/>
      <c r="BS43" s="54"/>
      <c r="BT43" s="21" t="str">
        <f>IFERROR(VLOOKUP(January[[#This Row],[Drug Name7]],'Data Options'!$R$1:$S$100,2,FALSE), " ")</f>
        <v xml:space="preserve"> </v>
      </c>
      <c r="BU43" s="55"/>
      <c r="BV43" s="32"/>
      <c r="BW43" s="32"/>
      <c r="BX43" s="55"/>
      <c r="BY43" s="32"/>
      <c r="BZ43" s="54"/>
      <c r="CA43" s="21" t="str">
        <f>IFERROR(VLOOKUP(January[[#This Row],[Drug Name8]],'Data Options'!$R$1:$S$100,2,FALSE), " ")</f>
        <v xml:space="preserve"> </v>
      </c>
      <c r="CB43" s="55"/>
      <c r="CC43" s="32"/>
      <c r="CD43" s="32"/>
      <c r="CE43" s="55"/>
      <c r="CF43" s="32"/>
      <c r="CG43" s="54"/>
      <c r="CH43" s="21" t="str">
        <f>IFERROR(VLOOKUP(January[[#This Row],[Drug Name9]],'Data Options'!$R$1:$S$100,2,FALSE), " ")</f>
        <v xml:space="preserve"> </v>
      </c>
      <c r="CI43" s="55"/>
      <c r="CJ43" s="32"/>
      <c r="CK43" s="32"/>
      <c r="CL43" s="55"/>
      <c r="CM43" s="32"/>
    </row>
    <row r="44" spans="1:9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54"/>
      <c r="R44" s="21" t="str">
        <f>IFERROR(VLOOKUP(January[[#This Row],[Drug Name]],'Data Options'!$R$1:$S$100,2,FALSE), " ")</f>
        <v xml:space="preserve"> </v>
      </c>
      <c r="S44" s="55"/>
      <c r="T44" s="32"/>
      <c r="U44" s="32"/>
      <c r="V44" s="55"/>
      <c r="W44" s="32"/>
      <c r="X44" s="54"/>
      <c r="Y44" s="21" t="str">
        <f>IFERROR(VLOOKUP(January[[#This Row],[Drug Name2]],'Data Options'!$R$1:$S$100,2,FALSE), " ")</f>
        <v xml:space="preserve"> </v>
      </c>
      <c r="Z44" s="55"/>
      <c r="AA44" s="32"/>
      <c r="AB44" s="32"/>
      <c r="AC44" s="55"/>
      <c r="AD44" s="32"/>
      <c r="AE44" s="54"/>
      <c r="AF44" s="21" t="str">
        <f>IFERROR(VLOOKUP(January[[#This Row],[Drug Name3]],'Data Options'!$R$1:$S$100,2,FALSE), " ")</f>
        <v xml:space="preserve"> </v>
      </c>
      <c r="AG44" s="55"/>
      <c r="AH44" s="32"/>
      <c r="AI44" s="32"/>
      <c r="AJ44" s="55"/>
      <c r="AK44" s="32"/>
      <c r="AL44" s="32"/>
      <c r="AM44" s="32"/>
      <c r="AN44" s="32"/>
      <c r="AO44" s="32"/>
      <c r="AP44" s="31"/>
      <c r="AQ44" s="31"/>
      <c r="AR44" s="54"/>
      <c r="AS44" s="21" t="str">
        <f>IFERROR(VLOOKUP(January[[#This Row],[Drug Name4]],'Data Options'!$R$1:$S$100,2,FALSE), " ")</f>
        <v xml:space="preserve"> </v>
      </c>
      <c r="AT44" s="55"/>
      <c r="AU44" s="32"/>
      <c r="AV44" s="32"/>
      <c r="AW44" s="55"/>
      <c r="AX44" s="32"/>
      <c r="AY44" s="54"/>
      <c r="AZ44" s="21" t="str">
        <f>IFERROR(VLOOKUP(January[[#This Row],[Drug Name5]],'Data Options'!$R$1:$S$100,2,FALSE), " ")</f>
        <v xml:space="preserve"> </v>
      </c>
      <c r="BA44" s="55"/>
      <c r="BB44" s="32"/>
      <c r="BC44" s="32"/>
      <c r="BD44" s="55"/>
      <c r="BE44" s="32"/>
      <c r="BF44" s="54"/>
      <c r="BG44" s="21" t="str">
        <f>IFERROR(VLOOKUP(January[[#This Row],[Drug Name6]],'Data Options'!$R$1:$S$100,2,FALSE), " ")</f>
        <v xml:space="preserve"> </v>
      </c>
      <c r="BH44" s="55"/>
      <c r="BI44" s="32"/>
      <c r="BJ44" s="32"/>
      <c r="BK44" s="55"/>
      <c r="BL44" s="32"/>
      <c r="BM44" s="32"/>
      <c r="BN44" s="32"/>
      <c r="BO44" s="32"/>
      <c r="BP44" s="32"/>
      <c r="BQ44" s="31"/>
      <c r="BR44" s="31"/>
      <c r="BS44" s="54"/>
      <c r="BT44" s="21" t="str">
        <f>IFERROR(VLOOKUP(January[[#This Row],[Drug Name7]],'Data Options'!$R$1:$S$100,2,FALSE), " ")</f>
        <v xml:space="preserve"> </v>
      </c>
      <c r="BU44" s="55"/>
      <c r="BV44" s="32"/>
      <c r="BW44" s="32"/>
      <c r="BX44" s="55"/>
      <c r="BY44" s="32"/>
      <c r="BZ44" s="54"/>
      <c r="CA44" s="21" t="str">
        <f>IFERROR(VLOOKUP(January[[#This Row],[Drug Name8]],'Data Options'!$R$1:$S$100,2,FALSE), " ")</f>
        <v xml:space="preserve"> </v>
      </c>
      <c r="CB44" s="55"/>
      <c r="CC44" s="32"/>
      <c r="CD44" s="32"/>
      <c r="CE44" s="55"/>
      <c r="CF44" s="32"/>
      <c r="CG44" s="54"/>
      <c r="CH44" s="21" t="str">
        <f>IFERROR(VLOOKUP(January[[#This Row],[Drug Name9]],'Data Options'!$R$1:$S$100,2,FALSE), " ")</f>
        <v xml:space="preserve"> </v>
      </c>
      <c r="CI44" s="55"/>
      <c r="CJ44" s="32"/>
      <c r="CK44" s="32"/>
      <c r="CL44" s="55"/>
      <c r="CM44" s="32"/>
    </row>
    <row r="45" spans="1:91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54"/>
      <c r="R45" s="21" t="str">
        <f>IFERROR(VLOOKUP(January[[#This Row],[Drug Name]],'Data Options'!$R$1:$S$100,2,FALSE), " ")</f>
        <v xml:space="preserve"> </v>
      </c>
      <c r="S45" s="55"/>
      <c r="T45" s="32"/>
      <c r="U45" s="32"/>
      <c r="V45" s="55"/>
      <c r="W45" s="32"/>
      <c r="X45" s="54"/>
      <c r="Y45" s="21" t="str">
        <f>IFERROR(VLOOKUP(January[[#This Row],[Drug Name2]],'Data Options'!$R$1:$S$100,2,FALSE), " ")</f>
        <v xml:space="preserve"> </v>
      </c>
      <c r="Z45" s="55"/>
      <c r="AA45" s="32"/>
      <c r="AB45" s="32"/>
      <c r="AC45" s="55"/>
      <c r="AD45" s="32"/>
      <c r="AE45" s="54"/>
      <c r="AF45" s="21" t="str">
        <f>IFERROR(VLOOKUP(January[[#This Row],[Drug Name3]],'Data Options'!$R$1:$S$100,2,FALSE), " ")</f>
        <v xml:space="preserve"> </v>
      </c>
      <c r="AG45" s="55"/>
      <c r="AH45" s="32"/>
      <c r="AI45" s="32"/>
      <c r="AJ45" s="55"/>
      <c r="AK45" s="32"/>
      <c r="AL45" s="32"/>
      <c r="AM45" s="32"/>
      <c r="AN45" s="32"/>
      <c r="AO45" s="32"/>
      <c r="AP45" s="31"/>
      <c r="AQ45" s="31"/>
      <c r="AR45" s="54"/>
      <c r="AS45" s="21" t="str">
        <f>IFERROR(VLOOKUP(January[[#This Row],[Drug Name4]],'Data Options'!$R$1:$S$100,2,FALSE), " ")</f>
        <v xml:space="preserve"> </v>
      </c>
      <c r="AT45" s="55"/>
      <c r="AU45" s="32"/>
      <c r="AV45" s="32"/>
      <c r="AW45" s="55"/>
      <c r="AX45" s="32"/>
      <c r="AY45" s="54"/>
      <c r="AZ45" s="21" t="str">
        <f>IFERROR(VLOOKUP(January[[#This Row],[Drug Name5]],'Data Options'!$R$1:$S$100,2,FALSE), " ")</f>
        <v xml:space="preserve"> </v>
      </c>
      <c r="BA45" s="55"/>
      <c r="BB45" s="32"/>
      <c r="BC45" s="32"/>
      <c r="BD45" s="55"/>
      <c r="BE45" s="32"/>
      <c r="BF45" s="54"/>
      <c r="BG45" s="21" t="str">
        <f>IFERROR(VLOOKUP(January[[#This Row],[Drug Name6]],'Data Options'!$R$1:$S$100,2,FALSE), " ")</f>
        <v xml:space="preserve"> </v>
      </c>
      <c r="BH45" s="55"/>
      <c r="BI45" s="32"/>
      <c r="BJ45" s="32"/>
      <c r="BK45" s="55"/>
      <c r="BL45" s="32"/>
      <c r="BM45" s="32"/>
      <c r="BN45" s="32"/>
      <c r="BO45" s="32"/>
      <c r="BP45" s="32"/>
      <c r="BQ45" s="31"/>
      <c r="BR45" s="31"/>
      <c r="BS45" s="54"/>
      <c r="BT45" s="21" t="str">
        <f>IFERROR(VLOOKUP(January[[#This Row],[Drug Name7]],'Data Options'!$R$1:$S$100,2,FALSE), " ")</f>
        <v xml:space="preserve"> </v>
      </c>
      <c r="BU45" s="55"/>
      <c r="BV45" s="32"/>
      <c r="BW45" s="32"/>
      <c r="BX45" s="55"/>
      <c r="BY45" s="32"/>
      <c r="BZ45" s="54"/>
      <c r="CA45" s="21" t="str">
        <f>IFERROR(VLOOKUP(January[[#This Row],[Drug Name8]],'Data Options'!$R$1:$S$100,2,FALSE), " ")</f>
        <v xml:space="preserve"> </v>
      </c>
      <c r="CB45" s="55"/>
      <c r="CC45" s="32"/>
      <c r="CD45" s="32"/>
      <c r="CE45" s="55"/>
      <c r="CF45" s="32"/>
      <c r="CG45" s="54"/>
      <c r="CH45" s="21" t="str">
        <f>IFERROR(VLOOKUP(January[[#This Row],[Drug Name9]],'Data Options'!$R$1:$S$100,2,FALSE), " ")</f>
        <v xml:space="preserve"> </v>
      </c>
      <c r="CI45" s="55"/>
      <c r="CJ45" s="32"/>
      <c r="CK45" s="32"/>
      <c r="CL45" s="55"/>
      <c r="CM45" s="32"/>
    </row>
    <row r="46" spans="1:91">
      <c r="A46" s="5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54"/>
      <c r="R46" s="21" t="str">
        <f>IFERROR(VLOOKUP(January[[#This Row],[Drug Name]],'Data Options'!$R$1:$S$100,2,FALSE), " ")</f>
        <v xml:space="preserve"> </v>
      </c>
      <c r="S46" s="55"/>
      <c r="T46" s="32"/>
      <c r="U46" s="32"/>
      <c r="V46" s="55"/>
      <c r="W46" s="32"/>
      <c r="X46" s="54"/>
      <c r="Y46" s="21" t="str">
        <f>IFERROR(VLOOKUP(January[[#This Row],[Drug Name2]],'Data Options'!$R$1:$S$100,2,FALSE), " ")</f>
        <v xml:space="preserve"> </v>
      </c>
      <c r="Z46" s="55"/>
      <c r="AA46" s="32"/>
      <c r="AB46" s="32"/>
      <c r="AC46" s="55"/>
      <c r="AD46" s="32"/>
      <c r="AE46" s="54"/>
      <c r="AF46" s="21" t="str">
        <f>IFERROR(VLOOKUP(January[[#This Row],[Drug Name3]],'Data Options'!$R$1:$S$100,2,FALSE), " ")</f>
        <v xml:space="preserve"> </v>
      </c>
      <c r="AG46" s="55"/>
      <c r="AH46" s="32"/>
      <c r="AI46" s="32"/>
      <c r="AJ46" s="55"/>
      <c r="AK46" s="32"/>
      <c r="AL46" s="32"/>
      <c r="AM46" s="32"/>
      <c r="AN46" s="32"/>
      <c r="AO46" s="32"/>
      <c r="AP46" s="31"/>
      <c r="AQ46" s="31"/>
      <c r="AR46" s="54"/>
      <c r="AS46" s="21" t="str">
        <f>IFERROR(VLOOKUP(January[[#This Row],[Drug Name4]],'Data Options'!$R$1:$S$100,2,FALSE), " ")</f>
        <v xml:space="preserve"> </v>
      </c>
      <c r="AT46" s="55"/>
      <c r="AU46" s="32"/>
      <c r="AV46" s="32"/>
      <c r="AW46" s="55"/>
      <c r="AX46" s="32"/>
      <c r="AY46" s="54"/>
      <c r="AZ46" s="21" t="str">
        <f>IFERROR(VLOOKUP(January[[#This Row],[Drug Name5]],'Data Options'!$R$1:$S$100,2,FALSE), " ")</f>
        <v xml:space="preserve"> </v>
      </c>
      <c r="BA46" s="55"/>
      <c r="BB46" s="32"/>
      <c r="BC46" s="32"/>
      <c r="BD46" s="55"/>
      <c r="BE46" s="32"/>
      <c r="BF46" s="54"/>
      <c r="BG46" s="21" t="str">
        <f>IFERROR(VLOOKUP(January[[#This Row],[Drug Name6]],'Data Options'!$R$1:$S$100,2,FALSE), " ")</f>
        <v xml:space="preserve"> </v>
      </c>
      <c r="BH46" s="55"/>
      <c r="BI46" s="32"/>
      <c r="BJ46" s="32"/>
      <c r="BK46" s="55"/>
      <c r="BL46" s="32"/>
      <c r="BM46" s="32"/>
      <c r="BN46" s="32"/>
      <c r="BO46" s="32"/>
      <c r="BP46" s="32"/>
      <c r="BQ46" s="31"/>
      <c r="BR46" s="31"/>
      <c r="BS46" s="54"/>
      <c r="BT46" s="21" t="str">
        <f>IFERROR(VLOOKUP(January[[#This Row],[Drug Name7]],'Data Options'!$R$1:$S$100,2,FALSE), " ")</f>
        <v xml:space="preserve"> </v>
      </c>
      <c r="BU46" s="55"/>
      <c r="BV46" s="32"/>
      <c r="BW46" s="32"/>
      <c r="BX46" s="55"/>
      <c r="BY46" s="32"/>
      <c r="BZ46" s="54"/>
      <c r="CA46" s="21" t="str">
        <f>IFERROR(VLOOKUP(January[[#This Row],[Drug Name8]],'Data Options'!$R$1:$S$100,2,FALSE), " ")</f>
        <v xml:space="preserve"> </v>
      </c>
      <c r="CB46" s="55"/>
      <c r="CC46" s="32"/>
      <c r="CD46" s="32"/>
      <c r="CE46" s="55"/>
      <c r="CF46" s="32"/>
      <c r="CG46" s="54"/>
      <c r="CH46" s="21" t="str">
        <f>IFERROR(VLOOKUP(January[[#This Row],[Drug Name9]],'Data Options'!$R$1:$S$100,2,FALSE), " ")</f>
        <v xml:space="preserve"> </v>
      </c>
      <c r="CI46" s="55"/>
      <c r="CJ46" s="32"/>
      <c r="CK46" s="32"/>
      <c r="CL46" s="55"/>
      <c r="CM46" s="32"/>
    </row>
    <row r="47" spans="1:9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54"/>
      <c r="R47" s="21" t="str">
        <f>IFERROR(VLOOKUP(January[[#This Row],[Drug Name]],'Data Options'!$R$1:$S$100,2,FALSE), " ")</f>
        <v xml:space="preserve"> </v>
      </c>
      <c r="S47" s="55"/>
      <c r="T47" s="32"/>
      <c r="U47" s="32"/>
      <c r="V47" s="55"/>
      <c r="W47" s="32"/>
      <c r="X47" s="54"/>
      <c r="Y47" s="21" t="str">
        <f>IFERROR(VLOOKUP(January[[#This Row],[Drug Name2]],'Data Options'!$R$1:$S$100,2,FALSE), " ")</f>
        <v xml:space="preserve"> </v>
      </c>
      <c r="Z47" s="55"/>
      <c r="AA47" s="32"/>
      <c r="AB47" s="32"/>
      <c r="AC47" s="55"/>
      <c r="AD47" s="32"/>
      <c r="AE47" s="54"/>
      <c r="AF47" s="21" t="str">
        <f>IFERROR(VLOOKUP(January[[#This Row],[Drug Name3]],'Data Options'!$R$1:$S$100,2,FALSE), " ")</f>
        <v xml:space="preserve"> </v>
      </c>
      <c r="AG47" s="55"/>
      <c r="AH47" s="32"/>
      <c r="AI47" s="32"/>
      <c r="AJ47" s="55"/>
      <c r="AK47" s="32"/>
      <c r="AL47" s="32"/>
      <c r="AM47" s="32"/>
      <c r="AN47" s="32"/>
      <c r="AO47" s="32"/>
      <c r="AP47" s="31"/>
      <c r="AQ47" s="31"/>
      <c r="AR47" s="54"/>
      <c r="AS47" s="21" t="str">
        <f>IFERROR(VLOOKUP(January[[#This Row],[Drug Name4]],'Data Options'!$R$1:$S$100,2,FALSE), " ")</f>
        <v xml:space="preserve"> </v>
      </c>
      <c r="AT47" s="55"/>
      <c r="AU47" s="32"/>
      <c r="AV47" s="32"/>
      <c r="AW47" s="55"/>
      <c r="AX47" s="32"/>
      <c r="AY47" s="54"/>
      <c r="AZ47" s="21" t="str">
        <f>IFERROR(VLOOKUP(January[[#This Row],[Drug Name5]],'Data Options'!$R$1:$S$100,2,FALSE), " ")</f>
        <v xml:space="preserve"> </v>
      </c>
      <c r="BA47" s="55"/>
      <c r="BB47" s="32"/>
      <c r="BC47" s="32"/>
      <c r="BD47" s="55"/>
      <c r="BE47" s="32"/>
      <c r="BF47" s="54"/>
      <c r="BG47" s="21" t="str">
        <f>IFERROR(VLOOKUP(January[[#This Row],[Drug Name6]],'Data Options'!$R$1:$S$100,2,FALSE), " ")</f>
        <v xml:space="preserve"> </v>
      </c>
      <c r="BH47" s="55"/>
      <c r="BI47" s="32"/>
      <c r="BJ47" s="32"/>
      <c r="BK47" s="55"/>
      <c r="BL47" s="32"/>
      <c r="BM47" s="32"/>
      <c r="BN47" s="32"/>
      <c r="BO47" s="32"/>
      <c r="BP47" s="32"/>
      <c r="BQ47" s="31"/>
      <c r="BR47" s="31"/>
      <c r="BS47" s="54"/>
      <c r="BT47" s="21" t="str">
        <f>IFERROR(VLOOKUP(January[[#This Row],[Drug Name7]],'Data Options'!$R$1:$S$100,2,FALSE), " ")</f>
        <v xml:space="preserve"> </v>
      </c>
      <c r="BU47" s="55"/>
      <c r="BV47" s="32"/>
      <c r="BW47" s="32"/>
      <c r="BX47" s="55"/>
      <c r="BY47" s="32"/>
      <c r="BZ47" s="54"/>
      <c r="CA47" s="21" t="str">
        <f>IFERROR(VLOOKUP(January[[#This Row],[Drug Name8]],'Data Options'!$R$1:$S$100,2,FALSE), " ")</f>
        <v xml:space="preserve"> </v>
      </c>
      <c r="CB47" s="55"/>
      <c r="CC47" s="32"/>
      <c r="CD47" s="32"/>
      <c r="CE47" s="55"/>
      <c r="CF47" s="32"/>
      <c r="CG47" s="54"/>
      <c r="CH47" s="21" t="str">
        <f>IFERROR(VLOOKUP(January[[#This Row],[Drug Name9]],'Data Options'!$R$1:$S$100,2,FALSE), " ")</f>
        <v xml:space="preserve"> </v>
      </c>
      <c r="CI47" s="55"/>
      <c r="CJ47" s="32"/>
      <c r="CK47" s="32"/>
      <c r="CL47" s="55"/>
      <c r="CM47" s="32"/>
    </row>
    <row r="48" spans="1:9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54"/>
      <c r="R48" s="21" t="str">
        <f>IFERROR(VLOOKUP(January[[#This Row],[Drug Name]],'Data Options'!$R$1:$S$100,2,FALSE), " ")</f>
        <v xml:space="preserve"> </v>
      </c>
      <c r="S48" s="55"/>
      <c r="T48" s="32"/>
      <c r="U48" s="32"/>
      <c r="V48" s="55"/>
      <c r="W48" s="32"/>
      <c r="X48" s="54"/>
      <c r="Y48" s="21" t="str">
        <f>IFERROR(VLOOKUP(January[[#This Row],[Drug Name2]],'Data Options'!$R$1:$S$100,2,FALSE), " ")</f>
        <v xml:space="preserve"> </v>
      </c>
      <c r="Z48" s="55"/>
      <c r="AA48" s="32"/>
      <c r="AB48" s="32"/>
      <c r="AC48" s="55"/>
      <c r="AD48" s="32"/>
      <c r="AE48" s="54"/>
      <c r="AF48" s="21" t="str">
        <f>IFERROR(VLOOKUP(January[[#This Row],[Drug Name3]],'Data Options'!$R$1:$S$100,2,FALSE), " ")</f>
        <v xml:space="preserve"> </v>
      </c>
      <c r="AG48" s="55"/>
      <c r="AH48" s="32"/>
      <c r="AI48" s="32"/>
      <c r="AJ48" s="55"/>
      <c r="AK48" s="32"/>
      <c r="AL48" s="32"/>
      <c r="AM48" s="32"/>
      <c r="AN48" s="32"/>
      <c r="AO48" s="32"/>
      <c r="AP48" s="31"/>
      <c r="AQ48" s="31"/>
      <c r="AR48" s="54"/>
      <c r="AS48" s="21" t="str">
        <f>IFERROR(VLOOKUP(January[[#This Row],[Drug Name4]],'Data Options'!$R$1:$S$100,2,FALSE), " ")</f>
        <v xml:space="preserve"> </v>
      </c>
      <c r="AT48" s="55"/>
      <c r="AU48" s="32"/>
      <c r="AV48" s="32"/>
      <c r="AW48" s="55"/>
      <c r="AX48" s="32"/>
      <c r="AY48" s="54"/>
      <c r="AZ48" s="21" t="str">
        <f>IFERROR(VLOOKUP(January[[#This Row],[Drug Name5]],'Data Options'!$R$1:$S$100,2,FALSE), " ")</f>
        <v xml:space="preserve"> </v>
      </c>
      <c r="BA48" s="55"/>
      <c r="BB48" s="32"/>
      <c r="BC48" s="32"/>
      <c r="BD48" s="55"/>
      <c r="BE48" s="32"/>
      <c r="BF48" s="54"/>
      <c r="BG48" s="21" t="str">
        <f>IFERROR(VLOOKUP(January[[#This Row],[Drug Name6]],'Data Options'!$R$1:$S$100,2,FALSE), " ")</f>
        <v xml:space="preserve"> </v>
      </c>
      <c r="BH48" s="55"/>
      <c r="BI48" s="32"/>
      <c r="BJ48" s="32"/>
      <c r="BK48" s="55"/>
      <c r="BL48" s="32"/>
      <c r="BM48" s="32"/>
      <c r="BN48" s="32"/>
      <c r="BO48" s="32"/>
      <c r="BP48" s="32"/>
      <c r="BQ48" s="31"/>
      <c r="BR48" s="31"/>
      <c r="BS48" s="54"/>
      <c r="BT48" s="21" t="str">
        <f>IFERROR(VLOOKUP(January[[#This Row],[Drug Name7]],'Data Options'!$R$1:$S$100,2,FALSE), " ")</f>
        <v xml:space="preserve"> </v>
      </c>
      <c r="BU48" s="55"/>
      <c r="BV48" s="32"/>
      <c r="BW48" s="32"/>
      <c r="BX48" s="55"/>
      <c r="BY48" s="32"/>
      <c r="BZ48" s="54"/>
      <c r="CA48" s="21" t="str">
        <f>IFERROR(VLOOKUP(January[[#This Row],[Drug Name8]],'Data Options'!$R$1:$S$100,2,FALSE), " ")</f>
        <v xml:space="preserve"> </v>
      </c>
      <c r="CB48" s="55"/>
      <c r="CC48" s="32"/>
      <c r="CD48" s="32"/>
      <c r="CE48" s="55"/>
      <c r="CF48" s="32"/>
      <c r="CG48" s="54"/>
      <c r="CH48" s="21" t="str">
        <f>IFERROR(VLOOKUP(January[[#This Row],[Drug Name9]],'Data Options'!$R$1:$S$100,2,FALSE), " ")</f>
        <v xml:space="preserve"> </v>
      </c>
      <c r="CI48" s="55"/>
      <c r="CJ48" s="32"/>
      <c r="CK48" s="32"/>
      <c r="CL48" s="55"/>
      <c r="CM48" s="32"/>
    </row>
    <row r="49" spans="1:9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54"/>
      <c r="R49" s="21" t="str">
        <f>IFERROR(VLOOKUP(January[[#This Row],[Drug Name]],'Data Options'!$R$1:$S$100,2,FALSE), " ")</f>
        <v xml:space="preserve"> </v>
      </c>
      <c r="S49" s="55"/>
      <c r="T49" s="32"/>
      <c r="U49" s="32"/>
      <c r="V49" s="55"/>
      <c r="W49" s="32"/>
      <c r="X49" s="54"/>
      <c r="Y49" s="21" t="str">
        <f>IFERROR(VLOOKUP(January[[#This Row],[Drug Name2]],'Data Options'!$R$1:$S$100,2,FALSE), " ")</f>
        <v xml:space="preserve"> </v>
      </c>
      <c r="Z49" s="55"/>
      <c r="AA49" s="32"/>
      <c r="AB49" s="32"/>
      <c r="AC49" s="55"/>
      <c r="AD49" s="32"/>
      <c r="AE49" s="54"/>
      <c r="AF49" s="21" t="str">
        <f>IFERROR(VLOOKUP(January[[#This Row],[Drug Name3]],'Data Options'!$R$1:$S$100,2,FALSE), " ")</f>
        <v xml:space="preserve"> </v>
      </c>
      <c r="AG49" s="55"/>
      <c r="AH49" s="32"/>
      <c r="AI49" s="32"/>
      <c r="AJ49" s="55"/>
      <c r="AK49" s="32"/>
      <c r="AL49" s="32"/>
      <c r="AM49" s="32"/>
      <c r="AN49" s="32"/>
      <c r="AO49" s="32"/>
      <c r="AP49" s="31"/>
      <c r="AQ49" s="31"/>
      <c r="AR49" s="54"/>
      <c r="AS49" s="21" t="str">
        <f>IFERROR(VLOOKUP(January[[#This Row],[Drug Name4]],'Data Options'!$R$1:$S$100,2,FALSE), " ")</f>
        <v xml:space="preserve"> </v>
      </c>
      <c r="AT49" s="55"/>
      <c r="AU49" s="32"/>
      <c r="AV49" s="32"/>
      <c r="AW49" s="55"/>
      <c r="AX49" s="32"/>
      <c r="AY49" s="54"/>
      <c r="AZ49" s="21" t="str">
        <f>IFERROR(VLOOKUP(January[[#This Row],[Drug Name5]],'Data Options'!$R$1:$S$100,2,FALSE), " ")</f>
        <v xml:space="preserve"> </v>
      </c>
      <c r="BA49" s="55"/>
      <c r="BB49" s="32"/>
      <c r="BC49" s="32"/>
      <c r="BD49" s="55"/>
      <c r="BE49" s="32"/>
      <c r="BF49" s="54"/>
      <c r="BG49" s="21" t="str">
        <f>IFERROR(VLOOKUP(January[[#This Row],[Drug Name6]],'Data Options'!$R$1:$S$100,2,FALSE), " ")</f>
        <v xml:space="preserve"> </v>
      </c>
      <c r="BH49" s="55"/>
      <c r="BI49" s="32"/>
      <c r="BJ49" s="32"/>
      <c r="BK49" s="55"/>
      <c r="BL49" s="32"/>
      <c r="BM49" s="32"/>
      <c r="BN49" s="32"/>
      <c r="BO49" s="32"/>
      <c r="BP49" s="32"/>
      <c r="BQ49" s="31"/>
      <c r="BR49" s="31"/>
      <c r="BS49" s="54"/>
      <c r="BT49" s="21" t="str">
        <f>IFERROR(VLOOKUP(January[[#This Row],[Drug Name7]],'Data Options'!$R$1:$S$100,2,FALSE), " ")</f>
        <v xml:space="preserve"> </v>
      </c>
      <c r="BU49" s="55"/>
      <c r="BV49" s="32"/>
      <c r="BW49" s="32"/>
      <c r="BX49" s="55"/>
      <c r="BY49" s="32"/>
      <c r="BZ49" s="54"/>
      <c r="CA49" s="21" t="str">
        <f>IFERROR(VLOOKUP(January[[#This Row],[Drug Name8]],'Data Options'!$R$1:$S$100,2,FALSE), " ")</f>
        <v xml:space="preserve"> </v>
      </c>
      <c r="CB49" s="55"/>
      <c r="CC49" s="32"/>
      <c r="CD49" s="32"/>
      <c r="CE49" s="55"/>
      <c r="CF49" s="32"/>
      <c r="CG49" s="54"/>
      <c r="CH49" s="21" t="str">
        <f>IFERROR(VLOOKUP(January[[#This Row],[Drug Name9]],'Data Options'!$R$1:$S$100,2,FALSE), " ")</f>
        <v xml:space="preserve"> </v>
      </c>
      <c r="CI49" s="55"/>
      <c r="CJ49" s="32"/>
      <c r="CK49" s="32"/>
      <c r="CL49" s="55"/>
      <c r="CM49" s="32"/>
    </row>
    <row r="50" spans="1:91">
      <c r="A50" s="5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54"/>
      <c r="R50" s="21" t="str">
        <f>IFERROR(VLOOKUP(January[[#This Row],[Drug Name]],'Data Options'!$R$1:$S$100,2,FALSE), " ")</f>
        <v xml:space="preserve"> </v>
      </c>
      <c r="S50" s="55"/>
      <c r="T50" s="32"/>
      <c r="U50" s="32"/>
      <c r="V50" s="55"/>
      <c r="W50" s="32"/>
      <c r="X50" s="54"/>
      <c r="Y50" s="21" t="str">
        <f>IFERROR(VLOOKUP(January[[#This Row],[Drug Name2]],'Data Options'!$R$1:$S$100,2,FALSE), " ")</f>
        <v xml:space="preserve"> </v>
      </c>
      <c r="Z50" s="55"/>
      <c r="AA50" s="32"/>
      <c r="AB50" s="32"/>
      <c r="AC50" s="55"/>
      <c r="AD50" s="32"/>
      <c r="AE50" s="54"/>
      <c r="AF50" s="21" t="str">
        <f>IFERROR(VLOOKUP(January[[#This Row],[Drug Name3]],'Data Options'!$R$1:$S$100,2,FALSE), " ")</f>
        <v xml:space="preserve"> </v>
      </c>
      <c r="AG50" s="55"/>
      <c r="AH50" s="32"/>
      <c r="AI50" s="32"/>
      <c r="AJ50" s="55"/>
      <c r="AK50" s="32"/>
      <c r="AL50" s="32"/>
      <c r="AM50" s="32"/>
      <c r="AN50" s="32"/>
      <c r="AO50" s="32"/>
      <c r="AP50" s="31"/>
      <c r="AQ50" s="31"/>
      <c r="AR50" s="54"/>
      <c r="AS50" s="21" t="str">
        <f>IFERROR(VLOOKUP(January[[#This Row],[Drug Name4]],'Data Options'!$R$1:$S$100,2,FALSE), " ")</f>
        <v xml:space="preserve"> </v>
      </c>
      <c r="AT50" s="55"/>
      <c r="AU50" s="32"/>
      <c r="AV50" s="32"/>
      <c r="AW50" s="55"/>
      <c r="AX50" s="32"/>
      <c r="AY50" s="54"/>
      <c r="AZ50" s="21" t="str">
        <f>IFERROR(VLOOKUP(January[[#This Row],[Drug Name5]],'Data Options'!$R$1:$S$100,2,FALSE), " ")</f>
        <v xml:space="preserve"> </v>
      </c>
      <c r="BA50" s="55"/>
      <c r="BB50" s="32"/>
      <c r="BC50" s="32"/>
      <c r="BD50" s="55"/>
      <c r="BE50" s="32"/>
      <c r="BF50" s="54"/>
      <c r="BG50" s="21" t="str">
        <f>IFERROR(VLOOKUP(January[[#This Row],[Drug Name6]],'Data Options'!$R$1:$S$100,2,FALSE), " ")</f>
        <v xml:space="preserve"> </v>
      </c>
      <c r="BH50" s="55"/>
      <c r="BI50" s="32"/>
      <c r="BJ50" s="32"/>
      <c r="BK50" s="55"/>
      <c r="BL50" s="32"/>
      <c r="BM50" s="32"/>
      <c r="BN50" s="32"/>
      <c r="BO50" s="32"/>
      <c r="BP50" s="32"/>
      <c r="BQ50" s="31"/>
      <c r="BR50" s="31"/>
      <c r="BS50" s="54"/>
      <c r="BT50" s="21" t="str">
        <f>IFERROR(VLOOKUP(January[[#This Row],[Drug Name7]],'Data Options'!$R$1:$S$100,2,FALSE), " ")</f>
        <v xml:space="preserve"> </v>
      </c>
      <c r="BU50" s="55"/>
      <c r="BV50" s="32"/>
      <c r="BW50" s="32"/>
      <c r="BX50" s="55"/>
      <c r="BY50" s="32"/>
      <c r="BZ50" s="54"/>
      <c r="CA50" s="21" t="str">
        <f>IFERROR(VLOOKUP(January[[#This Row],[Drug Name8]],'Data Options'!$R$1:$S$100,2,FALSE), " ")</f>
        <v xml:space="preserve"> </v>
      </c>
      <c r="CB50" s="55"/>
      <c r="CC50" s="32"/>
      <c r="CD50" s="32"/>
      <c r="CE50" s="55"/>
      <c r="CF50" s="32"/>
      <c r="CG50" s="54"/>
      <c r="CH50" s="21" t="str">
        <f>IFERROR(VLOOKUP(January[[#This Row],[Drug Name9]],'Data Options'!$R$1:$S$100,2,FALSE), " ")</f>
        <v xml:space="preserve"> </v>
      </c>
      <c r="CI50" s="55"/>
      <c r="CJ50" s="32"/>
      <c r="CK50" s="32"/>
      <c r="CL50" s="55"/>
      <c r="CM50" s="32"/>
    </row>
    <row r="51" spans="1:9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54"/>
      <c r="R51" s="21" t="str">
        <f>IFERROR(VLOOKUP(January[[#This Row],[Drug Name]],'Data Options'!$R$1:$S$100,2,FALSE), " ")</f>
        <v xml:space="preserve"> </v>
      </c>
      <c r="S51" s="55"/>
      <c r="T51" s="32"/>
      <c r="U51" s="32"/>
      <c r="V51" s="55"/>
      <c r="W51" s="32"/>
      <c r="X51" s="54"/>
      <c r="Y51" s="21" t="str">
        <f>IFERROR(VLOOKUP(January[[#This Row],[Drug Name2]],'Data Options'!$R$1:$S$100,2,FALSE), " ")</f>
        <v xml:space="preserve"> </v>
      </c>
      <c r="Z51" s="55"/>
      <c r="AA51" s="32"/>
      <c r="AB51" s="32"/>
      <c r="AC51" s="55"/>
      <c r="AD51" s="32"/>
      <c r="AE51" s="54"/>
      <c r="AF51" s="21" t="str">
        <f>IFERROR(VLOOKUP(January[[#This Row],[Drug Name3]],'Data Options'!$R$1:$S$100,2,FALSE), " ")</f>
        <v xml:space="preserve"> </v>
      </c>
      <c r="AG51" s="55"/>
      <c r="AH51" s="32"/>
      <c r="AI51" s="32"/>
      <c r="AJ51" s="55"/>
      <c r="AK51" s="32"/>
      <c r="AL51" s="32"/>
      <c r="AM51" s="32"/>
      <c r="AN51" s="32"/>
      <c r="AO51" s="32"/>
      <c r="AP51" s="31"/>
      <c r="AQ51" s="31"/>
      <c r="AR51" s="54"/>
      <c r="AS51" s="21" t="str">
        <f>IFERROR(VLOOKUP(January[[#This Row],[Drug Name4]],'Data Options'!$R$1:$S$100,2,FALSE), " ")</f>
        <v xml:space="preserve"> </v>
      </c>
      <c r="AT51" s="55"/>
      <c r="AU51" s="32"/>
      <c r="AV51" s="32"/>
      <c r="AW51" s="55"/>
      <c r="AX51" s="32"/>
      <c r="AY51" s="54"/>
      <c r="AZ51" s="21" t="str">
        <f>IFERROR(VLOOKUP(January[[#This Row],[Drug Name5]],'Data Options'!$R$1:$S$100,2,FALSE), " ")</f>
        <v xml:space="preserve"> </v>
      </c>
      <c r="BA51" s="55"/>
      <c r="BB51" s="32"/>
      <c r="BC51" s="32"/>
      <c r="BD51" s="55"/>
      <c r="BE51" s="32"/>
      <c r="BF51" s="54"/>
      <c r="BG51" s="21" t="str">
        <f>IFERROR(VLOOKUP(January[[#This Row],[Drug Name6]],'Data Options'!$R$1:$S$100,2,FALSE), " ")</f>
        <v xml:space="preserve"> </v>
      </c>
      <c r="BH51" s="55"/>
      <c r="BI51" s="32"/>
      <c r="BJ51" s="32"/>
      <c r="BK51" s="55"/>
      <c r="BL51" s="32"/>
      <c r="BM51" s="32"/>
      <c r="BN51" s="32"/>
      <c r="BO51" s="32"/>
      <c r="BP51" s="32"/>
      <c r="BQ51" s="31"/>
      <c r="BR51" s="31"/>
      <c r="BS51" s="54"/>
      <c r="BT51" s="21" t="str">
        <f>IFERROR(VLOOKUP(January[[#This Row],[Drug Name7]],'Data Options'!$R$1:$S$100,2,FALSE), " ")</f>
        <v xml:space="preserve"> </v>
      </c>
      <c r="BU51" s="55"/>
      <c r="BV51" s="32"/>
      <c r="BW51" s="32"/>
      <c r="BX51" s="55"/>
      <c r="BY51" s="32"/>
      <c r="BZ51" s="54"/>
      <c r="CA51" s="21" t="str">
        <f>IFERROR(VLOOKUP(January[[#This Row],[Drug Name8]],'Data Options'!$R$1:$S$100,2,FALSE), " ")</f>
        <v xml:space="preserve"> </v>
      </c>
      <c r="CB51" s="55"/>
      <c r="CC51" s="32"/>
      <c r="CD51" s="32"/>
      <c r="CE51" s="55"/>
      <c r="CF51" s="32"/>
      <c r="CG51" s="54"/>
      <c r="CH51" s="21" t="str">
        <f>IFERROR(VLOOKUP(January[[#This Row],[Drug Name9]],'Data Options'!$R$1:$S$100,2,FALSE), " ")</f>
        <v xml:space="preserve"> </v>
      </c>
      <c r="CI51" s="55"/>
      <c r="CJ51" s="32"/>
      <c r="CK51" s="32"/>
      <c r="CL51" s="55"/>
      <c r="CM51" s="32"/>
    </row>
    <row r="52" spans="1:9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54"/>
      <c r="R52" s="21" t="str">
        <f>IFERROR(VLOOKUP(January[[#This Row],[Drug Name]],'Data Options'!$R$1:$S$100,2,FALSE), " ")</f>
        <v xml:space="preserve"> </v>
      </c>
      <c r="S52" s="55"/>
      <c r="T52" s="32"/>
      <c r="U52" s="32"/>
      <c r="V52" s="55"/>
      <c r="W52" s="32"/>
      <c r="X52" s="54"/>
      <c r="Y52" s="21" t="str">
        <f>IFERROR(VLOOKUP(January[[#This Row],[Drug Name2]],'Data Options'!$R$1:$S$100,2,FALSE), " ")</f>
        <v xml:space="preserve"> </v>
      </c>
      <c r="Z52" s="55"/>
      <c r="AA52" s="32"/>
      <c r="AB52" s="32"/>
      <c r="AC52" s="55"/>
      <c r="AD52" s="32"/>
      <c r="AE52" s="54"/>
      <c r="AF52" s="21" t="str">
        <f>IFERROR(VLOOKUP(January[[#This Row],[Drug Name3]],'Data Options'!$R$1:$S$100,2,FALSE), " ")</f>
        <v xml:space="preserve"> </v>
      </c>
      <c r="AG52" s="55"/>
      <c r="AH52" s="32"/>
      <c r="AI52" s="32"/>
      <c r="AJ52" s="55"/>
      <c r="AK52" s="32"/>
      <c r="AL52" s="32"/>
      <c r="AM52" s="32"/>
      <c r="AN52" s="32"/>
      <c r="AO52" s="32"/>
      <c r="AP52" s="31"/>
      <c r="AQ52" s="31"/>
      <c r="AR52" s="54"/>
      <c r="AS52" s="21" t="str">
        <f>IFERROR(VLOOKUP(January[[#This Row],[Drug Name4]],'Data Options'!$R$1:$S$100,2,FALSE), " ")</f>
        <v xml:space="preserve"> </v>
      </c>
      <c r="AT52" s="55"/>
      <c r="AU52" s="32"/>
      <c r="AV52" s="32"/>
      <c r="AW52" s="55"/>
      <c r="AX52" s="32"/>
      <c r="AY52" s="54"/>
      <c r="AZ52" s="21" t="str">
        <f>IFERROR(VLOOKUP(January[[#This Row],[Drug Name5]],'Data Options'!$R$1:$S$100,2,FALSE), " ")</f>
        <v xml:space="preserve"> </v>
      </c>
      <c r="BA52" s="55"/>
      <c r="BB52" s="32"/>
      <c r="BC52" s="32"/>
      <c r="BD52" s="55"/>
      <c r="BE52" s="32"/>
      <c r="BF52" s="54"/>
      <c r="BG52" s="21" t="str">
        <f>IFERROR(VLOOKUP(January[[#This Row],[Drug Name6]],'Data Options'!$R$1:$S$100,2,FALSE), " ")</f>
        <v xml:space="preserve"> </v>
      </c>
      <c r="BH52" s="55"/>
      <c r="BI52" s="32"/>
      <c r="BJ52" s="32"/>
      <c r="BK52" s="55"/>
      <c r="BL52" s="32"/>
      <c r="BM52" s="32"/>
      <c r="BN52" s="32"/>
      <c r="BO52" s="32"/>
      <c r="BP52" s="32"/>
      <c r="BQ52" s="31"/>
      <c r="BR52" s="31"/>
      <c r="BS52" s="54"/>
      <c r="BT52" s="21" t="str">
        <f>IFERROR(VLOOKUP(January[[#This Row],[Drug Name7]],'Data Options'!$R$1:$S$100,2,FALSE), " ")</f>
        <v xml:space="preserve"> </v>
      </c>
      <c r="BU52" s="55"/>
      <c r="BV52" s="32"/>
      <c r="BW52" s="32"/>
      <c r="BX52" s="55"/>
      <c r="BY52" s="32"/>
      <c r="BZ52" s="54"/>
      <c r="CA52" s="21" t="str">
        <f>IFERROR(VLOOKUP(January[[#This Row],[Drug Name8]],'Data Options'!$R$1:$S$100,2,FALSE), " ")</f>
        <v xml:space="preserve"> </v>
      </c>
      <c r="CB52" s="55"/>
      <c r="CC52" s="32"/>
      <c r="CD52" s="32"/>
      <c r="CE52" s="55"/>
      <c r="CF52" s="32"/>
      <c r="CG52" s="54"/>
      <c r="CH52" s="21" t="str">
        <f>IFERROR(VLOOKUP(January[[#This Row],[Drug Name9]],'Data Options'!$R$1:$S$100,2,FALSE), " ")</f>
        <v xml:space="preserve"> </v>
      </c>
      <c r="CI52" s="55"/>
      <c r="CJ52" s="32"/>
      <c r="CK52" s="32"/>
      <c r="CL52" s="55"/>
      <c r="CM52" s="32"/>
    </row>
    <row r="53" spans="1:91">
      <c r="A53" s="5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54"/>
      <c r="R53" s="21" t="str">
        <f>IFERROR(VLOOKUP(January[[#This Row],[Drug Name]],'Data Options'!$R$1:$S$100,2,FALSE), " ")</f>
        <v xml:space="preserve"> </v>
      </c>
      <c r="S53" s="55"/>
      <c r="T53" s="32"/>
      <c r="U53" s="32"/>
      <c r="V53" s="55"/>
      <c r="W53" s="32"/>
      <c r="X53" s="54"/>
      <c r="Y53" s="21" t="str">
        <f>IFERROR(VLOOKUP(January[[#This Row],[Drug Name2]],'Data Options'!$R$1:$S$100,2,FALSE), " ")</f>
        <v xml:space="preserve"> </v>
      </c>
      <c r="Z53" s="55"/>
      <c r="AA53" s="32"/>
      <c r="AB53" s="32"/>
      <c r="AC53" s="55"/>
      <c r="AD53" s="32"/>
      <c r="AE53" s="54"/>
      <c r="AF53" s="21" t="str">
        <f>IFERROR(VLOOKUP(January[[#This Row],[Drug Name3]],'Data Options'!$R$1:$S$100,2,FALSE), " ")</f>
        <v xml:space="preserve"> </v>
      </c>
      <c r="AG53" s="55"/>
      <c r="AH53" s="32"/>
      <c r="AI53" s="32"/>
      <c r="AJ53" s="55"/>
      <c r="AK53" s="32"/>
      <c r="AL53" s="32"/>
      <c r="AM53" s="32"/>
      <c r="AN53" s="32"/>
      <c r="AO53" s="32"/>
      <c r="AP53" s="31"/>
      <c r="AQ53" s="31"/>
      <c r="AR53" s="54"/>
      <c r="AS53" s="21" t="str">
        <f>IFERROR(VLOOKUP(January[[#This Row],[Drug Name4]],'Data Options'!$R$1:$S$100,2,FALSE), " ")</f>
        <v xml:space="preserve"> </v>
      </c>
      <c r="AT53" s="55"/>
      <c r="AU53" s="32"/>
      <c r="AV53" s="32"/>
      <c r="AW53" s="55"/>
      <c r="AX53" s="32"/>
      <c r="AY53" s="54"/>
      <c r="AZ53" s="21" t="str">
        <f>IFERROR(VLOOKUP(January[[#This Row],[Drug Name5]],'Data Options'!$R$1:$S$100,2,FALSE), " ")</f>
        <v xml:space="preserve"> </v>
      </c>
      <c r="BA53" s="55"/>
      <c r="BB53" s="32"/>
      <c r="BC53" s="32"/>
      <c r="BD53" s="55"/>
      <c r="BE53" s="32"/>
      <c r="BF53" s="54"/>
      <c r="BG53" s="21" t="str">
        <f>IFERROR(VLOOKUP(January[[#This Row],[Drug Name6]],'Data Options'!$R$1:$S$100,2,FALSE), " ")</f>
        <v xml:space="preserve"> </v>
      </c>
      <c r="BH53" s="55"/>
      <c r="BI53" s="32"/>
      <c r="BJ53" s="32"/>
      <c r="BK53" s="55"/>
      <c r="BL53" s="32"/>
      <c r="BM53" s="32"/>
      <c r="BN53" s="32"/>
      <c r="BO53" s="32"/>
      <c r="BP53" s="32"/>
      <c r="BQ53" s="31"/>
      <c r="BR53" s="31"/>
      <c r="BS53" s="54"/>
      <c r="BT53" s="21" t="str">
        <f>IFERROR(VLOOKUP(January[[#This Row],[Drug Name7]],'Data Options'!$R$1:$S$100,2,FALSE), " ")</f>
        <v xml:space="preserve"> </v>
      </c>
      <c r="BU53" s="55"/>
      <c r="BV53" s="32"/>
      <c r="BW53" s="32"/>
      <c r="BX53" s="55"/>
      <c r="BY53" s="32"/>
      <c r="BZ53" s="54"/>
      <c r="CA53" s="21" t="str">
        <f>IFERROR(VLOOKUP(January[[#This Row],[Drug Name8]],'Data Options'!$R$1:$S$100,2,FALSE), " ")</f>
        <v xml:space="preserve"> </v>
      </c>
      <c r="CB53" s="55"/>
      <c r="CC53" s="32"/>
      <c r="CD53" s="32"/>
      <c r="CE53" s="55"/>
      <c r="CF53" s="32"/>
      <c r="CG53" s="54"/>
      <c r="CH53" s="21" t="str">
        <f>IFERROR(VLOOKUP(January[[#This Row],[Drug Name9]],'Data Options'!$R$1:$S$100,2,FALSE), " ")</f>
        <v xml:space="preserve"> </v>
      </c>
      <c r="CI53" s="55"/>
      <c r="CJ53" s="32"/>
      <c r="CK53" s="32"/>
      <c r="CL53" s="55"/>
      <c r="CM53" s="32"/>
    </row>
    <row r="54" spans="1:91">
      <c r="A54" s="5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54"/>
      <c r="R54" s="21" t="str">
        <f>IFERROR(VLOOKUP(January[[#This Row],[Drug Name]],'Data Options'!$R$1:$S$100,2,FALSE), " ")</f>
        <v xml:space="preserve"> </v>
      </c>
      <c r="S54" s="55"/>
      <c r="T54" s="32"/>
      <c r="U54" s="32"/>
      <c r="V54" s="55"/>
      <c r="W54" s="32"/>
      <c r="X54" s="54"/>
      <c r="Y54" s="21" t="str">
        <f>IFERROR(VLOOKUP(January[[#This Row],[Drug Name2]],'Data Options'!$R$1:$S$100,2,FALSE), " ")</f>
        <v xml:space="preserve"> </v>
      </c>
      <c r="Z54" s="55"/>
      <c r="AA54" s="32"/>
      <c r="AB54" s="32"/>
      <c r="AC54" s="55"/>
      <c r="AD54" s="32"/>
      <c r="AE54" s="54"/>
      <c r="AF54" s="21" t="str">
        <f>IFERROR(VLOOKUP(January[[#This Row],[Drug Name3]],'Data Options'!$R$1:$S$100,2,FALSE), " ")</f>
        <v xml:space="preserve"> </v>
      </c>
      <c r="AG54" s="55"/>
      <c r="AH54" s="32"/>
      <c r="AI54" s="32"/>
      <c r="AJ54" s="55"/>
      <c r="AK54" s="32"/>
      <c r="AL54" s="32"/>
      <c r="AM54" s="32"/>
      <c r="AN54" s="32"/>
      <c r="AO54" s="32"/>
      <c r="AP54" s="31"/>
      <c r="AQ54" s="31"/>
      <c r="AR54" s="54"/>
      <c r="AS54" s="21" t="str">
        <f>IFERROR(VLOOKUP(January[[#This Row],[Drug Name4]],'Data Options'!$R$1:$S$100,2,FALSE), " ")</f>
        <v xml:space="preserve"> </v>
      </c>
      <c r="AT54" s="55"/>
      <c r="AU54" s="32"/>
      <c r="AV54" s="32"/>
      <c r="AW54" s="55"/>
      <c r="AX54" s="32"/>
      <c r="AY54" s="54"/>
      <c r="AZ54" s="21" t="str">
        <f>IFERROR(VLOOKUP(January[[#This Row],[Drug Name5]],'Data Options'!$R$1:$S$100,2,FALSE), " ")</f>
        <v xml:space="preserve"> </v>
      </c>
      <c r="BA54" s="55"/>
      <c r="BB54" s="32"/>
      <c r="BC54" s="32"/>
      <c r="BD54" s="55"/>
      <c r="BE54" s="32"/>
      <c r="BF54" s="54"/>
      <c r="BG54" s="21" t="str">
        <f>IFERROR(VLOOKUP(January[[#This Row],[Drug Name6]],'Data Options'!$R$1:$S$100,2,FALSE), " ")</f>
        <v xml:space="preserve"> </v>
      </c>
      <c r="BH54" s="55"/>
      <c r="BI54" s="32"/>
      <c r="BJ54" s="32"/>
      <c r="BK54" s="55"/>
      <c r="BL54" s="32"/>
      <c r="BM54" s="32"/>
      <c r="BN54" s="32"/>
      <c r="BO54" s="32"/>
      <c r="BP54" s="32"/>
      <c r="BQ54" s="31"/>
      <c r="BR54" s="31"/>
      <c r="BS54" s="54"/>
      <c r="BT54" s="21" t="str">
        <f>IFERROR(VLOOKUP(January[[#This Row],[Drug Name7]],'Data Options'!$R$1:$S$100,2,FALSE), " ")</f>
        <v xml:space="preserve"> </v>
      </c>
      <c r="BU54" s="55"/>
      <c r="BV54" s="32"/>
      <c r="BW54" s="32"/>
      <c r="BX54" s="55"/>
      <c r="BY54" s="32"/>
      <c r="BZ54" s="54"/>
      <c r="CA54" s="21" t="str">
        <f>IFERROR(VLOOKUP(January[[#This Row],[Drug Name8]],'Data Options'!$R$1:$S$100,2,FALSE), " ")</f>
        <v xml:space="preserve"> </v>
      </c>
      <c r="CB54" s="55"/>
      <c r="CC54" s="32"/>
      <c r="CD54" s="32"/>
      <c r="CE54" s="55"/>
      <c r="CF54" s="32"/>
      <c r="CG54" s="54"/>
      <c r="CH54" s="21" t="str">
        <f>IFERROR(VLOOKUP(January[[#This Row],[Drug Name9]],'Data Options'!$R$1:$S$100,2,FALSE), " ")</f>
        <v xml:space="preserve"> </v>
      </c>
      <c r="CI54" s="55"/>
      <c r="CJ54" s="32"/>
      <c r="CK54" s="32"/>
      <c r="CL54" s="55"/>
      <c r="CM54" s="32"/>
    </row>
    <row r="55" spans="1:91">
      <c r="A55" s="5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54"/>
      <c r="R55" s="21" t="str">
        <f>IFERROR(VLOOKUP(January[[#This Row],[Drug Name]],'Data Options'!$R$1:$S$100,2,FALSE), " ")</f>
        <v xml:space="preserve"> </v>
      </c>
      <c r="S55" s="55"/>
      <c r="T55" s="32"/>
      <c r="U55" s="32"/>
      <c r="V55" s="55"/>
      <c r="W55" s="32"/>
      <c r="X55" s="54"/>
      <c r="Y55" s="21" t="str">
        <f>IFERROR(VLOOKUP(January[[#This Row],[Drug Name2]],'Data Options'!$R$1:$S$100,2,FALSE), " ")</f>
        <v xml:space="preserve"> </v>
      </c>
      <c r="Z55" s="55"/>
      <c r="AA55" s="32"/>
      <c r="AB55" s="32"/>
      <c r="AC55" s="55"/>
      <c r="AD55" s="32"/>
      <c r="AE55" s="54"/>
      <c r="AF55" s="21" t="str">
        <f>IFERROR(VLOOKUP(January[[#This Row],[Drug Name3]],'Data Options'!$R$1:$S$100,2,FALSE), " ")</f>
        <v xml:space="preserve"> </v>
      </c>
      <c r="AG55" s="55"/>
      <c r="AH55" s="32"/>
      <c r="AI55" s="32"/>
      <c r="AJ55" s="55"/>
      <c r="AK55" s="32"/>
      <c r="AL55" s="32"/>
      <c r="AM55" s="32"/>
      <c r="AN55" s="32"/>
      <c r="AO55" s="32"/>
      <c r="AP55" s="31"/>
      <c r="AQ55" s="31"/>
      <c r="AR55" s="54"/>
      <c r="AS55" s="21" t="str">
        <f>IFERROR(VLOOKUP(January[[#This Row],[Drug Name4]],'Data Options'!$R$1:$S$100,2,FALSE), " ")</f>
        <v xml:space="preserve"> </v>
      </c>
      <c r="AT55" s="55"/>
      <c r="AU55" s="32"/>
      <c r="AV55" s="32"/>
      <c r="AW55" s="55"/>
      <c r="AX55" s="32"/>
      <c r="AY55" s="54"/>
      <c r="AZ55" s="21" t="str">
        <f>IFERROR(VLOOKUP(January[[#This Row],[Drug Name5]],'Data Options'!$R$1:$S$100,2,FALSE), " ")</f>
        <v xml:space="preserve"> </v>
      </c>
      <c r="BA55" s="55"/>
      <c r="BB55" s="32"/>
      <c r="BC55" s="32"/>
      <c r="BD55" s="55"/>
      <c r="BE55" s="32"/>
      <c r="BF55" s="54"/>
      <c r="BG55" s="21" t="str">
        <f>IFERROR(VLOOKUP(January[[#This Row],[Drug Name6]],'Data Options'!$R$1:$S$100,2,FALSE), " ")</f>
        <v xml:space="preserve"> </v>
      </c>
      <c r="BH55" s="55"/>
      <c r="BI55" s="32"/>
      <c r="BJ55" s="32"/>
      <c r="BK55" s="55"/>
      <c r="BL55" s="32"/>
      <c r="BM55" s="32"/>
      <c r="BN55" s="32"/>
      <c r="BO55" s="32"/>
      <c r="BP55" s="32"/>
      <c r="BQ55" s="31"/>
      <c r="BR55" s="31"/>
      <c r="BS55" s="54"/>
      <c r="BT55" s="21" t="str">
        <f>IFERROR(VLOOKUP(January[[#This Row],[Drug Name7]],'Data Options'!$R$1:$S$100,2,FALSE), " ")</f>
        <v xml:space="preserve"> </v>
      </c>
      <c r="BU55" s="55"/>
      <c r="BV55" s="32"/>
      <c r="BW55" s="32"/>
      <c r="BX55" s="55"/>
      <c r="BY55" s="32"/>
      <c r="BZ55" s="54"/>
      <c r="CA55" s="21" t="str">
        <f>IFERROR(VLOOKUP(January[[#This Row],[Drug Name8]],'Data Options'!$R$1:$S$100,2,FALSE), " ")</f>
        <v xml:space="preserve"> </v>
      </c>
      <c r="CB55" s="55"/>
      <c r="CC55" s="32"/>
      <c r="CD55" s="32"/>
      <c r="CE55" s="55"/>
      <c r="CF55" s="32"/>
      <c r="CG55" s="54"/>
      <c r="CH55" s="21" t="str">
        <f>IFERROR(VLOOKUP(January[[#This Row],[Drug Name9]],'Data Options'!$R$1:$S$100,2,FALSE), " ")</f>
        <v xml:space="preserve"> </v>
      </c>
      <c r="CI55" s="55"/>
      <c r="CJ55" s="32"/>
      <c r="CK55" s="32"/>
      <c r="CL55" s="55"/>
      <c r="CM55" s="32"/>
    </row>
    <row r="56" spans="1:91">
      <c r="A56" s="5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54"/>
      <c r="R56" s="21" t="str">
        <f>IFERROR(VLOOKUP(January[[#This Row],[Drug Name]],'Data Options'!$R$1:$S$100,2,FALSE), " ")</f>
        <v xml:space="preserve"> </v>
      </c>
      <c r="S56" s="55"/>
      <c r="T56" s="32"/>
      <c r="U56" s="32"/>
      <c r="V56" s="55"/>
      <c r="W56" s="32"/>
      <c r="X56" s="54"/>
      <c r="Y56" s="21" t="str">
        <f>IFERROR(VLOOKUP(January[[#This Row],[Drug Name2]],'Data Options'!$R$1:$S$100,2,FALSE), " ")</f>
        <v xml:space="preserve"> </v>
      </c>
      <c r="Z56" s="55"/>
      <c r="AA56" s="32"/>
      <c r="AB56" s="32"/>
      <c r="AC56" s="55"/>
      <c r="AD56" s="32"/>
      <c r="AE56" s="54"/>
      <c r="AF56" s="21" t="str">
        <f>IFERROR(VLOOKUP(January[[#This Row],[Drug Name3]],'Data Options'!$R$1:$S$100,2,FALSE), " ")</f>
        <v xml:space="preserve"> </v>
      </c>
      <c r="AG56" s="55"/>
      <c r="AH56" s="32"/>
      <c r="AI56" s="32"/>
      <c r="AJ56" s="55"/>
      <c r="AK56" s="32"/>
      <c r="AL56" s="32"/>
      <c r="AM56" s="32"/>
      <c r="AN56" s="32"/>
      <c r="AO56" s="32"/>
      <c r="AP56" s="31"/>
      <c r="AQ56" s="31"/>
      <c r="AR56" s="54"/>
      <c r="AS56" s="21" t="str">
        <f>IFERROR(VLOOKUP(January[[#This Row],[Drug Name4]],'Data Options'!$R$1:$S$100,2,FALSE), " ")</f>
        <v xml:space="preserve"> </v>
      </c>
      <c r="AT56" s="55"/>
      <c r="AU56" s="32"/>
      <c r="AV56" s="32"/>
      <c r="AW56" s="55"/>
      <c r="AX56" s="32"/>
      <c r="AY56" s="54"/>
      <c r="AZ56" s="21" t="str">
        <f>IFERROR(VLOOKUP(January[[#This Row],[Drug Name5]],'Data Options'!$R$1:$S$100,2,FALSE), " ")</f>
        <v xml:space="preserve"> </v>
      </c>
      <c r="BA56" s="55"/>
      <c r="BB56" s="32"/>
      <c r="BC56" s="32"/>
      <c r="BD56" s="55"/>
      <c r="BE56" s="32"/>
      <c r="BF56" s="54"/>
      <c r="BG56" s="21" t="str">
        <f>IFERROR(VLOOKUP(January[[#This Row],[Drug Name6]],'Data Options'!$R$1:$S$100,2,FALSE), " ")</f>
        <v xml:space="preserve"> </v>
      </c>
      <c r="BH56" s="55"/>
      <c r="BI56" s="32"/>
      <c r="BJ56" s="32"/>
      <c r="BK56" s="55"/>
      <c r="BL56" s="32"/>
      <c r="BM56" s="32"/>
      <c r="BN56" s="32"/>
      <c r="BO56" s="32"/>
      <c r="BP56" s="32"/>
      <c r="BQ56" s="31"/>
      <c r="BR56" s="31"/>
      <c r="BS56" s="54"/>
      <c r="BT56" s="21" t="str">
        <f>IFERROR(VLOOKUP(January[[#This Row],[Drug Name7]],'Data Options'!$R$1:$S$100,2,FALSE), " ")</f>
        <v xml:space="preserve"> </v>
      </c>
      <c r="BU56" s="55"/>
      <c r="BV56" s="32"/>
      <c r="BW56" s="32"/>
      <c r="BX56" s="55"/>
      <c r="BY56" s="32"/>
      <c r="BZ56" s="54"/>
      <c r="CA56" s="21" t="str">
        <f>IFERROR(VLOOKUP(January[[#This Row],[Drug Name8]],'Data Options'!$R$1:$S$100,2,FALSE), " ")</f>
        <v xml:space="preserve"> </v>
      </c>
      <c r="CB56" s="55"/>
      <c r="CC56" s="32"/>
      <c r="CD56" s="32"/>
      <c r="CE56" s="55"/>
      <c r="CF56" s="32"/>
      <c r="CG56" s="54"/>
      <c r="CH56" s="21" t="str">
        <f>IFERROR(VLOOKUP(January[[#This Row],[Drug Name9]],'Data Options'!$R$1:$S$100,2,FALSE), " ")</f>
        <v xml:space="preserve"> </v>
      </c>
      <c r="CI56" s="55"/>
      <c r="CJ56" s="32"/>
      <c r="CK56" s="32"/>
      <c r="CL56" s="55"/>
      <c r="CM56" s="32"/>
    </row>
    <row r="57" spans="1:91">
      <c r="A57" s="5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31"/>
      <c r="Q57" s="54"/>
      <c r="R57" s="21" t="str">
        <f>IFERROR(VLOOKUP(January[[#This Row],[Drug Name]],'Data Options'!$R$1:$S$100,2,FALSE), " ")</f>
        <v xml:space="preserve"> </v>
      </c>
      <c r="S57" s="55"/>
      <c r="T57" s="32"/>
      <c r="U57" s="32"/>
      <c r="V57" s="55"/>
      <c r="W57" s="32"/>
      <c r="X57" s="54"/>
      <c r="Y57" s="21" t="str">
        <f>IFERROR(VLOOKUP(January[[#This Row],[Drug Name2]],'Data Options'!$R$1:$S$100,2,FALSE), " ")</f>
        <v xml:space="preserve"> </v>
      </c>
      <c r="Z57" s="55"/>
      <c r="AA57" s="32"/>
      <c r="AB57" s="32"/>
      <c r="AC57" s="55"/>
      <c r="AD57" s="32"/>
      <c r="AE57" s="54"/>
      <c r="AF57" s="21" t="str">
        <f>IFERROR(VLOOKUP(January[[#This Row],[Drug Name3]],'Data Options'!$R$1:$S$100,2,FALSE), " ")</f>
        <v xml:space="preserve"> </v>
      </c>
      <c r="AG57" s="55"/>
      <c r="AH57" s="32"/>
      <c r="AI57" s="32"/>
      <c r="AJ57" s="55"/>
      <c r="AK57" s="32"/>
      <c r="AL57" s="32"/>
      <c r="AM57" s="32"/>
      <c r="AN57" s="32"/>
      <c r="AO57" s="32"/>
      <c r="AP57" s="31"/>
      <c r="AQ57" s="31"/>
      <c r="AR57" s="54"/>
      <c r="AS57" s="21" t="str">
        <f>IFERROR(VLOOKUP(January[[#This Row],[Drug Name4]],'Data Options'!$R$1:$S$100,2,FALSE), " ")</f>
        <v xml:space="preserve"> </v>
      </c>
      <c r="AT57" s="55"/>
      <c r="AU57" s="32"/>
      <c r="AV57" s="32"/>
      <c r="AW57" s="55"/>
      <c r="AX57" s="32"/>
      <c r="AY57" s="54"/>
      <c r="AZ57" s="21" t="str">
        <f>IFERROR(VLOOKUP(January[[#This Row],[Drug Name5]],'Data Options'!$R$1:$S$100,2,FALSE), " ")</f>
        <v xml:space="preserve"> </v>
      </c>
      <c r="BA57" s="55"/>
      <c r="BB57" s="32"/>
      <c r="BC57" s="32"/>
      <c r="BD57" s="55"/>
      <c r="BE57" s="32"/>
      <c r="BF57" s="54"/>
      <c r="BG57" s="21" t="str">
        <f>IFERROR(VLOOKUP(January[[#This Row],[Drug Name6]],'Data Options'!$R$1:$S$100,2,FALSE), " ")</f>
        <v xml:space="preserve"> </v>
      </c>
      <c r="BH57" s="55"/>
      <c r="BI57" s="32"/>
      <c r="BJ57" s="32"/>
      <c r="BK57" s="55"/>
      <c r="BL57" s="32"/>
      <c r="BM57" s="32"/>
      <c r="BN57" s="32"/>
      <c r="BO57" s="32"/>
      <c r="BP57" s="32"/>
      <c r="BQ57" s="31"/>
      <c r="BR57" s="31"/>
      <c r="BS57" s="54"/>
      <c r="BT57" s="21" t="str">
        <f>IFERROR(VLOOKUP(January[[#This Row],[Drug Name7]],'Data Options'!$R$1:$S$100,2,FALSE), " ")</f>
        <v xml:space="preserve"> </v>
      </c>
      <c r="BU57" s="55"/>
      <c r="BV57" s="32"/>
      <c r="BW57" s="32"/>
      <c r="BX57" s="55"/>
      <c r="BY57" s="32"/>
      <c r="BZ57" s="54"/>
      <c r="CA57" s="21" t="str">
        <f>IFERROR(VLOOKUP(January[[#This Row],[Drug Name8]],'Data Options'!$R$1:$S$100,2,FALSE), " ")</f>
        <v xml:space="preserve"> </v>
      </c>
      <c r="CB57" s="55"/>
      <c r="CC57" s="32"/>
      <c r="CD57" s="32"/>
      <c r="CE57" s="55"/>
      <c r="CF57" s="32"/>
      <c r="CG57" s="54"/>
      <c r="CH57" s="21" t="str">
        <f>IFERROR(VLOOKUP(January[[#This Row],[Drug Name9]],'Data Options'!$R$1:$S$100,2,FALSE), " ")</f>
        <v xml:space="preserve"> </v>
      </c>
      <c r="CI57" s="55"/>
      <c r="CJ57" s="32"/>
      <c r="CK57" s="32"/>
      <c r="CL57" s="55"/>
      <c r="CM57" s="32"/>
    </row>
    <row r="58" spans="1:9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54"/>
      <c r="R58" s="21" t="str">
        <f>IFERROR(VLOOKUP(January[[#This Row],[Drug Name]],'Data Options'!$R$1:$S$100,2,FALSE), " ")</f>
        <v xml:space="preserve"> </v>
      </c>
      <c r="S58" s="55"/>
      <c r="T58" s="32"/>
      <c r="U58" s="32"/>
      <c r="V58" s="55"/>
      <c r="W58" s="32"/>
      <c r="X58" s="54"/>
      <c r="Y58" s="21" t="str">
        <f>IFERROR(VLOOKUP(January[[#This Row],[Drug Name2]],'Data Options'!$R$1:$S$100,2,FALSE), " ")</f>
        <v xml:space="preserve"> </v>
      </c>
      <c r="Z58" s="55"/>
      <c r="AA58" s="32"/>
      <c r="AB58" s="32"/>
      <c r="AC58" s="55"/>
      <c r="AD58" s="32"/>
      <c r="AE58" s="54"/>
      <c r="AF58" s="21" t="str">
        <f>IFERROR(VLOOKUP(January[[#This Row],[Drug Name3]],'Data Options'!$R$1:$S$100,2,FALSE), " ")</f>
        <v xml:space="preserve"> </v>
      </c>
      <c r="AG58" s="55"/>
      <c r="AH58" s="32"/>
      <c r="AI58" s="32"/>
      <c r="AJ58" s="55"/>
      <c r="AK58" s="32"/>
      <c r="AL58" s="32"/>
      <c r="AM58" s="32"/>
      <c r="AN58" s="32"/>
      <c r="AO58" s="32"/>
      <c r="AP58" s="31"/>
      <c r="AQ58" s="31"/>
      <c r="AR58" s="54"/>
      <c r="AS58" s="21" t="str">
        <f>IFERROR(VLOOKUP(January[[#This Row],[Drug Name4]],'Data Options'!$R$1:$S$100,2,FALSE), " ")</f>
        <v xml:space="preserve"> </v>
      </c>
      <c r="AT58" s="55"/>
      <c r="AU58" s="32"/>
      <c r="AV58" s="32"/>
      <c r="AW58" s="55"/>
      <c r="AX58" s="32"/>
      <c r="AY58" s="54"/>
      <c r="AZ58" s="21" t="str">
        <f>IFERROR(VLOOKUP(January[[#This Row],[Drug Name5]],'Data Options'!$R$1:$S$100,2,FALSE), " ")</f>
        <v xml:space="preserve"> </v>
      </c>
      <c r="BA58" s="55"/>
      <c r="BB58" s="32"/>
      <c r="BC58" s="32"/>
      <c r="BD58" s="55"/>
      <c r="BE58" s="32"/>
      <c r="BF58" s="54"/>
      <c r="BG58" s="21" t="str">
        <f>IFERROR(VLOOKUP(January[[#This Row],[Drug Name6]],'Data Options'!$R$1:$S$100,2,FALSE), " ")</f>
        <v xml:space="preserve"> </v>
      </c>
      <c r="BH58" s="55"/>
      <c r="BI58" s="32"/>
      <c r="BJ58" s="32"/>
      <c r="BK58" s="55"/>
      <c r="BL58" s="32"/>
      <c r="BM58" s="32"/>
      <c r="BN58" s="32"/>
      <c r="BO58" s="32"/>
      <c r="BP58" s="32"/>
      <c r="BQ58" s="31"/>
      <c r="BR58" s="31"/>
      <c r="BS58" s="54"/>
      <c r="BT58" s="21" t="str">
        <f>IFERROR(VLOOKUP(January[[#This Row],[Drug Name7]],'Data Options'!$R$1:$S$100,2,FALSE), " ")</f>
        <v xml:space="preserve"> </v>
      </c>
      <c r="BU58" s="55"/>
      <c r="BV58" s="32"/>
      <c r="BW58" s="32"/>
      <c r="BX58" s="55"/>
      <c r="BY58" s="32"/>
      <c r="BZ58" s="54"/>
      <c r="CA58" s="21" t="str">
        <f>IFERROR(VLOOKUP(January[[#This Row],[Drug Name8]],'Data Options'!$R$1:$S$100,2,FALSE), " ")</f>
        <v xml:space="preserve"> </v>
      </c>
      <c r="CB58" s="55"/>
      <c r="CC58" s="32"/>
      <c r="CD58" s="32"/>
      <c r="CE58" s="55"/>
      <c r="CF58" s="32"/>
      <c r="CG58" s="54"/>
      <c r="CH58" s="21" t="str">
        <f>IFERROR(VLOOKUP(January[[#This Row],[Drug Name9]],'Data Options'!$R$1:$S$100,2,FALSE), " ")</f>
        <v xml:space="preserve"> </v>
      </c>
      <c r="CI58" s="55"/>
      <c r="CJ58" s="32"/>
      <c r="CK58" s="32"/>
      <c r="CL58" s="55"/>
      <c r="CM58" s="32"/>
    </row>
    <row r="59" spans="1:91">
      <c r="A59" s="5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31"/>
      <c r="Q59" s="54"/>
      <c r="R59" s="21" t="str">
        <f>IFERROR(VLOOKUP(January[[#This Row],[Drug Name]],'Data Options'!$R$1:$S$100,2,FALSE), " ")</f>
        <v xml:space="preserve"> </v>
      </c>
      <c r="S59" s="55"/>
      <c r="T59" s="32"/>
      <c r="U59" s="32"/>
      <c r="V59" s="55"/>
      <c r="W59" s="32"/>
      <c r="X59" s="54"/>
      <c r="Y59" s="21" t="str">
        <f>IFERROR(VLOOKUP(January[[#This Row],[Drug Name2]],'Data Options'!$R$1:$S$100,2,FALSE), " ")</f>
        <v xml:space="preserve"> </v>
      </c>
      <c r="Z59" s="55"/>
      <c r="AA59" s="32"/>
      <c r="AB59" s="32"/>
      <c r="AC59" s="55"/>
      <c r="AD59" s="32"/>
      <c r="AE59" s="54"/>
      <c r="AF59" s="21" t="str">
        <f>IFERROR(VLOOKUP(January[[#This Row],[Drug Name3]],'Data Options'!$R$1:$S$100,2,FALSE), " ")</f>
        <v xml:space="preserve"> </v>
      </c>
      <c r="AG59" s="55"/>
      <c r="AH59" s="32"/>
      <c r="AI59" s="32"/>
      <c r="AJ59" s="55"/>
      <c r="AK59" s="32"/>
      <c r="AL59" s="32"/>
      <c r="AM59" s="32"/>
      <c r="AN59" s="32"/>
      <c r="AO59" s="32"/>
      <c r="AP59" s="31"/>
      <c r="AQ59" s="31"/>
      <c r="AR59" s="54"/>
      <c r="AS59" s="21" t="str">
        <f>IFERROR(VLOOKUP(January[[#This Row],[Drug Name4]],'Data Options'!$R$1:$S$100,2,FALSE), " ")</f>
        <v xml:space="preserve"> </v>
      </c>
      <c r="AT59" s="55"/>
      <c r="AU59" s="32"/>
      <c r="AV59" s="32"/>
      <c r="AW59" s="55"/>
      <c r="AX59" s="32"/>
      <c r="AY59" s="54"/>
      <c r="AZ59" s="21" t="str">
        <f>IFERROR(VLOOKUP(January[[#This Row],[Drug Name5]],'Data Options'!$R$1:$S$100,2,FALSE), " ")</f>
        <v xml:space="preserve"> </v>
      </c>
      <c r="BA59" s="55"/>
      <c r="BB59" s="32"/>
      <c r="BC59" s="32"/>
      <c r="BD59" s="55"/>
      <c r="BE59" s="32"/>
      <c r="BF59" s="54"/>
      <c r="BG59" s="21" t="str">
        <f>IFERROR(VLOOKUP(January[[#This Row],[Drug Name6]],'Data Options'!$R$1:$S$100,2,FALSE), " ")</f>
        <v xml:space="preserve"> </v>
      </c>
      <c r="BH59" s="55"/>
      <c r="BI59" s="32"/>
      <c r="BJ59" s="32"/>
      <c r="BK59" s="55"/>
      <c r="BL59" s="32"/>
      <c r="BM59" s="32"/>
      <c r="BN59" s="32"/>
      <c r="BO59" s="32"/>
      <c r="BP59" s="32"/>
      <c r="BQ59" s="31"/>
      <c r="BR59" s="31"/>
      <c r="BS59" s="54"/>
      <c r="BT59" s="21" t="str">
        <f>IFERROR(VLOOKUP(January[[#This Row],[Drug Name7]],'Data Options'!$R$1:$S$100,2,FALSE), " ")</f>
        <v xml:space="preserve"> </v>
      </c>
      <c r="BU59" s="55"/>
      <c r="BV59" s="32"/>
      <c r="BW59" s="32"/>
      <c r="BX59" s="55"/>
      <c r="BY59" s="32"/>
      <c r="BZ59" s="54"/>
      <c r="CA59" s="21" t="str">
        <f>IFERROR(VLOOKUP(January[[#This Row],[Drug Name8]],'Data Options'!$R$1:$S$100,2,FALSE), " ")</f>
        <v xml:space="preserve"> </v>
      </c>
      <c r="CB59" s="55"/>
      <c r="CC59" s="32"/>
      <c r="CD59" s="32"/>
      <c r="CE59" s="55"/>
      <c r="CF59" s="32"/>
      <c r="CG59" s="54"/>
      <c r="CH59" s="21" t="str">
        <f>IFERROR(VLOOKUP(January[[#This Row],[Drug Name9]],'Data Options'!$R$1:$S$100,2,FALSE), " ")</f>
        <v xml:space="preserve"> </v>
      </c>
      <c r="CI59" s="55"/>
      <c r="CJ59" s="32"/>
      <c r="CK59" s="32"/>
      <c r="CL59" s="55"/>
      <c r="CM59" s="32"/>
    </row>
    <row r="60" spans="1:91">
      <c r="A60" s="5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31"/>
      <c r="Q60" s="54"/>
      <c r="R60" s="21" t="str">
        <f>IFERROR(VLOOKUP(January[[#This Row],[Drug Name]],'Data Options'!$R$1:$S$100,2,FALSE), " ")</f>
        <v xml:space="preserve"> </v>
      </c>
      <c r="S60" s="55"/>
      <c r="T60" s="32"/>
      <c r="U60" s="32"/>
      <c r="V60" s="55"/>
      <c r="W60" s="32"/>
      <c r="X60" s="54"/>
      <c r="Y60" s="21" t="str">
        <f>IFERROR(VLOOKUP(January[[#This Row],[Drug Name2]],'Data Options'!$R$1:$S$100,2,FALSE), " ")</f>
        <v xml:space="preserve"> </v>
      </c>
      <c r="Z60" s="55"/>
      <c r="AA60" s="32"/>
      <c r="AB60" s="32"/>
      <c r="AC60" s="55"/>
      <c r="AD60" s="32"/>
      <c r="AE60" s="54"/>
      <c r="AF60" s="21" t="str">
        <f>IFERROR(VLOOKUP(January[[#This Row],[Drug Name3]],'Data Options'!$R$1:$S$100,2,FALSE), " ")</f>
        <v xml:space="preserve"> </v>
      </c>
      <c r="AG60" s="55"/>
      <c r="AH60" s="32"/>
      <c r="AI60" s="32"/>
      <c r="AJ60" s="55"/>
      <c r="AK60" s="32"/>
      <c r="AL60" s="32"/>
      <c r="AM60" s="32"/>
      <c r="AN60" s="32"/>
      <c r="AO60" s="32"/>
      <c r="AP60" s="31"/>
      <c r="AQ60" s="31"/>
      <c r="AR60" s="54"/>
      <c r="AS60" s="21" t="str">
        <f>IFERROR(VLOOKUP(January[[#This Row],[Drug Name4]],'Data Options'!$R$1:$S$100,2,FALSE), " ")</f>
        <v xml:space="preserve"> </v>
      </c>
      <c r="AT60" s="55"/>
      <c r="AU60" s="32"/>
      <c r="AV60" s="32"/>
      <c r="AW60" s="55"/>
      <c r="AX60" s="32"/>
      <c r="AY60" s="54"/>
      <c r="AZ60" s="21" t="str">
        <f>IFERROR(VLOOKUP(January[[#This Row],[Drug Name5]],'Data Options'!$R$1:$S$100,2,FALSE), " ")</f>
        <v xml:space="preserve"> </v>
      </c>
      <c r="BA60" s="55"/>
      <c r="BB60" s="32"/>
      <c r="BC60" s="32"/>
      <c r="BD60" s="55"/>
      <c r="BE60" s="32"/>
      <c r="BF60" s="54"/>
      <c r="BG60" s="21" t="str">
        <f>IFERROR(VLOOKUP(January[[#This Row],[Drug Name6]],'Data Options'!$R$1:$S$100,2,FALSE), " ")</f>
        <v xml:space="preserve"> </v>
      </c>
      <c r="BH60" s="55"/>
      <c r="BI60" s="32"/>
      <c r="BJ60" s="32"/>
      <c r="BK60" s="55"/>
      <c r="BL60" s="32"/>
      <c r="BM60" s="32"/>
      <c r="BN60" s="32"/>
      <c r="BO60" s="32"/>
      <c r="BP60" s="32"/>
      <c r="BQ60" s="31"/>
      <c r="BR60" s="31"/>
      <c r="BS60" s="54"/>
      <c r="BT60" s="21" t="str">
        <f>IFERROR(VLOOKUP(January[[#This Row],[Drug Name7]],'Data Options'!$R$1:$S$100,2,FALSE), " ")</f>
        <v xml:space="preserve"> </v>
      </c>
      <c r="BU60" s="55"/>
      <c r="BV60" s="32"/>
      <c r="BW60" s="32"/>
      <c r="BX60" s="55"/>
      <c r="BY60" s="32"/>
      <c r="BZ60" s="54"/>
      <c r="CA60" s="21" t="str">
        <f>IFERROR(VLOOKUP(January[[#This Row],[Drug Name8]],'Data Options'!$R$1:$S$100,2,FALSE), " ")</f>
        <v xml:space="preserve"> </v>
      </c>
      <c r="CB60" s="55"/>
      <c r="CC60" s="32"/>
      <c r="CD60" s="32"/>
      <c r="CE60" s="55"/>
      <c r="CF60" s="32"/>
      <c r="CG60" s="54"/>
      <c r="CH60" s="21" t="str">
        <f>IFERROR(VLOOKUP(January[[#This Row],[Drug Name9]],'Data Options'!$R$1:$S$100,2,FALSE), " ")</f>
        <v xml:space="preserve"> </v>
      </c>
      <c r="CI60" s="55"/>
      <c r="CJ60" s="32"/>
      <c r="CK60" s="32"/>
      <c r="CL60" s="55"/>
      <c r="CM60" s="32"/>
    </row>
    <row r="61" spans="1:91">
      <c r="A61" s="5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31"/>
      <c r="Q61" s="54"/>
      <c r="R61" s="21" t="str">
        <f>IFERROR(VLOOKUP(January[[#This Row],[Drug Name]],'Data Options'!$R$1:$S$100,2,FALSE), " ")</f>
        <v xml:space="preserve"> </v>
      </c>
      <c r="S61" s="55"/>
      <c r="T61" s="32"/>
      <c r="U61" s="32"/>
      <c r="V61" s="55"/>
      <c r="W61" s="32"/>
      <c r="X61" s="54"/>
      <c r="Y61" s="21" t="str">
        <f>IFERROR(VLOOKUP(January[[#This Row],[Drug Name2]],'Data Options'!$R$1:$S$100,2,FALSE), " ")</f>
        <v xml:space="preserve"> </v>
      </c>
      <c r="Z61" s="55"/>
      <c r="AA61" s="32"/>
      <c r="AB61" s="32"/>
      <c r="AC61" s="55"/>
      <c r="AD61" s="32"/>
      <c r="AE61" s="54"/>
      <c r="AF61" s="21" t="str">
        <f>IFERROR(VLOOKUP(January[[#This Row],[Drug Name3]],'Data Options'!$R$1:$S$100,2,FALSE), " ")</f>
        <v xml:space="preserve"> </v>
      </c>
      <c r="AG61" s="55"/>
      <c r="AH61" s="32"/>
      <c r="AI61" s="32"/>
      <c r="AJ61" s="55"/>
      <c r="AK61" s="32"/>
      <c r="AL61" s="32"/>
      <c r="AM61" s="32"/>
      <c r="AN61" s="32"/>
      <c r="AO61" s="32"/>
      <c r="AP61" s="31"/>
      <c r="AQ61" s="31"/>
      <c r="AR61" s="54"/>
      <c r="AS61" s="21" t="str">
        <f>IFERROR(VLOOKUP(January[[#This Row],[Drug Name4]],'Data Options'!$R$1:$S$100,2,FALSE), " ")</f>
        <v xml:space="preserve"> </v>
      </c>
      <c r="AT61" s="55"/>
      <c r="AU61" s="32"/>
      <c r="AV61" s="32"/>
      <c r="AW61" s="55"/>
      <c r="AX61" s="32"/>
      <c r="AY61" s="54"/>
      <c r="AZ61" s="21" t="str">
        <f>IFERROR(VLOOKUP(January[[#This Row],[Drug Name5]],'Data Options'!$R$1:$S$100,2,FALSE), " ")</f>
        <v xml:space="preserve"> </v>
      </c>
      <c r="BA61" s="55"/>
      <c r="BB61" s="32"/>
      <c r="BC61" s="32"/>
      <c r="BD61" s="55"/>
      <c r="BE61" s="32"/>
      <c r="BF61" s="54"/>
      <c r="BG61" s="21" t="str">
        <f>IFERROR(VLOOKUP(January[[#This Row],[Drug Name6]],'Data Options'!$R$1:$S$100,2,FALSE), " ")</f>
        <v xml:space="preserve"> </v>
      </c>
      <c r="BH61" s="55"/>
      <c r="BI61" s="32"/>
      <c r="BJ61" s="32"/>
      <c r="BK61" s="55"/>
      <c r="BL61" s="32"/>
      <c r="BM61" s="32"/>
      <c r="BN61" s="32"/>
      <c r="BO61" s="32"/>
      <c r="BP61" s="32"/>
      <c r="BQ61" s="31"/>
      <c r="BR61" s="31"/>
      <c r="BS61" s="54"/>
      <c r="BT61" s="21" t="str">
        <f>IFERROR(VLOOKUP(January[[#This Row],[Drug Name7]],'Data Options'!$R$1:$S$100,2,FALSE), " ")</f>
        <v xml:space="preserve"> </v>
      </c>
      <c r="BU61" s="55"/>
      <c r="BV61" s="32"/>
      <c r="BW61" s="32"/>
      <c r="BX61" s="55"/>
      <c r="BY61" s="32"/>
      <c r="BZ61" s="54"/>
      <c r="CA61" s="21" t="str">
        <f>IFERROR(VLOOKUP(January[[#This Row],[Drug Name8]],'Data Options'!$R$1:$S$100,2,FALSE), " ")</f>
        <v xml:space="preserve"> </v>
      </c>
      <c r="CB61" s="55"/>
      <c r="CC61" s="32"/>
      <c r="CD61" s="32"/>
      <c r="CE61" s="55"/>
      <c r="CF61" s="32"/>
      <c r="CG61" s="54"/>
      <c r="CH61" s="21" t="str">
        <f>IFERROR(VLOOKUP(January[[#This Row],[Drug Name9]],'Data Options'!$R$1:$S$100,2,FALSE), " ")</f>
        <v xml:space="preserve"> </v>
      </c>
      <c r="CI61" s="55"/>
      <c r="CJ61" s="32"/>
      <c r="CK61" s="32"/>
      <c r="CL61" s="55"/>
      <c r="CM61" s="32"/>
    </row>
    <row r="62" spans="1:9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31"/>
      <c r="Q62" s="54"/>
      <c r="R62" s="21" t="str">
        <f>IFERROR(VLOOKUP(January[[#This Row],[Drug Name]],'Data Options'!$R$1:$S$100,2,FALSE), " ")</f>
        <v xml:space="preserve"> </v>
      </c>
      <c r="S62" s="55"/>
      <c r="T62" s="32"/>
      <c r="U62" s="32"/>
      <c r="V62" s="55"/>
      <c r="W62" s="32"/>
      <c r="X62" s="54"/>
      <c r="Y62" s="21" t="str">
        <f>IFERROR(VLOOKUP(January[[#This Row],[Drug Name2]],'Data Options'!$R$1:$S$100,2,FALSE), " ")</f>
        <v xml:space="preserve"> </v>
      </c>
      <c r="Z62" s="55"/>
      <c r="AA62" s="32"/>
      <c r="AB62" s="32"/>
      <c r="AC62" s="55"/>
      <c r="AD62" s="32"/>
      <c r="AE62" s="54"/>
      <c r="AF62" s="21" t="str">
        <f>IFERROR(VLOOKUP(January[[#This Row],[Drug Name3]],'Data Options'!$R$1:$S$100,2,FALSE), " ")</f>
        <v xml:space="preserve"> </v>
      </c>
      <c r="AG62" s="55"/>
      <c r="AH62" s="32"/>
      <c r="AI62" s="32"/>
      <c r="AJ62" s="55"/>
      <c r="AK62" s="32"/>
      <c r="AL62" s="32"/>
      <c r="AM62" s="32"/>
      <c r="AN62" s="32"/>
      <c r="AO62" s="32"/>
      <c r="AP62" s="31"/>
      <c r="AQ62" s="31"/>
      <c r="AR62" s="54"/>
      <c r="AS62" s="21" t="str">
        <f>IFERROR(VLOOKUP(January[[#This Row],[Drug Name4]],'Data Options'!$R$1:$S$100,2,FALSE), " ")</f>
        <v xml:space="preserve"> </v>
      </c>
      <c r="AT62" s="55"/>
      <c r="AU62" s="32"/>
      <c r="AV62" s="32"/>
      <c r="AW62" s="55"/>
      <c r="AX62" s="32"/>
      <c r="AY62" s="54"/>
      <c r="AZ62" s="21" t="str">
        <f>IFERROR(VLOOKUP(January[[#This Row],[Drug Name5]],'Data Options'!$R$1:$S$100,2,FALSE), " ")</f>
        <v xml:space="preserve"> </v>
      </c>
      <c r="BA62" s="55"/>
      <c r="BB62" s="32"/>
      <c r="BC62" s="32"/>
      <c r="BD62" s="55"/>
      <c r="BE62" s="32"/>
      <c r="BF62" s="54"/>
      <c r="BG62" s="21" t="str">
        <f>IFERROR(VLOOKUP(January[[#This Row],[Drug Name6]],'Data Options'!$R$1:$S$100,2,FALSE), " ")</f>
        <v xml:space="preserve"> </v>
      </c>
      <c r="BH62" s="55"/>
      <c r="BI62" s="32"/>
      <c r="BJ62" s="32"/>
      <c r="BK62" s="55"/>
      <c r="BL62" s="32"/>
      <c r="BM62" s="32"/>
      <c r="BN62" s="32"/>
      <c r="BO62" s="32"/>
      <c r="BP62" s="32"/>
      <c r="BQ62" s="31"/>
      <c r="BR62" s="31"/>
      <c r="BS62" s="54"/>
      <c r="BT62" s="21" t="str">
        <f>IFERROR(VLOOKUP(January[[#This Row],[Drug Name7]],'Data Options'!$R$1:$S$100,2,FALSE), " ")</f>
        <v xml:space="preserve"> </v>
      </c>
      <c r="BU62" s="55"/>
      <c r="BV62" s="32"/>
      <c r="BW62" s="32"/>
      <c r="BX62" s="55"/>
      <c r="BY62" s="32"/>
      <c r="BZ62" s="54"/>
      <c r="CA62" s="21" t="str">
        <f>IFERROR(VLOOKUP(January[[#This Row],[Drug Name8]],'Data Options'!$R$1:$S$100,2,FALSE), " ")</f>
        <v xml:space="preserve"> </v>
      </c>
      <c r="CB62" s="55"/>
      <c r="CC62" s="32"/>
      <c r="CD62" s="32"/>
      <c r="CE62" s="55"/>
      <c r="CF62" s="32"/>
      <c r="CG62" s="54"/>
      <c r="CH62" s="21" t="str">
        <f>IFERROR(VLOOKUP(January[[#This Row],[Drug Name9]],'Data Options'!$R$1:$S$100,2,FALSE), " ")</f>
        <v xml:space="preserve"> </v>
      </c>
      <c r="CI62" s="55"/>
      <c r="CJ62" s="32"/>
      <c r="CK62" s="32"/>
      <c r="CL62" s="55"/>
      <c r="CM62" s="32"/>
    </row>
    <row r="63" spans="1:91">
      <c r="A63" s="5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31"/>
      <c r="Q63" s="54"/>
      <c r="R63" s="21" t="str">
        <f>IFERROR(VLOOKUP(January[[#This Row],[Drug Name]],'Data Options'!$R$1:$S$100,2,FALSE), " ")</f>
        <v xml:space="preserve"> </v>
      </c>
      <c r="S63" s="55"/>
      <c r="T63" s="32"/>
      <c r="U63" s="32"/>
      <c r="V63" s="55"/>
      <c r="W63" s="32"/>
      <c r="X63" s="54"/>
      <c r="Y63" s="21" t="str">
        <f>IFERROR(VLOOKUP(January[[#This Row],[Drug Name2]],'Data Options'!$R$1:$S$100,2,FALSE), " ")</f>
        <v xml:space="preserve"> </v>
      </c>
      <c r="Z63" s="55"/>
      <c r="AA63" s="32"/>
      <c r="AB63" s="32"/>
      <c r="AC63" s="55"/>
      <c r="AD63" s="32"/>
      <c r="AE63" s="54"/>
      <c r="AF63" s="21" t="str">
        <f>IFERROR(VLOOKUP(January[[#This Row],[Drug Name3]],'Data Options'!$R$1:$S$100,2,FALSE), " ")</f>
        <v xml:space="preserve"> </v>
      </c>
      <c r="AG63" s="55"/>
      <c r="AH63" s="32"/>
      <c r="AI63" s="32"/>
      <c r="AJ63" s="55"/>
      <c r="AK63" s="32"/>
      <c r="AL63" s="32"/>
      <c r="AM63" s="32"/>
      <c r="AN63" s="32"/>
      <c r="AO63" s="32"/>
      <c r="AP63" s="31"/>
      <c r="AQ63" s="31"/>
      <c r="AR63" s="54"/>
      <c r="AS63" s="21" t="str">
        <f>IFERROR(VLOOKUP(January[[#This Row],[Drug Name4]],'Data Options'!$R$1:$S$100,2,FALSE), " ")</f>
        <v xml:space="preserve"> </v>
      </c>
      <c r="AT63" s="55"/>
      <c r="AU63" s="32"/>
      <c r="AV63" s="32"/>
      <c r="AW63" s="55"/>
      <c r="AX63" s="32"/>
      <c r="AY63" s="54"/>
      <c r="AZ63" s="21" t="str">
        <f>IFERROR(VLOOKUP(January[[#This Row],[Drug Name5]],'Data Options'!$R$1:$S$100,2,FALSE), " ")</f>
        <v xml:space="preserve"> </v>
      </c>
      <c r="BA63" s="55"/>
      <c r="BB63" s="32"/>
      <c r="BC63" s="32"/>
      <c r="BD63" s="55"/>
      <c r="BE63" s="32"/>
      <c r="BF63" s="54"/>
      <c r="BG63" s="21" t="str">
        <f>IFERROR(VLOOKUP(January[[#This Row],[Drug Name6]],'Data Options'!$R$1:$S$100,2,FALSE), " ")</f>
        <v xml:space="preserve"> </v>
      </c>
      <c r="BH63" s="55"/>
      <c r="BI63" s="32"/>
      <c r="BJ63" s="32"/>
      <c r="BK63" s="55"/>
      <c r="BL63" s="32"/>
      <c r="BM63" s="32"/>
      <c r="BN63" s="32"/>
      <c r="BO63" s="32"/>
      <c r="BP63" s="32"/>
      <c r="BQ63" s="31"/>
      <c r="BR63" s="31"/>
      <c r="BS63" s="54"/>
      <c r="BT63" s="21" t="str">
        <f>IFERROR(VLOOKUP(January[[#This Row],[Drug Name7]],'Data Options'!$R$1:$S$100,2,FALSE), " ")</f>
        <v xml:space="preserve"> </v>
      </c>
      <c r="BU63" s="55"/>
      <c r="BV63" s="32"/>
      <c r="BW63" s="32"/>
      <c r="BX63" s="55"/>
      <c r="BY63" s="32"/>
      <c r="BZ63" s="54"/>
      <c r="CA63" s="21" t="str">
        <f>IFERROR(VLOOKUP(January[[#This Row],[Drug Name8]],'Data Options'!$R$1:$S$100,2,FALSE), " ")</f>
        <v xml:space="preserve"> </v>
      </c>
      <c r="CB63" s="55"/>
      <c r="CC63" s="32"/>
      <c r="CD63" s="32"/>
      <c r="CE63" s="55"/>
      <c r="CF63" s="32"/>
      <c r="CG63" s="54"/>
      <c r="CH63" s="21" t="str">
        <f>IFERROR(VLOOKUP(January[[#This Row],[Drug Name9]],'Data Options'!$R$1:$S$100,2,FALSE), " ")</f>
        <v xml:space="preserve"> </v>
      </c>
      <c r="CI63" s="55"/>
      <c r="CJ63" s="32"/>
      <c r="CK63" s="32"/>
      <c r="CL63" s="55"/>
      <c r="CM63" s="32"/>
    </row>
    <row r="64" spans="1:91">
      <c r="A64" s="5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31"/>
      <c r="Q64" s="54"/>
      <c r="R64" s="21" t="str">
        <f>IFERROR(VLOOKUP(January[[#This Row],[Drug Name]],'Data Options'!$R$1:$S$100,2,FALSE), " ")</f>
        <v xml:space="preserve"> </v>
      </c>
      <c r="S64" s="55"/>
      <c r="T64" s="32"/>
      <c r="U64" s="32"/>
      <c r="V64" s="55"/>
      <c r="W64" s="32"/>
      <c r="X64" s="54"/>
      <c r="Y64" s="21" t="str">
        <f>IFERROR(VLOOKUP(January[[#This Row],[Drug Name2]],'Data Options'!$R$1:$S$100,2,FALSE), " ")</f>
        <v xml:space="preserve"> </v>
      </c>
      <c r="Z64" s="55"/>
      <c r="AA64" s="32"/>
      <c r="AB64" s="32"/>
      <c r="AC64" s="55"/>
      <c r="AD64" s="32"/>
      <c r="AE64" s="54"/>
      <c r="AF64" s="21" t="str">
        <f>IFERROR(VLOOKUP(January[[#This Row],[Drug Name3]],'Data Options'!$R$1:$S$100,2,FALSE), " ")</f>
        <v xml:space="preserve"> </v>
      </c>
      <c r="AG64" s="55"/>
      <c r="AH64" s="32"/>
      <c r="AI64" s="32"/>
      <c r="AJ64" s="55"/>
      <c r="AK64" s="32"/>
      <c r="AL64" s="32"/>
      <c r="AM64" s="32"/>
      <c r="AN64" s="32"/>
      <c r="AO64" s="32"/>
      <c r="AP64" s="31"/>
      <c r="AQ64" s="31"/>
      <c r="AR64" s="54"/>
      <c r="AS64" s="21" t="str">
        <f>IFERROR(VLOOKUP(January[[#This Row],[Drug Name4]],'Data Options'!$R$1:$S$100,2,FALSE), " ")</f>
        <v xml:space="preserve"> </v>
      </c>
      <c r="AT64" s="55"/>
      <c r="AU64" s="32"/>
      <c r="AV64" s="32"/>
      <c r="AW64" s="55"/>
      <c r="AX64" s="32"/>
      <c r="AY64" s="54"/>
      <c r="AZ64" s="21" t="str">
        <f>IFERROR(VLOOKUP(January[[#This Row],[Drug Name5]],'Data Options'!$R$1:$S$100,2,FALSE), " ")</f>
        <v xml:space="preserve"> </v>
      </c>
      <c r="BA64" s="55"/>
      <c r="BB64" s="32"/>
      <c r="BC64" s="32"/>
      <c r="BD64" s="55"/>
      <c r="BE64" s="32"/>
      <c r="BF64" s="54"/>
      <c r="BG64" s="21" t="str">
        <f>IFERROR(VLOOKUP(January[[#This Row],[Drug Name6]],'Data Options'!$R$1:$S$100,2,FALSE), " ")</f>
        <v xml:space="preserve"> </v>
      </c>
      <c r="BH64" s="55"/>
      <c r="BI64" s="32"/>
      <c r="BJ64" s="32"/>
      <c r="BK64" s="55"/>
      <c r="BL64" s="32"/>
      <c r="BM64" s="32"/>
      <c r="BN64" s="32"/>
      <c r="BO64" s="32"/>
      <c r="BP64" s="32"/>
      <c r="BQ64" s="31"/>
      <c r="BR64" s="31"/>
      <c r="BS64" s="54"/>
      <c r="BT64" s="21" t="str">
        <f>IFERROR(VLOOKUP(January[[#This Row],[Drug Name7]],'Data Options'!$R$1:$S$100,2,FALSE), " ")</f>
        <v xml:space="preserve"> </v>
      </c>
      <c r="BU64" s="55"/>
      <c r="BV64" s="32"/>
      <c r="BW64" s="32"/>
      <c r="BX64" s="55"/>
      <c r="BY64" s="32"/>
      <c r="BZ64" s="54"/>
      <c r="CA64" s="21" t="str">
        <f>IFERROR(VLOOKUP(January[[#This Row],[Drug Name8]],'Data Options'!$R$1:$S$100,2,FALSE), " ")</f>
        <v xml:space="preserve"> </v>
      </c>
      <c r="CB64" s="55"/>
      <c r="CC64" s="32"/>
      <c r="CD64" s="32"/>
      <c r="CE64" s="55"/>
      <c r="CF64" s="32"/>
      <c r="CG64" s="54"/>
      <c r="CH64" s="21" t="str">
        <f>IFERROR(VLOOKUP(January[[#This Row],[Drug Name9]],'Data Options'!$R$1:$S$100,2,FALSE), " ")</f>
        <v xml:space="preserve"> </v>
      </c>
      <c r="CI64" s="55"/>
      <c r="CJ64" s="32"/>
      <c r="CK64" s="32"/>
      <c r="CL64" s="55"/>
      <c r="CM64" s="32"/>
    </row>
    <row r="65" spans="1:91">
      <c r="A65" s="5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54"/>
      <c r="R65" s="21" t="str">
        <f>IFERROR(VLOOKUP(January[[#This Row],[Drug Name]],'Data Options'!$R$1:$S$100,2,FALSE), " ")</f>
        <v xml:space="preserve"> </v>
      </c>
      <c r="S65" s="55"/>
      <c r="T65" s="32"/>
      <c r="U65" s="32"/>
      <c r="V65" s="55"/>
      <c r="W65" s="32"/>
      <c r="X65" s="54"/>
      <c r="Y65" s="21" t="str">
        <f>IFERROR(VLOOKUP(January[[#This Row],[Drug Name2]],'Data Options'!$R$1:$S$100,2,FALSE), " ")</f>
        <v xml:space="preserve"> </v>
      </c>
      <c r="Z65" s="55"/>
      <c r="AA65" s="32"/>
      <c r="AB65" s="32"/>
      <c r="AC65" s="55"/>
      <c r="AD65" s="32"/>
      <c r="AE65" s="54"/>
      <c r="AF65" s="21" t="str">
        <f>IFERROR(VLOOKUP(January[[#This Row],[Drug Name3]],'Data Options'!$R$1:$S$100,2,FALSE), " ")</f>
        <v xml:space="preserve"> </v>
      </c>
      <c r="AG65" s="55"/>
      <c r="AH65" s="32"/>
      <c r="AI65" s="32"/>
      <c r="AJ65" s="55"/>
      <c r="AK65" s="32"/>
      <c r="AL65" s="32"/>
      <c r="AM65" s="32"/>
      <c r="AN65" s="32"/>
      <c r="AO65" s="32"/>
      <c r="AP65" s="31"/>
      <c r="AQ65" s="31"/>
      <c r="AR65" s="54"/>
      <c r="AS65" s="21" t="str">
        <f>IFERROR(VLOOKUP(January[[#This Row],[Drug Name4]],'Data Options'!$R$1:$S$100,2,FALSE), " ")</f>
        <v xml:space="preserve"> </v>
      </c>
      <c r="AT65" s="55"/>
      <c r="AU65" s="32"/>
      <c r="AV65" s="32"/>
      <c r="AW65" s="55"/>
      <c r="AX65" s="32"/>
      <c r="AY65" s="54"/>
      <c r="AZ65" s="21" t="str">
        <f>IFERROR(VLOOKUP(January[[#This Row],[Drug Name5]],'Data Options'!$R$1:$S$100,2,FALSE), " ")</f>
        <v xml:space="preserve"> </v>
      </c>
      <c r="BA65" s="55"/>
      <c r="BB65" s="32"/>
      <c r="BC65" s="32"/>
      <c r="BD65" s="55"/>
      <c r="BE65" s="32"/>
      <c r="BF65" s="54"/>
      <c r="BG65" s="21" t="str">
        <f>IFERROR(VLOOKUP(January[[#This Row],[Drug Name6]],'Data Options'!$R$1:$S$100,2,FALSE), " ")</f>
        <v xml:space="preserve"> </v>
      </c>
      <c r="BH65" s="55"/>
      <c r="BI65" s="32"/>
      <c r="BJ65" s="32"/>
      <c r="BK65" s="55"/>
      <c r="BL65" s="32"/>
      <c r="BM65" s="32"/>
      <c r="BN65" s="32"/>
      <c r="BO65" s="32"/>
      <c r="BP65" s="32"/>
      <c r="BQ65" s="31"/>
      <c r="BR65" s="31"/>
      <c r="BS65" s="54"/>
      <c r="BT65" s="21" t="str">
        <f>IFERROR(VLOOKUP(January[[#This Row],[Drug Name7]],'Data Options'!$R$1:$S$100,2,FALSE), " ")</f>
        <v xml:space="preserve"> </v>
      </c>
      <c r="BU65" s="55"/>
      <c r="BV65" s="32"/>
      <c r="BW65" s="32"/>
      <c r="BX65" s="55"/>
      <c r="BY65" s="32"/>
      <c r="BZ65" s="54"/>
      <c r="CA65" s="21" t="str">
        <f>IFERROR(VLOOKUP(January[[#This Row],[Drug Name8]],'Data Options'!$R$1:$S$100,2,FALSE), " ")</f>
        <v xml:space="preserve"> </v>
      </c>
      <c r="CB65" s="55"/>
      <c r="CC65" s="32"/>
      <c r="CD65" s="32"/>
      <c r="CE65" s="55"/>
      <c r="CF65" s="32"/>
      <c r="CG65" s="54"/>
      <c r="CH65" s="21" t="str">
        <f>IFERROR(VLOOKUP(January[[#This Row],[Drug Name9]],'Data Options'!$R$1:$S$100,2,FALSE), " ")</f>
        <v xml:space="preserve"> </v>
      </c>
      <c r="CI65" s="55"/>
      <c r="CJ65" s="32"/>
      <c r="CK65" s="32"/>
      <c r="CL65" s="55"/>
      <c r="CM65" s="32"/>
    </row>
    <row r="66" spans="1:91">
      <c r="A66" s="5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31"/>
      <c r="Q66" s="54"/>
      <c r="R66" s="21" t="str">
        <f>IFERROR(VLOOKUP(January[[#This Row],[Drug Name]],'Data Options'!$R$1:$S$100,2,FALSE), " ")</f>
        <v xml:space="preserve"> </v>
      </c>
      <c r="S66" s="55"/>
      <c r="T66" s="32"/>
      <c r="U66" s="32"/>
      <c r="V66" s="55"/>
      <c r="W66" s="32"/>
      <c r="X66" s="54"/>
      <c r="Y66" s="21" t="str">
        <f>IFERROR(VLOOKUP(January[[#This Row],[Drug Name2]],'Data Options'!$R$1:$S$100,2,FALSE), " ")</f>
        <v xml:space="preserve"> </v>
      </c>
      <c r="Z66" s="55"/>
      <c r="AA66" s="32"/>
      <c r="AB66" s="32"/>
      <c r="AC66" s="55"/>
      <c r="AD66" s="32"/>
      <c r="AE66" s="54"/>
      <c r="AF66" s="21" t="str">
        <f>IFERROR(VLOOKUP(January[[#This Row],[Drug Name3]],'Data Options'!$R$1:$S$100,2,FALSE), " ")</f>
        <v xml:space="preserve"> </v>
      </c>
      <c r="AG66" s="55"/>
      <c r="AH66" s="32"/>
      <c r="AI66" s="32"/>
      <c r="AJ66" s="55"/>
      <c r="AK66" s="32"/>
      <c r="AL66" s="32"/>
      <c r="AM66" s="32"/>
      <c r="AN66" s="32"/>
      <c r="AO66" s="32"/>
      <c r="AP66" s="31"/>
      <c r="AQ66" s="31"/>
      <c r="AR66" s="54"/>
      <c r="AS66" s="21" t="str">
        <f>IFERROR(VLOOKUP(January[[#This Row],[Drug Name4]],'Data Options'!$R$1:$S$100,2,FALSE), " ")</f>
        <v xml:space="preserve"> </v>
      </c>
      <c r="AT66" s="55"/>
      <c r="AU66" s="32"/>
      <c r="AV66" s="32"/>
      <c r="AW66" s="55"/>
      <c r="AX66" s="32"/>
      <c r="AY66" s="54"/>
      <c r="AZ66" s="21" t="str">
        <f>IFERROR(VLOOKUP(January[[#This Row],[Drug Name5]],'Data Options'!$R$1:$S$100,2,FALSE), " ")</f>
        <v xml:space="preserve"> </v>
      </c>
      <c r="BA66" s="55"/>
      <c r="BB66" s="32"/>
      <c r="BC66" s="32"/>
      <c r="BD66" s="55"/>
      <c r="BE66" s="32"/>
      <c r="BF66" s="54"/>
      <c r="BG66" s="21" t="str">
        <f>IFERROR(VLOOKUP(January[[#This Row],[Drug Name6]],'Data Options'!$R$1:$S$100,2,FALSE), " ")</f>
        <v xml:space="preserve"> </v>
      </c>
      <c r="BH66" s="55"/>
      <c r="BI66" s="32"/>
      <c r="BJ66" s="32"/>
      <c r="BK66" s="55"/>
      <c r="BL66" s="32"/>
      <c r="BM66" s="32"/>
      <c r="BN66" s="32"/>
      <c r="BO66" s="32"/>
      <c r="BP66" s="32"/>
      <c r="BQ66" s="31"/>
      <c r="BR66" s="31"/>
      <c r="BS66" s="54"/>
      <c r="BT66" s="21" t="str">
        <f>IFERROR(VLOOKUP(January[[#This Row],[Drug Name7]],'Data Options'!$R$1:$S$100,2,FALSE), " ")</f>
        <v xml:space="preserve"> </v>
      </c>
      <c r="BU66" s="55"/>
      <c r="BV66" s="32"/>
      <c r="BW66" s="32"/>
      <c r="BX66" s="55"/>
      <c r="BY66" s="32"/>
      <c r="BZ66" s="54"/>
      <c r="CA66" s="21" t="str">
        <f>IFERROR(VLOOKUP(January[[#This Row],[Drug Name8]],'Data Options'!$R$1:$S$100,2,FALSE), " ")</f>
        <v xml:space="preserve"> </v>
      </c>
      <c r="CB66" s="55"/>
      <c r="CC66" s="32"/>
      <c r="CD66" s="32"/>
      <c r="CE66" s="55"/>
      <c r="CF66" s="32"/>
      <c r="CG66" s="54"/>
      <c r="CH66" s="21" t="str">
        <f>IFERROR(VLOOKUP(January[[#This Row],[Drug Name9]],'Data Options'!$R$1:$S$100,2,FALSE), " ")</f>
        <v xml:space="preserve"> </v>
      </c>
      <c r="CI66" s="55"/>
      <c r="CJ66" s="32"/>
      <c r="CK66" s="32"/>
      <c r="CL66" s="55"/>
      <c r="CM66" s="32"/>
    </row>
    <row r="67" spans="1:91">
      <c r="A67" s="5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31"/>
      <c r="Q67" s="54"/>
      <c r="R67" s="21" t="str">
        <f>IFERROR(VLOOKUP(January[[#This Row],[Drug Name]],'Data Options'!$R$1:$S$100,2,FALSE), " ")</f>
        <v xml:space="preserve"> </v>
      </c>
      <c r="S67" s="55"/>
      <c r="T67" s="32"/>
      <c r="U67" s="32"/>
      <c r="V67" s="55"/>
      <c r="W67" s="32"/>
      <c r="X67" s="54"/>
      <c r="Y67" s="21" t="str">
        <f>IFERROR(VLOOKUP(January[[#This Row],[Drug Name2]],'Data Options'!$R$1:$S$100,2,FALSE), " ")</f>
        <v xml:space="preserve"> </v>
      </c>
      <c r="Z67" s="55"/>
      <c r="AA67" s="32"/>
      <c r="AB67" s="32"/>
      <c r="AC67" s="55"/>
      <c r="AD67" s="32"/>
      <c r="AE67" s="54"/>
      <c r="AF67" s="21" t="str">
        <f>IFERROR(VLOOKUP(January[[#This Row],[Drug Name3]],'Data Options'!$R$1:$S$100,2,FALSE), " ")</f>
        <v xml:space="preserve"> </v>
      </c>
      <c r="AG67" s="55"/>
      <c r="AH67" s="32"/>
      <c r="AI67" s="32"/>
      <c r="AJ67" s="55"/>
      <c r="AK67" s="32"/>
      <c r="AL67" s="32"/>
      <c r="AM67" s="32"/>
      <c r="AN67" s="32"/>
      <c r="AO67" s="32"/>
      <c r="AP67" s="31"/>
      <c r="AQ67" s="31"/>
      <c r="AR67" s="54"/>
      <c r="AS67" s="21" t="str">
        <f>IFERROR(VLOOKUP(January[[#This Row],[Drug Name4]],'Data Options'!$R$1:$S$100,2,FALSE), " ")</f>
        <v xml:space="preserve"> </v>
      </c>
      <c r="AT67" s="55"/>
      <c r="AU67" s="32"/>
      <c r="AV67" s="32"/>
      <c r="AW67" s="55"/>
      <c r="AX67" s="32"/>
      <c r="AY67" s="54"/>
      <c r="AZ67" s="21" t="str">
        <f>IFERROR(VLOOKUP(January[[#This Row],[Drug Name5]],'Data Options'!$R$1:$S$100,2,FALSE), " ")</f>
        <v xml:space="preserve"> </v>
      </c>
      <c r="BA67" s="55"/>
      <c r="BB67" s="32"/>
      <c r="BC67" s="32"/>
      <c r="BD67" s="55"/>
      <c r="BE67" s="32"/>
      <c r="BF67" s="54"/>
      <c r="BG67" s="21" t="str">
        <f>IFERROR(VLOOKUP(January[[#This Row],[Drug Name6]],'Data Options'!$R$1:$S$100,2,FALSE), " ")</f>
        <v xml:space="preserve"> </v>
      </c>
      <c r="BH67" s="55"/>
      <c r="BI67" s="32"/>
      <c r="BJ67" s="32"/>
      <c r="BK67" s="55"/>
      <c r="BL67" s="32"/>
      <c r="BM67" s="32"/>
      <c r="BN67" s="32"/>
      <c r="BO67" s="32"/>
      <c r="BP67" s="32"/>
      <c r="BQ67" s="31"/>
      <c r="BR67" s="31"/>
      <c r="BS67" s="54"/>
      <c r="BT67" s="21" t="str">
        <f>IFERROR(VLOOKUP(January[[#This Row],[Drug Name7]],'Data Options'!$R$1:$S$100,2,FALSE), " ")</f>
        <v xml:space="preserve"> </v>
      </c>
      <c r="BU67" s="55"/>
      <c r="BV67" s="32"/>
      <c r="BW67" s="32"/>
      <c r="BX67" s="55"/>
      <c r="BY67" s="32"/>
      <c r="BZ67" s="54"/>
      <c r="CA67" s="21" t="str">
        <f>IFERROR(VLOOKUP(January[[#This Row],[Drug Name8]],'Data Options'!$R$1:$S$100,2,FALSE), " ")</f>
        <v xml:space="preserve"> </v>
      </c>
      <c r="CB67" s="55"/>
      <c r="CC67" s="32"/>
      <c r="CD67" s="32"/>
      <c r="CE67" s="55"/>
      <c r="CF67" s="32"/>
      <c r="CG67" s="54"/>
      <c r="CH67" s="21" t="str">
        <f>IFERROR(VLOOKUP(January[[#This Row],[Drug Name9]],'Data Options'!$R$1:$S$100,2,FALSE), " ")</f>
        <v xml:space="preserve"> </v>
      </c>
      <c r="CI67" s="55"/>
      <c r="CJ67" s="32"/>
      <c r="CK67" s="32"/>
      <c r="CL67" s="55"/>
      <c r="CM67" s="32"/>
    </row>
    <row r="68" spans="1:91">
      <c r="A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31"/>
      <c r="Q68" s="54"/>
      <c r="R68" s="21" t="str">
        <f>IFERROR(VLOOKUP(January[[#This Row],[Drug Name]],'Data Options'!$R$1:$S$100,2,FALSE), " ")</f>
        <v xml:space="preserve"> </v>
      </c>
      <c r="S68" s="55"/>
      <c r="T68" s="32"/>
      <c r="U68" s="32"/>
      <c r="V68" s="55"/>
      <c r="W68" s="32"/>
      <c r="X68" s="54"/>
      <c r="Y68" s="21" t="str">
        <f>IFERROR(VLOOKUP(January[[#This Row],[Drug Name2]],'Data Options'!$R$1:$S$100,2,FALSE), " ")</f>
        <v xml:space="preserve"> </v>
      </c>
      <c r="Z68" s="55"/>
      <c r="AA68" s="32"/>
      <c r="AB68" s="32"/>
      <c r="AC68" s="55"/>
      <c r="AD68" s="32"/>
      <c r="AE68" s="54"/>
      <c r="AF68" s="21" t="str">
        <f>IFERROR(VLOOKUP(January[[#This Row],[Drug Name3]],'Data Options'!$R$1:$S$100,2,FALSE), " ")</f>
        <v xml:space="preserve"> </v>
      </c>
      <c r="AG68" s="55"/>
      <c r="AH68" s="32"/>
      <c r="AI68" s="32"/>
      <c r="AJ68" s="55"/>
      <c r="AK68" s="32"/>
      <c r="AL68" s="32"/>
      <c r="AM68" s="32"/>
      <c r="AN68" s="32"/>
      <c r="AO68" s="32"/>
      <c r="AP68" s="31"/>
      <c r="AQ68" s="31"/>
      <c r="AR68" s="54"/>
      <c r="AS68" s="21" t="str">
        <f>IFERROR(VLOOKUP(January[[#This Row],[Drug Name4]],'Data Options'!$R$1:$S$100,2,FALSE), " ")</f>
        <v xml:space="preserve"> </v>
      </c>
      <c r="AT68" s="55"/>
      <c r="AU68" s="32"/>
      <c r="AV68" s="32"/>
      <c r="AW68" s="55"/>
      <c r="AX68" s="32"/>
      <c r="AY68" s="54"/>
      <c r="AZ68" s="21" t="str">
        <f>IFERROR(VLOOKUP(January[[#This Row],[Drug Name5]],'Data Options'!$R$1:$S$100,2,FALSE), " ")</f>
        <v xml:space="preserve"> </v>
      </c>
      <c r="BA68" s="55"/>
      <c r="BB68" s="32"/>
      <c r="BC68" s="32"/>
      <c r="BD68" s="55"/>
      <c r="BE68" s="32"/>
      <c r="BF68" s="54"/>
      <c r="BG68" s="21" t="str">
        <f>IFERROR(VLOOKUP(January[[#This Row],[Drug Name6]],'Data Options'!$R$1:$S$100,2,FALSE), " ")</f>
        <v xml:space="preserve"> </v>
      </c>
      <c r="BH68" s="55"/>
      <c r="BI68" s="32"/>
      <c r="BJ68" s="32"/>
      <c r="BK68" s="55"/>
      <c r="BL68" s="32"/>
      <c r="BM68" s="32"/>
      <c r="BN68" s="32"/>
      <c r="BO68" s="32"/>
      <c r="BP68" s="32"/>
      <c r="BQ68" s="31"/>
      <c r="BR68" s="31"/>
      <c r="BS68" s="54"/>
      <c r="BT68" s="21" t="str">
        <f>IFERROR(VLOOKUP(January[[#This Row],[Drug Name7]],'Data Options'!$R$1:$S$100,2,FALSE), " ")</f>
        <v xml:space="preserve"> </v>
      </c>
      <c r="BU68" s="55"/>
      <c r="BV68" s="32"/>
      <c r="BW68" s="32"/>
      <c r="BX68" s="55"/>
      <c r="BY68" s="32"/>
      <c r="BZ68" s="54"/>
      <c r="CA68" s="21" t="str">
        <f>IFERROR(VLOOKUP(January[[#This Row],[Drug Name8]],'Data Options'!$R$1:$S$100,2,FALSE), " ")</f>
        <v xml:space="preserve"> </v>
      </c>
      <c r="CB68" s="55"/>
      <c r="CC68" s="32"/>
      <c r="CD68" s="32"/>
      <c r="CE68" s="55"/>
      <c r="CF68" s="32"/>
      <c r="CG68" s="54"/>
      <c r="CH68" s="21" t="str">
        <f>IFERROR(VLOOKUP(January[[#This Row],[Drug Name9]],'Data Options'!$R$1:$S$100,2,FALSE), " ")</f>
        <v xml:space="preserve"> </v>
      </c>
      <c r="CI68" s="55"/>
      <c r="CJ68" s="32"/>
      <c r="CK68" s="32"/>
      <c r="CL68" s="55"/>
      <c r="CM68" s="32"/>
    </row>
    <row r="69" spans="1:91">
      <c r="A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31"/>
      <c r="Q69" s="54"/>
      <c r="R69" s="21" t="str">
        <f>IFERROR(VLOOKUP(January[[#This Row],[Drug Name]],'Data Options'!$R$1:$S$100,2,FALSE), " ")</f>
        <v xml:space="preserve"> </v>
      </c>
      <c r="S69" s="55"/>
      <c r="T69" s="32"/>
      <c r="U69" s="32"/>
      <c r="V69" s="55"/>
      <c r="W69" s="32"/>
      <c r="X69" s="54"/>
      <c r="Y69" s="21" t="str">
        <f>IFERROR(VLOOKUP(January[[#This Row],[Drug Name2]],'Data Options'!$R$1:$S$100,2,FALSE), " ")</f>
        <v xml:space="preserve"> </v>
      </c>
      <c r="Z69" s="55"/>
      <c r="AA69" s="32"/>
      <c r="AB69" s="32"/>
      <c r="AC69" s="55"/>
      <c r="AD69" s="32"/>
      <c r="AE69" s="54"/>
      <c r="AF69" s="21" t="str">
        <f>IFERROR(VLOOKUP(January[[#This Row],[Drug Name3]],'Data Options'!$R$1:$S$100,2,FALSE), " ")</f>
        <v xml:space="preserve"> </v>
      </c>
      <c r="AG69" s="55"/>
      <c r="AH69" s="32"/>
      <c r="AI69" s="32"/>
      <c r="AJ69" s="55"/>
      <c r="AK69" s="32"/>
      <c r="AL69" s="32"/>
      <c r="AM69" s="32"/>
      <c r="AN69" s="32"/>
      <c r="AO69" s="32"/>
      <c r="AP69" s="31"/>
      <c r="AQ69" s="31"/>
      <c r="AR69" s="54"/>
      <c r="AS69" s="21" t="str">
        <f>IFERROR(VLOOKUP(January[[#This Row],[Drug Name4]],'Data Options'!$R$1:$S$100,2,FALSE), " ")</f>
        <v xml:space="preserve"> </v>
      </c>
      <c r="AT69" s="55"/>
      <c r="AU69" s="32"/>
      <c r="AV69" s="32"/>
      <c r="AW69" s="55"/>
      <c r="AX69" s="32"/>
      <c r="AY69" s="54"/>
      <c r="AZ69" s="21" t="str">
        <f>IFERROR(VLOOKUP(January[[#This Row],[Drug Name5]],'Data Options'!$R$1:$S$100,2,FALSE), " ")</f>
        <v xml:space="preserve"> </v>
      </c>
      <c r="BA69" s="55"/>
      <c r="BB69" s="32"/>
      <c r="BC69" s="32"/>
      <c r="BD69" s="55"/>
      <c r="BE69" s="32"/>
      <c r="BF69" s="54"/>
      <c r="BG69" s="21" t="str">
        <f>IFERROR(VLOOKUP(January[[#This Row],[Drug Name6]],'Data Options'!$R$1:$S$100,2,FALSE), " ")</f>
        <v xml:space="preserve"> </v>
      </c>
      <c r="BH69" s="55"/>
      <c r="BI69" s="32"/>
      <c r="BJ69" s="32"/>
      <c r="BK69" s="55"/>
      <c r="BL69" s="32"/>
      <c r="BM69" s="32"/>
      <c r="BN69" s="32"/>
      <c r="BO69" s="32"/>
      <c r="BP69" s="32"/>
      <c r="BQ69" s="31"/>
      <c r="BR69" s="31"/>
      <c r="BS69" s="54"/>
      <c r="BT69" s="21" t="str">
        <f>IFERROR(VLOOKUP(January[[#This Row],[Drug Name7]],'Data Options'!$R$1:$S$100,2,FALSE), " ")</f>
        <v xml:space="preserve"> </v>
      </c>
      <c r="BU69" s="55"/>
      <c r="BV69" s="32"/>
      <c r="BW69" s="32"/>
      <c r="BX69" s="55"/>
      <c r="BY69" s="32"/>
      <c r="BZ69" s="54"/>
      <c r="CA69" s="21" t="str">
        <f>IFERROR(VLOOKUP(January[[#This Row],[Drug Name8]],'Data Options'!$R$1:$S$100,2,FALSE), " ")</f>
        <v xml:space="preserve"> </v>
      </c>
      <c r="CB69" s="55"/>
      <c r="CC69" s="32"/>
      <c r="CD69" s="32"/>
      <c r="CE69" s="55"/>
      <c r="CF69" s="32"/>
      <c r="CG69" s="54"/>
      <c r="CH69" s="21" t="str">
        <f>IFERROR(VLOOKUP(January[[#This Row],[Drug Name9]],'Data Options'!$R$1:$S$100,2,FALSE), " ")</f>
        <v xml:space="preserve"> </v>
      </c>
      <c r="CI69" s="55"/>
      <c r="CJ69" s="32"/>
      <c r="CK69" s="32"/>
      <c r="CL69" s="55"/>
      <c r="CM69" s="32"/>
    </row>
    <row r="70" spans="1:91">
      <c r="A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31"/>
      <c r="Q70" s="54"/>
      <c r="R70" s="21" t="str">
        <f>IFERROR(VLOOKUP(January[[#This Row],[Drug Name]],'Data Options'!$R$1:$S$100,2,FALSE), " ")</f>
        <v xml:space="preserve"> </v>
      </c>
      <c r="S70" s="55"/>
      <c r="T70" s="32"/>
      <c r="U70" s="32"/>
      <c r="V70" s="55"/>
      <c r="W70" s="32"/>
      <c r="X70" s="54"/>
      <c r="Y70" s="21" t="str">
        <f>IFERROR(VLOOKUP(January[[#This Row],[Drug Name2]],'Data Options'!$R$1:$S$100,2,FALSE), " ")</f>
        <v xml:space="preserve"> </v>
      </c>
      <c r="Z70" s="55"/>
      <c r="AA70" s="32"/>
      <c r="AB70" s="32"/>
      <c r="AC70" s="55"/>
      <c r="AD70" s="32"/>
      <c r="AE70" s="54"/>
      <c r="AF70" s="21" t="str">
        <f>IFERROR(VLOOKUP(January[[#This Row],[Drug Name3]],'Data Options'!$R$1:$S$100,2,FALSE), " ")</f>
        <v xml:space="preserve"> </v>
      </c>
      <c r="AG70" s="55"/>
      <c r="AH70" s="32"/>
      <c r="AI70" s="32"/>
      <c r="AJ70" s="55"/>
      <c r="AK70" s="32"/>
      <c r="AL70" s="32"/>
      <c r="AM70" s="32"/>
      <c r="AN70" s="32"/>
      <c r="AO70" s="32"/>
      <c r="AP70" s="31"/>
      <c r="AQ70" s="31"/>
      <c r="AR70" s="54"/>
      <c r="AS70" s="21" t="str">
        <f>IFERROR(VLOOKUP(January[[#This Row],[Drug Name4]],'Data Options'!$R$1:$S$100,2,FALSE), " ")</f>
        <v xml:space="preserve"> </v>
      </c>
      <c r="AT70" s="55"/>
      <c r="AU70" s="32"/>
      <c r="AV70" s="32"/>
      <c r="AW70" s="55"/>
      <c r="AX70" s="32"/>
      <c r="AY70" s="54"/>
      <c r="AZ70" s="21" t="str">
        <f>IFERROR(VLOOKUP(January[[#This Row],[Drug Name5]],'Data Options'!$R$1:$S$100,2,FALSE), " ")</f>
        <v xml:space="preserve"> </v>
      </c>
      <c r="BA70" s="55"/>
      <c r="BB70" s="32"/>
      <c r="BC70" s="32"/>
      <c r="BD70" s="55"/>
      <c r="BE70" s="32"/>
      <c r="BF70" s="54"/>
      <c r="BG70" s="21" t="str">
        <f>IFERROR(VLOOKUP(January[[#This Row],[Drug Name6]],'Data Options'!$R$1:$S$100,2,FALSE), " ")</f>
        <v xml:space="preserve"> </v>
      </c>
      <c r="BH70" s="55"/>
      <c r="BI70" s="32"/>
      <c r="BJ70" s="32"/>
      <c r="BK70" s="55"/>
      <c r="BL70" s="32"/>
      <c r="BM70" s="32"/>
      <c r="BN70" s="32"/>
      <c r="BO70" s="32"/>
      <c r="BP70" s="32"/>
      <c r="BQ70" s="31"/>
      <c r="BR70" s="31"/>
      <c r="BS70" s="54"/>
      <c r="BT70" s="21" t="str">
        <f>IFERROR(VLOOKUP(January[[#This Row],[Drug Name7]],'Data Options'!$R$1:$S$100,2,FALSE), " ")</f>
        <v xml:space="preserve"> </v>
      </c>
      <c r="BU70" s="55"/>
      <c r="BV70" s="32"/>
      <c r="BW70" s="32"/>
      <c r="BX70" s="55"/>
      <c r="BY70" s="32"/>
      <c r="BZ70" s="54"/>
      <c r="CA70" s="21" t="str">
        <f>IFERROR(VLOOKUP(January[[#This Row],[Drug Name8]],'Data Options'!$R$1:$S$100,2,FALSE), " ")</f>
        <v xml:space="preserve"> </v>
      </c>
      <c r="CB70" s="55"/>
      <c r="CC70" s="32"/>
      <c r="CD70" s="32"/>
      <c r="CE70" s="55"/>
      <c r="CF70" s="32"/>
      <c r="CG70" s="54"/>
      <c r="CH70" s="21" t="str">
        <f>IFERROR(VLOOKUP(January[[#This Row],[Drug Name9]],'Data Options'!$R$1:$S$100,2,FALSE), " ")</f>
        <v xml:space="preserve"> </v>
      </c>
      <c r="CI70" s="55"/>
      <c r="CJ70" s="32"/>
      <c r="CK70" s="32"/>
      <c r="CL70" s="55"/>
      <c r="CM70" s="32"/>
    </row>
    <row r="71" spans="1:91">
      <c r="A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31"/>
      <c r="Q71" s="54"/>
      <c r="R71" s="21" t="str">
        <f>IFERROR(VLOOKUP(January[[#This Row],[Drug Name]],'Data Options'!$R$1:$S$100,2,FALSE), " ")</f>
        <v xml:space="preserve"> </v>
      </c>
      <c r="S71" s="55"/>
      <c r="T71" s="32"/>
      <c r="U71" s="32"/>
      <c r="V71" s="55"/>
      <c r="W71" s="32"/>
      <c r="X71" s="54"/>
      <c r="Y71" s="21" t="str">
        <f>IFERROR(VLOOKUP(January[[#This Row],[Drug Name2]],'Data Options'!$R$1:$S$100,2,FALSE), " ")</f>
        <v xml:space="preserve"> </v>
      </c>
      <c r="Z71" s="55"/>
      <c r="AA71" s="32"/>
      <c r="AB71" s="32"/>
      <c r="AC71" s="55"/>
      <c r="AD71" s="32"/>
      <c r="AE71" s="54"/>
      <c r="AF71" s="21" t="str">
        <f>IFERROR(VLOOKUP(January[[#This Row],[Drug Name3]],'Data Options'!$R$1:$S$100,2,FALSE), " ")</f>
        <v xml:space="preserve"> </v>
      </c>
      <c r="AG71" s="55"/>
      <c r="AH71" s="32"/>
      <c r="AI71" s="32"/>
      <c r="AJ71" s="55"/>
      <c r="AK71" s="32"/>
      <c r="AL71" s="32"/>
      <c r="AM71" s="32"/>
      <c r="AN71" s="32"/>
      <c r="AO71" s="32"/>
      <c r="AP71" s="31"/>
      <c r="AQ71" s="31"/>
      <c r="AR71" s="54"/>
      <c r="AS71" s="21" t="str">
        <f>IFERROR(VLOOKUP(January[[#This Row],[Drug Name4]],'Data Options'!$R$1:$S$100,2,FALSE), " ")</f>
        <v xml:space="preserve"> </v>
      </c>
      <c r="AT71" s="55"/>
      <c r="AU71" s="32"/>
      <c r="AV71" s="32"/>
      <c r="AW71" s="55"/>
      <c r="AX71" s="32"/>
      <c r="AY71" s="54"/>
      <c r="AZ71" s="21" t="str">
        <f>IFERROR(VLOOKUP(January[[#This Row],[Drug Name5]],'Data Options'!$R$1:$S$100,2,FALSE), " ")</f>
        <v xml:space="preserve"> </v>
      </c>
      <c r="BA71" s="55"/>
      <c r="BB71" s="32"/>
      <c r="BC71" s="32"/>
      <c r="BD71" s="55"/>
      <c r="BE71" s="32"/>
      <c r="BF71" s="54"/>
      <c r="BG71" s="21" t="str">
        <f>IFERROR(VLOOKUP(January[[#This Row],[Drug Name6]],'Data Options'!$R$1:$S$100,2,FALSE), " ")</f>
        <v xml:space="preserve"> </v>
      </c>
      <c r="BH71" s="55"/>
      <c r="BI71" s="32"/>
      <c r="BJ71" s="32"/>
      <c r="BK71" s="55"/>
      <c r="BL71" s="32"/>
      <c r="BM71" s="32"/>
      <c r="BN71" s="32"/>
      <c r="BO71" s="32"/>
      <c r="BP71" s="32"/>
      <c r="BQ71" s="31"/>
      <c r="BR71" s="31"/>
      <c r="BS71" s="54"/>
      <c r="BT71" s="21" t="str">
        <f>IFERROR(VLOOKUP(January[[#This Row],[Drug Name7]],'Data Options'!$R$1:$S$100,2,FALSE), " ")</f>
        <v xml:space="preserve"> </v>
      </c>
      <c r="BU71" s="55"/>
      <c r="BV71" s="32"/>
      <c r="BW71" s="32"/>
      <c r="BX71" s="55"/>
      <c r="BY71" s="32"/>
      <c r="BZ71" s="54"/>
      <c r="CA71" s="21" t="str">
        <f>IFERROR(VLOOKUP(January[[#This Row],[Drug Name8]],'Data Options'!$R$1:$S$100,2,FALSE), " ")</f>
        <v xml:space="preserve"> </v>
      </c>
      <c r="CB71" s="55"/>
      <c r="CC71" s="32"/>
      <c r="CD71" s="32"/>
      <c r="CE71" s="55"/>
      <c r="CF71" s="32"/>
      <c r="CG71" s="54"/>
      <c r="CH71" s="21" t="str">
        <f>IFERROR(VLOOKUP(January[[#This Row],[Drug Name9]],'Data Options'!$R$1:$S$100,2,FALSE), " ")</f>
        <v xml:space="preserve"> </v>
      </c>
      <c r="CI71" s="55"/>
      <c r="CJ71" s="32"/>
      <c r="CK71" s="32"/>
      <c r="CL71" s="55"/>
      <c r="CM71" s="32"/>
    </row>
    <row r="72" spans="1:91">
      <c r="A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54"/>
      <c r="R72" s="21" t="str">
        <f>IFERROR(VLOOKUP(January[[#This Row],[Drug Name]],'Data Options'!$R$1:$S$100,2,FALSE), " ")</f>
        <v xml:space="preserve"> </v>
      </c>
      <c r="S72" s="55"/>
      <c r="T72" s="32"/>
      <c r="U72" s="32"/>
      <c r="V72" s="55"/>
      <c r="W72" s="32"/>
      <c r="X72" s="54"/>
      <c r="Y72" s="21" t="str">
        <f>IFERROR(VLOOKUP(January[[#This Row],[Drug Name2]],'Data Options'!$R$1:$S$100,2,FALSE), " ")</f>
        <v xml:space="preserve"> </v>
      </c>
      <c r="Z72" s="55"/>
      <c r="AA72" s="32"/>
      <c r="AB72" s="32"/>
      <c r="AC72" s="55"/>
      <c r="AD72" s="32"/>
      <c r="AE72" s="54"/>
      <c r="AF72" s="21" t="str">
        <f>IFERROR(VLOOKUP(January[[#This Row],[Drug Name3]],'Data Options'!$R$1:$S$100,2,FALSE), " ")</f>
        <v xml:space="preserve"> </v>
      </c>
      <c r="AG72" s="55"/>
      <c r="AH72" s="32"/>
      <c r="AI72" s="32"/>
      <c r="AJ72" s="55"/>
      <c r="AK72" s="32"/>
      <c r="AL72" s="32"/>
      <c r="AM72" s="32"/>
      <c r="AN72" s="32"/>
      <c r="AO72" s="32"/>
      <c r="AP72" s="31"/>
      <c r="AQ72" s="31"/>
      <c r="AR72" s="54"/>
      <c r="AS72" s="21" t="str">
        <f>IFERROR(VLOOKUP(January[[#This Row],[Drug Name4]],'Data Options'!$R$1:$S$100,2,FALSE), " ")</f>
        <v xml:space="preserve"> </v>
      </c>
      <c r="AT72" s="55"/>
      <c r="AU72" s="32"/>
      <c r="AV72" s="32"/>
      <c r="AW72" s="55"/>
      <c r="AX72" s="32"/>
      <c r="AY72" s="54"/>
      <c r="AZ72" s="21" t="str">
        <f>IFERROR(VLOOKUP(January[[#This Row],[Drug Name5]],'Data Options'!$R$1:$S$100,2,FALSE), " ")</f>
        <v xml:space="preserve"> </v>
      </c>
      <c r="BA72" s="55"/>
      <c r="BB72" s="32"/>
      <c r="BC72" s="32"/>
      <c r="BD72" s="55"/>
      <c r="BE72" s="32"/>
      <c r="BF72" s="54"/>
      <c r="BG72" s="21" t="str">
        <f>IFERROR(VLOOKUP(January[[#This Row],[Drug Name6]],'Data Options'!$R$1:$S$100,2,FALSE), " ")</f>
        <v xml:space="preserve"> </v>
      </c>
      <c r="BH72" s="55"/>
      <c r="BI72" s="32"/>
      <c r="BJ72" s="32"/>
      <c r="BK72" s="55"/>
      <c r="BL72" s="32"/>
      <c r="BM72" s="32"/>
      <c r="BN72" s="32"/>
      <c r="BO72" s="32"/>
      <c r="BP72" s="32"/>
      <c r="BQ72" s="31"/>
      <c r="BR72" s="31"/>
      <c r="BS72" s="54"/>
      <c r="BT72" s="21" t="str">
        <f>IFERROR(VLOOKUP(January[[#This Row],[Drug Name7]],'Data Options'!$R$1:$S$100,2,FALSE), " ")</f>
        <v xml:space="preserve"> </v>
      </c>
      <c r="BU72" s="55"/>
      <c r="BV72" s="32"/>
      <c r="BW72" s="32"/>
      <c r="BX72" s="55"/>
      <c r="BY72" s="32"/>
      <c r="BZ72" s="54"/>
      <c r="CA72" s="21" t="str">
        <f>IFERROR(VLOOKUP(January[[#This Row],[Drug Name8]],'Data Options'!$R$1:$S$100,2,FALSE), " ")</f>
        <v xml:space="preserve"> </v>
      </c>
      <c r="CB72" s="55"/>
      <c r="CC72" s="32"/>
      <c r="CD72" s="32"/>
      <c r="CE72" s="55"/>
      <c r="CF72" s="32"/>
      <c r="CG72" s="54"/>
      <c r="CH72" s="21" t="str">
        <f>IFERROR(VLOOKUP(January[[#This Row],[Drug Name9]],'Data Options'!$R$1:$S$100,2,FALSE), " ")</f>
        <v xml:space="preserve"> </v>
      </c>
      <c r="CI72" s="55"/>
      <c r="CJ72" s="32"/>
      <c r="CK72" s="32"/>
      <c r="CL72" s="55"/>
      <c r="CM72" s="32"/>
    </row>
    <row r="73" spans="1:91">
      <c r="A73" s="5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31"/>
      <c r="Q73" s="54"/>
      <c r="R73" s="21" t="str">
        <f>IFERROR(VLOOKUP(January[[#This Row],[Drug Name]],'Data Options'!$R$1:$S$100,2,FALSE), " ")</f>
        <v xml:space="preserve"> </v>
      </c>
      <c r="S73" s="55"/>
      <c r="T73" s="32"/>
      <c r="U73" s="32"/>
      <c r="V73" s="55"/>
      <c r="W73" s="32"/>
      <c r="X73" s="54"/>
      <c r="Y73" s="21" t="str">
        <f>IFERROR(VLOOKUP(January[[#This Row],[Drug Name2]],'Data Options'!$R$1:$S$100,2,FALSE), " ")</f>
        <v xml:space="preserve"> </v>
      </c>
      <c r="Z73" s="55"/>
      <c r="AA73" s="32"/>
      <c r="AB73" s="32"/>
      <c r="AC73" s="55"/>
      <c r="AD73" s="32"/>
      <c r="AE73" s="54"/>
      <c r="AF73" s="21" t="str">
        <f>IFERROR(VLOOKUP(January[[#This Row],[Drug Name3]],'Data Options'!$R$1:$S$100,2,FALSE), " ")</f>
        <v xml:space="preserve"> </v>
      </c>
      <c r="AG73" s="55"/>
      <c r="AH73" s="32"/>
      <c r="AI73" s="32"/>
      <c r="AJ73" s="55"/>
      <c r="AK73" s="32"/>
      <c r="AL73" s="32"/>
      <c r="AM73" s="32"/>
      <c r="AN73" s="32"/>
      <c r="AO73" s="32"/>
      <c r="AP73" s="31"/>
      <c r="AQ73" s="31"/>
      <c r="AR73" s="54"/>
      <c r="AS73" s="21" t="str">
        <f>IFERROR(VLOOKUP(January[[#This Row],[Drug Name4]],'Data Options'!$R$1:$S$100,2,FALSE), " ")</f>
        <v xml:space="preserve"> </v>
      </c>
      <c r="AT73" s="55"/>
      <c r="AU73" s="32"/>
      <c r="AV73" s="32"/>
      <c r="AW73" s="55"/>
      <c r="AX73" s="32"/>
      <c r="AY73" s="54"/>
      <c r="AZ73" s="21" t="str">
        <f>IFERROR(VLOOKUP(January[[#This Row],[Drug Name5]],'Data Options'!$R$1:$S$100,2,FALSE), " ")</f>
        <v xml:space="preserve"> </v>
      </c>
      <c r="BA73" s="55"/>
      <c r="BB73" s="32"/>
      <c r="BC73" s="32"/>
      <c r="BD73" s="55"/>
      <c r="BE73" s="32"/>
      <c r="BF73" s="54"/>
      <c r="BG73" s="21" t="str">
        <f>IFERROR(VLOOKUP(January[[#This Row],[Drug Name6]],'Data Options'!$R$1:$S$100,2,FALSE), " ")</f>
        <v xml:space="preserve"> </v>
      </c>
      <c r="BH73" s="55"/>
      <c r="BI73" s="32"/>
      <c r="BJ73" s="32"/>
      <c r="BK73" s="55"/>
      <c r="BL73" s="32"/>
      <c r="BM73" s="32"/>
      <c r="BN73" s="32"/>
      <c r="BO73" s="32"/>
      <c r="BP73" s="32"/>
      <c r="BQ73" s="31"/>
      <c r="BR73" s="31"/>
      <c r="BS73" s="54"/>
      <c r="BT73" s="21" t="str">
        <f>IFERROR(VLOOKUP(January[[#This Row],[Drug Name7]],'Data Options'!$R$1:$S$100,2,FALSE), " ")</f>
        <v xml:space="preserve"> </v>
      </c>
      <c r="BU73" s="55"/>
      <c r="BV73" s="32"/>
      <c r="BW73" s="32"/>
      <c r="BX73" s="55"/>
      <c r="BY73" s="32"/>
      <c r="BZ73" s="54"/>
      <c r="CA73" s="21" t="str">
        <f>IFERROR(VLOOKUP(January[[#This Row],[Drug Name8]],'Data Options'!$R$1:$S$100,2,FALSE), " ")</f>
        <v xml:space="preserve"> </v>
      </c>
      <c r="CB73" s="55"/>
      <c r="CC73" s="32"/>
      <c r="CD73" s="32"/>
      <c r="CE73" s="55"/>
      <c r="CF73" s="32"/>
      <c r="CG73" s="54"/>
      <c r="CH73" s="21" t="str">
        <f>IFERROR(VLOOKUP(January[[#This Row],[Drug Name9]],'Data Options'!$R$1:$S$100,2,FALSE), " ")</f>
        <v xml:space="preserve"> </v>
      </c>
      <c r="CI73" s="55"/>
      <c r="CJ73" s="32"/>
      <c r="CK73" s="32"/>
      <c r="CL73" s="55"/>
      <c r="CM73" s="32"/>
    </row>
    <row r="74" spans="1:91">
      <c r="A74" s="5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31"/>
      <c r="Q74" s="54"/>
      <c r="R74" s="21" t="str">
        <f>IFERROR(VLOOKUP(January[[#This Row],[Drug Name]],'Data Options'!$R$1:$S$100,2,FALSE), " ")</f>
        <v xml:space="preserve"> </v>
      </c>
      <c r="S74" s="55"/>
      <c r="T74" s="32"/>
      <c r="U74" s="32"/>
      <c r="V74" s="55"/>
      <c r="W74" s="32"/>
      <c r="X74" s="54"/>
      <c r="Y74" s="21" t="str">
        <f>IFERROR(VLOOKUP(January[[#This Row],[Drug Name2]],'Data Options'!$R$1:$S$100,2,FALSE), " ")</f>
        <v xml:space="preserve"> </v>
      </c>
      <c r="Z74" s="55"/>
      <c r="AA74" s="32"/>
      <c r="AB74" s="32"/>
      <c r="AC74" s="55"/>
      <c r="AD74" s="32"/>
      <c r="AE74" s="54"/>
      <c r="AF74" s="21" t="str">
        <f>IFERROR(VLOOKUP(January[[#This Row],[Drug Name3]],'Data Options'!$R$1:$S$100,2,FALSE), " ")</f>
        <v xml:space="preserve"> </v>
      </c>
      <c r="AG74" s="55"/>
      <c r="AH74" s="32"/>
      <c r="AI74" s="32"/>
      <c r="AJ74" s="55"/>
      <c r="AK74" s="32"/>
      <c r="AL74" s="32"/>
      <c r="AM74" s="32"/>
      <c r="AN74" s="32"/>
      <c r="AO74" s="32"/>
      <c r="AP74" s="31"/>
      <c r="AQ74" s="31"/>
      <c r="AR74" s="54"/>
      <c r="AS74" s="21" t="str">
        <f>IFERROR(VLOOKUP(January[[#This Row],[Drug Name4]],'Data Options'!$R$1:$S$100,2,FALSE), " ")</f>
        <v xml:space="preserve"> </v>
      </c>
      <c r="AT74" s="55"/>
      <c r="AU74" s="32"/>
      <c r="AV74" s="32"/>
      <c r="AW74" s="55"/>
      <c r="AX74" s="32"/>
      <c r="AY74" s="54"/>
      <c r="AZ74" s="21" t="str">
        <f>IFERROR(VLOOKUP(January[[#This Row],[Drug Name5]],'Data Options'!$R$1:$S$100,2,FALSE), " ")</f>
        <v xml:space="preserve"> </v>
      </c>
      <c r="BA74" s="55"/>
      <c r="BB74" s="32"/>
      <c r="BC74" s="32"/>
      <c r="BD74" s="55"/>
      <c r="BE74" s="32"/>
      <c r="BF74" s="54"/>
      <c r="BG74" s="21" t="str">
        <f>IFERROR(VLOOKUP(January[[#This Row],[Drug Name6]],'Data Options'!$R$1:$S$100,2,FALSE), " ")</f>
        <v xml:space="preserve"> </v>
      </c>
      <c r="BH74" s="55"/>
      <c r="BI74" s="32"/>
      <c r="BJ74" s="32"/>
      <c r="BK74" s="55"/>
      <c r="BL74" s="32"/>
      <c r="BM74" s="32"/>
      <c r="BN74" s="32"/>
      <c r="BO74" s="32"/>
      <c r="BP74" s="32"/>
      <c r="BQ74" s="31"/>
      <c r="BR74" s="31"/>
      <c r="BS74" s="54"/>
      <c r="BT74" s="21" t="str">
        <f>IFERROR(VLOOKUP(January[[#This Row],[Drug Name7]],'Data Options'!$R$1:$S$100,2,FALSE), " ")</f>
        <v xml:space="preserve"> </v>
      </c>
      <c r="BU74" s="55"/>
      <c r="BV74" s="32"/>
      <c r="BW74" s="32"/>
      <c r="BX74" s="55"/>
      <c r="BY74" s="32"/>
      <c r="BZ74" s="54"/>
      <c r="CA74" s="21" t="str">
        <f>IFERROR(VLOOKUP(January[[#This Row],[Drug Name8]],'Data Options'!$R$1:$S$100,2,FALSE), " ")</f>
        <v xml:space="preserve"> </v>
      </c>
      <c r="CB74" s="55"/>
      <c r="CC74" s="32"/>
      <c r="CD74" s="32"/>
      <c r="CE74" s="55"/>
      <c r="CF74" s="32"/>
      <c r="CG74" s="54"/>
      <c r="CH74" s="21" t="str">
        <f>IFERROR(VLOOKUP(January[[#This Row],[Drug Name9]],'Data Options'!$R$1:$S$100,2,FALSE), " ")</f>
        <v xml:space="preserve"> </v>
      </c>
      <c r="CI74" s="55"/>
      <c r="CJ74" s="32"/>
      <c r="CK74" s="32"/>
      <c r="CL74" s="55"/>
      <c r="CM74" s="32"/>
    </row>
    <row r="75" spans="1:91">
      <c r="A75" s="5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31"/>
      <c r="Q75" s="54"/>
      <c r="R75" s="21" t="str">
        <f>IFERROR(VLOOKUP(January[[#This Row],[Drug Name]],'Data Options'!$R$1:$S$100,2,FALSE), " ")</f>
        <v xml:space="preserve"> </v>
      </c>
      <c r="S75" s="55"/>
      <c r="T75" s="32"/>
      <c r="U75" s="32"/>
      <c r="V75" s="55"/>
      <c r="W75" s="32"/>
      <c r="X75" s="54"/>
      <c r="Y75" s="21" t="str">
        <f>IFERROR(VLOOKUP(January[[#This Row],[Drug Name2]],'Data Options'!$R$1:$S$100,2,FALSE), " ")</f>
        <v xml:space="preserve"> </v>
      </c>
      <c r="Z75" s="55"/>
      <c r="AA75" s="32"/>
      <c r="AB75" s="32"/>
      <c r="AC75" s="55"/>
      <c r="AD75" s="32"/>
      <c r="AE75" s="54"/>
      <c r="AF75" s="21" t="str">
        <f>IFERROR(VLOOKUP(January[[#This Row],[Drug Name3]],'Data Options'!$R$1:$S$100,2,FALSE), " ")</f>
        <v xml:space="preserve"> </v>
      </c>
      <c r="AG75" s="55"/>
      <c r="AH75" s="32"/>
      <c r="AI75" s="32"/>
      <c r="AJ75" s="55"/>
      <c r="AK75" s="32"/>
      <c r="AL75" s="32"/>
      <c r="AM75" s="32"/>
      <c r="AN75" s="32"/>
      <c r="AO75" s="32"/>
      <c r="AP75" s="31"/>
      <c r="AQ75" s="31"/>
      <c r="AR75" s="54"/>
      <c r="AS75" s="21" t="str">
        <f>IFERROR(VLOOKUP(January[[#This Row],[Drug Name4]],'Data Options'!$R$1:$S$100,2,FALSE), " ")</f>
        <v xml:space="preserve"> </v>
      </c>
      <c r="AT75" s="55"/>
      <c r="AU75" s="32"/>
      <c r="AV75" s="32"/>
      <c r="AW75" s="55"/>
      <c r="AX75" s="32"/>
      <c r="AY75" s="54"/>
      <c r="AZ75" s="21" t="str">
        <f>IFERROR(VLOOKUP(January[[#This Row],[Drug Name5]],'Data Options'!$R$1:$S$100,2,FALSE), " ")</f>
        <v xml:space="preserve"> </v>
      </c>
      <c r="BA75" s="55"/>
      <c r="BB75" s="32"/>
      <c r="BC75" s="32"/>
      <c r="BD75" s="55"/>
      <c r="BE75" s="32"/>
      <c r="BF75" s="54"/>
      <c r="BG75" s="21" t="str">
        <f>IFERROR(VLOOKUP(January[[#This Row],[Drug Name6]],'Data Options'!$R$1:$S$100,2,FALSE), " ")</f>
        <v xml:space="preserve"> </v>
      </c>
      <c r="BH75" s="55"/>
      <c r="BI75" s="32"/>
      <c r="BJ75" s="32"/>
      <c r="BK75" s="55"/>
      <c r="BL75" s="32"/>
      <c r="BM75" s="32"/>
      <c r="BN75" s="32"/>
      <c r="BO75" s="32"/>
      <c r="BP75" s="32"/>
      <c r="BQ75" s="31"/>
      <c r="BR75" s="31"/>
      <c r="BS75" s="54"/>
      <c r="BT75" s="21" t="str">
        <f>IFERROR(VLOOKUP(January[[#This Row],[Drug Name7]],'Data Options'!$R$1:$S$100,2,FALSE), " ")</f>
        <v xml:space="preserve"> </v>
      </c>
      <c r="BU75" s="55"/>
      <c r="BV75" s="32"/>
      <c r="BW75" s="32"/>
      <c r="BX75" s="55"/>
      <c r="BY75" s="32"/>
      <c r="BZ75" s="54"/>
      <c r="CA75" s="21" t="str">
        <f>IFERROR(VLOOKUP(January[[#This Row],[Drug Name8]],'Data Options'!$R$1:$S$100,2,FALSE), " ")</f>
        <v xml:space="preserve"> </v>
      </c>
      <c r="CB75" s="55"/>
      <c r="CC75" s="32"/>
      <c r="CD75" s="32"/>
      <c r="CE75" s="55"/>
      <c r="CF75" s="32"/>
      <c r="CG75" s="54"/>
      <c r="CH75" s="21" t="str">
        <f>IFERROR(VLOOKUP(January[[#This Row],[Drug Name9]],'Data Options'!$R$1:$S$100,2,FALSE), " ")</f>
        <v xml:space="preserve"> </v>
      </c>
      <c r="CI75" s="55"/>
      <c r="CJ75" s="32"/>
      <c r="CK75" s="32"/>
      <c r="CL75" s="55"/>
      <c r="CM75" s="32"/>
    </row>
    <row r="76" spans="1:91">
      <c r="A76" s="5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54"/>
      <c r="R76" s="21" t="str">
        <f>IFERROR(VLOOKUP(January[[#This Row],[Drug Name]],'Data Options'!$R$1:$S$100,2,FALSE), " ")</f>
        <v xml:space="preserve"> </v>
      </c>
      <c r="S76" s="55"/>
      <c r="T76" s="32"/>
      <c r="U76" s="32"/>
      <c r="V76" s="55"/>
      <c r="W76" s="32"/>
      <c r="X76" s="54"/>
      <c r="Y76" s="21" t="str">
        <f>IFERROR(VLOOKUP(January[[#This Row],[Drug Name2]],'Data Options'!$R$1:$S$100,2,FALSE), " ")</f>
        <v xml:space="preserve"> </v>
      </c>
      <c r="Z76" s="55"/>
      <c r="AA76" s="32"/>
      <c r="AB76" s="32"/>
      <c r="AC76" s="55"/>
      <c r="AD76" s="32"/>
      <c r="AE76" s="54"/>
      <c r="AF76" s="21" t="str">
        <f>IFERROR(VLOOKUP(January[[#This Row],[Drug Name3]],'Data Options'!$R$1:$S$100,2,FALSE), " ")</f>
        <v xml:space="preserve"> </v>
      </c>
      <c r="AG76" s="55"/>
      <c r="AH76" s="32"/>
      <c r="AI76" s="32"/>
      <c r="AJ76" s="55"/>
      <c r="AK76" s="32"/>
      <c r="AL76" s="32"/>
      <c r="AM76" s="32"/>
      <c r="AN76" s="32"/>
      <c r="AO76" s="32"/>
      <c r="AP76" s="31"/>
      <c r="AQ76" s="31"/>
      <c r="AR76" s="54"/>
      <c r="AS76" s="21" t="str">
        <f>IFERROR(VLOOKUP(January[[#This Row],[Drug Name4]],'Data Options'!$R$1:$S$100,2,FALSE), " ")</f>
        <v xml:space="preserve"> </v>
      </c>
      <c r="AT76" s="55"/>
      <c r="AU76" s="32"/>
      <c r="AV76" s="32"/>
      <c r="AW76" s="55"/>
      <c r="AX76" s="32"/>
      <c r="AY76" s="54"/>
      <c r="AZ76" s="21" t="str">
        <f>IFERROR(VLOOKUP(January[[#This Row],[Drug Name5]],'Data Options'!$R$1:$S$100,2,FALSE), " ")</f>
        <v xml:space="preserve"> </v>
      </c>
      <c r="BA76" s="55"/>
      <c r="BB76" s="32"/>
      <c r="BC76" s="32"/>
      <c r="BD76" s="55"/>
      <c r="BE76" s="32"/>
      <c r="BF76" s="54"/>
      <c r="BG76" s="21" t="str">
        <f>IFERROR(VLOOKUP(January[[#This Row],[Drug Name6]],'Data Options'!$R$1:$S$100,2,FALSE), " ")</f>
        <v xml:space="preserve"> </v>
      </c>
      <c r="BH76" s="55"/>
      <c r="BI76" s="32"/>
      <c r="BJ76" s="32"/>
      <c r="BK76" s="55"/>
      <c r="BL76" s="32"/>
      <c r="BM76" s="32"/>
      <c r="BN76" s="32"/>
      <c r="BO76" s="32"/>
      <c r="BP76" s="32"/>
      <c r="BQ76" s="31"/>
      <c r="BR76" s="31"/>
      <c r="BS76" s="54"/>
      <c r="BT76" s="21" t="str">
        <f>IFERROR(VLOOKUP(January[[#This Row],[Drug Name7]],'Data Options'!$R$1:$S$100,2,FALSE), " ")</f>
        <v xml:space="preserve"> </v>
      </c>
      <c r="BU76" s="55"/>
      <c r="BV76" s="32"/>
      <c r="BW76" s="32"/>
      <c r="BX76" s="55"/>
      <c r="BY76" s="32"/>
      <c r="BZ76" s="54"/>
      <c r="CA76" s="21" t="str">
        <f>IFERROR(VLOOKUP(January[[#This Row],[Drug Name8]],'Data Options'!$R$1:$S$100,2,FALSE), " ")</f>
        <v xml:space="preserve"> </v>
      </c>
      <c r="CB76" s="55"/>
      <c r="CC76" s="32"/>
      <c r="CD76" s="32"/>
      <c r="CE76" s="55"/>
      <c r="CF76" s="32"/>
      <c r="CG76" s="54"/>
      <c r="CH76" s="21" t="str">
        <f>IFERROR(VLOOKUP(January[[#This Row],[Drug Name9]],'Data Options'!$R$1:$S$100,2,FALSE), " ")</f>
        <v xml:space="preserve"> </v>
      </c>
      <c r="CI76" s="55"/>
      <c r="CJ76" s="32"/>
      <c r="CK76" s="32"/>
      <c r="CL76" s="55"/>
      <c r="CM76" s="32"/>
    </row>
    <row r="77" spans="1:91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31"/>
      <c r="Q77" s="54"/>
      <c r="R77" s="21" t="str">
        <f>IFERROR(VLOOKUP(January[[#This Row],[Drug Name]],'Data Options'!$R$1:$S$100,2,FALSE), " ")</f>
        <v xml:space="preserve"> </v>
      </c>
      <c r="S77" s="55"/>
      <c r="T77" s="32"/>
      <c r="U77" s="32"/>
      <c r="V77" s="55"/>
      <c r="W77" s="32"/>
      <c r="X77" s="54"/>
      <c r="Y77" s="21" t="str">
        <f>IFERROR(VLOOKUP(January[[#This Row],[Drug Name2]],'Data Options'!$R$1:$S$100,2,FALSE), " ")</f>
        <v xml:space="preserve"> </v>
      </c>
      <c r="Z77" s="55"/>
      <c r="AA77" s="32"/>
      <c r="AB77" s="32"/>
      <c r="AC77" s="55"/>
      <c r="AD77" s="32"/>
      <c r="AE77" s="54"/>
      <c r="AF77" s="21" t="str">
        <f>IFERROR(VLOOKUP(January[[#This Row],[Drug Name3]],'Data Options'!$R$1:$S$100,2,FALSE), " ")</f>
        <v xml:space="preserve"> </v>
      </c>
      <c r="AG77" s="55"/>
      <c r="AH77" s="32"/>
      <c r="AI77" s="32"/>
      <c r="AJ77" s="55"/>
      <c r="AK77" s="32"/>
      <c r="AL77" s="32"/>
      <c r="AM77" s="32"/>
      <c r="AN77" s="32"/>
      <c r="AO77" s="32"/>
      <c r="AP77" s="31"/>
      <c r="AQ77" s="31"/>
      <c r="AR77" s="54"/>
      <c r="AS77" s="21" t="str">
        <f>IFERROR(VLOOKUP(January[[#This Row],[Drug Name4]],'Data Options'!$R$1:$S$100,2,FALSE), " ")</f>
        <v xml:space="preserve"> </v>
      </c>
      <c r="AT77" s="55"/>
      <c r="AU77" s="32"/>
      <c r="AV77" s="32"/>
      <c r="AW77" s="55"/>
      <c r="AX77" s="32"/>
      <c r="AY77" s="54"/>
      <c r="AZ77" s="21" t="str">
        <f>IFERROR(VLOOKUP(January[[#This Row],[Drug Name5]],'Data Options'!$R$1:$S$100,2,FALSE), " ")</f>
        <v xml:space="preserve"> </v>
      </c>
      <c r="BA77" s="55"/>
      <c r="BB77" s="32"/>
      <c r="BC77" s="32"/>
      <c r="BD77" s="55"/>
      <c r="BE77" s="32"/>
      <c r="BF77" s="54"/>
      <c r="BG77" s="21" t="str">
        <f>IFERROR(VLOOKUP(January[[#This Row],[Drug Name6]],'Data Options'!$R$1:$S$100,2,FALSE), " ")</f>
        <v xml:space="preserve"> </v>
      </c>
      <c r="BH77" s="55"/>
      <c r="BI77" s="32"/>
      <c r="BJ77" s="32"/>
      <c r="BK77" s="55"/>
      <c r="BL77" s="32"/>
      <c r="BM77" s="32"/>
      <c r="BN77" s="32"/>
      <c r="BO77" s="32"/>
      <c r="BP77" s="32"/>
      <c r="BQ77" s="31"/>
      <c r="BR77" s="31"/>
      <c r="BS77" s="54"/>
      <c r="BT77" s="21" t="str">
        <f>IFERROR(VLOOKUP(January[[#This Row],[Drug Name7]],'Data Options'!$R$1:$S$100,2,FALSE), " ")</f>
        <v xml:space="preserve"> </v>
      </c>
      <c r="BU77" s="55"/>
      <c r="BV77" s="32"/>
      <c r="BW77" s="32"/>
      <c r="BX77" s="55"/>
      <c r="BY77" s="32"/>
      <c r="BZ77" s="54"/>
      <c r="CA77" s="21" t="str">
        <f>IFERROR(VLOOKUP(January[[#This Row],[Drug Name8]],'Data Options'!$R$1:$S$100,2,FALSE), " ")</f>
        <v xml:space="preserve"> </v>
      </c>
      <c r="CB77" s="55"/>
      <c r="CC77" s="32"/>
      <c r="CD77" s="32"/>
      <c r="CE77" s="55"/>
      <c r="CF77" s="32"/>
      <c r="CG77" s="54"/>
      <c r="CH77" s="21" t="str">
        <f>IFERROR(VLOOKUP(January[[#This Row],[Drug Name9]],'Data Options'!$R$1:$S$100,2,FALSE), " ")</f>
        <v xml:space="preserve"> </v>
      </c>
      <c r="CI77" s="55"/>
      <c r="CJ77" s="32"/>
      <c r="CK77" s="32"/>
      <c r="CL77" s="55"/>
      <c r="CM77" s="32"/>
    </row>
    <row r="78" spans="1:91">
      <c r="A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31"/>
      <c r="Q78" s="54"/>
      <c r="R78" s="21" t="str">
        <f>IFERROR(VLOOKUP(January[[#This Row],[Drug Name]],'Data Options'!$R$1:$S$100,2,FALSE), " ")</f>
        <v xml:space="preserve"> </v>
      </c>
      <c r="S78" s="55"/>
      <c r="T78" s="32"/>
      <c r="U78" s="32"/>
      <c r="V78" s="55"/>
      <c r="W78" s="32"/>
      <c r="X78" s="54"/>
      <c r="Y78" s="21" t="str">
        <f>IFERROR(VLOOKUP(January[[#This Row],[Drug Name2]],'Data Options'!$R$1:$S$100,2,FALSE), " ")</f>
        <v xml:space="preserve"> </v>
      </c>
      <c r="Z78" s="55"/>
      <c r="AA78" s="32"/>
      <c r="AB78" s="32"/>
      <c r="AC78" s="55"/>
      <c r="AD78" s="32"/>
      <c r="AE78" s="54"/>
      <c r="AF78" s="21" t="str">
        <f>IFERROR(VLOOKUP(January[[#This Row],[Drug Name3]],'Data Options'!$R$1:$S$100,2,FALSE), " ")</f>
        <v xml:space="preserve"> </v>
      </c>
      <c r="AG78" s="55"/>
      <c r="AH78" s="32"/>
      <c r="AI78" s="32"/>
      <c r="AJ78" s="55"/>
      <c r="AK78" s="32"/>
      <c r="AL78" s="32"/>
      <c r="AM78" s="32"/>
      <c r="AN78" s="32"/>
      <c r="AO78" s="32"/>
      <c r="AP78" s="31"/>
      <c r="AQ78" s="31"/>
      <c r="AR78" s="54"/>
      <c r="AS78" s="21" t="str">
        <f>IFERROR(VLOOKUP(January[[#This Row],[Drug Name4]],'Data Options'!$R$1:$S$100,2,FALSE), " ")</f>
        <v xml:space="preserve"> </v>
      </c>
      <c r="AT78" s="55"/>
      <c r="AU78" s="32"/>
      <c r="AV78" s="32"/>
      <c r="AW78" s="55"/>
      <c r="AX78" s="32"/>
      <c r="AY78" s="54"/>
      <c r="AZ78" s="21" t="str">
        <f>IFERROR(VLOOKUP(January[[#This Row],[Drug Name5]],'Data Options'!$R$1:$S$100,2,FALSE), " ")</f>
        <v xml:space="preserve"> </v>
      </c>
      <c r="BA78" s="55"/>
      <c r="BB78" s="32"/>
      <c r="BC78" s="32"/>
      <c r="BD78" s="55"/>
      <c r="BE78" s="32"/>
      <c r="BF78" s="54"/>
      <c r="BG78" s="21" t="str">
        <f>IFERROR(VLOOKUP(January[[#This Row],[Drug Name6]],'Data Options'!$R$1:$S$100,2,FALSE), " ")</f>
        <v xml:space="preserve"> </v>
      </c>
      <c r="BH78" s="55"/>
      <c r="BI78" s="32"/>
      <c r="BJ78" s="32"/>
      <c r="BK78" s="55"/>
      <c r="BL78" s="32"/>
      <c r="BM78" s="32"/>
      <c r="BN78" s="32"/>
      <c r="BO78" s="32"/>
      <c r="BP78" s="32"/>
      <c r="BQ78" s="31"/>
      <c r="BR78" s="31"/>
      <c r="BS78" s="54"/>
      <c r="BT78" s="21" t="str">
        <f>IFERROR(VLOOKUP(January[[#This Row],[Drug Name7]],'Data Options'!$R$1:$S$100,2,FALSE), " ")</f>
        <v xml:space="preserve"> </v>
      </c>
      <c r="BU78" s="55"/>
      <c r="BV78" s="32"/>
      <c r="BW78" s="32"/>
      <c r="BX78" s="55"/>
      <c r="BY78" s="32"/>
      <c r="BZ78" s="54"/>
      <c r="CA78" s="21" t="str">
        <f>IFERROR(VLOOKUP(January[[#This Row],[Drug Name8]],'Data Options'!$R$1:$S$100,2,FALSE), " ")</f>
        <v xml:space="preserve"> </v>
      </c>
      <c r="CB78" s="55"/>
      <c r="CC78" s="32"/>
      <c r="CD78" s="32"/>
      <c r="CE78" s="55"/>
      <c r="CF78" s="32"/>
      <c r="CG78" s="54"/>
      <c r="CH78" s="21" t="str">
        <f>IFERROR(VLOOKUP(January[[#This Row],[Drug Name9]],'Data Options'!$R$1:$S$100,2,FALSE), " ")</f>
        <v xml:space="preserve"> </v>
      </c>
      <c r="CI78" s="55"/>
      <c r="CJ78" s="32"/>
      <c r="CK78" s="32"/>
      <c r="CL78" s="55"/>
      <c r="CM78" s="32"/>
    </row>
    <row r="79" spans="1:91">
      <c r="A79" s="5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31"/>
      <c r="Q79" s="54"/>
      <c r="R79" s="21" t="str">
        <f>IFERROR(VLOOKUP(January[[#This Row],[Drug Name]],'Data Options'!$R$1:$S$100,2,FALSE), " ")</f>
        <v xml:space="preserve"> </v>
      </c>
      <c r="S79" s="55"/>
      <c r="T79" s="32"/>
      <c r="U79" s="32"/>
      <c r="V79" s="55"/>
      <c r="W79" s="32"/>
      <c r="X79" s="54"/>
      <c r="Y79" s="21" t="str">
        <f>IFERROR(VLOOKUP(January[[#This Row],[Drug Name2]],'Data Options'!$R$1:$S$100,2,FALSE), " ")</f>
        <v xml:space="preserve"> </v>
      </c>
      <c r="Z79" s="55"/>
      <c r="AA79" s="32"/>
      <c r="AB79" s="32"/>
      <c r="AC79" s="55"/>
      <c r="AD79" s="32"/>
      <c r="AE79" s="54"/>
      <c r="AF79" s="21" t="str">
        <f>IFERROR(VLOOKUP(January[[#This Row],[Drug Name3]],'Data Options'!$R$1:$S$100,2,FALSE), " ")</f>
        <v xml:space="preserve"> </v>
      </c>
      <c r="AG79" s="55"/>
      <c r="AH79" s="32"/>
      <c r="AI79" s="32"/>
      <c r="AJ79" s="55"/>
      <c r="AK79" s="32"/>
      <c r="AL79" s="32"/>
      <c r="AM79" s="32"/>
      <c r="AN79" s="32"/>
      <c r="AO79" s="32"/>
      <c r="AP79" s="31"/>
      <c r="AQ79" s="31"/>
      <c r="AR79" s="54"/>
      <c r="AS79" s="21" t="str">
        <f>IFERROR(VLOOKUP(January[[#This Row],[Drug Name4]],'Data Options'!$R$1:$S$100,2,FALSE), " ")</f>
        <v xml:space="preserve"> </v>
      </c>
      <c r="AT79" s="55"/>
      <c r="AU79" s="32"/>
      <c r="AV79" s="32"/>
      <c r="AW79" s="55"/>
      <c r="AX79" s="32"/>
      <c r="AY79" s="54"/>
      <c r="AZ79" s="21" t="str">
        <f>IFERROR(VLOOKUP(January[[#This Row],[Drug Name5]],'Data Options'!$R$1:$S$100,2,FALSE), " ")</f>
        <v xml:space="preserve"> </v>
      </c>
      <c r="BA79" s="55"/>
      <c r="BB79" s="32"/>
      <c r="BC79" s="32"/>
      <c r="BD79" s="55"/>
      <c r="BE79" s="32"/>
      <c r="BF79" s="54"/>
      <c r="BG79" s="21" t="str">
        <f>IFERROR(VLOOKUP(January[[#This Row],[Drug Name6]],'Data Options'!$R$1:$S$100,2,FALSE), " ")</f>
        <v xml:space="preserve"> </v>
      </c>
      <c r="BH79" s="55"/>
      <c r="BI79" s="32"/>
      <c r="BJ79" s="32"/>
      <c r="BK79" s="55"/>
      <c r="BL79" s="32"/>
      <c r="BM79" s="32"/>
      <c r="BN79" s="32"/>
      <c r="BO79" s="32"/>
      <c r="BP79" s="32"/>
      <c r="BQ79" s="31"/>
      <c r="BR79" s="31"/>
      <c r="BS79" s="54"/>
      <c r="BT79" s="21" t="str">
        <f>IFERROR(VLOOKUP(January[[#This Row],[Drug Name7]],'Data Options'!$R$1:$S$100,2,FALSE), " ")</f>
        <v xml:space="preserve"> </v>
      </c>
      <c r="BU79" s="55"/>
      <c r="BV79" s="32"/>
      <c r="BW79" s="32"/>
      <c r="BX79" s="55"/>
      <c r="BY79" s="32"/>
      <c r="BZ79" s="54"/>
      <c r="CA79" s="21" t="str">
        <f>IFERROR(VLOOKUP(January[[#This Row],[Drug Name8]],'Data Options'!$R$1:$S$100,2,FALSE), " ")</f>
        <v xml:space="preserve"> </v>
      </c>
      <c r="CB79" s="55"/>
      <c r="CC79" s="32"/>
      <c r="CD79" s="32"/>
      <c r="CE79" s="55"/>
      <c r="CF79" s="32"/>
      <c r="CG79" s="54"/>
      <c r="CH79" s="21" t="str">
        <f>IFERROR(VLOOKUP(January[[#This Row],[Drug Name9]],'Data Options'!$R$1:$S$100,2,FALSE), " ")</f>
        <v xml:space="preserve"> </v>
      </c>
      <c r="CI79" s="55"/>
      <c r="CJ79" s="32"/>
      <c r="CK79" s="32"/>
      <c r="CL79" s="55"/>
      <c r="CM79" s="32"/>
    </row>
    <row r="80" spans="1:91">
      <c r="A80" s="5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31"/>
      <c r="Q80" s="54"/>
      <c r="R80" s="21" t="str">
        <f>IFERROR(VLOOKUP(January[[#This Row],[Drug Name]],'Data Options'!$R$1:$S$100,2,FALSE), " ")</f>
        <v xml:space="preserve"> </v>
      </c>
      <c r="S80" s="55"/>
      <c r="T80" s="32"/>
      <c r="U80" s="32"/>
      <c r="V80" s="55"/>
      <c r="W80" s="32"/>
      <c r="X80" s="54"/>
      <c r="Y80" s="21" t="str">
        <f>IFERROR(VLOOKUP(January[[#This Row],[Drug Name2]],'Data Options'!$R$1:$S$100,2,FALSE), " ")</f>
        <v xml:space="preserve"> </v>
      </c>
      <c r="Z80" s="55"/>
      <c r="AA80" s="32"/>
      <c r="AB80" s="32"/>
      <c r="AC80" s="55"/>
      <c r="AD80" s="32"/>
      <c r="AE80" s="54"/>
      <c r="AF80" s="21" t="str">
        <f>IFERROR(VLOOKUP(January[[#This Row],[Drug Name3]],'Data Options'!$R$1:$S$100,2,FALSE), " ")</f>
        <v xml:space="preserve"> </v>
      </c>
      <c r="AG80" s="55"/>
      <c r="AH80" s="32"/>
      <c r="AI80" s="32"/>
      <c r="AJ80" s="55"/>
      <c r="AK80" s="32"/>
      <c r="AL80" s="32"/>
      <c r="AM80" s="32"/>
      <c r="AN80" s="32"/>
      <c r="AO80" s="32"/>
      <c r="AP80" s="31"/>
      <c r="AQ80" s="31"/>
      <c r="AR80" s="54"/>
      <c r="AS80" s="21" t="str">
        <f>IFERROR(VLOOKUP(January[[#This Row],[Drug Name4]],'Data Options'!$R$1:$S$100,2,FALSE), " ")</f>
        <v xml:space="preserve"> </v>
      </c>
      <c r="AT80" s="55"/>
      <c r="AU80" s="32"/>
      <c r="AV80" s="32"/>
      <c r="AW80" s="55"/>
      <c r="AX80" s="32"/>
      <c r="AY80" s="54"/>
      <c r="AZ80" s="21" t="str">
        <f>IFERROR(VLOOKUP(January[[#This Row],[Drug Name5]],'Data Options'!$R$1:$S$100,2,FALSE), " ")</f>
        <v xml:space="preserve"> </v>
      </c>
      <c r="BA80" s="55"/>
      <c r="BB80" s="32"/>
      <c r="BC80" s="32"/>
      <c r="BD80" s="55"/>
      <c r="BE80" s="32"/>
      <c r="BF80" s="54"/>
      <c r="BG80" s="21" t="str">
        <f>IFERROR(VLOOKUP(January[[#This Row],[Drug Name6]],'Data Options'!$R$1:$S$100,2,FALSE), " ")</f>
        <v xml:space="preserve"> </v>
      </c>
      <c r="BH80" s="55"/>
      <c r="BI80" s="32"/>
      <c r="BJ80" s="32"/>
      <c r="BK80" s="55"/>
      <c r="BL80" s="32"/>
      <c r="BM80" s="32"/>
      <c r="BN80" s="32"/>
      <c r="BO80" s="32"/>
      <c r="BP80" s="32"/>
      <c r="BQ80" s="31"/>
      <c r="BR80" s="31"/>
      <c r="BS80" s="54"/>
      <c r="BT80" s="21" t="str">
        <f>IFERROR(VLOOKUP(January[[#This Row],[Drug Name7]],'Data Options'!$R$1:$S$100,2,FALSE), " ")</f>
        <v xml:space="preserve"> </v>
      </c>
      <c r="BU80" s="55"/>
      <c r="BV80" s="32"/>
      <c r="BW80" s="32"/>
      <c r="BX80" s="55"/>
      <c r="BY80" s="32"/>
      <c r="BZ80" s="54"/>
      <c r="CA80" s="21" t="str">
        <f>IFERROR(VLOOKUP(January[[#This Row],[Drug Name8]],'Data Options'!$R$1:$S$100,2,FALSE), " ")</f>
        <v xml:space="preserve"> </v>
      </c>
      <c r="CB80" s="55"/>
      <c r="CC80" s="32"/>
      <c r="CD80" s="32"/>
      <c r="CE80" s="55"/>
      <c r="CF80" s="32"/>
      <c r="CG80" s="54"/>
      <c r="CH80" s="21" t="str">
        <f>IFERROR(VLOOKUP(January[[#This Row],[Drug Name9]],'Data Options'!$R$1:$S$100,2,FALSE), " ")</f>
        <v xml:space="preserve"> </v>
      </c>
      <c r="CI80" s="55"/>
      <c r="CJ80" s="32"/>
      <c r="CK80" s="32"/>
      <c r="CL80" s="55"/>
      <c r="CM80" s="32"/>
    </row>
    <row r="81" spans="1:91">
      <c r="A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54"/>
      <c r="R81" s="21" t="str">
        <f>IFERROR(VLOOKUP(January[[#This Row],[Drug Name]],'Data Options'!$R$1:$S$100,2,FALSE), " ")</f>
        <v xml:space="preserve"> </v>
      </c>
      <c r="S81" s="55"/>
      <c r="T81" s="32"/>
      <c r="U81" s="32"/>
      <c r="V81" s="55"/>
      <c r="W81" s="32"/>
      <c r="X81" s="54"/>
      <c r="Y81" s="21" t="str">
        <f>IFERROR(VLOOKUP(January[[#This Row],[Drug Name2]],'Data Options'!$R$1:$S$100,2,FALSE), " ")</f>
        <v xml:space="preserve"> </v>
      </c>
      <c r="Z81" s="55"/>
      <c r="AA81" s="32"/>
      <c r="AB81" s="32"/>
      <c r="AC81" s="55"/>
      <c r="AD81" s="32"/>
      <c r="AE81" s="54"/>
      <c r="AF81" s="21" t="str">
        <f>IFERROR(VLOOKUP(January[[#This Row],[Drug Name3]],'Data Options'!$R$1:$S$100,2,FALSE), " ")</f>
        <v xml:space="preserve"> </v>
      </c>
      <c r="AG81" s="55"/>
      <c r="AH81" s="32"/>
      <c r="AI81" s="32"/>
      <c r="AJ81" s="55"/>
      <c r="AK81" s="32"/>
      <c r="AL81" s="32"/>
      <c r="AM81" s="32"/>
      <c r="AN81" s="32"/>
      <c r="AO81" s="32"/>
      <c r="AP81" s="31"/>
      <c r="AQ81" s="31"/>
      <c r="AR81" s="54"/>
      <c r="AS81" s="21" t="str">
        <f>IFERROR(VLOOKUP(January[[#This Row],[Drug Name4]],'Data Options'!$R$1:$S$100,2,FALSE), " ")</f>
        <v xml:space="preserve"> </v>
      </c>
      <c r="AT81" s="55"/>
      <c r="AU81" s="32"/>
      <c r="AV81" s="32"/>
      <c r="AW81" s="55"/>
      <c r="AX81" s="32"/>
      <c r="AY81" s="54"/>
      <c r="AZ81" s="21" t="str">
        <f>IFERROR(VLOOKUP(January[[#This Row],[Drug Name5]],'Data Options'!$R$1:$S$100,2,FALSE), " ")</f>
        <v xml:space="preserve"> </v>
      </c>
      <c r="BA81" s="55"/>
      <c r="BB81" s="32"/>
      <c r="BC81" s="32"/>
      <c r="BD81" s="55"/>
      <c r="BE81" s="32"/>
      <c r="BF81" s="54"/>
      <c r="BG81" s="21" t="str">
        <f>IFERROR(VLOOKUP(January[[#This Row],[Drug Name6]],'Data Options'!$R$1:$S$100,2,FALSE), " ")</f>
        <v xml:space="preserve"> </v>
      </c>
      <c r="BH81" s="55"/>
      <c r="BI81" s="32"/>
      <c r="BJ81" s="32"/>
      <c r="BK81" s="55"/>
      <c r="BL81" s="32"/>
      <c r="BM81" s="32"/>
      <c r="BN81" s="32"/>
      <c r="BO81" s="32"/>
      <c r="BP81" s="32"/>
      <c r="BQ81" s="31"/>
      <c r="BR81" s="31"/>
      <c r="BS81" s="54"/>
      <c r="BT81" s="21" t="str">
        <f>IFERROR(VLOOKUP(January[[#This Row],[Drug Name7]],'Data Options'!$R$1:$S$100,2,FALSE), " ")</f>
        <v xml:space="preserve"> </v>
      </c>
      <c r="BU81" s="55"/>
      <c r="BV81" s="32"/>
      <c r="BW81" s="32"/>
      <c r="BX81" s="55"/>
      <c r="BY81" s="32"/>
      <c r="BZ81" s="54"/>
      <c r="CA81" s="21" t="str">
        <f>IFERROR(VLOOKUP(January[[#This Row],[Drug Name8]],'Data Options'!$R$1:$S$100,2,FALSE), " ")</f>
        <v xml:space="preserve"> </v>
      </c>
      <c r="CB81" s="55"/>
      <c r="CC81" s="32"/>
      <c r="CD81" s="32"/>
      <c r="CE81" s="55"/>
      <c r="CF81" s="32"/>
      <c r="CG81" s="54"/>
      <c r="CH81" s="21" t="str">
        <f>IFERROR(VLOOKUP(January[[#This Row],[Drug Name9]],'Data Options'!$R$1:$S$100,2,FALSE), " ")</f>
        <v xml:space="preserve"> </v>
      </c>
      <c r="CI81" s="55"/>
      <c r="CJ81" s="32"/>
      <c r="CK81" s="32"/>
      <c r="CL81" s="55"/>
      <c r="CM81" s="32"/>
    </row>
    <row r="82" spans="1:91">
      <c r="A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54"/>
      <c r="R82" s="21" t="str">
        <f>IFERROR(VLOOKUP(January[[#This Row],[Drug Name]],'Data Options'!$R$1:$S$100,2,FALSE), " ")</f>
        <v xml:space="preserve"> </v>
      </c>
      <c r="S82" s="55"/>
      <c r="T82" s="32"/>
      <c r="U82" s="32"/>
      <c r="V82" s="55"/>
      <c r="W82" s="32"/>
      <c r="X82" s="54"/>
      <c r="Y82" s="21" t="str">
        <f>IFERROR(VLOOKUP(January[[#This Row],[Drug Name2]],'Data Options'!$R$1:$S$100,2,FALSE), " ")</f>
        <v xml:space="preserve"> </v>
      </c>
      <c r="Z82" s="55"/>
      <c r="AA82" s="32"/>
      <c r="AB82" s="32"/>
      <c r="AC82" s="55"/>
      <c r="AD82" s="32"/>
      <c r="AE82" s="54"/>
      <c r="AF82" s="21" t="str">
        <f>IFERROR(VLOOKUP(January[[#This Row],[Drug Name3]],'Data Options'!$R$1:$S$100,2,FALSE), " ")</f>
        <v xml:space="preserve"> </v>
      </c>
      <c r="AG82" s="55"/>
      <c r="AH82" s="32"/>
      <c r="AI82" s="32"/>
      <c r="AJ82" s="55"/>
      <c r="AK82" s="32"/>
      <c r="AL82" s="32"/>
      <c r="AM82" s="32"/>
      <c r="AN82" s="32"/>
      <c r="AO82" s="32"/>
      <c r="AP82" s="31"/>
      <c r="AQ82" s="31"/>
      <c r="AR82" s="54"/>
      <c r="AS82" s="21" t="str">
        <f>IFERROR(VLOOKUP(January[[#This Row],[Drug Name4]],'Data Options'!$R$1:$S$100,2,FALSE), " ")</f>
        <v xml:space="preserve"> </v>
      </c>
      <c r="AT82" s="55"/>
      <c r="AU82" s="32"/>
      <c r="AV82" s="32"/>
      <c r="AW82" s="55"/>
      <c r="AX82" s="32"/>
      <c r="AY82" s="54"/>
      <c r="AZ82" s="21" t="str">
        <f>IFERROR(VLOOKUP(January[[#This Row],[Drug Name5]],'Data Options'!$R$1:$S$100,2,FALSE), " ")</f>
        <v xml:space="preserve"> </v>
      </c>
      <c r="BA82" s="55"/>
      <c r="BB82" s="32"/>
      <c r="BC82" s="32"/>
      <c r="BD82" s="55"/>
      <c r="BE82" s="32"/>
      <c r="BF82" s="54"/>
      <c r="BG82" s="21" t="str">
        <f>IFERROR(VLOOKUP(January[[#This Row],[Drug Name6]],'Data Options'!$R$1:$S$100,2,FALSE), " ")</f>
        <v xml:space="preserve"> </v>
      </c>
      <c r="BH82" s="55"/>
      <c r="BI82" s="32"/>
      <c r="BJ82" s="32"/>
      <c r="BK82" s="55"/>
      <c r="BL82" s="32"/>
      <c r="BM82" s="32"/>
      <c r="BN82" s="32"/>
      <c r="BO82" s="32"/>
      <c r="BP82" s="32"/>
      <c r="BQ82" s="31"/>
      <c r="BR82" s="31"/>
      <c r="BS82" s="54"/>
      <c r="BT82" s="21" t="str">
        <f>IFERROR(VLOOKUP(January[[#This Row],[Drug Name7]],'Data Options'!$R$1:$S$100,2,FALSE), " ")</f>
        <v xml:space="preserve"> </v>
      </c>
      <c r="BU82" s="55"/>
      <c r="BV82" s="32"/>
      <c r="BW82" s="32"/>
      <c r="BX82" s="55"/>
      <c r="BY82" s="32"/>
      <c r="BZ82" s="54"/>
      <c r="CA82" s="21" t="str">
        <f>IFERROR(VLOOKUP(January[[#This Row],[Drug Name8]],'Data Options'!$R$1:$S$100,2,FALSE), " ")</f>
        <v xml:space="preserve"> </v>
      </c>
      <c r="CB82" s="55"/>
      <c r="CC82" s="32"/>
      <c r="CD82" s="32"/>
      <c r="CE82" s="55"/>
      <c r="CF82" s="32"/>
      <c r="CG82" s="54"/>
      <c r="CH82" s="21" t="str">
        <f>IFERROR(VLOOKUP(January[[#This Row],[Drug Name9]],'Data Options'!$R$1:$S$100,2,FALSE), " ")</f>
        <v xml:space="preserve"> </v>
      </c>
      <c r="CI82" s="55"/>
      <c r="CJ82" s="32"/>
      <c r="CK82" s="32"/>
      <c r="CL82" s="55"/>
      <c r="CM82" s="32"/>
    </row>
    <row r="83" spans="1:91">
      <c r="A83" s="5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31"/>
      <c r="Q83" s="54"/>
      <c r="R83" s="21" t="str">
        <f>IFERROR(VLOOKUP(January[[#This Row],[Drug Name]],'Data Options'!$R$1:$S$100,2,FALSE), " ")</f>
        <v xml:space="preserve"> </v>
      </c>
      <c r="S83" s="55"/>
      <c r="T83" s="32"/>
      <c r="U83" s="32"/>
      <c r="V83" s="55"/>
      <c r="W83" s="32"/>
      <c r="X83" s="54"/>
      <c r="Y83" s="21" t="str">
        <f>IFERROR(VLOOKUP(January[[#This Row],[Drug Name2]],'Data Options'!$R$1:$S$100,2,FALSE), " ")</f>
        <v xml:space="preserve"> </v>
      </c>
      <c r="Z83" s="55"/>
      <c r="AA83" s="32"/>
      <c r="AB83" s="32"/>
      <c r="AC83" s="55"/>
      <c r="AD83" s="32"/>
      <c r="AE83" s="54"/>
      <c r="AF83" s="21" t="str">
        <f>IFERROR(VLOOKUP(January[[#This Row],[Drug Name3]],'Data Options'!$R$1:$S$100,2,FALSE), " ")</f>
        <v xml:space="preserve"> </v>
      </c>
      <c r="AG83" s="55"/>
      <c r="AH83" s="32"/>
      <c r="AI83" s="32"/>
      <c r="AJ83" s="55"/>
      <c r="AK83" s="32"/>
      <c r="AL83" s="32"/>
      <c r="AM83" s="32"/>
      <c r="AN83" s="32"/>
      <c r="AO83" s="32"/>
      <c r="AP83" s="31"/>
      <c r="AQ83" s="31"/>
      <c r="AR83" s="54"/>
      <c r="AS83" s="21" t="str">
        <f>IFERROR(VLOOKUP(January[[#This Row],[Drug Name4]],'Data Options'!$R$1:$S$100,2,FALSE), " ")</f>
        <v xml:space="preserve"> </v>
      </c>
      <c r="AT83" s="55"/>
      <c r="AU83" s="32"/>
      <c r="AV83" s="32"/>
      <c r="AW83" s="55"/>
      <c r="AX83" s="32"/>
      <c r="AY83" s="54"/>
      <c r="AZ83" s="21" t="str">
        <f>IFERROR(VLOOKUP(January[[#This Row],[Drug Name5]],'Data Options'!$R$1:$S$100,2,FALSE), " ")</f>
        <v xml:space="preserve"> </v>
      </c>
      <c r="BA83" s="55"/>
      <c r="BB83" s="32"/>
      <c r="BC83" s="32"/>
      <c r="BD83" s="55"/>
      <c r="BE83" s="32"/>
      <c r="BF83" s="54"/>
      <c r="BG83" s="21" t="str">
        <f>IFERROR(VLOOKUP(January[[#This Row],[Drug Name6]],'Data Options'!$R$1:$S$100,2,FALSE), " ")</f>
        <v xml:space="preserve"> </v>
      </c>
      <c r="BH83" s="55"/>
      <c r="BI83" s="32"/>
      <c r="BJ83" s="32"/>
      <c r="BK83" s="55"/>
      <c r="BL83" s="32"/>
      <c r="BM83" s="32"/>
      <c r="BN83" s="32"/>
      <c r="BO83" s="32"/>
      <c r="BP83" s="32"/>
      <c r="BQ83" s="31"/>
      <c r="BR83" s="31"/>
      <c r="BS83" s="54"/>
      <c r="BT83" s="21" t="str">
        <f>IFERROR(VLOOKUP(January[[#This Row],[Drug Name7]],'Data Options'!$R$1:$S$100,2,FALSE), " ")</f>
        <v xml:space="preserve"> </v>
      </c>
      <c r="BU83" s="55"/>
      <c r="BV83" s="32"/>
      <c r="BW83" s="32"/>
      <c r="BX83" s="55"/>
      <c r="BY83" s="32"/>
      <c r="BZ83" s="54"/>
      <c r="CA83" s="21" t="str">
        <f>IFERROR(VLOOKUP(January[[#This Row],[Drug Name8]],'Data Options'!$R$1:$S$100,2,FALSE), " ")</f>
        <v xml:space="preserve"> </v>
      </c>
      <c r="CB83" s="55"/>
      <c r="CC83" s="32"/>
      <c r="CD83" s="32"/>
      <c r="CE83" s="55"/>
      <c r="CF83" s="32"/>
      <c r="CG83" s="54"/>
      <c r="CH83" s="21" t="str">
        <f>IFERROR(VLOOKUP(January[[#This Row],[Drug Name9]],'Data Options'!$R$1:$S$100,2,FALSE), " ")</f>
        <v xml:space="preserve"> </v>
      </c>
      <c r="CI83" s="55"/>
      <c r="CJ83" s="32"/>
      <c r="CK83" s="32"/>
      <c r="CL83" s="55"/>
      <c r="CM83" s="32"/>
    </row>
    <row r="84" spans="1:91">
      <c r="A84" s="5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31"/>
      <c r="Q84" s="54"/>
      <c r="R84" s="21" t="str">
        <f>IFERROR(VLOOKUP(January[[#This Row],[Drug Name]],'Data Options'!$R$1:$S$100,2,FALSE), " ")</f>
        <v xml:space="preserve"> </v>
      </c>
      <c r="S84" s="55"/>
      <c r="T84" s="32"/>
      <c r="U84" s="32"/>
      <c r="V84" s="55"/>
      <c r="W84" s="32"/>
      <c r="X84" s="54"/>
      <c r="Y84" s="21" t="str">
        <f>IFERROR(VLOOKUP(January[[#This Row],[Drug Name2]],'Data Options'!$R$1:$S$100,2,FALSE), " ")</f>
        <v xml:space="preserve"> </v>
      </c>
      <c r="Z84" s="55"/>
      <c r="AA84" s="32"/>
      <c r="AB84" s="32"/>
      <c r="AC84" s="55"/>
      <c r="AD84" s="32"/>
      <c r="AE84" s="54"/>
      <c r="AF84" s="21" t="str">
        <f>IFERROR(VLOOKUP(January[[#This Row],[Drug Name3]],'Data Options'!$R$1:$S$100,2,FALSE), " ")</f>
        <v xml:space="preserve"> </v>
      </c>
      <c r="AG84" s="55"/>
      <c r="AH84" s="32"/>
      <c r="AI84" s="32"/>
      <c r="AJ84" s="55"/>
      <c r="AK84" s="32"/>
      <c r="AL84" s="32"/>
      <c r="AM84" s="32"/>
      <c r="AN84" s="32"/>
      <c r="AO84" s="32"/>
      <c r="AP84" s="31"/>
      <c r="AQ84" s="31"/>
      <c r="AR84" s="54"/>
      <c r="AS84" s="21" t="str">
        <f>IFERROR(VLOOKUP(January[[#This Row],[Drug Name4]],'Data Options'!$R$1:$S$100,2,FALSE), " ")</f>
        <v xml:space="preserve"> </v>
      </c>
      <c r="AT84" s="55"/>
      <c r="AU84" s="32"/>
      <c r="AV84" s="32"/>
      <c r="AW84" s="55"/>
      <c r="AX84" s="32"/>
      <c r="AY84" s="54"/>
      <c r="AZ84" s="21" t="str">
        <f>IFERROR(VLOOKUP(January[[#This Row],[Drug Name5]],'Data Options'!$R$1:$S$100,2,FALSE), " ")</f>
        <v xml:space="preserve"> </v>
      </c>
      <c r="BA84" s="55"/>
      <c r="BB84" s="32"/>
      <c r="BC84" s="32"/>
      <c r="BD84" s="55"/>
      <c r="BE84" s="32"/>
      <c r="BF84" s="54"/>
      <c r="BG84" s="21" t="str">
        <f>IFERROR(VLOOKUP(January[[#This Row],[Drug Name6]],'Data Options'!$R$1:$S$100,2,FALSE), " ")</f>
        <v xml:space="preserve"> </v>
      </c>
      <c r="BH84" s="55"/>
      <c r="BI84" s="32"/>
      <c r="BJ84" s="32"/>
      <c r="BK84" s="55"/>
      <c r="BL84" s="32"/>
      <c r="BM84" s="32"/>
      <c r="BN84" s="32"/>
      <c r="BO84" s="32"/>
      <c r="BP84" s="32"/>
      <c r="BQ84" s="31"/>
      <c r="BR84" s="31"/>
      <c r="BS84" s="54"/>
      <c r="BT84" s="21" t="str">
        <f>IFERROR(VLOOKUP(January[[#This Row],[Drug Name7]],'Data Options'!$R$1:$S$100,2,FALSE), " ")</f>
        <v xml:space="preserve"> </v>
      </c>
      <c r="BU84" s="55"/>
      <c r="BV84" s="32"/>
      <c r="BW84" s="32"/>
      <c r="BX84" s="55"/>
      <c r="BY84" s="32"/>
      <c r="BZ84" s="54"/>
      <c r="CA84" s="21" t="str">
        <f>IFERROR(VLOOKUP(January[[#This Row],[Drug Name8]],'Data Options'!$R$1:$S$100,2,FALSE), " ")</f>
        <v xml:space="preserve"> </v>
      </c>
      <c r="CB84" s="55"/>
      <c r="CC84" s="32"/>
      <c r="CD84" s="32"/>
      <c r="CE84" s="55"/>
      <c r="CF84" s="32"/>
      <c r="CG84" s="54"/>
      <c r="CH84" s="21" t="str">
        <f>IFERROR(VLOOKUP(January[[#This Row],[Drug Name9]],'Data Options'!$R$1:$S$100,2,FALSE), " ")</f>
        <v xml:space="preserve"> </v>
      </c>
      <c r="CI84" s="55"/>
      <c r="CJ84" s="32"/>
      <c r="CK84" s="32"/>
      <c r="CL84" s="55"/>
      <c r="CM84" s="32"/>
    </row>
    <row r="85" spans="1:91">
      <c r="A85" s="5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31"/>
      <c r="Q85" s="54"/>
      <c r="R85" s="21" t="str">
        <f>IFERROR(VLOOKUP(January[[#This Row],[Drug Name]],'Data Options'!$R$1:$S$100,2,FALSE), " ")</f>
        <v xml:space="preserve"> </v>
      </c>
      <c r="S85" s="55"/>
      <c r="T85" s="32"/>
      <c r="U85" s="32"/>
      <c r="V85" s="55"/>
      <c r="W85" s="32"/>
      <c r="X85" s="54"/>
      <c r="Y85" s="21" t="str">
        <f>IFERROR(VLOOKUP(January[[#This Row],[Drug Name2]],'Data Options'!$R$1:$S$100,2,FALSE), " ")</f>
        <v xml:space="preserve"> </v>
      </c>
      <c r="Z85" s="55"/>
      <c r="AA85" s="32"/>
      <c r="AB85" s="32"/>
      <c r="AC85" s="55"/>
      <c r="AD85" s="32"/>
      <c r="AE85" s="54"/>
      <c r="AF85" s="21" t="str">
        <f>IFERROR(VLOOKUP(January[[#This Row],[Drug Name3]],'Data Options'!$R$1:$S$100,2,FALSE), " ")</f>
        <v xml:space="preserve"> </v>
      </c>
      <c r="AG85" s="55"/>
      <c r="AH85" s="32"/>
      <c r="AI85" s="32"/>
      <c r="AJ85" s="55"/>
      <c r="AK85" s="32"/>
      <c r="AL85" s="32"/>
      <c r="AM85" s="32"/>
      <c r="AN85" s="32"/>
      <c r="AO85" s="32"/>
      <c r="AP85" s="31"/>
      <c r="AQ85" s="31"/>
      <c r="AR85" s="54"/>
      <c r="AS85" s="21" t="str">
        <f>IFERROR(VLOOKUP(January[[#This Row],[Drug Name4]],'Data Options'!$R$1:$S$100,2,FALSE), " ")</f>
        <v xml:space="preserve"> </v>
      </c>
      <c r="AT85" s="55"/>
      <c r="AU85" s="32"/>
      <c r="AV85" s="32"/>
      <c r="AW85" s="55"/>
      <c r="AX85" s="32"/>
      <c r="AY85" s="54"/>
      <c r="AZ85" s="21" t="str">
        <f>IFERROR(VLOOKUP(January[[#This Row],[Drug Name5]],'Data Options'!$R$1:$S$100,2,FALSE), " ")</f>
        <v xml:space="preserve"> </v>
      </c>
      <c r="BA85" s="55"/>
      <c r="BB85" s="32"/>
      <c r="BC85" s="32"/>
      <c r="BD85" s="55"/>
      <c r="BE85" s="32"/>
      <c r="BF85" s="54"/>
      <c r="BG85" s="21" t="str">
        <f>IFERROR(VLOOKUP(January[[#This Row],[Drug Name6]],'Data Options'!$R$1:$S$100,2,FALSE), " ")</f>
        <v xml:space="preserve"> </v>
      </c>
      <c r="BH85" s="55"/>
      <c r="BI85" s="32"/>
      <c r="BJ85" s="32"/>
      <c r="BK85" s="55"/>
      <c r="BL85" s="32"/>
      <c r="BM85" s="32"/>
      <c r="BN85" s="32"/>
      <c r="BO85" s="32"/>
      <c r="BP85" s="32"/>
      <c r="BQ85" s="31"/>
      <c r="BR85" s="31"/>
      <c r="BS85" s="54"/>
      <c r="BT85" s="21" t="str">
        <f>IFERROR(VLOOKUP(January[[#This Row],[Drug Name7]],'Data Options'!$R$1:$S$100,2,FALSE), " ")</f>
        <v xml:space="preserve"> </v>
      </c>
      <c r="BU85" s="55"/>
      <c r="BV85" s="32"/>
      <c r="BW85" s="32"/>
      <c r="BX85" s="55"/>
      <c r="BY85" s="32"/>
      <c r="BZ85" s="54"/>
      <c r="CA85" s="21" t="str">
        <f>IFERROR(VLOOKUP(January[[#This Row],[Drug Name8]],'Data Options'!$R$1:$S$100,2,FALSE), " ")</f>
        <v xml:space="preserve"> </v>
      </c>
      <c r="CB85" s="55"/>
      <c r="CC85" s="32"/>
      <c r="CD85" s="32"/>
      <c r="CE85" s="55"/>
      <c r="CF85" s="32"/>
      <c r="CG85" s="54"/>
      <c r="CH85" s="21" t="str">
        <f>IFERROR(VLOOKUP(January[[#This Row],[Drug Name9]],'Data Options'!$R$1:$S$100,2,FALSE), " ")</f>
        <v xml:space="preserve"> </v>
      </c>
      <c r="CI85" s="55"/>
      <c r="CJ85" s="32"/>
      <c r="CK85" s="32"/>
      <c r="CL85" s="55"/>
      <c r="CM85" s="32"/>
    </row>
    <row r="86" spans="1:91">
      <c r="A86" s="5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31"/>
      <c r="Q86" s="54"/>
      <c r="R86" s="21" t="str">
        <f>IFERROR(VLOOKUP(January[[#This Row],[Drug Name]],'Data Options'!$R$1:$S$100,2,FALSE), " ")</f>
        <v xml:space="preserve"> </v>
      </c>
      <c r="S86" s="55"/>
      <c r="T86" s="32"/>
      <c r="U86" s="32"/>
      <c r="V86" s="55"/>
      <c r="W86" s="32"/>
      <c r="X86" s="54"/>
      <c r="Y86" s="21" t="str">
        <f>IFERROR(VLOOKUP(January[[#This Row],[Drug Name2]],'Data Options'!$R$1:$S$100,2,FALSE), " ")</f>
        <v xml:space="preserve"> </v>
      </c>
      <c r="Z86" s="55"/>
      <c r="AA86" s="32"/>
      <c r="AB86" s="32"/>
      <c r="AC86" s="55"/>
      <c r="AD86" s="32"/>
      <c r="AE86" s="54"/>
      <c r="AF86" s="21" t="str">
        <f>IFERROR(VLOOKUP(January[[#This Row],[Drug Name3]],'Data Options'!$R$1:$S$100,2,FALSE), " ")</f>
        <v xml:space="preserve"> </v>
      </c>
      <c r="AG86" s="55"/>
      <c r="AH86" s="32"/>
      <c r="AI86" s="32"/>
      <c r="AJ86" s="55"/>
      <c r="AK86" s="32"/>
      <c r="AL86" s="32"/>
      <c r="AM86" s="32"/>
      <c r="AN86" s="32"/>
      <c r="AO86" s="32"/>
      <c r="AP86" s="31"/>
      <c r="AQ86" s="31"/>
      <c r="AR86" s="54"/>
      <c r="AS86" s="21" t="str">
        <f>IFERROR(VLOOKUP(January[[#This Row],[Drug Name4]],'Data Options'!$R$1:$S$100,2,FALSE), " ")</f>
        <v xml:space="preserve"> </v>
      </c>
      <c r="AT86" s="55"/>
      <c r="AU86" s="32"/>
      <c r="AV86" s="32"/>
      <c r="AW86" s="55"/>
      <c r="AX86" s="32"/>
      <c r="AY86" s="54"/>
      <c r="AZ86" s="21" t="str">
        <f>IFERROR(VLOOKUP(January[[#This Row],[Drug Name5]],'Data Options'!$R$1:$S$100,2,FALSE), " ")</f>
        <v xml:space="preserve"> </v>
      </c>
      <c r="BA86" s="55"/>
      <c r="BB86" s="32"/>
      <c r="BC86" s="32"/>
      <c r="BD86" s="55"/>
      <c r="BE86" s="32"/>
      <c r="BF86" s="54"/>
      <c r="BG86" s="21" t="str">
        <f>IFERROR(VLOOKUP(January[[#This Row],[Drug Name6]],'Data Options'!$R$1:$S$100,2,FALSE), " ")</f>
        <v xml:space="preserve"> </v>
      </c>
      <c r="BH86" s="55"/>
      <c r="BI86" s="32"/>
      <c r="BJ86" s="32"/>
      <c r="BK86" s="55"/>
      <c r="BL86" s="32"/>
      <c r="BM86" s="32"/>
      <c r="BN86" s="32"/>
      <c r="BO86" s="32"/>
      <c r="BP86" s="32"/>
      <c r="BQ86" s="31"/>
      <c r="BR86" s="31"/>
      <c r="BS86" s="54"/>
      <c r="BT86" s="21" t="str">
        <f>IFERROR(VLOOKUP(January[[#This Row],[Drug Name7]],'Data Options'!$R$1:$S$100,2,FALSE), " ")</f>
        <v xml:space="preserve"> </v>
      </c>
      <c r="BU86" s="55"/>
      <c r="BV86" s="32"/>
      <c r="BW86" s="32"/>
      <c r="BX86" s="55"/>
      <c r="BY86" s="32"/>
      <c r="BZ86" s="54"/>
      <c r="CA86" s="21" t="str">
        <f>IFERROR(VLOOKUP(January[[#This Row],[Drug Name8]],'Data Options'!$R$1:$S$100,2,FALSE), " ")</f>
        <v xml:space="preserve"> </v>
      </c>
      <c r="CB86" s="55"/>
      <c r="CC86" s="32"/>
      <c r="CD86" s="32"/>
      <c r="CE86" s="55"/>
      <c r="CF86" s="32"/>
      <c r="CG86" s="54"/>
      <c r="CH86" s="21" t="str">
        <f>IFERROR(VLOOKUP(January[[#This Row],[Drug Name9]],'Data Options'!$R$1:$S$100,2,FALSE), " ")</f>
        <v xml:space="preserve"> </v>
      </c>
      <c r="CI86" s="55"/>
      <c r="CJ86" s="32"/>
      <c r="CK86" s="32"/>
      <c r="CL86" s="55"/>
      <c r="CM86" s="32"/>
    </row>
    <row r="87" spans="1:91">
      <c r="A87" s="5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31"/>
      <c r="Q87" s="54"/>
      <c r="R87" s="21" t="str">
        <f>IFERROR(VLOOKUP(January[[#This Row],[Drug Name]],'Data Options'!$R$1:$S$100,2,FALSE), " ")</f>
        <v xml:space="preserve"> </v>
      </c>
      <c r="S87" s="55"/>
      <c r="T87" s="32"/>
      <c r="U87" s="32"/>
      <c r="V87" s="55"/>
      <c r="W87" s="32"/>
      <c r="X87" s="54"/>
      <c r="Y87" s="21" t="str">
        <f>IFERROR(VLOOKUP(January[[#This Row],[Drug Name2]],'Data Options'!$R$1:$S$100,2,FALSE), " ")</f>
        <v xml:space="preserve"> </v>
      </c>
      <c r="Z87" s="55"/>
      <c r="AA87" s="32"/>
      <c r="AB87" s="32"/>
      <c r="AC87" s="55"/>
      <c r="AD87" s="32"/>
      <c r="AE87" s="54"/>
      <c r="AF87" s="21" t="str">
        <f>IFERROR(VLOOKUP(January[[#This Row],[Drug Name3]],'Data Options'!$R$1:$S$100,2,FALSE), " ")</f>
        <v xml:space="preserve"> </v>
      </c>
      <c r="AG87" s="55"/>
      <c r="AH87" s="32"/>
      <c r="AI87" s="32"/>
      <c r="AJ87" s="55"/>
      <c r="AK87" s="32"/>
      <c r="AL87" s="32"/>
      <c r="AM87" s="32"/>
      <c r="AN87" s="32"/>
      <c r="AO87" s="32"/>
      <c r="AP87" s="31"/>
      <c r="AQ87" s="31"/>
      <c r="AR87" s="54"/>
      <c r="AS87" s="21" t="str">
        <f>IFERROR(VLOOKUP(January[[#This Row],[Drug Name4]],'Data Options'!$R$1:$S$100,2,FALSE), " ")</f>
        <v xml:space="preserve"> </v>
      </c>
      <c r="AT87" s="55"/>
      <c r="AU87" s="32"/>
      <c r="AV87" s="32"/>
      <c r="AW87" s="55"/>
      <c r="AX87" s="32"/>
      <c r="AY87" s="54"/>
      <c r="AZ87" s="21" t="str">
        <f>IFERROR(VLOOKUP(January[[#This Row],[Drug Name5]],'Data Options'!$R$1:$S$100,2,FALSE), " ")</f>
        <v xml:space="preserve"> </v>
      </c>
      <c r="BA87" s="55"/>
      <c r="BB87" s="32"/>
      <c r="BC87" s="32"/>
      <c r="BD87" s="55"/>
      <c r="BE87" s="32"/>
      <c r="BF87" s="54"/>
      <c r="BG87" s="21" t="str">
        <f>IFERROR(VLOOKUP(January[[#This Row],[Drug Name6]],'Data Options'!$R$1:$S$100,2,FALSE), " ")</f>
        <v xml:space="preserve"> </v>
      </c>
      <c r="BH87" s="55"/>
      <c r="BI87" s="32"/>
      <c r="BJ87" s="32"/>
      <c r="BK87" s="55"/>
      <c r="BL87" s="32"/>
      <c r="BM87" s="32"/>
      <c r="BN87" s="32"/>
      <c r="BO87" s="32"/>
      <c r="BP87" s="32"/>
      <c r="BQ87" s="31"/>
      <c r="BR87" s="31"/>
      <c r="BS87" s="54"/>
      <c r="BT87" s="21" t="str">
        <f>IFERROR(VLOOKUP(January[[#This Row],[Drug Name7]],'Data Options'!$R$1:$S$100,2,FALSE), " ")</f>
        <v xml:space="preserve"> </v>
      </c>
      <c r="BU87" s="55"/>
      <c r="BV87" s="32"/>
      <c r="BW87" s="32"/>
      <c r="BX87" s="55"/>
      <c r="BY87" s="32"/>
      <c r="BZ87" s="54"/>
      <c r="CA87" s="21" t="str">
        <f>IFERROR(VLOOKUP(January[[#This Row],[Drug Name8]],'Data Options'!$R$1:$S$100,2,FALSE), " ")</f>
        <v xml:space="preserve"> </v>
      </c>
      <c r="CB87" s="55"/>
      <c r="CC87" s="32"/>
      <c r="CD87" s="32"/>
      <c r="CE87" s="55"/>
      <c r="CF87" s="32"/>
      <c r="CG87" s="54"/>
      <c r="CH87" s="21" t="str">
        <f>IFERROR(VLOOKUP(January[[#This Row],[Drug Name9]],'Data Options'!$R$1:$S$100,2,FALSE), " ")</f>
        <v xml:space="preserve"> </v>
      </c>
      <c r="CI87" s="55"/>
      <c r="CJ87" s="32"/>
      <c r="CK87" s="32"/>
      <c r="CL87" s="55"/>
      <c r="CM87" s="32"/>
    </row>
    <row r="88" spans="1:91">
      <c r="A88" s="5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31"/>
      <c r="Q88" s="54"/>
      <c r="R88" s="21" t="str">
        <f>IFERROR(VLOOKUP(January[[#This Row],[Drug Name]],'Data Options'!$R$1:$S$100,2,FALSE), " ")</f>
        <v xml:space="preserve"> </v>
      </c>
      <c r="S88" s="55"/>
      <c r="T88" s="32"/>
      <c r="U88" s="32"/>
      <c r="V88" s="55"/>
      <c r="W88" s="32"/>
      <c r="X88" s="54"/>
      <c r="Y88" s="21" t="str">
        <f>IFERROR(VLOOKUP(January[[#This Row],[Drug Name2]],'Data Options'!$R$1:$S$100,2,FALSE), " ")</f>
        <v xml:space="preserve"> </v>
      </c>
      <c r="Z88" s="55"/>
      <c r="AA88" s="32"/>
      <c r="AB88" s="32"/>
      <c r="AC88" s="55"/>
      <c r="AD88" s="32"/>
      <c r="AE88" s="54"/>
      <c r="AF88" s="21" t="str">
        <f>IFERROR(VLOOKUP(January[[#This Row],[Drug Name3]],'Data Options'!$R$1:$S$100,2,FALSE), " ")</f>
        <v xml:space="preserve"> </v>
      </c>
      <c r="AG88" s="55"/>
      <c r="AH88" s="32"/>
      <c r="AI88" s="32"/>
      <c r="AJ88" s="55"/>
      <c r="AK88" s="32"/>
      <c r="AL88" s="32"/>
      <c r="AM88" s="32"/>
      <c r="AN88" s="32"/>
      <c r="AO88" s="32"/>
      <c r="AP88" s="31"/>
      <c r="AQ88" s="31"/>
      <c r="AR88" s="54"/>
      <c r="AS88" s="21" t="str">
        <f>IFERROR(VLOOKUP(January[[#This Row],[Drug Name4]],'Data Options'!$R$1:$S$100,2,FALSE), " ")</f>
        <v xml:space="preserve"> </v>
      </c>
      <c r="AT88" s="55"/>
      <c r="AU88" s="32"/>
      <c r="AV88" s="32"/>
      <c r="AW88" s="55"/>
      <c r="AX88" s="32"/>
      <c r="AY88" s="54"/>
      <c r="AZ88" s="21" t="str">
        <f>IFERROR(VLOOKUP(January[[#This Row],[Drug Name5]],'Data Options'!$R$1:$S$100,2,FALSE), " ")</f>
        <v xml:space="preserve"> </v>
      </c>
      <c r="BA88" s="55"/>
      <c r="BB88" s="32"/>
      <c r="BC88" s="32"/>
      <c r="BD88" s="55"/>
      <c r="BE88" s="32"/>
      <c r="BF88" s="54"/>
      <c r="BG88" s="21" t="str">
        <f>IFERROR(VLOOKUP(January[[#This Row],[Drug Name6]],'Data Options'!$R$1:$S$100,2,FALSE), " ")</f>
        <v xml:space="preserve"> </v>
      </c>
      <c r="BH88" s="55"/>
      <c r="BI88" s="32"/>
      <c r="BJ88" s="32"/>
      <c r="BK88" s="55"/>
      <c r="BL88" s="32"/>
      <c r="BM88" s="32"/>
      <c r="BN88" s="32"/>
      <c r="BO88" s="32"/>
      <c r="BP88" s="32"/>
      <c r="BQ88" s="31"/>
      <c r="BR88" s="31"/>
      <c r="BS88" s="54"/>
      <c r="BT88" s="21" t="str">
        <f>IFERROR(VLOOKUP(January[[#This Row],[Drug Name7]],'Data Options'!$R$1:$S$100,2,FALSE), " ")</f>
        <v xml:space="preserve"> </v>
      </c>
      <c r="BU88" s="55"/>
      <c r="BV88" s="32"/>
      <c r="BW88" s="32"/>
      <c r="BX88" s="55"/>
      <c r="BY88" s="32"/>
      <c r="BZ88" s="54"/>
      <c r="CA88" s="21" t="str">
        <f>IFERROR(VLOOKUP(January[[#This Row],[Drug Name8]],'Data Options'!$R$1:$S$100,2,FALSE), " ")</f>
        <v xml:space="preserve"> </v>
      </c>
      <c r="CB88" s="55"/>
      <c r="CC88" s="32"/>
      <c r="CD88" s="32"/>
      <c r="CE88" s="55"/>
      <c r="CF88" s="32"/>
      <c r="CG88" s="54"/>
      <c r="CH88" s="21" t="str">
        <f>IFERROR(VLOOKUP(January[[#This Row],[Drug Name9]],'Data Options'!$R$1:$S$100,2,FALSE), " ")</f>
        <v xml:space="preserve"> </v>
      </c>
      <c r="CI88" s="55"/>
      <c r="CJ88" s="32"/>
      <c r="CK88" s="32"/>
      <c r="CL88" s="55"/>
      <c r="CM88" s="32"/>
    </row>
    <row r="89" spans="1:91">
      <c r="A89" s="5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31"/>
      <c r="Q89" s="54"/>
      <c r="R89" s="21" t="str">
        <f>IFERROR(VLOOKUP(January[[#This Row],[Drug Name]],'Data Options'!$R$1:$S$100,2,FALSE), " ")</f>
        <v xml:space="preserve"> </v>
      </c>
      <c r="S89" s="55"/>
      <c r="T89" s="32"/>
      <c r="U89" s="32"/>
      <c r="V89" s="55"/>
      <c r="W89" s="32"/>
      <c r="X89" s="54"/>
      <c r="Y89" s="21" t="str">
        <f>IFERROR(VLOOKUP(January[[#This Row],[Drug Name2]],'Data Options'!$R$1:$S$100,2,FALSE), " ")</f>
        <v xml:space="preserve"> </v>
      </c>
      <c r="Z89" s="55"/>
      <c r="AA89" s="32"/>
      <c r="AB89" s="32"/>
      <c r="AC89" s="55"/>
      <c r="AD89" s="32"/>
      <c r="AE89" s="54"/>
      <c r="AF89" s="21" t="str">
        <f>IFERROR(VLOOKUP(January[[#This Row],[Drug Name3]],'Data Options'!$R$1:$S$100,2,FALSE), " ")</f>
        <v xml:space="preserve"> </v>
      </c>
      <c r="AG89" s="55"/>
      <c r="AH89" s="32"/>
      <c r="AI89" s="32"/>
      <c r="AJ89" s="55"/>
      <c r="AK89" s="32"/>
      <c r="AL89" s="32"/>
      <c r="AM89" s="32"/>
      <c r="AN89" s="32"/>
      <c r="AO89" s="32"/>
      <c r="AP89" s="31"/>
      <c r="AQ89" s="31"/>
      <c r="AR89" s="54"/>
      <c r="AS89" s="21" t="str">
        <f>IFERROR(VLOOKUP(January[[#This Row],[Drug Name4]],'Data Options'!$R$1:$S$100,2,FALSE), " ")</f>
        <v xml:space="preserve"> </v>
      </c>
      <c r="AT89" s="55"/>
      <c r="AU89" s="32"/>
      <c r="AV89" s="32"/>
      <c r="AW89" s="55"/>
      <c r="AX89" s="32"/>
      <c r="AY89" s="54"/>
      <c r="AZ89" s="21" t="str">
        <f>IFERROR(VLOOKUP(January[[#This Row],[Drug Name5]],'Data Options'!$R$1:$S$100,2,FALSE), " ")</f>
        <v xml:space="preserve"> </v>
      </c>
      <c r="BA89" s="55"/>
      <c r="BB89" s="32"/>
      <c r="BC89" s="32"/>
      <c r="BD89" s="55"/>
      <c r="BE89" s="32"/>
      <c r="BF89" s="54"/>
      <c r="BG89" s="21" t="str">
        <f>IFERROR(VLOOKUP(January[[#This Row],[Drug Name6]],'Data Options'!$R$1:$S$100,2,FALSE), " ")</f>
        <v xml:space="preserve"> </v>
      </c>
      <c r="BH89" s="55"/>
      <c r="BI89" s="32"/>
      <c r="BJ89" s="32"/>
      <c r="BK89" s="55"/>
      <c r="BL89" s="32"/>
      <c r="BM89" s="32"/>
      <c r="BN89" s="32"/>
      <c r="BO89" s="32"/>
      <c r="BP89" s="32"/>
      <c r="BQ89" s="31"/>
      <c r="BR89" s="31"/>
      <c r="BS89" s="54"/>
      <c r="BT89" s="21" t="str">
        <f>IFERROR(VLOOKUP(January[[#This Row],[Drug Name7]],'Data Options'!$R$1:$S$100,2,FALSE), " ")</f>
        <v xml:space="preserve"> </v>
      </c>
      <c r="BU89" s="55"/>
      <c r="BV89" s="32"/>
      <c r="BW89" s="32"/>
      <c r="BX89" s="55"/>
      <c r="BY89" s="32"/>
      <c r="BZ89" s="54"/>
      <c r="CA89" s="21" t="str">
        <f>IFERROR(VLOOKUP(January[[#This Row],[Drug Name8]],'Data Options'!$R$1:$S$100,2,FALSE), " ")</f>
        <v xml:space="preserve"> </v>
      </c>
      <c r="CB89" s="55"/>
      <c r="CC89" s="32"/>
      <c r="CD89" s="32"/>
      <c r="CE89" s="55"/>
      <c r="CF89" s="32"/>
      <c r="CG89" s="54"/>
      <c r="CH89" s="21" t="str">
        <f>IFERROR(VLOOKUP(January[[#This Row],[Drug Name9]],'Data Options'!$R$1:$S$100,2,FALSE), " ")</f>
        <v xml:space="preserve"> </v>
      </c>
      <c r="CI89" s="55"/>
      <c r="CJ89" s="32"/>
      <c r="CK89" s="32"/>
      <c r="CL89" s="55"/>
      <c r="CM89" s="32"/>
    </row>
    <row r="90" spans="1:91">
      <c r="A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1"/>
      <c r="Q90" s="54"/>
      <c r="R90" s="21" t="str">
        <f>IFERROR(VLOOKUP(January[[#This Row],[Drug Name]],'Data Options'!$R$1:$S$100,2,FALSE), " ")</f>
        <v xml:space="preserve"> </v>
      </c>
      <c r="S90" s="55"/>
      <c r="T90" s="32"/>
      <c r="U90" s="32"/>
      <c r="V90" s="55"/>
      <c r="W90" s="32"/>
      <c r="X90" s="54"/>
      <c r="Y90" s="21" t="str">
        <f>IFERROR(VLOOKUP(January[[#This Row],[Drug Name2]],'Data Options'!$R$1:$S$100,2,FALSE), " ")</f>
        <v xml:space="preserve"> </v>
      </c>
      <c r="Z90" s="55"/>
      <c r="AA90" s="32"/>
      <c r="AB90" s="32"/>
      <c r="AC90" s="55"/>
      <c r="AD90" s="32"/>
      <c r="AE90" s="54"/>
      <c r="AF90" s="21" t="str">
        <f>IFERROR(VLOOKUP(January[[#This Row],[Drug Name3]],'Data Options'!$R$1:$S$100,2,FALSE), " ")</f>
        <v xml:space="preserve"> </v>
      </c>
      <c r="AG90" s="55"/>
      <c r="AH90" s="32"/>
      <c r="AI90" s="32"/>
      <c r="AJ90" s="55"/>
      <c r="AK90" s="32"/>
      <c r="AL90" s="32"/>
      <c r="AM90" s="32"/>
      <c r="AN90" s="32"/>
      <c r="AO90" s="32"/>
      <c r="AP90" s="31"/>
      <c r="AQ90" s="31"/>
      <c r="AR90" s="54"/>
      <c r="AS90" s="21" t="str">
        <f>IFERROR(VLOOKUP(January[[#This Row],[Drug Name4]],'Data Options'!$R$1:$S$100,2,FALSE), " ")</f>
        <v xml:space="preserve"> </v>
      </c>
      <c r="AT90" s="55"/>
      <c r="AU90" s="32"/>
      <c r="AV90" s="32"/>
      <c r="AW90" s="55"/>
      <c r="AX90" s="32"/>
      <c r="AY90" s="54"/>
      <c r="AZ90" s="21" t="str">
        <f>IFERROR(VLOOKUP(January[[#This Row],[Drug Name5]],'Data Options'!$R$1:$S$100,2,FALSE), " ")</f>
        <v xml:space="preserve"> </v>
      </c>
      <c r="BA90" s="55"/>
      <c r="BB90" s="32"/>
      <c r="BC90" s="32"/>
      <c r="BD90" s="55"/>
      <c r="BE90" s="32"/>
      <c r="BF90" s="54"/>
      <c r="BG90" s="21" t="str">
        <f>IFERROR(VLOOKUP(January[[#This Row],[Drug Name6]],'Data Options'!$R$1:$S$100,2,FALSE), " ")</f>
        <v xml:space="preserve"> </v>
      </c>
      <c r="BH90" s="55"/>
      <c r="BI90" s="32"/>
      <c r="BJ90" s="32"/>
      <c r="BK90" s="55"/>
      <c r="BL90" s="32"/>
      <c r="BM90" s="32"/>
      <c r="BN90" s="32"/>
      <c r="BO90" s="32"/>
      <c r="BP90" s="32"/>
      <c r="BQ90" s="31"/>
      <c r="BR90" s="31"/>
      <c r="BS90" s="54"/>
      <c r="BT90" s="21" t="str">
        <f>IFERROR(VLOOKUP(January[[#This Row],[Drug Name7]],'Data Options'!$R$1:$S$100,2,FALSE), " ")</f>
        <v xml:space="preserve"> </v>
      </c>
      <c r="BU90" s="55"/>
      <c r="BV90" s="32"/>
      <c r="BW90" s="32"/>
      <c r="BX90" s="55"/>
      <c r="BY90" s="32"/>
      <c r="BZ90" s="54"/>
      <c r="CA90" s="21" t="str">
        <f>IFERROR(VLOOKUP(January[[#This Row],[Drug Name8]],'Data Options'!$R$1:$S$100,2,FALSE), " ")</f>
        <v xml:space="preserve"> </v>
      </c>
      <c r="CB90" s="55"/>
      <c r="CC90" s="32"/>
      <c r="CD90" s="32"/>
      <c r="CE90" s="55"/>
      <c r="CF90" s="32"/>
      <c r="CG90" s="54"/>
      <c r="CH90" s="21" t="str">
        <f>IFERROR(VLOOKUP(January[[#This Row],[Drug Name9]],'Data Options'!$R$1:$S$100,2,FALSE), " ")</f>
        <v xml:space="preserve"> </v>
      </c>
      <c r="CI90" s="55"/>
      <c r="CJ90" s="32"/>
      <c r="CK90" s="32"/>
      <c r="CL90" s="55"/>
      <c r="CM90" s="32"/>
    </row>
    <row r="91" spans="1:91">
      <c r="A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1"/>
      <c r="Q91" s="54"/>
      <c r="R91" s="21" t="str">
        <f>IFERROR(VLOOKUP(January[[#This Row],[Drug Name]],'Data Options'!$R$1:$S$100,2,FALSE), " ")</f>
        <v xml:space="preserve"> </v>
      </c>
      <c r="S91" s="55"/>
      <c r="T91" s="32"/>
      <c r="U91" s="32"/>
      <c r="V91" s="55"/>
      <c r="W91" s="32"/>
      <c r="X91" s="54"/>
      <c r="Y91" s="21" t="str">
        <f>IFERROR(VLOOKUP(January[[#This Row],[Drug Name2]],'Data Options'!$R$1:$S$100,2,FALSE), " ")</f>
        <v xml:space="preserve"> </v>
      </c>
      <c r="Z91" s="55"/>
      <c r="AA91" s="32"/>
      <c r="AB91" s="32"/>
      <c r="AC91" s="55"/>
      <c r="AD91" s="32"/>
      <c r="AE91" s="54"/>
      <c r="AF91" s="21" t="str">
        <f>IFERROR(VLOOKUP(January[[#This Row],[Drug Name3]],'Data Options'!$R$1:$S$100,2,FALSE), " ")</f>
        <v xml:space="preserve"> </v>
      </c>
      <c r="AG91" s="55"/>
      <c r="AH91" s="32"/>
      <c r="AI91" s="32"/>
      <c r="AJ91" s="55"/>
      <c r="AK91" s="32"/>
      <c r="AL91" s="32"/>
      <c r="AM91" s="32"/>
      <c r="AN91" s="32"/>
      <c r="AO91" s="32"/>
      <c r="AP91" s="31"/>
      <c r="AQ91" s="31"/>
      <c r="AR91" s="54"/>
      <c r="AS91" s="21" t="str">
        <f>IFERROR(VLOOKUP(January[[#This Row],[Drug Name4]],'Data Options'!$R$1:$S$100,2,FALSE), " ")</f>
        <v xml:space="preserve"> </v>
      </c>
      <c r="AT91" s="55"/>
      <c r="AU91" s="32"/>
      <c r="AV91" s="32"/>
      <c r="AW91" s="55"/>
      <c r="AX91" s="32"/>
      <c r="AY91" s="54"/>
      <c r="AZ91" s="21" t="str">
        <f>IFERROR(VLOOKUP(January[[#This Row],[Drug Name5]],'Data Options'!$R$1:$S$100,2,FALSE), " ")</f>
        <v xml:space="preserve"> </v>
      </c>
      <c r="BA91" s="55"/>
      <c r="BB91" s="32"/>
      <c r="BC91" s="32"/>
      <c r="BD91" s="55"/>
      <c r="BE91" s="32"/>
      <c r="BF91" s="54"/>
      <c r="BG91" s="21" t="str">
        <f>IFERROR(VLOOKUP(January[[#This Row],[Drug Name6]],'Data Options'!$R$1:$S$100,2,FALSE), " ")</f>
        <v xml:space="preserve"> </v>
      </c>
      <c r="BH91" s="55"/>
      <c r="BI91" s="32"/>
      <c r="BJ91" s="32"/>
      <c r="BK91" s="55"/>
      <c r="BL91" s="32"/>
      <c r="BM91" s="32"/>
      <c r="BN91" s="32"/>
      <c r="BO91" s="32"/>
      <c r="BP91" s="32"/>
      <c r="BQ91" s="31"/>
      <c r="BR91" s="31"/>
      <c r="BS91" s="54"/>
      <c r="BT91" s="21" t="str">
        <f>IFERROR(VLOOKUP(January[[#This Row],[Drug Name7]],'Data Options'!$R$1:$S$100,2,FALSE), " ")</f>
        <v xml:space="preserve"> </v>
      </c>
      <c r="BU91" s="55"/>
      <c r="BV91" s="32"/>
      <c r="BW91" s="32"/>
      <c r="BX91" s="55"/>
      <c r="BY91" s="32"/>
      <c r="BZ91" s="54"/>
      <c r="CA91" s="21" t="str">
        <f>IFERROR(VLOOKUP(January[[#This Row],[Drug Name8]],'Data Options'!$R$1:$S$100,2,FALSE), " ")</f>
        <v xml:space="preserve"> </v>
      </c>
      <c r="CB91" s="55"/>
      <c r="CC91" s="32"/>
      <c r="CD91" s="32"/>
      <c r="CE91" s="55"/>
      <c r="CF91" s="32"/>
      <c r="CG91" s="54"/>
      <c r="CH91" s="21" t="str">
        <f>IFERROR(VLOOKUP(January[[#This Row],[Drug Name9]],'Data Options'!$R$1:$S$100,2,FALSE), " ")</f>
        <v xml:space="preserve"> </v>
      </c>
      <c r="CI91" s="55"/>
      <c r="CJ91" s="32"/>
      <c r="CK91" s="32"/>
      <c r="CL91" s="55"/>
      <c r="CM91" s="32"/>
    </row>
    <row r="92" spans="1:91">
      <c r="A92" s="5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1"/>
      <c r="Q92" s="54"/>
      <c r="R92" s="21" t="str">
        <f>IFERROR(VLOOKUP(January[[#This Row],[Drug Name]],'Data Options'!$R$1:$S$100,2,FALSE), " ")</f>
        <v xml:space="preserve"> </v>
      </c>
      <c r="S92" s="55"/>
      <c r="T92" s="32"/>
      <c r="U92" s="32"/>
      <c r="V92" s="55"/>
      <c r="W92" s="32"/>
      <c r="X92" s="54"/>
      <c r="Y92" s="21" t="str">
        <f>IFERROR(VLOOKUP(January[[#This Row],[Drug Name2]],'Data Options'!$R$1:$S$100,2,FALSE), " ")</f>
        <v xml:space="preserve"> </v>
      </c>
      <c r="Z92" s="55"/>
      <c r="AA92" s="32"/>
      <c r="AB92" s="32"/>
      <c r="AC92" s="55"/>
      <c r="AD92" s="32"/>
      <c r="AE92" s="54"/>
      <c r="AF92" s="21" t="str">
        <f>IFERROR(VLOOKUP(January[[#This Row],[Drug Name3]],'Data Options'!$R$1:$S$100,2,FALSE), " ")</f>
        <v xml:space="preserve"> </v>
      </c>
      <c r="AG92" s="55"/>
      <c r="AH92" s="32"/>
      <c r="AI92" s="32"/>
      <c r="AJ92" s="55"/>
      <c r="AK92" s="32"/>
      <c r="AL92" s="32"/>
      <c r="AM92" s="32"/>
      <c r="AN92" s="32"/>
      <c r="AO92" s="32"/>
      <c r="AP92" s="31"/>
      <c r="AQ92" s="31"/>
      <c r="AR92" s="54"/>
      <c r="AS92" s="21" t="str">
        <f>IFERROR(VLOOKUP(January[[#This Row],[Drug Name4]],'Data Options'!$R$1:$S$100,2,FALSE), " ")</f>
        <v xml:space="preserve"> </v>
      </c>
      <c r="AT92" s="55"/>
      <c r="AU92" s="32"/>
      <c r="AV92" s="32"/>
      <c r="AW92" s="55"/>
      <c r="AX92" s="32"/>
      <c r="AY92" s="54"/>
      <c r="AZ92" s="21" t="str">
        <f>IFERROR(VLOOKUP(January[[#This Row],[Drug Name5]],'Data Options'!$R$1:$S$100,2,FALSE), " ")</f>
        <v xml:space="preserve"> </v>
      </c>
      <c r="BA92" s="55"/>
      <c r="BB92" s="32"/>
      <c r="BC92" s="32"/>
      <c r="BD92" s="55"/>
      <c r="BE92" s="32"/>
      <c r="BF92" s="54"/>
      <c r="BG92" s="21" t="str">
        <f>IFERROR(VLOOKUP(January[[#This Row],[Drug Name6]],'Data Options'!$R$1:$S$100,2,FALSE), " ")</f>
        <v xml:space="preserve"> </v>
      </c>
      <c r="BH92" s="55"/>
      <c r="BI92" s="32"/>
      <c r="BJ92" s="32"/>
      <c r="BK92" s="55"/>
      <c r="BL92" s="32"/>
      <c r="BM92" s="32"/>
      <c r="BN92" s="32"/>
      <c r="BO92" s="32"/>
      <c r="BP92" s="32"/>
      <c r="BQ92" s="31"/>
      <c r="BR92" s="31"/>
      <c r="BS92" s="54"/>
      <c r="BT92" s="21" t="str">
        <f>IFERROR(VLOOKUP(January[[#This Row],[Drug Name7]],'Data Options'!$R$1:$S$100,2,FALSE), " ")</f>
        <v xml:space="preserve"> </v>
      </c>
      <c r="BU92" s="55"/>
      <c r="BV92" s="32"/>
      <c r="BW92" s="32"/>
      <c r="BX92" s="55"/>
      <c r="BY92" s="32"/>
      <c r="BZ92" s="54"/>
      <c r="CA92" s="21" t="str">
        <f>IFERROR(VLOOKUP(January[[#This Row],[Drug Name8]],'Data Options'!$R$1:$S$100,2,FALSE), " ")</f>
        <v xml:space="preserve"> </v>
      </c>
      <c r="CB92" s="55"/>
      <c r="CC92" s="32"/>
      <c r="CD92" s="32"/>
      <c r="CE92" s="55"/>
      <c r="CF92" s="32"/>
      <c r="CG92" s="54"/>
      <c r="CH92" s="21" t="str">
        <f>IFERROR(VLOOKUP(January[[#This Row],[Drug Name9]],'Data Options'!$R$1:$S$100,2,FALSE), " ")</f>
        <v xml:space="preserve"> </v>
      </c>
      <c r="CI92" s="55"/>
      <c r="CJ92" s="32"/>
      <c r="CK92" s="32"/>
      <c r="CL92" s="55"/>
      <c r="CM92" s="32"/>
    </row>
    <row r="93" spans="1:91">
      <c r="A93" s="5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1"/>
      <c r="Q93" s="54"/>
      <c r="R93" s="21" t="str">
        <f>IFERROR(VLOOKUP(January[[#This Row],[Drug Name]],'Data Options'!$R$1:$S$100,2,FALSE), " ")</f>
        <v xml:space="preserve"> </v>
      </c>
      <c r="S93" s="55"/>
      <c r="T93" s="32"/>
      <c r="U93" s="32"/>
      <c r="V93" s="55"/>
      <c r="W93" s="32"/>
      <c r="X93" s="54"/>
      <c r="Y93" s="21" t="str">
        <f>IFERROR(VLOOKUP(January[[#This Row],[Drug Name2]],'Data Options'!$R$1:$S$100,2,FALSE), " ")</f>
        <v xml:space="preserve"> </v>
      </c>
      <c r="Z93" s="55"/>
      <c r="AA93" s="32"/>
      <c r="AB93" s="32"/>
      <c r="AC93" s="55"/>
      <c r="AD93" s="32"/>
      <c r="AE93" s="54"/>
      <c r="AF93" s="21" t="str">
        <f>IFERROR(VLOOKUP(January[[#This Row],[Drug Name3]],'Data Options'!$R$1:$S$100,2,FALSE), " ")</f>
        <v xml:space="preserve"> </v>
      </c>
      <c r="AG93" s="55"/>
      <c r="AH93" s="32"/>
      <c r="AI93" s="32"/>
      <c r="AJ93" s="55"/>
      <c r="AK93" s="32"/>
      <c r="AL93" s="32"/>
      <c r="AM93" s="32"/>
      <c r="AN93" s="32"/>
      <c r="AO93" s="32"/>
      <c r="AP93" s="31"/>
      <c r="AQ93" s="31"/>
      <c r="AR93" s="54"/>
      <c r="AS93" s="21" t="str">
        <f>IFERROR(VLOOKUP(January[[#This Row],[Drug Name4]],'Data Options'!$R$1:$S$100,2,FALSE), " ")</f>
        <v xml:space="preserve"> </v>
      </c>
      <c r="AT93" s="55"/>
      <c r="AU93" s="32"/>
      <c r="AV93" s="32"/>
      <c r="AW93" s="55"/>
      <c r="AX93" s="32"/>
      <c r="AY93" s="54"/>
      <c r="AZ93" s="21" t="str">
        <f>IFERROR(VLOOKUP(January[[#This Row],[Drug Name5]],'Data Options'!$R$1:$S$100,2,FALSE), " ")</f>
        <v xml:space="preserve"> </v>
      </c>
      <c r="BA93" s="55"/>
      <c r="BB93" s="32"/>
      <c r="BC93" s="32"/>
      <c r="BD93" s="55"/>
      <c r="BE93" s="32"/>
      <c r="BF93" s="54"/>
      <c r="BG93" s="21" t="str">
        <f>IFERROR(VLOOKUP(January[[#This Row],[Drug Name6]],'Data Options'!$R$1:$S$100,2,FALSE), " ")</f>
        <v xml:space="preserve"> </v>
      </c>
      <c r="BH93" s="55"/>
      <c r="BI93" s="32"/>
      <c r="BJ93" s="32"/>
      <c r="BK93" s="55"/>
      <c r="BL93" s="32"/>
      <c r="BM93" s="32"/>
      <c r="BN93" s="32"/>
      <c r="BO93" s="32"/>
      <c r="BP93" s="32"/>
      <c r="BQ93" s="31"/>
      <c r="BR93" s="31"/>
      <c r="BS93" s="54"/>
      <c r="BT93" s="21" t="str">
        <f>IFERROR(VLOOKUP(January[[#This Row],[Drug Name7]],'Data Options'!$R$1:$S$100,2,FALSE), " ")</f>
        <v xml:space="preserve"> </v>
      </c>
      <c r="BU93" s="55"/>
      <c r="BV93" s="32"/>
      <c r="BW93" s="32"/>
      <c r="BX93" s="55"/>
      <c r="BY93" s="32"/>
      <c r="BZ93" s="54"/>
      <c r="CA93" s="21" t="str">
        <f>IFERROR(VLOOKUP(January[[#This Row],[Drug Name8]],'Data Options'!$R$1:$S$100,2,FALSE), " ")</f>
        <v xml:space="preserve"> </v>
      </c>
      <c r="CB93" s="55"/>
      <c r="CC93" s="32"/>
      <c r="CD93" s="32"/>
      <c r="CE93" s="55"/>
      <c r="CF93" s="32"/>
      <c r="CG93" s="54"/>
      <c r="CH93" s="21" t="str">
        <f>IFERROR(VLOOKUP(January[[#This Row],[Drug Name9]],'Data Options'!$R$1:$S$100,2,FALSE), " ")</f>
        <v xml:space="preserve"> </v>
      </c>
      <c r="CI93" s="55"/>
      <c r="CJ93" s="32"/>
      <c r="CK93" s="32"/>
      <c r="CL93" s="55"/>
      <c r="CM93" s="32"/>
    </row>
    <row r="94" spans="1:91">
      <c r="A94" s="5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1"/>
      <c r="Q94" s="54"/>
      <c r="R94" s="21" t="str">
        <f>IFERROR(VLOOKUP(January[[#This Row],[Drug Name]],'Data Options'!$R$1:$S$100,2,FALSE), " ")</f>
        <v xml:space="preserve"> </v>
      </c>
      <c r="S94" s="55"/>
      <c r="T94" s="32"/>
      <c r="U94" s="32"/>
      <c r="V94" s="55"/>
      <c r="W94" s="32"/>
      <c r="X94" s="54"/>
      <c r="Y94" s="21" t="str">
        <f>IFERROR(VLOOKUP(January[[#This Row],[Drug Name2]],'Data Options'!$R$1:$S$100,2,FALSE), " ")</f>
        <v xml:space="preserve"> </v>
      </c>
      <c r="Z94" s="55"/>
      <c r="AA94" s="32"/>
      <c r="AB94" s="32"/>
      <c r="AC94" s="55"/>
      <c r="AD94" s="32"/>
      <c r="AE94" s="54"/>
      <c r="AF94" s="21" t="str">
        <f>IFERROR(VLOOKUP(January[[#This Row],[Drug Name3]],'Data Options'!$R$1:$S$100,2,FALSE), " ")</f>
        <v xml:space="preserve"> </v>
      </c>
      <c r="AG94" s="55"/>
      <c r="AH94" s="32"/>
      <c r="AI94" s="32"/>
      <c r="AJ94" s="55"/>
      <c r="AK94" s="32"/>
      <c r="AL94" s="32"/>
      <c r="AM94" s="32"/>
      <c r="AN94" s="32"/>
      <c r="AO94" s="32"/>
      <c r="AP94" s="31"/>
      <c r="AQ94" s="31"/>
      <c r="AR94" s="54"/>
      <c r="AS94" s="21" t="str">
        <f>IFERROR(VLOOKUP(January[[#This Row],[Drug Name4]],'Data Options'!$R$1:$S$100,2,FALSE), " ")</f>
        <v xml:space="preserve"> </v>
      </c>
      <c r="AT94" s="55"/>
      <c r="AU94" s="32"/>
      <c r="AV94" s="32"/>
      <c r="AW94" s="55"/>
      <c r="AX94" s="32"/>
      <c r="AY94" s="54"/>
      <c r="AZ94" s="21" t="str">
        <f>IFERROR(VLOOKUP(January[[#This Row],[Drug Name5]],'Data Options'!$R$1:$S$100,2,FALSE), " ")</f>
        <v xml:space="preserve"> </v>
      </c>
      <c r="BA94" s="55"/>
      <c r="BB94" s="32"/>
      <c r="BC94" s="32"/>
      <c r="BD94" s="55"/>
      <c r="BE94" s="32"/>
      <c r="BF94" s="54"/>
      <c r="BG94" s="21" t="str">
        <f>IFERROR(VLOOKUP(January[[#This Row],[Drug Name6]],'Data Options'!$R$1:$S$100,2,FALSE), " ")</f>
        <v xml:space="preserve"> </v>
      </c>
      <c r="BH94" s="55"/>
      <c r="BI94" s="32"/>
      <c r="BJ94" s="32"/>
      <c r="BK94" s="55"/>
      <c r="BL94" s="32"/>
      <c r="BM94" s="32"/>
      <c r="BN94" s="32"/>
      <c r="BO94" s="32"/>
      <c r="BP94" s="32"/>
      <c r="BQ94" s="31"/>
      <c r="BR94" s="31"/>
      <c r="BS94" s="54"/>
      <c r="BT94" s="21" t="str">
        <f>IFERROR(VLOOKUP(January[[#This Row],[Drug Name7]],'Data Options'!$R$1:$S$100,2,FALSE), " ")</f>
        <v xml:space="preserve"> </v>
      </c>
      <c r="BU94" s="55"/>
      <c r="BV94" s="32"/>
      <c r="BW94" s="32"/>
      <c r="BX94" s="55"/>
      <c r="BY94" s="32"/>
      <c r="BZ94" s="54"/>
      <c r="CA94" s="21" t="str">
        <f>IFERROR(VLOOKUP(January[[#This Row],[Drug Name8]],'Data Options'!$R$1:$S$100,2,FALSE), " ")</f>
        <v xml:space="preserve"> </v>
      </c>
      <c r="CB94" s="55"/>
      <c r="CC94" s="32"/>
      <c r="CD94" s="32"/>
      <c r="CE94" s="55"/>
      <c r="CF94" s="32"/>
      <c r="CG94" s="54"/>
      <c r="CH94" s="21" t="str">
        <f>IFERROR(VLOOKUP(January[[#This Row],[Drug Name9]],'Data Options'!$R$1:$S$100,2,FALSE), " ")</f>
        <v xml:space="preserve"> </v>
      </c>
      <c r="CI94" s="55"/>
      <c r="CJ94" s="32"/>
      <c r="CK94" s="32"/>
      <c r="CL94" s="55"/>
      <c r="CM94" s="32"/>
    </row>
    <row r="95" spans="1:91">
      <c r="A95" s="5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1"/>
      <c r="P95" s="31"/>
      <c r="Q95" s="54"/>
      <c r="R95" s="21" t="str">
        <f>IFERROR(VLOOKUP(January[[#This Row],[Drug Name]],'Data Options'!$R$1:$S$100,2,FALSE), " ")</f>
        <v xml:space="preserve"> </v>
      </c>
      <c r="S95" s="55"/>
      <c r="T95" s="32"/>
      <c r="U95" s="32"/>
      <c r="V95" s="55"/>
      <c r="W95" s="32"/>
      <c r="X95" s="54"/>
      <c r="Y95" s="21" t="str">
        <f>IFERROR(VLOOKUP(January[[#This Row],[Drug Name2]],'Data Options'!$R$1:$S$100,2,FALSE), " ")</f>
        <v xml:space="preserve"> </v>
      </c>
      <c r="Z95" s="55"/>
      <c r="AA95" s="32"/>
      <c r="AB95" s="32"/>
      <c r="AC95" s="55"/>
      <c r="AD95" s="32"/>
      <c r="AE95" s="54"/>
      <c r="AF95" s="21" t="str">
        <f>IFERROR(VLOOKUP(January[[#This Row],[Drug Name3]],'Data Options'!$R$1:$S$100,2,FALSE), " ")</f>
        <v xml:space="preserve"> </v>
      </c>
      <c r="AG95" s="55"/>
      <c r="AH95" s="32"/>
      <c r="AI95" s="32"/>
      <c r="AJ95" s="55"/>
      <c r="AK95" s="32"/>
      <c r="AL95" s="32"/>
      <c r="AM95" s="32"/>
      <c r="AN95" s="32"/>
      <c r="AO95" s="32"/>
      <c r="AP95" s="31"/>
      <c r="AQ95" s="31"/>
      <c r="AR95" s="54"/>
      <c r="AS95" s="21" t="str">
        <f>IFERROR(VLOOKUP(January[[#This Row],[Drug Name4]],'Data Options'!$R$1:$S$100,2,FALSE), " ")</f>
        <v xml:space="preserve"> </v>
      </c>
      <c r="AT95" s="55"/>
      <c r="AU95" s="32"/>
      <c r="AV95" s="32"/>
      <c r="AW95" s="55"/>
      <c r="AX95" s="32"/>
      <c r="AY95" s="54"/>
      <c r="AZ95" s="21" t="str">
        <f>IFERROR(VLOOKUP(January[[#This Row],[Drug Name5]],'Data Options'!$R$1:$S$100,2,FALSE), " ")</f>
        <v xml:space="preserve"> </v>
      </c>
      <c r="BA95" s="55"/>
      <c r="BB95" s="32"/>
      <c r="BC95" s="32"/>
      <c r="BD95" s="55"/>
      <c r="BE95" s="32"/>
      <c r="BF95" s="54"/>
      <c r="BG95" s="21" t="str">
        <f>IFERROR(VLOOKUP(January[[#This Row],[Drug Name6]],'Data Options'!$R$1:$S$100,2,FALSE), " ")</f>
        <v xml:space="preserve"> </v>
      </c>
      <c r="BH95" s="55"/>
      <c r="BI95" s="32"/>
      <c r="BJ95" s="32"/>
      <c r="BK95" s="55"/>
      <c r="BL95" s="32"/>
      <c r="BM95" s="32"/>
      <c r="BN95" s="32"/>
      <c r="BO95" s="32"/>
      <c r="BP95" s="32"/>
      <c r="BQ95" s="31"/>
      <c r="BR95" s="31"/>
      <c r="BS95" s="54"/>
      <c r="BT95" s="21" t="str">
        <f>IFERROR(VLOOKUP(January[[#This Row],[Drug Name7]],'Data Options'!$R$1:$S$100,2,FALSE), " ")</f>
        <v xml:space="preserve"> </v>
      </c>
      <c r="BU95" s="55"/>
      <c r="BV95" s="32"/>
      <c r="BW95" s="32"/>
      <c r="BX95" s="55"/>
      <c r="BY95" s="32"/>
      <c r="BZ95" s="54"/>
      <c r="CA95" s="21" t="str">
        <f>IFERROR(VLOOKUP(January[[#This Row],[Drug Name8]],'Data Options'!$R$1:$S$100,2,FALSE), " ")</f>
        <v xml:space="preserve"> </v>
      </c>
      <c r="CB95" s="55"/>
      <c r="CC95" s="32"/>
      <c r="CD95" s="32"/>
      <c r="CE95" s="55"/>
      <c r="CF95" s="32"/>
      <c r="CG95" s="54"/>
      <c r="CH95" s="21" t="str">
        <f>IFERROR(VLOOKUP(January[[#This Row],[Drug Name9]],'Data Options'!$R$1:$S$100,2,FALSE), " ")</f>
        <v xml:space="preserve"> </v>
      </c>
      <c r="CI95" s="55"/>
      <c r="CJ95" s="32"/>
      <c r="CK95" s="32"/>
      <c r="CL95" s="55"/>
      <c r="CM95" s="32"/>
    </row>
    <row r="96" spans="1:91">
      <c r="A96" s="5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1"/>
      <c r="P96" s="31"/>
      <c r="Q96" s="54"/>
      <c r="R96" s="21" t="str">
        <f>IFERROR(VLOOKUP(January[[#This Row],[Drug Name]],'Data Options'!$R$1:$S$100,2,FALSE), " ")</f>
        <v xml:space="preserve"> </v>
      </c>
      <c r="S96" s="55"/>
      <c r="T96" s="32"/>
      <c r="U96" s="32"/>
      <c r="V96" s="55"/>
      <c r="W96" s="32"/>
      <c r="X96" s="54"/>
      <c r="Y96" s="21" t="str">
        <f>IFERROR(VLOOKUP(January[[#This Row],[Drug Name2]],'Data Options'!$R$1:$S$100,2,FALSE), " ")</f>
        <v xml:space="preserve"> </v>
      </c>
      <c r="Z96" s="55"/>
      <c r="AA96" s="32"/>
      <c r="AB96" s="32"/>
      <c r="AC96" s="55"/>
      <c r="AD96" s="32"/>
      <c r="AE96" s="54"/>
      <c r="AF96" s="21" t="str">
        <f>IFERROR(VLOOKUP(January[[#This Row],[Drug Name3]],'Data Options'!$R$1:$S$100,2,FALSE), " ")</f>
        <v xml:space="preserve"> </v>
      </c>
      <c r="AG96" s="55"/>
      <c r="AH96" s="32"/>
      <c r="AI96" s="32"/>
      <c r="AJ96" s="55"/>
      <c r="AK96" s="32"/>
      <c r="AL96" s="32"/>
      <c r="AM96" s="32"/>
      <c r="AN96" s="32"/>
      <c r="AO96" s="32"/>
      <c r="AP96" s="31"/>
      <c r="AQ96" s="31"/>
      <c r="AR96" s="54"/>
      <c r="AS96" s="21" t="str">
        <f>IFERROR(VLOOKUP(January[[#This Row],[Drug Name4]],'Data Options'!$R$1:$S$100,2,FALSE), " ")</f>
        <v xml:space="preserve"> </v>
      </c>
      <c r="AT96" s="55"/>
      <c r="AU96" s="32"/>
      <c r="AV96" s="32"/>
      <c r="AW96" s="55"/>
      <c r="AX96" s="32"/>
      <c r="AY96" s="54"/>
      <c r="AZ96" s="21" t="str">
        <f>IFERROR(VLOOKUP(January[[#This Row],[Drug Name5]],'Data Options'!$R$1:$S$100,2,FALSE), " ")</f>
        <v xml:space="preserve"> </v>
      </c>
      <c r="BA96" s="55"/>
      <c r="BB96" s="32"/>
      <c r="BC96" s="32"/>
      <c r="BD96" s="55"/>
      <c r="BE96" s="32"/>
      <c r="BF96" s="54"/>
      <c r="BG96" s="21" t="str">
        <f>IFERROR(VLOOKUP(January[[#This Row],[Drug Name6]],'Data Options'!$R$1:$S$100,2,FALSE), " ")</f>
        <v xml:space="preserve"> </v>
      </c>
      <c r="BH96" s="55"/>
      <c r="BI96" s="32"/>
      <c r="BJ96" s="32"/>
      <c r="BK96" s="55"/>
      <c r="BL96" s="32"/>
      <c r="BM96" s="32"/>
      <c r="BN96" s="32"/>
      <c r="BO96" s="32"/>
      <c r="BP96" s="32"/>
      <c r="BQ96" s="31"/>
      <c r="BR96" s="31"/>
      <c r="BS96" s="54"/>
      <c r="BT96" s="21" t="str">
        <f>IFERROR(VLOOKUP(January[[#This Row],[Drug Name7]],'Data Options'!$R$1:$S$100,2,FALSE), " ")</f>
        <v xml:space="preserve"> </v>
      </c>
      <c r="BU96" s="55"/>
      <c r="BV96" s="32"/>
      <c r="BW96" s="32"/>
      <c r="BX96" s="55"/>
      <c r="BY96" s="32"/>
      <c r="BZ96" s="54"/>
      <c r="CA96" s="21" t="str">
        <f>IFERROR(VLOOKUP(January[[#This Row],[Drug Name8]],'Data Options'!$R$1:$S$100,2,FALSE), " ")</f>
        <v xml:space="preserve"> </v>
      </c>
      <c r="CB96" s="55"/>
      <c r="CC96" s="32"/>
      <c r="CD96" s="32"/>
      <c r="CE96" s="55"/>
      <c r="CF96" s="32"/>
      <c r="CG96" s="54"/>
      <c r="CH96" s="21" t="str">
        <f>IFERROR(VLOOKUP(January[[#This Row],[Drug Name9]],'Data Options'!$R$1:$S$100,2,FALSE), " ")</f>
        <v xml:space="preserve"> </v>
      </c>
      <c r="CI96" s="55"/>
      <c r="CJ96" s="32"/>
      <c r="CK96" s="32"/>
      <c r="CL96" s="55"/>
      <c r="CM96" s="32"/>
    </row>
    <row r="97" spans="1:91">
      <c r="A97" s="5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1"/>
      <c r="P97" s="31"/>
      <c r="Q97" s="54"/>
      <c r="R97" s="21" t="str">
        <f>IFERROR(VLOOKUP(January[[#This Row],[Drug Name]],'Data Options'!$R$1:$S$100,2,FALSE), " ")</f>
        <v xml:space="preserve"> </v>
      </c>
      <c r="S97" s="55"/>
      <c r="T97" s="32"/>
      <c r="U97" s="32"/>
      <c r="V97" s="55"/>
      <c r="W97" s="32"/>
      <c r="X97" s="54"/>
      <c r="Y97" s="21" t="str">
        <f>IFERROR(VLOOKUP(January[[#This Row],[Drug Name2]],'Data Options'!$R$1:$S$100,2,FALSE), " ")</f>
        <v xml:space="preserve"> </v>
      </c>
      <c r="Z97" s="55"/>
      <c r="AA97" s="32"/>
      <c r="AB97" s="32"/>
      <c r="AC97" s="55"/>
      <c r="AD97" s="32"/>
      <c r="AE97" s="54"/>
      <c r="AF97" s="21" t="str">
        <f>IFERROR(VLOOKUP(January[[#This Row],[Drug Name3]],'Data Options'!$R$1:$S$100,2,FALSE), " ")</f>
        <v xml:space="preserve"> </v>
      </c>
      <c r="AG97" s="55"/>
      <c r="AH97" s="32"/>
      <c r="AI97" s="32"/>
      <c r="AJ97" s="55"/>
      <c r="AK97" s="32"/>
      <c r="AL97" s="32"/>
      <c r="AM97" s="32"/>
      <c r="AN97" s="32"/>
      <c r="AO97" s="32"/>
      <c r="AP97" s="31"/>
      <c r="AQ97" s="31"/>
      <c r="AR97" s="54"/>
      <c r="AS97" s="21" t="str">
        <f>IFERROR(VLOOKUP(January[[#This Row],[Drug Name4]],'Data Options'!$R$1:$S$100,2,FALSE), " ")</f>
        <v xml:space="preserve"> </v>
      </c>
      <c r="AT97" s="55"/>
      <c r="AU97" s="32"/>
      <c r="AV97" s="32"/>
      <c r="AW97" s="55"/>
      <c r="AX97" s="32"/>
      <c r="AY97" s="54"/>
      <c r="AZ97" s="21" t="str">
        <f>IFERROR(VLOOKUP(January[[#This Row],[Drug Name5]],'Data Options'!$R$1:$S$100,2,FALSE), " ")</f>
        <v xml:space="preserve"> </v>
      </c>
      <c r="BA97" s="55"/>
      <c r="BB97" s="32"/>
      <c r="BC97" s="32"/>
      <c r="BD97" s="55"/>
      <c r="BE97" s="32"/>
      <c r="BF97" s="54"/>
      <c r="BG97" s="21" t="str">
        <f>IFERROR(VLOOKUP(January[[#This Row],[Drug Name6]],'Data Options'!$R$1:$S$100,2,FALSE), " ")</f>
        <v xml:space="preserve"> </v>
      </c>
      <c r="BH97" s="55"/>
      <c r="BI97" s="32"/>
      <c r="BJ97" s="32"/>
      <c r="BK97" s="55"/>
      <c r="BL97" s="32"/>
      <c r="BM97" s="32"/>
      <c r="BN97" s="32"/>
      <c r="BO97" s="32"/>
      <c r="BP97" s="32"/>
      <c r="BQ97" s="31"/>
      <c r="BR97" s="31"/>
      <c r="BS97" s="54"/>
      <c r="BT97" s="21" t="str">
        <f>IFERROR(VLOOKUP(January[[#This Row],[Drug Name7]],'Data Options'!$R$1:$S$100,2,FALSE), " ")</f>
        <v xml:space="preserve"> </v>
      </c>
      <c r="BU97" s="55"/>
      <c r="BV97" s="32"/>
      <c r="BW97" s="32"/>
      <c r="BX97" s="55"/>
      <c r="BY97" s="32"/>
      <c r="BZ97" s="54"/>
      <c r="CA97" s="21" t="str">
        <f>IFERROR(VLOOKUP(January[[#This Row],[Drug Name8]],'Data Options'!$R$1:$S$100,2,FALSE), " ")</f>
        <v xml:space="preserve"> </v>
      </c>
      <c r="CB97" s="55"/>
      <c r="CC97" s="32"/>
      <c r="CD97" s="32"/>
      <c r="CE97" s="55"/>
      <c r="CF97" s="32"/>
      <c r="CG97" s="54"/>
      <c r="CH97" s="21" t="str">
        <f>IFERROR(VLOOKUP(January[[#This Row],[Drug Name9]],'Data Options'!$R$1:$S$100,2,FALSE), " ")</f>
        <v xml:space="preserve"> </v>
      </c>
      <c r="CI97" s="55"/>
      <c r="CJ97" s="32"/>
      <c r="CK97" s="32"/>
      <c r="CL97" s="55"/>
      <c r="CM97" s="32"/>
    </row>
    <row r="98" spans="1:91">
      <c r="A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1"/>
      <c r="P98" s="31"/>
      <c r="Q98" s="54"/>
      <c r="R98" s="21" t="str">
        <f>IFERROR(VLOOKUP(January[[#This Row],[Drug Name]],'Data Options'!$R$1:$S$100,2,FALSE), " ")</f>
        <v xml:space="preserve"> </v>
      </c>
      <c r="S98" s="55"/>
      <c r="T98" s="32"/>
      <c r="U98" s="32"/>
      <c r="V98" s="55"/>
      <c r="W98" s="32"/>
      <c r="X98" s="54"/>
      <c r="Y98" s="21" t="str">
        <f>IFERROR(VLOOKUP(January[[#This Row],[Drug Name2]],'Data Options'!$R$1:$S$100,2,FALSE), " ")</f>
        <v xml:space="preserve"> </v>
      </c>
      <c r="Z98" s="55"/>
      <c r="AA98" s="32"/>
      <c r="AB98" s="32"/>
      <c r="AC98" s="55"/>
      <c r="AD98" s="32"/>
      <c r="AE98" s="54"/>
      <c r="AF98" s="21" t="str">
        <f>IFERROR(VLOOKUP(January[[#This Row],[Drug Name3]],'Data Options'!$R$1:$S$100,2,FALSE), " ")</f>
        <v xml:space="preserve"> </v>
      </c>
      <c r="AG98" s="55"/>
      <c r="AH98" s="32"/>
      <c r="AI98" s="32"/>
      <c r="AJ98" s="55"/>
      <c r="AK98" s="32"/>
      <c r="AL98" s="32"/>
      <c r="AM98" s="32"/>
      <c r="AN98" s="32"/>
      <c r="AO98" s="32"/>
      <c r="AP98" s="31"/>
      <c r="AQ98" s="31"/>
      <c r="AR98" s="54"/>
      <c r="AS98" s="21" t="str">
        <f>IFERROR(VLOOKUP(January[[#This Row],[Drug Name4]],'Data Options'!$R$1:$S$100,2,FALSE), " ")</f>
        <v xml:space="preserve"> </v>
      </c>
      <c r="AT98" s="55"/>
      <c r="AU98" s="32"/>
      <c r="AV98" s="32"/>
      <c r="AW98" s="55"/>
      <c r="AX98" s="32"/>
      <c r="AY98" s="54"/>
      <c r="AZ98" s="21" t="str">
        <f>IFERROR(VLOOKUP(January[[#This Row],[Drug Name5]],'Data Options'!$R$1:$S$100,2,FALSE), " ")</f>
        <v xml:space="preserve"> </v>
      </c>
      <c r="BA98" s="55"/>
      <c r="BB98" s="32"/>
      <c r="BC98" s="32"/>
      <c r="BD98" s="55"/>
      <c r="BE98" s="32"/>
      <c r="BF98" s="54"/>
      <c r="BG98" s="21" t="str">
        <f>IFERROR(VLOOKUP(January[[#This Row],[Drug Name6]],'Data Options'!$R$1:$S$100,2,FALSE), " ")</f>
        <v xml:space="preserve"> </v>
      </c>
      <c r="BH98" s="55"/>
      <c r="BI98" s="32"/>
      <c r="BJ98" s="32"/>
      <c r="BK98" s="55"/>
      <c r="BL98" s="32"/>
      <c r="BM98" s="32"/>
      <c r="BN98" s="32"/>
      <c r="BO98" s="32"/>
      <c r="BP98" s="32"/>
      <c r="BQ98" s="31"/>
      <c r="BR98" s="31"/>
      <c r="BS98" s="54"/>
      <c r="BT98" s="21" t="str">
        <f>IFERROR(VLOOKUP(January[[#This Row],[Drug Name7]],'Data Options'!$R$1:$S$100,2,FALSE), " ")</f>
        <v xml:space="preserve"> </v>
      </c>
      <c r="BU98" s="55"/>
      <c r="BV98" s="32"/>
      <c r="BW98" s="32"/>
      <c r="BX98" s="55"/>
      <c r="BY98" s="32"/>
      <c r="BZ98" s="54"/>
      <c r="CA98" s="21" t="str">
        <f>IFERROR(VLOOKUP(January[[#This Row],[Drug Name8]],'Data Options'!$R$1:$S$100,2,FALSE), " ")</f>
        <v xml:space="preserve"> </v>
      </c>
      <c r="CB98" s="55"/>
      <c r="CC98" s="32"/>
      <c r="CD98" s="32"/>
      <c r="CE98" s="55"/>
      <c r="CF98" s="32"/>
      <c r="CG98" s="54"/>
      <c r="CH98" s="21" t="str">
        <f>IFERROR(VLOOKUP(January[[#This Row],[Drug Name9]],'Data Options'!$R$1:$S$100,2,FALSE), " ")</f>
        <v xml:space="preserve"> </v>
      </c>
      <c r="CI98" s="55"/>
      <c r="CJ98" s="32"/>
      <c r="CK98" s="32"/>
      <c r="CL98" s="55"/>
      <c r="CM98" s="32"/>
    </row>
    <row r="99" spans="1:91">
      <c r="A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1"/>
      <c r="P99" s="31"/>
      <c r="Q99" s="54"/>
      <c r="R99" s="21" t="str">
        <f>IFERROR(VLOOKUP(January[[#This Row],[Drug Name]],'Data Options'!$R$1:$S$100,2,FALSE), " ")</f>
        <v xml:space="preserve"> </v>
      </c>
      <c r="S99" s="55"/>
      <c r="T99" s="32"/>
      <c r="U99" s="32"/>
      <c r="V99" s="55"/>
      <c r="W99" s="32"/>
      <c r="X99" s="54"/>
      <c r="Y99" s="21" t="str">
        <f>IFERROR(VLOOKUP(January[[#This Row],[Drug Name2]],'Data Options'!$R$1:$S$100,2,FALSE), " ")</f>
        <v xml:space="preserve"> </v>
      </c>
      <c r="Z99" s="55"/>
      <c r="AA99" s="32"/>
      <c r="AB99" s="32"/>
      <c r="AC99" s="55"/>
      <c r="AD99" s="32"/>
      <c r="AE99" s="54"/>
      <c r="AF99" s="21" t="str">
        <f>IFERROR(VLOOKUP(January[[#This Row],[Drug Name3]],'Data Options'!$R$1:$S$100,2,FALSE), " ")</f>
        <v xml:space="preserve"> </v>
      </c>
      <c r="AG99" s="55"/>
      <c r="AH99" s="32"/>
      <c r="AI99" s="32"/>
      <c r="AJ99" s="55"/>
      <c r="AK99" s="32"/>
      <c r="AL99" s="32"/>
      <c r="AM99" s="32"/>
      <c r="AN99" s="32"/>
      <c r="AO99" s="32"/>
      <c r="AP99" s="31"/>
      <c r="AQ99" s="31"/>
      <c r="AR99" s="54"/>
      <c r="AS99" s="21" t="str">
        <f>IFERROR(VLOOKUP(January[[#This Row],[Drug Name4]],'Data Options'!$R$1:$S$100,2,FALSE), " ")</f>
        <v xml:space="preserve"> </v>
      </c>
      <c r="AT99" s="55"/>
      <c r="AU99" s="32"/>
      <c r="AV99" s="32"/>
      <c r="AW99" s="55"/>
      <c r="AX99" s="32"/>
      <c r="AY99" s="54"/>
      <c r="AZ99" s="21" t="str">
        <f>IFERROR(VLOOKUP(January[[#This Row],[Drug Name5]],'Data Options'!$R$1:$S$100,2,FALSE), " ")</f>
        <v xml:space="preserve"> </v>
      </c>
      <c r="BA99" s="55"/>
      <c r="BB99" s="32"/>
      <c r="BC99" s="32"/>
      <c r="BD99" s="55"/>
      <c r="BE99" s="32"/>
      <c r="BF99" s="54"/>
      <c r="BG99" s="21" t="str">
        <f>IFERROR(VLOOKUP(January[[#This Row],[Drug Name6]],'Data Options'!$R$1:$S$100,2,FALSE), " ")</f>
        <v xml:space="preserve"> </v>
      </c>
      <c r="BH99" s="55"/>
      <c r="BI99" s="32"/>
      <c r="BJ99" s="32"/>
      <c r="BK99" s="55"/>
      <c r="BL99" s="32"/>
      <c r="BM99" s="32"/>
      <c r="BN99" s="32"/>
      <c r="BO99" s="32"/>
      <c r="BP99" s="32"/>
      <c r="BQ99" s="31"/>
      <c r="BR99" s="31"/>
      <c r="BS99" s="54"/>
      <c r="BT99" s="21" t="str">
        <f>IFERROR(VLOOKUP(January[[#This Row],[Drug Name7]],'Data Options'!$R$1:$S$100,2,FALSE), " ")</f>
        <v xml:space="preserve"> </v>
      </c>
      <c r="BU99" s="55"/>
      <c r="BV99" s="32"/>
      <c r="BW99" s="32"/>
      <c r="BX99" s="55"/>
      <c r="BY99" s="32"/>
      <c r="BZ99" s="54"/>
      <c r="CA99" s="21" t="str">
        <f>IFERROR(VLOOKUP(January[[#This Row],[Drug Name8]],'Data Options'!$R$1:$S$100,2,FALSE), " ")</f>
        <v xml:space="preserve"> </v>
      </c>
      <c r="CB99" s="55"/>
      <c r="CC99" s="32"/>
      <c r="CD99" s="32"/>
      <c r="CE99" s="55"/>
      <c r="CF99" s="32"/>
      <c r="CG99" s="54"/>
      <c r="CH99" s="21" t="str">
        <f>IFERROR(VLOOKUP(January[[#This Row],[Drug Name9]],'Data Options'!$R$1:$S$100,2,FALSE), " ")</f>
        <v xml:space="preserve"> </v>
      </c>
      <c r="CI99" s="55"/>
      <c r="CJ99" s="32"/>
      <c r="CK99" s="32"/>
      <c r="CL99" s="55"/>
      <c r="CM99" s="32"/>
    </row>
    <row r="100" spans="1:91">
      <c r="A100" s="5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1"/>
      <c r="P100" s="31"/>
      <c r="Q100" s="54"/>
      <c r="R100" s="21" t="str">
        <f>IFERROR(VLOOKUP(January[[#This Row],[Drug Name]],'Data Options'!$R$1:$S$100,2,FALSE), " ")</f>
        <v xml:space="preserve"> </v>
      </c>
      <c r="S100" s="55"/>
      <c r="T100" s="32"/>
      <c r="U100" s="32"/>
      <c r="V100" s="55"/>
      <c r="W100" s="32"/>
      <c r="X100" s="54"/>
      <c r="Y100" s="21" t="str">
        <f>IFERROR(VLOOKUP(January[[#This Row],[Drug Name2]],'Data Options'!$R$1:$S$100,2,FALSE), " ")</f>
        <v xml:space="preserve"> </v>
      </c>
      <c r="Z100" s="55"/>
      <c r="AA100" s="32"/>
      <c r="AB100" s="32"/>
      <c r="AC100" s="55"/>
      <c r="AD100" s="32"/>
      <c r="AE100" s="54"/>
      <c r="AF100" s="21" t="str">
        <f>IFERROR(VLOOKUP(January[[#This Row],[Drug Name3]],'Data Options'!$R$1:$S$100,2,FALSE), " ")</f>
        <v xml:space="preserve"> </v>
      </c>
      <c r="AG100" s="55"/>
      <c r="AH100" s="32"/>
      <c r="AI100" s="32"/>
      <c r="AJ100" s="55"/>
      <c r="AK100" s="32"/>
      <c r="AL100" s="32"/>
      <c r="AM100" s="32"/>
      <c r="AN100" s="32"/>
      <c r="AO100" s="32"/>
      <c r="AP100" s="31"/>
      <c r="AQ100" s="31"/>
      <c r="AR100" s="54"/>
      <c r="AS100" s="21" t="str">
        <f>IFERROR(VLOOKUP(January[[#This Row],[Drug Name4]],'Data Options'!$R$1:$S$100,2,FALSE), " ")</f>
        <v xml:space="preserve"> </v>
      </c>
      <c r="AT100" s="55"/>
      <c r="AU100" s="32"/>
      <c r="AV100" s="32"/>
      <c r="AW100" s="55"/>
      <c r="AX100" s="32"/>
      <c r="AY100" s="54"/>
      <c r="AZ100" s="21" t="str">
        <f>IFERROR(VLOOKUP(January[[#This Row],[Drug Name5]],'Data Options'!$R$1:$S$100,2,FALSE), " ")</f>
        <v xml:space="preserve"> </v>
      </c>
      <c r="BA100" s="55"/>
      <c r="BB100" s="32"/>
      <c r="BC100" s="32"/>
      <c r="BD100" s="55"/>
      <c r="BE100" s="32"/>
      <c r="BF100" s="54"/>
      <c r="BG100" s="21" t="str">
        <f>IFERROR(VLOOKUP(January[[#This Row],[Drug Name6]],'Data Options'!$R$1:$S$100,2,FALSE), " ")</f>
        <v xml:space="preserve"> </v>
      </c>
      <c r="BH100" s="55"/>
      <c r="BI100" s="32"/>
      <c r="BJ100" s="32"/>
      <c r="BK100" s="55"/>
      <c r="BL100" s="32"/>
      <c r="BM100" s="32"/>
      <c r="BN100" s="32"/>
      <c r="BO100" s="32"/>
      <c r="BP100" s="32"/>
      <c r="BQ100" s="31"/>
      <c r="BR100" s="31"/>
      <c r="BS100" s="54"/>
      <c r="BT100" s="21" t="str">
        <f>IFERROR(VLOOKUP(January[[#This Row],[Drug Name7]],'Data Options'!$R$1:$S$100,2,FALSE), " ")</f>
        <v xml:space="preserve"> </v>
      </c>
      <c r="BU100" s="55"/>
      <c r="BV100" s="32"/>
      <c r="BW100" s="32"/>
      <c r="BX100" s="55"/>
      <c r="BY100" s="32"/>
      <c r="BZ100" s="54"/>
      <c r="CA100" s="21" t="str">
        <f>IFERROR(VLOOKUP(January[[#This Row],[Drug Name8]],'Data Options'!$R$1:$S$100,2,FALSE), " ")</f>
        <v xml:space="preserve"> </v>
      </c>
      <c r="CB100" s="55"/>
      <c r="CC100" s="32"/>
      <c r="CD100" s="32"/>
      <c r="CE100" s="55"/>
      <c r="CF100" s="32"/>
      <c r="CG100" s="54"/>
      <c r="CH100" s="21" t="str">
        <f>IFERROR(VLOOKUP(January[[#This Row],[Drug Name9]],'Data Options'!$R$1:$S$100,2,FALSE), " ")</f>
        <v xml:space="preserve"> </v>
      </c>
      <c r="CI100" s="55"/>
      <c r="CJ100" s="32"/>
      <c r="CK100" s="32"/>
      <c r="CL100" s="55"/>
      <c r="CM100" s="32"/>
    </row>
    <row r="101" spans="1:91">
      <c r="A101" s="5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1"/>
      <c r="P101" s="31"/>
      <c r="Q101" s="54"/>
      <c r="R101" s="21" t="str">
        <f>IFERROR(VLOOKUP(January[[#This Row],[Drug Name]],'Data Options'!$R$1:$S$100,2,FALSE), " ")</f>
        <v xml:space="preserve"> </v>
      </c>
      <c r="S101" s="55"/>
      <c r="T101" s="32"/>
      <c r="U101" s="32"/>
      <c r="V101" s="55"/>
      <c r="W101" s="32"/>
      <c r="X101" s="54"/>
      <c r="Y101" s="21" t="str">
        <f>IFERROR(VLOOKUP(January[[#This Row],[Drug Name2]],'Data Options'!$R$1:$S$100,2,FALSE), " ")</f>
        <v xml:space="preserve"> </v>
      </c>
      <c r="Z101" s="55"/>
      <c r="AA101" s="32"/>
      <c r="AB101" s="32"/>
      <c r="AC101" s="55"/>
      <c r="AD101" s="32"/>
      <c r="AE101" s="54"/>
      <c r="AF101" s="21" t="str">
        <f>IFERROR(VLOOKUP(January[[#This Row],[Drug Name3]],'Data Options'!$R$1:$S$100,2,FALSE), " ")</f>
        <v xml:space="preserve"> </v>
      </c>
      <c r="AG101" s="55"/>
      <c r="AH101" s="32"/>
      <c r="AI101" s="32"/>
      <c r="AJ101" s="55"/>
      <c r="AK101" s="32"/>
      <c r="AL101" s="32"/>
      <c r="AM101" s="32"/>
      <c r="AN101" s="32"/>
      <c r="AO101" s="32"/>
      <c r="AP101" s="31"/>
      <c r="AQ101" s="31"/>
      <c r="AR101" s="54"/>
      <c r="AS101" s="21" t="str">
        <f>IFERROR(VLOOKUP(January[[#This Row],[Drug Name4]],'Data Options'!$R$1:$S$100,2,FALSE), " ")</f>
        <v xml:space="preserve"> </v>
      </c>
      <c r="AT101" s="55"/>
      <c r="AU101" s="32"/>
      <c r="AV101" s="32"/>
      <c r="AW101" s="55"/>
      <c r="AX101" s="32"/>
      <c r="AY101" s="54"/>
      <c r="AZ101" s="21" t="str">
        <f>IFERROR(VLOOKUP(January[[#This Row],[Drug Name5]],'Data Options'!$R$1:$S$100,2,FALSE), " ")</f>
        <v xml:space="preserve"> </v>
      </c>
      <c r="BA101" s="55"/>
      <c r="BB101" s="32"/>
      <c r="BC101" s="32"/>
      <c r="BD101" s="55"/>
      <c r="BE101" s="32"/>
      <c r="BF101" s="54"/>
      <c r="BG101" s="21" t="str">
        <f>IFERROR(VLOOKUP(January[[#This Row],[Drug Name6]],'Data Options'!$R$1:$S$100,2,FALSE), " ")</f>
        <v xml:space="preserve"> </v>
      </c>
      <c r="BH101" s="55"/>
      <c r="BI101" s="32"/>
      <c r="BJ101" s="32"/>
      <c r="BK101" s="55"/>
      <c r="BL101" s="32"/>
      <c r="BM101" s="32"/>
      <c r="BN101" s="32"/>
      <c r="BO101" s="32"/>
      <c r="BP101" s="32"/>
      <c r="BQ101" s="31"/>
      <c r="BR101" s="31"/>
      <c r="BS101" s="54"/>
      <c r="BT101" s="21" t="str">
        <f>IFERROR(VLOOKUP(January[[#This Row],[Drug Name7]],'Data Options'!$R$1:$S$100,2,FALSE), " ")</f>
        <v xml:space="preserve"> </v>
      </c>
      <c r="BU101" s="55"/>
      <c r="BV101" s="32"/>
      <c r="BW101" s="32"/>
      <c r="BX101" s="55"/>
      <c r="BY101" s="32"/>
      <c r="BZ101" s="54"/>
      <c r="CA101" s="21" t="str">
        <f>IFERROR(VLOOKUP(January[[#This Row],[Drug Name8]],'Data Options'!$R$1:$S$100,2,FALSE), " ")</f>
        <v xml:space="preserve"> </v>
      </c>
      <c r="CB101" s="55"/>
      <c r="CC101" s="32"/>
      <c r="CD101" s="32"/>
      <c r="CE101" s="55"/>
      <c r="CF101" s="32"/>
      <c r="CG101" s="54"/>
      <c r="CH101" s="21" t="str">
        <f>IFERROR(VLOOKUP(January[[#This Row],[Drug Name9]],'Data Options'!$R$1:$S$100,2,FALSE), " ")</f>
        <v xml:space="preserve"> </v>
      </c>
      <c r="CI101" s="55"/>
      <c r="CJ101" s="32"/>
      <c r="CK101" s="32"/>
      <c r="CL101" s="55"/>
      <c r="CM101" s="32"/>
    </row>
    <row r="102" spans="1:91">
      <c r="A102" s="5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1"/>
      <c r="P102" s="31"/>
      <c r="Q102" s="54"/>
      <c r="R102" s="21" t="str">
        <f>IFERROR(VLOOKUP(January[[#This Row],[Drug Name]],'Data Options'!$R$1:$S$100,2,FALSE), " ")</f>
        <v xml:space="preserve"> </v>
      </c>
      <c r="S102" s="55"/>
      <c r="T102" s="32"/>
      <c r="U102" s="32"/>
      <c r="V102" s="55"/>
      <c r="W102" s="32"/>
      <c r="X102" s="54"/>
      <c r="Y102" s="21" t="str">
        <f>IFERROR(VLOOKUP(January[[#This Row],[Drug Name2]],'Data Options'!$R$1:$S$100,2,FALSE), " ")</f>
        <v xml:space="preserve"> </v>
      </c>
      <c r="Z102" s="55"/>
      <c r="AA102" s="32"/>
      <c r="AB102" s="32"/>
      <c r="AC102" s="55"/>
      <c r="AD102" s="32"/>
      <c r="AE102" s="54"/>
      <c r="AF102" s="21" t="str">
        <f>IFERROR(VLOOKUP(January[[#This Row],[Drug Name3]],'Data Options'!$R$1:$S$100,2,FALSE), " ")</f>
        <v xml:space="preserve"> </v>
      </c>
      <c r="AG102" s="55"/>
      <c r="AH102" s="32"/>
      <c r="AI102" s="32"/>
      <c r="AJ102" s="55"/>
      <c r="AK102" s="32"/>
      <c r="AL102" s="32"/>
      <c r="AM102" s="32"/>
      <c r="AN102" s="32"/>
      <c r="AO102" s="32"/>
      <c r="AP102" s="31"/>
      <c r="AQ102" s="31"/>
      <c r="AR102" s="54"/>
      <c r="AS102" s="21" t="str">
        <f>IFERROR(VLOOKUP(January[[#This Row],[Drug Name4]],'Data Options'!$R$1:$S$100,2,FALSE), " ")</f>
        <v xml:space="preserve"> </v>
      </c>
      <c r="AT102" s="55"/>
      <c r="AU102" s="32"/>
      <c r="AV102" s="32"/>
      <c r="AW102" s="55"/>
      <c r="AX102" s="32"/>
      <c r="AY102" s="54"/>
      <c r="AZ102" s="21" t="str">
        <f>IFERROR(VLOOKUP(January[[#This Row],[Drug Name5]],'Data Options'!$R$1:$S$100,2,FALSE), " ")</f>
        <v xml:space="preserve"> </v>
      </c>
      <c r="BA102" s="55"/>
      <c r="BB102" s="32"/>
      <c r="BC102" s="32"/>
      <c r="BD102" s="55"/>
      <c r="BE102" s="32"/>
      <c r="BF102" s="54"/>
      <c r="BG102" s="21" t="str">
        <f>IFERROR(VLOOKUP(January[[#This Row],[Drug Name6]],'Data Options'!$R$1:$S$100,2,FALSE), " ")</f>
        <v xml:space="preserve"> </v>
      </c>
      <c r="BH102" s="55"/>
      <c r="BI102" s="32"/>
      <c r="BJ102" s="32"/>
      <c r="BK102" s="55"/>
      <c r="BL102" s="32"/>
      <c r="BM102" s="32"/>
      <c r="BN102" s="32"/>
      <c r="BO102" s="32"/>
      <c r="BP102" s="32"/>
      <c r="BQ102" s="31"/>
      <c r="BR102" s="31"/>
      <c r="BS102" s="54"/>
      <c r="BT102" s="21" t="str">
        <f>IFERROR(VLOOKUP(January[[#This Row],[Drug Name7]],'Data Options'!$R$1:$S$100,2,FALSE), " ")</f>
        <v xml:space="preserve"> </v>
      </c>
      <c r="BU102" s="55"/>
      <c r="BV102" s="32"/>
      <c r="BW102" s="32"/>
      <c r="BX102" s="55"/>
      <c r="BY102" s="32"/>
      <c r="BZ102" s="54"/>
      <c r="CA102" s="21" t="str">
        <f>IFERROR(VLOOKUP(January[[#This Row],[Drug Name8]],'Data Options'!$R$1:$S$100,2,FALSE), " ")</f>
        <v xml:space="preserve"> </v>
      </c>
      <c r="CB102" s="55"/>
      <c r="CC102" s="32"/>
      <c r="CD102" s="32"/>
      <c r="CE102" s="55"/>
      <c r="CF102" s="32"/>
      <c r="CG102" s="54"/>
      <c r="CH102" s="21" t="str">
        <f>IFERROR(VLOOKUP(January[[#This Row],[Drug Name9]],'Data Options'!$R$1:$S$100,2,FALSE), " ")</f>
        <v xml:space="preserve"> </v>
      </c>
      <c r="CI102" s="55"/>
      <c r="CJ102" s="32"/>
      <c r="CK102" s="32"/>
      <c r="CL102" s="55"/>
      <c r="CM102" s="32"/>
    </row>
    <row r="103" spans="1:91">
      <c r="A103" s="5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1"/>
      <c r="Q103" s="54"/>
      <c r="R103" s="21" t="str">
        <f>IFERROR(VLOOKUP(January[[#This Row],[Drug Name]],'Data Options'!$R$1:$S$100,2,FALSE), " ")</f>
        <v xml:space="preserve"> </v>
      </c>
      <c r="S103" s="55"/>
      <c r="T103" s="32"/>
      <c r="U103" s="32"/>
      <c r="V103" s="55"/>
      <c r="W103" s="32"/>
      <c r="X103" s="54"/>
      <c r="Y103" s="21" t="str">
        <f>IFERROR(VLOOKUP(January[[#This Row],[Drug Name2]],'Data Options'!$R$1:$S$100,2,FALSE), " ")</f>
        <v xml:space="preserve"> </v>
      </c>
      <c r="Z103" s="55"/>
      <c r="AA103" s="32"/>
      <c r="AB103" s="32"/>
      <c r="AC103" s="55"/>
      <c r="AD103" s="32"/>
      <c r="AE103" s="54"/>
      <c r="AF103" s="21" t="str">
        <f>IFERROR(VLOOKUP(January[[#This Row],[Drug Name3]],'Data Options'!$R$1:$S$100,2,FALSE), " ")</f>
        <v xml:space="preserve"> </v>
      </c>
      <c r="AG103" s="55"/>
      <c r="AH103" s="32"/>
      <c r="AI103" s="32"/>
      <c r="AJ103" s="55"/>
      <c r="AK103" s="32"/>
      <c r="AL103" s="32"/>
      <c r="AM103" s="32"/>
      <c r="AN103" s="32"/>
      <c r="AO103" s="32"/>
      <c r="AP103" s="31"/>
      <c r="AQ103" s="31"/>
      <c r="AR103" s="54"/>
      <c r="AS103" s="21" t="str">
        <f>IFERROR(VLOOKUP(January[[#This Row],[Drug Name4]],'Data Options'!$R$1:$S$100,2,FALSE), " ")</f>
        <v xml:space="preserve"> </v>
      </c>
      <c r="AT103" s="55"/>
      <c r="AU103" s="32"/>
      <c r="AV103" s="32"/>
      <c r="AW103" s="55"/>
      <c r="AX103" s="32"/>
      <c r="AY103" s="54"/>
      <c r="AZ103" s="21" t="str">
        <f>IFERROR(VLOOKUP(January[[#This Row],[Drug Name5]],'Data Options'!$R$1:$S$100,2,FALSE), " ")</f>
        <v xml:space="preserve"> </v>
      </c>
      <c r="BA103" s="55"/>
      <c r="BB103" s="32"/>
      <c r="BC103" s="32"/>
      <c r="BD103" s="55"/>
      <c r="BE103" s="32"/>
      <c r="BF103" s="54"/>
      <c r="BG103" s="21" t="str">
        <f>IFERROR(VLOOKUP(January[[#This Row],[Drug Name6]],'Data Options'!$R$1:$S$100,2,FALSE), " ")</f>
        <v xml:space="preserve"> </v>
      </c>
      <c r="BH103" s="55"/>
      <c r="BI103" s="32"/>
      <c r="BJ103" s="32"/>
      <c r="BK103" s="55"/>
      <c r="BL103" s="32"/>
      <c r="BM103" s="32"/>
      <c r="BN103" s="32"/>
      <c r="BO103" s="32"/>
      <c r="BP103" s="32"/>
      <c r="BQ103" s="31"/>
      <c r="BR103" s="31"/>
      <c r="BS103" s="54"/>
      <c r="BT103" s="21" t="str">
        <f>IFERROR(VLOOKUP(January[[#This Row],[Drug Name7]],'Data Options'!$R$1:$S$100,2,FALSE), " ")</f>
        <v xml:space="preserve"> </v>
      </c>
      <c r="BU103" s="55"/>
      <c r="BV103" s="32"/>
      <c r="BW103" s="32"/>
      <c r="BX103" s="55"/>
      <c r="BY103" s="32"/>
      <c r="BZ103" s="54"/>
      <c r="CA103" s="21" t="str">
        <f>IFERROR(VLOOKUP(January[[#This Row],[Drug Name8]],'Data Options'!$R$1:$S$100,2,FALSE), " ")</f>
        <v xml:space="preserve"> </v>
      </c>
      <c r="CB103" s="55"/>
      <c r="CC103" s="32"/>
      <c r="CD103" s="32"/>
      <c r="CE103" s="55"/>
      <c r="CF103" s="32"/>
      <c r="CG103" s="54"/>
      <c r="CH103" s="21" t="str">
        <f>IFERROR(VLOOKUP(January[[#This Row],[Drug Name9]],'Data Options'!$R$1:$S$100,2,FALSE), " ")</f>
        <v xml:space="preserve"> </v>
      </c>
      <c r="CI103" s="55"/>
      <c r="CJ103" s="32"/>
      <c r="CK103" s="32"/>
      <c r="CL103" s="55"/>
      <c r="CM103" s="32"/>
    </row>
    <row r="104" spans="1:91">
      <c r="A104" s="5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Q104" s="54"/>
      <c r="R104" s="21" t="str">
        <f>IFERROR(VLOOKUP(January[[#This Row],[Drug Name]],'Data Options'!$R$1:$S$100,2,FALSE), " ")</f>
        <v xml:space="preserve"> </v>
      </c>
      <c r="S104" s="55"/>
      <c r="T104" s="32"/>
      <c r="U104" s="32"/>
      <c r="V104" s="55"/>
      <c r="W104" s="32"/>
      <c r="X104" s="54"/>
      <c r="Y104" s="21" t="str">
        <f>IFERROR(VLOOKUP(January[[#This Row],[Drug Name2]],'Data Options'!$R$1:$S$100,2,FALSE), " ")</f>
        <v xml:space="preserve"> </v>
      </c>
      <c r="Z104" s="55"/>
      <c r="AA104" s="32"/>
      <c r="AB104" s="32"/>
      <c r="AC104" s="55"/>
      <c r="AD104" s="32"/>
      <c r="AE104" s="54"/>
      <c r="AF104" s="21" t="str">
        <f>IFERROR(VLOOKUP(January[[#This Row],[Drug Name3]],'Data Options'!$R$1:$S$100,2,FALSE), " ")</f>
        <v xml:space="preserve"> </v>
      </c>
      <c r="AG104" s="55"/>
      <c r="AH104" s="32"/>
      <c r="AI104" s="32"/>
      <c r="AJ104" s="55"/>
      <c r="AK104" s="32"/>
      <c r="AL104" s="32"/>
      <c r="AM104" s="32"/>
      <c r="AN104" s="32"/>
      <c r="AO104" s="32"/>
      <c r="AP104" s="31"/>
      <c r="AQ104" s="31"/>
      <c r="AR104" s="54"/>
      <c r="AS104" s="21" t="str">
        <f>IFERROR(VLOOKUP(January[[#This Row],[Drug Name4]],'Data Options'!$R$1:$S$100,2,FALSE), " ")</f>
        <v xml:space="preserve"> </v>
      </c>
      <c r="AT104" s="55"/>
      <c r="AU104" s="32"/>
      <c r="AV104" s="32"/>
      <c r="AW104" s="55"/>
      <c r="AX104" s="32"/>
      <c r="AY104" s="54"/>
      <c r="AZ104" s="21" t="str">
        <f>IFERROR(VLOOKUP(January[[#This Row],[Drug Name5]],'Data Options'!$R$1:$S$100,2,FALSE), " ")</f>
        <v xml:space="preserve"> </v>
      </c>
      <c r="BA104" s="55"/>
      <c r="BB104" s="32"/>
      <c r="BC104" s="32"/>
      <c r="BD104" s="55"/>
      <c r="BE104" s="32"/>
      <c r="BF104" s="54"/>
      <c r="BG104" s="21" t="str">
        <f>IFERROR(VLOOKUP(January[[#This Row],[Drug Name6]],'Data Options'!$R$1:$S$100,2,FALSE), " ")</f>
        <v xml:space="preserve"> </v>
      </c>
      <c r="BH104" s="55"/>
      <c r="BI104" s="32"/>
      <c r="BJ104" s="32"/>
      <c r="BK104" s="55"/>
      <c r="BL104" s="32"/>
      <c r="BM104" s="32"/>
      <c r="BN104" s="32"/>
      <c r="BO104" s="32"/>
      <c r="BP104" s="32"/>
      <c r="BQ104" s="31"/>
      <c r="BR104" s="31"/>
      <c r="BS104" s="54"/>
      <c r="BT104" s="21" t="str">
        <f>IFERROR(VLOOKUP(January[[#This Row],[Drug Name7]],'Data Options'!$R$1:$S$100,2,FALSE), " ")</f>
        <v xml:space="preserve"> </v>
      </c>
      <c r="BU104" s="55"/>
      <c r="BV104" s="32"/>
      <c r="BW104" s="32"/>
      <c r="BX104" s="55"/>
      <c r="BY104" s="32"/>
      <c r="BZ104" s="54"/>
      <c r="CA104" s="21" t="str">
        <f>IFERROR(VLOOKUP(January[[#This Row],[Drug Name8]],'Data Options'!$R$1:$S$100,2,FALSE), " ")</f>
        <v xml:space="preserve"> </v>
      </c>
      <c r="CB104" s="55"/>
      <c r="CC104" s="32"/>
      <c r="CD104" s="32"/>
      <c r="CE104" s="55"/>
      <c r="CF104" s="32"/>
      <c r="CG104" s="54"/>
      <c r="CH104" s="21" t="str">
        <f>IFERROR(VLOOKUP(January[[#This Row],[Drug Name9]],'Data Options'!$R$1:$S$100,2,FALSE), " ")</f>
        <v xml:space="preserve"> </v>
      </c>
      <c r="CI104" s="55"/>
      <c r="CJ104" s="32"/>
      <c r="CK104" s="32"/>
      <c r="CL104" s="55"/>
      <c r="CM104" s="32"/>
    </row>
    <row r="105" spans="1:91">
      <c r="A105" s="5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1"/>
      <c r="Q105" s="54"/>
      <c r="R105" s="21" t="str">
        <f>IFERROR(VLOOKUP(January[[#This Row],[Drug Name]],'Data Options'!$R$1:$S$100,2,FALSE), " ")</f>
        <v xml:space="preserve"> </v>
      </c>
      <c r="S105" s="55"/>
      <c r="T105" s="32"/>
      <c r="U105" s="32"/>
      <c r="V105" s="55"/>
      <c r="W105" s="32"/>
      <c r="X105" s="54"/>
      <c r="Y105" s="21" t="str">
        <f>IFERROR(VLOOKUP(January[[#This Row],[Drug Name2]],'Data Options'!$R$1:$S$100,2,FALSE), " ")</f>
        <v xml:space="preserve"> </v>
      </c>
      <c r="Z105" s="55"/>
      <c r="AA105" s="32"/>
      <c r="AB105" s="32"/>
      <c r="AC105" s="55"/>
      <c r="AD105" s="32"/>
      <c r="AE105" s="54"/>
      <c r="AF105" s="21" t="str">
        <f>IFERROR(VLOOKUP(January[[#This Row],[Drug Name3]],'Data Options'!$R$1:$S$100,2,FALSE), " ")</f>
        <v xml:space="preserve"> </v>
      </c>
      <c r="AG105" s="55"/>
      <c r="AH105" s="32"/>
      <c r="AI105" s="32"/>
      <c r="AJ105" s="55"/>
      <c r="AK105" s="32"/>
      <c r="AL105" s="32"/>
      <c r="AM105" s="32"/>
      <c r="AN105" s="32"/>
      <c r="AO105" s="32"/>
      <c r="AP105" s="31"/>
      <c r="AQ105" s="31"/>
      <c r="AR105" s="54"/>
      <c r="AS105" s="21" t="str">
        <f>IFERROR(VLOOKUP(January[[#This Row],[Drug Name4]],'Data Options'!$R$1:$S$100,2,FALSE), " ")</f>
        <v xml:space="preserve"> </v>
      </c>
      <c r="AT105" s="55"/>
      <c r="AU105" s="32"/>
      <c r="AV105" s="32"/>
      <c r="AW105" s="55"/>
      <c r="AX105" s="32"/>
      <c r="AY105" s="54"/>
      <c r="AZ105" s="21" t="str">
        <f>IFERROR(VLOOKUP(January[[#This Row],[Drug Name5]],'Data Options'!$R$1:$S$100,2,FALSE), " ")</f>
        <v xml:space="preserve"> </v>
      </c>
      <c r="BA105" s="55"/>
      <c r="BB105" s="32"/>
      <c r="BC105" s="32"/>
      <c r="BD105" s="55"/>
      <c r="BE105" s="32"/>
      <c r="BF105" s="54"/>
      <c r="BG105" s="21" t="str">
        <f>IFERROR(VLOOKUP(January[[#This Row],[Drug Name6]],'Data Options'!$R$1:$S$100,2,FALSE), " ")</f>
        <v xml:space="preserve"> </v>
      </c>
      <c r="BH105" s="55"/>
      <c r="BI105" s="32"/>
      <c r="BJ105" s="32"/>
      <c r="BK105" s="55"/>
      <c r="BL105" s="32"/>
      <c r="BM105" s="32"/>
      <c r="BN105" s="32"/>
      <c r="BO105" s="32"/>
      <c r="BP105" s="32"/>
      <c r="BQ105" s="31"/>
      <c r="BR105" s="31"/>
      <c r="BS105" s="54"/>
      <c r="BT105" s="21" t="str">
        <f>IFERROR(VLOOKUP(January[[#This Row],[Drug Name7]],'Data Options'!$R$1:$S$100,2,FALSE), " ")</f>
        <v xml:space="preserve"> </v>
      </c>
      <c r="BU105" s="55"/>
      <c r="BV105" s="32"/>
      <c r="BW105" s="32"/>
      <c r="BX105" s="55"/>
      <c r="BY105" s="32"/>
      <c r="BZ105" s="54"/>
      <c r="CA105" s="21" t="str">
        <f>IFERROR(VLOOKUP(January[[#This Row],[Drug Name8]],'Data Options'!$R$1:$S$100,2,FALSE), " ")</f>
        <v xml:space="preserve"> </v>
      </c>
      <c r="CB105" s="55"/>
      <c r="CC105" s="32"/>
      <c r="CD105" s="32"/>
      <c r="CE105" s="55"/>
      <c r="CF105" s="32"/>
      <c r="CG105" s="54"/>
      <c r="CH105" s="21" t="str">
        <f>IFERROR(VLOOKUP(January[[#This Row],[Drug Name9]],'Data Options'!$R$1:$S$100,2,FALSE), " ")</f>
        <v xml:space="preserve"> </v>
      </c>
      <c r="CI105" s="55"/>
      <c r="CJ105" s="32"/>
      <c r="CK105" s="32"/>
      <c r="CL105" s="55"/>
      <c r="CM105" s="32"/>
    </row>
    <row r="106" spans="1:91">
      <c r="A106" s="5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1"/>
      <c r="P106" s="31"/>
      <c r="Q106" s="54"/>
      <c r="R106" s="21" t="str">
        <f>IFERROR(VLOOKUP(January[[#This Row],[Drug Name]],'Data Options'!$R$1:$S$100,2,FALSE), " ")</f>
        <v xml:space="preserve"> </v>
      </c>
      <c r="S106" s="55"/>
      <c r="T106" s="32"/>
      <c r="U106" s="32"/>
      <c r="V106" s="55"/>
      <c r="W106" s="32"/>
      <c r="X106" s="54"/>
      <c r="Y106" s="21" t="str">
        <f>IFERROR(VLOOKUP(January[[#This Row],[Drug Name2]],'Data Options'!$R$1:$S$100,2,FALSE), " ")</f>
        <v xml:space="preserve"> </v>
      </c>
      <c r="Z106" s="55"/>
      <c r="AA106" s="32"/>
      <c r="AB106" s="32"/>
      <c r="AC106" s="55"/>
      <c r="AD106" s="32"/>
      <c r="AE106" s="54"/>
      <c r="AF106" s="21" t="str">
        <f>IFERROR(VLOOKUP(January[[#This Row],[Drug Name3]],'Data Options'!$R$1:$S$100,2,FALSE), " ")</f>
        <v xml:space="preserve"> </v>
      </c>
      <c r="AG106" s="55"/>
      <c r="AH106" s="32"/>
      <c r="AI106" s="32"/>
      <c r="AJ106" s="55"/>
      <c r="AK106" s="32"/>
      <c r="AL106" s="32"/>
      <c r="AM106" s="32"/>
      <c r="AN106" s="32"/>
      <c r="AO106" s="32"/>
      <c r="AP106" s="31"/>
      <c r="AQ106" s="31"/>
      <c r="AR106" s="54"/>
      <c r="AS106" s="21" t="str">
        <f>IFERROR(VLOOKUP(January[[#This Row],[Drug Name4]],'Data Options'!$R$1:$S$100,2,FALSE), " ")</f>
        <v xml:space="preserve"> </v>
      </c>
      <c r="AT106" s="55"/>
      <c r="AU106" s="32"/>
      <c r="AV106" s="32"/>
      <c r="AW106" s="55"/>
      <c r="AX106" s="32"/>
      <c r="AY106" s="54"/>
      <c r="AZ106" s="21" t="str">
        <f>IFERROR(VLOOKUP(January[[#This Row],[Drug Name5]],'Data Options'!$R$1:$S$100,2,FALSE), " ")</f>
        <v xml:space="preserve"> </v>
      </c>
      <c r="BA106" s="55"/>
      <c r="BB106" s="32"/>
      <c r="BC106" s="32"/>
      <c r="BD106" s="55"/>
      <c r="BE106" s="32"/>
      <c r="BF106" s="54"/>
      <c r="BG106" s="21" t="str">
        <f>IFERROR(VLOOKUP(January[[#This Row],[Drug Name6]],'Data Options'!$R$1:$S$100,2,FALSE), " ")</f>
        <v xml:space="preserve"> </v>
      </c>
      <c r="BH106" s="55"/>
      <c r="BI106" s="32"/>
      <c r="BJ106" s="32"/>
      <c r="BK106" s="55"/>
      <c r="BL106" s="32"/>
      <c r="BM106" s="32"/>
      <c r="BN106" s="32"/>
      <c r="BO106" s="32"/>
      <c r="BP106" s="32"/>
      <c r="BQ106" s="31"/>
      <c r="BR106" s="31"/>
      <c r="BS106" s="54"/>
      <c r="BT106" s="21" t="str">
        <f>IFERROR(VLOOKUP(January[[#This Row],[Drug Name7]],'Data Options'!$R$1:$S$100,2,FALSE), " ")</f>
        <v xml:space="preserve"> </v>
      </c>
      <c r="BU106" s="55"/>
      <c r="BV106" s="32"/>
      <c r="BW106" s="32"/>
      <c r="BX106" s="55"/>
      <c r="BY106" s="32"/>
      <c r="BZ106" s="54"/>
      <c r="CA106" s="21" t="str">
        <f>IFERROR(VLOOKUP(January[[#This Row],[Drug Name8]],'Data Options'!$R$1:$S$100,2,FALSE), " ")</f>
        <v xml:space="preserve"> </v>
      </c>
      <c r="CB106" s="55"/>
      <c r="CC106" s="32"/>
      <c r="CD106" s="32"/>
      <c r="CE106" s="55"/>
      <c r="CF106" s="32"/>
      <c r="CG106" s="54"/>
      <c r="CH106" s="21" t="str">
        <f>IFERROR(VLOOKUP(January[[#This Row],[Drug Name9]],'Data Options'!$R$1:$S$100,2,FALSE), " ")</f>
        <v xml:space="preserve"> </v>
      </c>
      <c r="CI106" s="55"/>
      <c r="CJ106" s="32"/>
      <c r="CK106" s="32"/>
      <c r="CL106" s="55"/>
      <c r="CM106" s="32"/>
    </row>
    <row r="107" spans="1:91">
      <c r="A107" s="5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1"/>
      <c r="P107" s="31"/>
      <c r="Q107" s="54"/>
      <c r="R107" s="21" t="str">
        <f>IFERROR(VLOOKUP(January[[#This Row],[Drug Name]],'Data Options'!$R$1:$S$100,2,FALSE), " ")</f>
        <v xml:space="preserve"> </v>
      </c>
      <c r="S107" s="55"/>
      <c r="T107" s="32"/>
      <c r="U107" s="32"/>
      <c r="V107" s="55"/>
      <c r="W107" s="32"/>
      <c r="X107" s="54"/>
      <c r="Y107" s="21" t="str">
        <f>IFERROR(VLOOKUP(January[[#This Row],[Drug Name2]],'Data Options'!$R$1:$S$100,2,FALSE), " ")</f>
        <v xml:space="preserve"> </v>
      </c>
      <c r="Z107" s="55"/>
      <c r="AA107" s="32"/>
      <c r="AB107" s="32"/>
      <c r="AC107" s="55"/>
      <c r="AD107" s="32"/>
      <c r="AE107" s="54"/>
      <c r="AF107" s="21" t="str">
        <f>IFERROR(VLOOKUP(January[[#This Row],[Drug Name3]],'Data Options'!$R$1:$S$100,2,FALSE), " ")</f>
        <v xml:space="preserve"> </v>
      </c>
      <c r="AG107" s="55"/>
      <c r="AH107" s="32"/>
      <c r="AI107" s="32"/>
      <c r="AJ107" s="55"/>
      <c r="AK107" s="32"/>
      <c r="AL107" s="32"/>
      <c r="AM107" s="32"/>
      <c r="AN107" s="32"/>
      <c r="AO107" s="32"/>
      <c r="AP107" s="31"/>
      <c r="AQ107" s="31"/>
      <c r="AR107" s="54"/>
      <c r="AS107" s="21" t="str">
        <f>IFERROR(VLOOKUP(January[[#This Row],[Drug Name4]],'Data Options'!$R$1:$S$100,2,FALSE), " ")</f>
        <v xml:space="preserve"> </v>
      </c>
      <c r="AT107" s="55"/>
      <c r="AU107" s="32"/>
      <c r="AV107" s="32"/>
      <c r="AW107" s="55"/>
      <c r="AX107" s="32"/>
      <c r="AY107" s="54"/>
      <c r="AZ107" s="21" t="str">
        <f>IFERROR(VLOOKUP(January[[#This Row],[Drug Name5]],'Data Options'!$R$1:$S$100,2,FALSE), " ")</f>
        <v xml:space="preserve"> </v>
      </c>
      <c r="BA107" s="55"/>
      <c r="BB107" s="32"/>
      <c r="BC107" s="32"/>
      <c r="BD107" s="55"/>
      <c r="BE107" s="32"/>
      <c r="BF107" s="54"/>
      <c r="BG107" s="21" t="str">
        <f>IFERROR(VLOOKUP(January[[#This Row],[Drug Name6]],'Data Options'!$R$1:$S$100,2,FALSE), " ")</f>
        <v xml:space="preserve"> </v>
      </c>
      <c r="BH107" s="55"/>
      <c r="BI107" s="32"/>
      <c r="BJ107" s="32"/>
      <c r="BK107" s="55"/>
      <c r="BL107" s="32"/>
      <c r="BM107" s="32"/>
      <c r="BN107" s="32"/>
      <c r="BO107" s="32"/>
      <c r="BP107" s="32"/>
      <c r="BQ107" s="31"/>
      <c r="BR107" s="31"/>
      <c r="BS107" s="54"/>
      <c r="BT107" s="21" t="str">
        <f>IFERROR(VLOOKUP(January[[#This Row],[Drug Name7]],'Data Options'!$R$1:$S$100,2,FALSE), " ")</f>
        <v xml:space="preserve"> </v>
      </c>
      <c r="BU107" s="55"/>
      <c r="BV107" s="32"/>
      <c r="BW107" s="32"/>
      <c r="BX107" s="55"/>
      <c r="BY107" s="32"/>
      <c r="BZ107" s="54"/>
      <c r="CA107" s="21" t="str">
        <f>IFERROR(VLOOKUP(January[[#This Row],[Drug Name8]],'Data Options'!$R$1:$S$100,2,FALSE), " ")</f>
        <v xml:space="preserve"> </v>
      </c>
      <c r="CB107" s="55"/>
      <c r="CC107" s="32"/>
      <c r="CD107" s="32"/>
      <c r="CE107" s="55"/>
      <c r="CF107" s="32"/>
      <c r="CG107" s="54"/>
      <c r="CH107" s="21" t="str">
        <f>IFERROR(VLOOKUP(January[[#This Row],[Drug Name9]],'Data Options'!$R$1:$S$100,2,FALSE), " ")</f>
        <v xml:space="preserve"> </v>
      </c>
      <c r="CI107" s="55"/>
      <c r="CJ107" s="32"/>
      <c r="CK107" s="32"/>
      <c r="CL107" s="55"/>
      <c r="CM107" s="32"/>
    </row>
    <row r="108" spans="1:91">
      <c r="A108" s="5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1"/>
      <c r="P108" s="31"/>
      <c r="Q108" s="54"/>
      <c r="R108" s="21" t="str">
        <f>IFERROR(VLOOKUP(January[[#This Row],[Drug Name]],'Data Options'!$R$1:$S$100,2,FALSE), " ")</f>
        <v xml:space="preserve"> </v>
      </c>
      <c r="S108" s="55"/>
      <c r="T108" s="32"/>
      <c r="U108" s="32"/>
      <c r="V108" s="55"/>
      <c r="W108" s="32"/>
      <c r="X108" s="54"/>
      <c r="Y108" s="21" t="str">
        <f>IFERROR(VLOOKUP(January[[#This Row],[Drug Name2]],'Data Options'!$R$1:$S$100,2,FALSE), " ")</f>
        <v xml:space="preserve"> </v>
      </c>
      <c r="Z108" s="55"/>
      <c r="AA108" s="32"/>
      <c r="AB108" s="32"/>
      <c r="AC108" s="55"/>
      <c r="AD108" s="32"/>
      <c r="AE108" s="54"/>
      <c r="AF108" s="21" t="str">
        <f>IFERROR(VLOOKUP(January[[#This Row],[Drug Name3]],'Data Options'!$R$1:$S$100,2,FALSE), " ")</f>
        <v xml:space="preserve"> </v>
      </c>
      <c r="AG108" s="55"/>
      <c r="AH108" s="32"/>
      <c r="AI108" s="32"/>
      <c r="AJ108" s="55"/>
      <c r="AK108" s="32"/>
      <c r="AL108" s="32"/>
      <c r="AM108" s="32"/>
      <c r="AN108" s="32"/>
      <c r="AO108" s="32"/>
      <c r="AP108" s="31"/>
      <c r="AQ108" s="31"/>
      <c r="AR108" s="54"/>
      <c r="AS108" s="21" t="str">
        <f>IFERROR(VLOOKUP(January[[#This Row],[Drug Name4]],'Data Options'!$R$1:$S$100,2,FALSE), " ")</f>
        <v xml:space="preserve"> </v>
      </c>
      <c r="AT108" s="55"/>
      <c r="AU108" s="32"/>
      <c r="AV108" s="32"/>
      <c r="AW108" s="55"/>
      <c r="AX108" s="32"/>
      <c r="AY108" s="54"/>
      <c r="AZ108" s="21" t="str">
        <f>IFERROR(VLOOKUP(January[[#This Row],[Drug Name5]],'Data Options'!$R$1:$S$100,2,FALSE), " ")</f>
        <v xml:space="preserve"> </v>
      </c>
      <c r="BA108" s="55"/>
      <c r="BB108" s="32"/>
      <c r="BC108" s="32"/>
      <c r="BD108" s="55"/>
      <c r="BE108" s="32"/>
      <c r="BF108" s="54"/>
      <c r="BG108" s="21" t="str">
        <f>IFERROR(VLOOKUP(January[[#This Row],[Drug Name6]],'Data Options'!$R$1:$S$100,2,FALSE), " ")</f>
        <v xml:space="preserve"> </v>
      </c>
      <c r="BH108" s="55"/>
      <c r="BI108" s="32"/>
      <c r="BJ108" s="32"/>
      <c r="BK108" s="55"/>
      <c r="BL108" s="32"/>
      <c r="BM108" s="32"/>
      <c r="BN108" s="32"/>
      <c r="BO108" s="32"/>
      <c r="BP108" s="32"/>
      <c r="BQ108" s="31"/>
      <c r="BR108" s="31"/>
      <c r="BS108" s="54"/>
      <c r="BT108" s="21" t="str">
        <f>IFERROR(VLOOKUP(January[[#This Row],[Drug Name7]],'Data Options'!$R$1:$S$100,2,FALSE), " ")</f>
        <v xml:space="preserve"> </v>
      </c>
      <c r="BU108" s="55"/>
      <c r="BV108" s="32"/>
      <c r="BW108" s="32"/>
      <c r="BX108" s="55"/>
      <c r="BY108" s="32"/>
      <c r="BZ108" s="54"/>
      <c r="CA108" s="21" t="str">
        <f>IFERROR(VLOOKUP(January[[#This Row],[Drug Name8]],'Data Options'!$R$1:$S$100,2,FALSE), " ")</f>
        <v xml:space="preserve"> </v>
      </c>
      <c r="CB108" s="55"/>
      <c r="CC108" s="32"/>
      <c r="CD108" s="32"/>
      <c r="CE108" s="55"/>
      <c r="CF108" s="32"/>
      <c r="CG108" s="54"/>
      <c r="CH108" s="21" t="str">
        <f>IFERROR(VLOOKUP(January[[#This Row],[Drug Name9]],'Data Options'!$R$1:$S$100,2,FALSE), " ")</f>
        <v xml:space="preserve"> </v>
      </c>
      <c r="CI108" s="55"/>
      <c r="CJ108" s="32"/>
      <c r="CK108" s="32"/>
      <c r="CL108" s="55"/>
      <c r="CM108" s="32"/>
    </row>
    <row r="109" spans="1:91">
      <c r="A109" s="5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1"/>
      <c r="P109" s="31"/>
      <c r="Q109" s="54"/>
      <c r="R109" s="21" t="str">
        <f>IFERROR(VLOOKUP(January[[#This Row],[Drug Name]],'Data Options'!$R$1:$S$100,2,FALSE), " ")</f>
        <v xml:space="preserve"> </v>
      </c>
      <c r="S109" s="55"/>
      <c r="T109" s="32"/>
      <c r="U109" s="32"/>
      <c r="V109" s="55"/>
      <c r="W109" s="32"/>
      <c r="X109" s="54"/>
      <c r="Y109" s="21" t="str">
        <f>IFERROR(VLOOKUP(January[[#This Row],[Drug Name2]],'Data Options'!$R$1:$S$100,2,FALSE), " ")</f>
        <v xml:space="preserve"> </v>
      </c>
      <c r="Z109" s="55"/>
      <c r="AA109" s="32"/>
      <c r="AB109" s="32"/>
      <c r="AC109" s="55"/>
      <c r="AD109" s="32"/>
      <c r="AE109" s="54"/>
      <c r="AF109" s="21" t="str">
        <f>IFERROR(VLOOKUP(January[[#This Row],[Drug Name3]],'Data Options'!$R$1:$S$100,2,FALSE), " ")</f>
        <v xml:space="preserve"> </v>
      </c>
      <c r="AG109" s="55"/>
      <c r="AH109" s="32"/>
      <c r="AI109" s="32"/>
      <c r="AJ109" s="55"/>
      <c r="AK109" s="32"/>
      <c r="AL109" s="32"/>
      <c r="AM109" s="32"/>
      <c r="AN109" s="32"/>
      <c r="AO109" s="32"/>
      <c r="AP109" s="31"/>
      <c r="AQ109" s="31"/>
      <c r="AR109" s="54"/>
      <c r="AS109" s="21" t="str">
        <f>IFERROR(VLOOKUP(January[[#This Row],[Drug Name4]],'Data Options'!$R$1:$S$100,2,FALSE), " ")</f>
        <v xml:space="preserve"> </v>
      </c>
      <c r="AT109" s="55"/>
      <c r="AU109" s="32"/>
      <c r="AV109" s="32"/>
      <c r="AW109" s="55"/>
      <c r="AX109" s="32"/>
      <c r="AY109" s="54"/>
      <c r="AZ109" s="21" t="str">
        <f>IFERROR(VLOOKUP(January[[#This Row],[Drug Name5]],'Data Options'!$R$1:$S$100,2,FALSE), " ")</f>
        <v xml:space="preserve"> </v>
      </c>
      <c r="BA109" s="55"/>
      <c r="BB109" s="32"/>
      <c r="BC109" s="32"/>
      <c r="BD109" s="55"/>
      <c r="BE109" s="32"/>
      <c r="BF109" s="54"/>
      <c r="BG109" s="21" t="str">
        <f>IFERROR(VLOOKUP(January[[#This Row],[Drug Name6]],'Data Options'!$R$1:$S$100,2,FALSE), " ")</f>
        <v xml:space="preserve"> </v>
      </c>
      <c r="BH109" s="55"/>
      <c r="BI109" s="32"/>
      <c r="BJ109" s="32"/>
      <c r="BK109" s="55"/>
      <c r="BL109" s="32"/>
      <c r="BM109" s="32"/>
      <c r="BN109" s="32"/>
      <c r="BO109" s="32"/>
      <c r="BP109" s="32"/>
      <c r="BQ109" s="31"/>
      <c r="BR109" s="31"/>
      <c r="BS109" s="54"/>
      <c r="BT109" s="21" t="str">
        <f>IFERROR(VLOOKUP(January[[#This Row],[Drug Name7]],'Data Options'!$R$1:$S$100,2,FALSE), " ")</f>
        <v xml:space="preserve"> </v>
      </c>
      <c r="BU109" s="55"/>
      <c r="BV109" s="32"/>
      <c r="BW109" s="32"/>
      <c r="BX109" s="55"/>
      <c r="BY109" s="32"/>
      <c r="BZ109" s="54"/>
      <c r="CA109" s="21" t="str">
        <f>IFERROR(VLOOKUP(January[[#This Row],[Drug Name8]],'Data Options'!$R$1:$S$100,2,FALSE), " ")</f>
        <v xml:space="preserve"> </v>
      </c>
      <c r="CB109" s="55"/>
      <c r="CC109" s="32"/>
      <c r="CD109" s="32"/>
      <c r="CE109" s="55"/>
      <c r="CF109" s="32"/>
      <c r="CG109" s="54"/>
      <c r="CH109" s="21" t="str">
        <f>IFERROR(VLOOKUP(January[[#This Row],[Drug Name9]],'Data Options'!$R$1:$S$100,2,FALSE), " ")</f>
        <v xml:space="preserve"> </v>
      </c>
      <c r="CI109" s="55"/>
      <c r="CJ109" s="32"/>
      <c r="CK109" s="32"/>
      <c r="CL109" s="55"/>
      <c r="CM109" s="32"/>
    </row>
    <row r="110" spans="1:91">
      <c r="A110" s="5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54"/>
      <c r="R110" s="21" t="str">
        <f>IFERROR(VLOOKUP(January[[#This Row],[Drug Name]],'Data Options'!$R$1:$S$100,2,FALSE), " ")</f>
        <v xml:space="preserve"> </v>
      </c>
      <c r="S110" s="55"/>
      <c r="T110" s="32"/>
      <c r="U110" s="32"/>
      <c r="V110" s="55"/>
      <c r="W110" s="32"/>
      <c r="X110" s="54"/>
      <c r="Y110" s="21" t="str">
        <f>IFERROR(VLOOKUP(January[[#This Row],[Drug Name2]],'Data Options'!$R$1:$S$100,2,FALSE), " ")</f>
        <v xml:space="preserve"> </v>
      </c>
      <c r="Z110" s="55"/>
      <c r="AA110" s="32"/>
      <c r="AB110" s="32"/>
      <c r="AC110" s="55"/>
      <c r="AD110" s="32"/>
      <c r="AE110" s="54"/>
      <c r="AF110" s="21" t="str">
        <f>IFERROR(VLOOKUP(January[[#This Row],[Drug Name3]],'Data Options'!$R$1:$S$100,2,FALSE), " ")</f>
        <v xml:space="preserve"> </v>
      </c>
      <c r="AG110" s="55"/>
      <c r="AH110" s="32"/>
      <c r="AI110" s="32"/>
      <c r="AJ110" s="55"/>
      <c r="AK110" s="32"/>
      <c r="AL110" s="32"/>
      <c r="AM110" s="32"/>
      <c r="AN110" s="32"/>
      <c r="AO110" s="32"/>
      <c r="AP110" s="31"/>
      <c r="AQ110" s="31"/>
      <c r="AR110" s="54"/>
      <c r="AS110" s="21" t="str">
        <f>IFERROR(VLOOKUP(January[[#This Row],[Drug Name4]],'Data Options'!$R$1:$S$100,2,FALSE), " ")</f>
        <v xml:space="preserve"> </v>
      </c>
      <c r="AT110" s="55"/>
      <c r="AU110" s="32"/>
      <c r="AV110" s="32"/>
      <c r="AW110" s="55"/>
      <c r="AX110" s="32"/>
      <c r="AY110" s="54"/>
      <c r="AZ110" s="21" t="str">
        <f>IFERROR(VLOOKUP(January[[#This Row],[Drug Name5]],'Data Options'!$R$1:$S$100,2,FALSE), " ")</f>
        <v xml:space="preserve"> </v>
      </c>
      <c r="BA110" s="55"/>
      <c r="BB110" s="32"/>
      <c r="BC110" s="32"/>
      <c r="BD110" s="55"/>
      <c r="BE110" s="32"/>
      <c r="BF110" s="54"/>
      <c r="BG110" s="21" t="str">
        <f>IFERROR(VLOOKUP(January[[#This Row],[Drug Name6]],'Data Options'!$R$1:$S$100,2,FALSE), " ")</f>
        <v xml:space="preserve"> </v>
      </c>
      <c r="BH110" s="55"/>
      <c r="BI110" s="32"/>
      <c r="BJ110" s="32"/>
      <c r="BK110" s="55"/>
      <c r="BL110" s="32"/>
      <c r="BM110" s="32"/>
      <c r="BN110" s="32"/>
      <c r="BO110" s="32"/>
      <c r="BP110" s="32"/>
      <c r="BQ110" s="31"/>
      <c r="BR110" s="31"/>
      <c r="BS110" s="54"/>
      <c r="BT110" s="21" t="str">
        <f>IFERROR(VLOOKUP(January[[#This Row],[Drug Name7]],'Data Options'!$R$1:$S$100,2,FALSE), " ")</f>
        <v xml:space="preserve"> </v>
      </c>
      <c r="BU110" s="55"/>
      <c r="BV110" s="32"/>
      <c r="BW110" s="32"/>
      <c r="BX110" s="55"/>
      <c r="BY110" s="32"/>
      <c r="BZ110" s="54"/>
      <c r="CA110" s="21" t="str">
        <f>IFERROR(VLOOKUP(January[[#This Row],[Drug Name8]],'Data Options'!$R$1:$S$100,2,FALSE), " ")</f>
        <v xml:space="preserve"> </v>
      </c>
      <c r="CB110" s="55"/>
      <c r="CC110" s="32"/>
      <c r="CD110" s="32"/>
      <c r="CE110" s="55"/>
      <c r="CF110" s="32"/>
      <c r="CG110" s="54"/>
      <c r="CH110" s="21" t="str">
        <f>IFERROR(VLOOKUP(January[[#This Row],[Drug Name9]],'Data Options'!$R$1:$S$100,2,FALSE), " ")</f>
        <v xml:space="preserve"> </v>
      </c>
      <c r="CI110" s="55"/>
      <c r="CJ110" s="32"/>
      <c r="CK110" s="32"/>
      <c r="CL110" s="55"/>
      <c r="CM110" s="32"/>
    </row>
    <row r="111" spans="1:91">
      <c r="A111" s="5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1"/>
      <c r="P111" s="31"/>
      <c r="Q111" s="54"/>
      <c r="R111" s="21" t="str">
        <f>IFERROR(VLOOKUP(January[[#This Row],[Drug Name]],'Data Options'!$R$1:$S$100,2,FALSE), " ")</f>
        <v xml:space="preserve"> </v>
      </c>
      <c r="S111" s="55"/>
      <c r="T111" s="32"/>
      <c r="U111" s="32"/>
      <c r="V111" s="55"/>
      <c r="W111" s="32"/>
      <c r="X111" s="54"/>
      <c r="Y111" s="21" t="str">
        <f>IFERROR(VLOOKUP(January[[#This Row],[Drug Name2]],'Data Options'!$R$1:$S$100,2,FALSE), " ")</f>
        <v xml:space="preserve"> </v>
      </c>
      <c r="Z111" s="55"/>
      <c r="AA111" s="32"/>
      <c r="AB111" s="32"/>
      <c r="AC111" s="55"/>
      <c r="AD111" s="32"/>
      <c r="AE111" s="54"/>
      <c r="AF111" s="21" t="str">
        <f>IFERROR(VLOOKUP(January[[#This Row],[Drug Name3]],'Data Options'!$R$1:$S$100,2,FALSE), " ")</f>
        <v xml:space="preserve"> </v>
      </c>
      <c r="AG111" s="55"/>
      <c r="AH111" s="32"/>
      <c r="AI111" s="32"/>
      <c r="AJ111" s="55"/>
      <c r="AK111" s="32"/>
      <c r="AL111" s="32"/>
      <c r="AM111" s="32"/>
      <c r="AN111" s="32"/>
      <c r="AO111" s="32"/>
      <c r="AP111" s="31"/>
      <c r="AQ111" s="31"/>
      <c r="AR111" s="54"/>
      <c r="AS111" s="21" t="str">
        <f>IFERROR(VLOOKUP(January[[#This Row],[Drug Name4]],'Data Options'!$R$1:$S$100,2,FALSE), " ")</f>
        <v xml:space="preserve"> </v>
      </c>
      <c r="AT111" s="55"/>
      <c r="AU111" s="32"/>
      <c r="AV111" s="32"/>
      <c r="AW111" s="55"/>
      <c r="AX111" s="32"/>
      <c r="AY111" s="54"/>
      <c r="AZ111" s="21" t="str">
        <f>IFERROR(VLOOKUP(January[[#This Row],[Drug Name5]],'Data Options'!$R$1:$S$100,2,FALSE), " ")</f>
        <v xml:space="preserve"> </v>
      </c>
      <c r="BA111" s="55"/>
      <c r="BB111" s="32"/>
      <c r="BC111" s="32"/>
      <c r="BD111" s="55"/>
      <c r="BE111" s="32"/>
      <c r="BF111" s="54"/>
      <c r="BG111" s="21" t="str">
        <f>IFERROR(VLOOKUP(January[[#This Row],[Drug Name6]],'Data Options'!$R$1:$S$100,2,FALSE), " ")</f>
        <v xml:space="preserve"> </v>
      </c>
      <c r="BH111" s="55"/>
      <c r="BI111" s="32"/>
      <c r="BJ111" s="32"/>
      <c r="BK111" s="55"/>
      <c r="BL111" s="32"/>
      <c r="BM111" s="32"/>
      <c r="BN111" s="32"/>
      <c r="BO111" s="32"/>
      <c r="BP111" s="32"/>
      <c r="BQ111" s="31"/>
      <c r="BR111" s="31"/>
      <c r="BS111" s="54"/>
      <c r="BT111" s="21" t="str">
        <f>IFERROR(VLOOKUP(January[[#This Row],[Drug Name7]],'Data Options'!$R$1:$S$100,2,FALSE), " ")</f>
        <v xml:space="preserve"> </v>
      </c>
      <c r="BU111" s="55"/>
      <c r="BV111" s="32"/>
      <c r="BW111" s="32"/>
      <c r="BX111" s="55"/>
      <c r="BY111" s="32"/>
      <c r="BZ111" s="54"/>
      <c r="CA111" s="21" t="str">
        <f>IFERROR(VLOOKUP(January[[#This Row],[Drug Name8]],'Data Options'!$R$1:$S$100,2,FALSE), " ")</f>
        <v xml:space="preserve"> </v>
      </c>
      <c r="CB111" s="55"/>
      <c r="CC111" s="32"/>
      <c r="CD111" s="32"/>
      <c r="CE111" s="55"/>
      <c r="CF111" s="32"/>
      <c r="CG111" s="54"/>
      <c r="CH111" s="21" t="str">
        <f>IFERROR(VLOOKUP(January[[#This Row],[Drug Name9]],'Data Options'!$R$1:$S$100,2,FALSE), " ")</f>
        <v xml:space="preserve"> </v>
      </c>
      <c r="CI111" s="55"/>
      <c r="CJ111" s="32"/>
      <c r="CK111" s="32"/>
      <c r="CL111" s="55"/>
      <c r="CM111" s="32"/>
    </row>
    <row r="112" spans="1:91">
      <c r="A112" s="5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1"/>
      <c r="P112" s="31"/>
      <c r="Q112" s="54"/>
      <c r="R112" s="21" t="str">
        <f>IFERROR(VLOOKUP(January[[#This Row],[Drug Name]],'Data Options'!$R$1:$S$100,2,FALSE), " ")</f>
        <v xml:space="preserve"> </v>
      </c>
      <c r="S112" s="55"/>
      <c r="T112" s="32"/>
      <c r="U112" s="32"/>
      <c r="V112" s="55"/>
      <c r="W112" s="32"/>
      <c r="X112" s="54"/>
      <c r="Y112" s="21" t="str">
        <f>IFERROR(VLOOKUP(January[[#This Row],[Drug Name2]],'Data Options'!$R$1:$S$100,2,FALSE), " ")</f>
        <v xml:space="preserve"> </v>
      </c>
      <c r="Z112" s="55"/>
      <c r="AA112" s="32"/>
      <c r="AB112" s="32"/>
      <c r="AC112" s="55"/>
      <c r="AD112" s="32"/>
      <c r="AE112" s="54"/>
      <c r="AF112" s="21" t="str">
        <f>IFERROR(VLOOKUP(January[[#This Row],[Drug Name3]],'Data Options'!$R$1:$S$100,2,FALSE), " ")</f>
        <v xml:space="preserve"> </v>
      </c>
      <c r="AG112" s="55"/>
      <c r="AH112" s="32"/>
      <c r="AI112" s="32"/>
      <c r="AJ112" s="55"/>
      <c r="AK112" s="32"/>
      <c r="AL112" s="32"/>
      <c r="AM112" s="32"/>
      <c r="AN112" s="32"/>
      <c r="AO112" s="32"/>
      <c r="AP112" s="31"/>
      <c r="AQ112" s="31"/>
      <c r="AR112" s="54"/>
      <c r="AS112" s="21" t="str">
        <f>IFERROR(VLOOKUP(January[[#This Row],[Drug Name4]],'Data Options'!$R$1:$S$100,2,FALSE), " ")</f>
        <v xml:space="preserve"> </v>
      </c>
      <c r="AT112" s="55"/>
      <c r="AU112" s="32"/>
      <c r="AV112" s="32"/>
      <c r="AW112" s="55"/>
      <c r="AX112" s="32"/>
      <c r="AY112" s="54"/>
      <c r="AZ112" s="21" t="str">
        <f>IFERROR(VLOOKUP(January[[#This Row],[Drug Name5]],'Data Options'!$R$1:$S$100,2,FALSE), " ")</f>
        <v xml:space="preserve"> </v>
      </c>
      <c r="BA112" s="55"/>
      <c r="BB112" s="32"/>
      <c r="BC112" s="32"/>
      <c r="BD112" s="55"/>
      <c r="BE112" s="32"/>
      <c r="BF112" s="54"/>
      <c r="BG112" s="21" t="str">
        <f>IFERROR(VLOOKUP(January[[#This Row],[Drug Name6]],'Data Options'!$R$1:$S$100,2,FALSE), " ")</f>
        <v xml:space="preserve"> </v>
      </c>
      <c r="BH112" s="55"/>
      <c r="BI112" s="32"/>
      <c r="BJ112" s="32"/>
      <c r="BK112" s="55"/>
      <c r="BL112" s="32"/>
      <c r="BM112" s="32"/>
      <c r="BN112" s="32"/>
      <c r="BO112" s="32"/>
      <c r="BP112" s="32"/>
      <c r="BQ112" s="31"/>
      <c r="BR112" s="31"/>
      <c r="BS112" s="54"/>
      <c r="BT112" s="21" t="str">
        <f>IFERROR(VLOOKUP(January[[#This Row],[Drug Name7]],'Data Options'!$R$1:$S$100,2,FALSE), " ")</f>
        <v xml:space="preserve"> </v>
      </c>
      <c r="BU112" s="55"/>
      <c r="BV112" s="32"/>
      <c r="BW112" s="32"/>
      <c r="BX112" s="55"/>
      <c r="BY112" s="32"/>
      <c r="BZ112" s="54"/>
      <c r="CA112" s="21" t="str">
        <f>IFERROR(VLOOKUP(January[[#This Row],[Drug Name8]],'Data Options'!$R$1:$S$100,2,FALSE), " ")</f>
        <v xml:space="preserve"> </v>
      </c>
      <c r="CB112" s="55"/>
      <c r="CC112" s="32"/>
      <c r="CD112" s="32"/>
      <c r="CE112" s="55"/>
      <c r="CF112" s="32"/>
      <c r="CG112" s="54"/>
      <c r="CH112" s="21" t="str">
        <f>IFERROR(VLOOKUP(January[[#This Row],[Drug Name9]],'Data Options'!$R$1:$S$100,2,FALSE), " ")</f>
        <v xml:space="preserve"> </v>
      </c>
      <c r="CI112" s="55"/>
      <c r="CJ112" s="32"/>
      <c r="CK112" s="32"/>
      <c r="CL112" s="55"/>
      <c r="CM112" s="32"/>
    </row>
    <row r="113" spans="1:91">
      <c r="A113" s="5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1"/>
      <c r="P113" s="31"/>
      <c r="Q113" s="54"/>
      <c r="R113" s="21" t="str">
        <f>IFERROR(VLOOKUP(January[[#This Row],[Drug Name]],'Data Options'!$R$1:$S$100,2,FALSE), " ")</f>
        <v xml:space="preserve"> </v>
      </c>
      <c r="S113" s="55"/>
      <c r="T113" s="32"/>
      <c r="U113" s="32"/>
      <c r="V113" s="55"/>
      <c r="W113" s="32"/>
      <c r="X113" s="54"/>
      <c r="Y113" s="21" t="str">
        <f>IFERROR(VLOOKUP(January[[#This Row],[Drug Name2]],'Data Options'!$R$1:$S$100,2,FALSE), " ")</f>
        <v xml:space="preserve"> </v>
      </c>
      <c r="Z113" s="55"/>
      <c r="AA113" s="32"/>
      <c r="AB113" s="32"/>
      <c r="AC113" s="55"/>
      <c r="AD113" s="32"/>
      <c r="AE113" s="54"/>
      <c r="AF113" s="21" t="str">
        <f>IFERROR(VLOOKUP(January[[#This Row],[Drug Name3]],'Data Options'!$R$1:$S$100,2,FALSE), " ")</f>
        <v xml:space="preserve"> </v>
      </c>
      <c r="AG113" s="55"/>
      <c r="AH113" s="32"/>
      <c r="AI113" s="32"/>
      <c r="AJ113" s="55"/>
      <c r="AK113" s="32"/>
      <c r="AL113" s="32"/>
      <c r="AM113" s="32"/>
      <c r="AN113" s="32"/>
      <c r="AO113" s="32"/>
      <c r="AP113" s="31"/>
      <c r="AQ113" s="31"/>
      <c r="AR113" s="54"/>
      <c r="AS113" s="21" t="str">
        <f>IFERROR(VLOOKUP(January[[#This Row],[Drug Name4]],'Data Options'!$R$1:$S$100,2,FALSE), " ")</f>
        <v xml:space="preserve"> </v>
      </c>
      <c r="AT113" s="55"/>
      <c r="AU113" s="32"/>
      <c r="AV113" s="32"/>
      <c r="AW113" s="55"/>
      <c r="AX113" s="32"/>
      <c r="AY113" s="54"/>
      <c r="AZ113" s="21" t="str">
        <f>IFERROR(VLOOKUP(January[[#This Row],[Drug Name5]],'Data Options'!$R$1:$S$100,2,FALSE), " ")</f>
        <v xml:space="preserve"> </v>
      </c>
      <c r="BA113" s="55"/>
      <c r="BB113" s="32"/>
      <c r="BC113" s="32"/>
      <c r="BD113" s="55"/>
      <c r="BE113" s="32"/>
      <c r="BF113" s="54"/>
      <c r="BG113" s="21" t="str">
        <f>IFERROR(VLOOKUP(January[[#This Row],[Drug Name6]],'Data Options'!$R$1:$S$100,2,FALSE), " ")</f>
        <v xml:space="preserve"> </v>
      </c>
      <c r="BH113" s="55"/>
      <c r="BI113" s="32"/>
      <c r="BJ113" s="32"/>
      <c r="BK113" s="55"/>
      <c r="BL113" s="32"/>
      <c r="BM113" s="32"/>
      <c r="BN113" s="32"/>
      <c r="BO113" s="32"/>
      <c r="BP113" s="32"/>
      <c r="BQ113" s="31"/>
      <c r="BR113" s="31"/>
      <c r="BS113" s="54"/>
      <c r="BT113" s="21" t="str">
        <f>IFERROR(VLOOKUP(January[[#This Row],[Drug Name7]],'Data Options'!$R$1:$S$100,2,FALSE), " ")</f>
        <v xml:space="preserve"> </v>
      </c>
      <c r="BU113" s="55"/>
      <c r="BV113" s="32"/>
      <c r="BW113" s="32"/>
      <c r="BX113" s="55"/>
      <c r="BY113" s="32"/>
      <c r="BZ113" s="54"/>
      <c r="CA113" s="21" t="str">
        <f>IFERROR(VLOOKUP(January[[#This Row],[Drug Name8]],'Data Options'!$R$1:$S$100,2,FALSE), " ")</f>
        <v xml:space="preserve"> </v>
      </c>
      <c r="CB113" s="55"/>
      <c r="CC113" s="32"/>
      <c r="CD113" s="32"/>
      <c r="CE113" s="55"/>
      <c r="CF113" s="32"/>
      <c r="CG113" s="54"/>
      <c r="CH113" s="21" t="str">
        <f>IFERROR(VLOOKUP(January[[#This Row],[Drug Name9]],'Data Options'!$R$1:$S$100,2,FALSE), " ")</f>
        <v xml:space="preserve"> </v>
      </c>
      <c r="CI113" s="55"/>
      <c r="CJ113" s="32"/>
      <c r="CK113" s="32"/>
      <c r="CL113" s="55"/>
      <c r="CM113" s="32"/>
    </row>
    <row r="114" spans="1:91">
      <c r="A114" s="5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1"/>
      <c r="P114" s="31"/>
      <c r="Q114" s="54"/>
      <c r="R114" s="21" t="str">
        <f>IFERROR(VLOOKUP(January[[#This Row],[Drug Name]],'Data Options'!$R$1:$S$100,2,FALSE), " ")</f>
        <v xml:space="preserve"> </v>
      </c>
      <c r="S114" s="55"/>
      <c r="T114" s="32"/>
      <c r="U114" s="32"/>
      <c r="V114" s="55"/>
      <c r="W114" s="32"/>
      <c r="X114" s="54"/>
      <c r="Y114" s="21" t="str">
        <f>IFERROR(VLOOKUP(January[[#This Row],[Drug Name2]],'Data Options'!$R$1:$S$100,2,FALSE), " ")</f>
        <v xml:space="preserve"> </v>
      </c>
      <c r="Z114" s="55"/>
      <c r="AA114" s="32"/>
      <c r="AB114" s="32"/>
      <c r="AC114" s="55"/>
      <c r="AD114" s="32"/>
      <c r="AE114" s="54"/>
      <c r="AF114" s="21" t="str">
        <f>IFERROR(VLOOKUP(January[[#This Row],[Drug Name3]],'Data Options'!$R$1:$S$100,2,FALSE), " ")</f>
        <v xml:space="preserve"> </v>
      </c>
      <c r="AG114" s="55"/>
      <c r="AH114" s="32"/>
      <c r="AI114" s="32"/>
      <c r="AJ114" s="55"/>
      <c r="AK114" s="32"/>
      <c r="AL114" s="32"/>
      <c r="AM114" s="32"/>
      <c r="AN114" s="32"/>
      <c r="AO114" s="32"/>
      <c r="AP114" s="31"/>
      <c r="AQ114" s="31"/>
      <c r="AR114" s="54"/>
      <c r="AS114" s="21" t="str">
        <f>IFERROR(VLOOKUP(January[[#This Row],[Drug Name4]],'Data Options'!$R$1:$S$100,2,FALSE), " ")</f>
        <v xml:space="preserve"> </v>
      </c>
      <c r="AT114" s="55"/>
      <c r="AU114" s="32"/>
      <c r="AV114" s="32"/>
      <c r="AW114" s="55"/>
      <c r="AX114" s="32"/>
      <c r="AY114" s="54"/>
      <c r="AZ114" s="21" t="str">
        <f>IFERROR(VLOOKUP(January[[#This Row],[Drug Name5]],'Data Options'!$R$1:$S$100,2,FALSE), " ")</f>
        <v xml:space="preserve"> </v>
      </c>
      <c r="BA114" s="55"/>
      <c r="BB114" s="32"/>
      <c r="BC114" s="32"/>
      <c r="BD114" s="55"/>
      <c r="BE114" s="32"/>
      <c r="BF114" s="54"/>
      <c r="BG114" s="21" t="str">
        <f>IFERROR(VLOOKUP(January[[#This Row],[Drug Name6]],'Data Options'!$R$1:$S$100,2,FALSE), " ")</f>
        <v xml:space="preserve"> </v>
      </c>
      <c r="BH114" s="55"/>
      <c r="BI114" s="32"/>
      <c r="BJ114" s="32"/>
      <c r="BK114" s="55"/>
      <c r="BL114" s="32"/>
      <c r="BM114" s="32"/>
      <c r="BN114" s="32"/>
      <c r="BO114" s="32"/>
      <c r="BP114" s="32"/>
      <c r="BQ114" s="31"/>
      <c r="BR114" s="31"/>
      <c r="BS114" s="54"/>
      <c r="BT114" s="21" t="str">
        <f>IFERROR(VLOOKUP(January[[#This Row],[Drug Name7]],'Data Options'!$R$1:$S$100,2,FALSE), " ")</f>
        <v xml:space="preserve"> </v>
      </c>
      <c r="BU114" s="55"/>
      <c r="BV114" s="32"/>
      <c r="BW114" s="32"/>
      <c r="BX114" s="55"/>
      <c r="BY114" s="32"/>
      <c r="BZ114" s="54"/>
      <c r="CA114" s="21" t="str">
        <f>IFERROR(VLOOKUP(January[[#This Row],[Drug Name8]],'Data Options'!$R$1:$S$100,2,FALSE), " ")</f>
        <v xml:space="preserve"> </v>
      </c>
      <c r="CB114" s="55"/>
      <c r="CC114" s="32"/>
      <c r="CD114" s="32"/>
      <c r="CE114" s="55"/>
      <c r="CF114" s="32"/>
      <c r="CG114" s="54"/>
      <c r="CH114" s="21" t="str">
        <f>IFERROR(VLOOKUP(January[[#This Row],[Drug Name9]],'Data Options'!$R$1:$S$100,2,FALSE), " ")</f>
        <v xml:space="preserve"> </v>
      </c>
      <c r="CI114" s="55"/>
      <c r="CJ114" s="32"/>
      <c r="CK114" s="32"/>
      <c r="CL114" s="55"/>
      <c r="CM114" s="32"/>
    </row>
    <row r="115" spans="1:91">
      <c r="A115" s="5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1"/>
      <c r="P115" s="31"/>
      <c r="Q115" s="54"/>
      <c r="R115" s="21" t="str">
        <f>IFERROR(VLOOKUP(January[[#This Row],[Drug Name]],'Data Options'!$R$1:$S$100,2,FALSE), " ")</f>
        <v xml:space="preserve"> </v>
      </c>
      <c r="S115" s="55"/>
      <c r="T115" s="32"/>
      <c r="U115" s="32"/>
      <c r="V115" s="55"/>
      <c r="W115" s="32"/>
      <c r="X115" s="54"/>
      <c r="Y115" s="21" t="str">
        <f>IFERROR(VLOOKUP(January[[#This Row],[Drug Name2]],'Data Options'!$R$1:$S$100,2,FALSE), " ")</f>
        <v xml:space="preserve"> </v>
      </c>
      <c r="Z115" s="55"/>
      <c r="AA115" s="32"/>
      <c r="AB115" s="32"/>
      <c r="AC115" s="55"/>
      <c r="AD115" s="32"/>
      <c r="AE115" s="54"/>
      <c r="AF115" s="21" t="str">
        <f>IFERROR(VLOOKUP(January[[#This Row],[Drug Name3]],'Data Options'!$R$1:$S$100,2,FALSE), " ")</f>
        <v xml:space="preserve"> </v>
      </c>
      <c r="AG115" s="55"/>
      <c r="AH115" s="32"/>
      <c r="AI115" s="32"/>
      <c r="AJ115" s="55"/>
      <c r="AK115" s="32"/>
      <c r="AL115" s="32"/>
      <c r="AM115" s="32"/>
      <c r="AN115" s="32"/>
      <c r="AO115" s="32"/>
      <c r="AP115" s="31"/>
      <c r="AQ115" s="31"/>
      <c r="AR115" s="54"/>
      <c r="AS115" s="21" t="str">
        <f>IFERROR(VLOOKUP(January[[#This Row],[Drug Name4]],'Data Options'!$R$1:$S$100,2,FALSE), " ")</f>
        <v xml:space="preserve"> </v>
      </c>
      <c r="AT115" s="55"/>
      <c r="AU115" s="32"/>
      <c r="AV115" s="32"/>
      <c r="AW115" s="55"/>
      <c r="AX115" s="32"/>
      <c r="AY115" s="54"/>
      <c r="AZ115" s="21" t="str">
        <f>IFERROR(VLOOKUP(January[[#This Row],[Drug Name5]],'Data Options'!$R$1:$S$100,2,FALSE), " ")</f>
        <v xml:space="preserve"> </v>
      </c>
      <c r="BA115" s="55"/>
      <c r="BB115" s="32"/>
      <c r="BC115" s="32"/>
      <c r="BD115" s="55"/>
      <c r="BE115" s="32"/>
      <c r="BF115" s="54"/>
      <c r="BG115" s="21" t="str">
        <f>IFERROR(VLOOKUP(January[[#This Row],[Drug Name6]],'Data Options'!$R$1:$S$100,2,FALSE), " ")</f>
        <v xml:space="preserve"> </v>
      </c>
      <c r="BH115" s="55"/>
      <c r="BI115" s="32"/>
      <c r="BJ115" s="32"/>
      <c r="BK115" s="55"/>
      <c r="BL115" s="32"/>
      <c r="BM115" s="32"/>
      <c r="BN115" s="32"/>
      <c r="BO115" s="32"/>
      <c r="BP115" s="32"/>
      <c r="BQ115" s="31"/>
      <c r="BR115" s="31"/>
      <c r="BS115" s="54"/>
      <c r="BT115" s="21" t="str">
        <f>IFERROR(VLOOKUP(January[[#This Row],[Drug Name7]],'Data Options'!$R$1:$S$100,2,FALSE), " ")</f>
        <v xml:space="preserve"> </v>
      </c>
      <c r="BU115" s="55"/>
      <c r="BV115" s="32"/>
      <c r="BW115" s="32"/>
      <c r="BX115" s="55"/>
      <c r="BY115" s="32"/>
      <c r="BZ115" s="54"/>
      <c r="CA115" s="21" t="str">
        <f>IFERROR(VLOOKUP(January[[#This Row],[Drug Name8]],'Data Options'!$R$1:$S$100,2,FALSE), " ")</f>
        <v xml:space="preserve"> </v>
      </c>
      <c r="CB115" s="55"/>
      <c r="CC115" s="32"/>
      <c r="CD115" s="32"/>
      <c r="CE115" s="55"/>
      <c r="CF115" s="32"/>
      <c r="CG115" s="54"/>
      <c r="CH115" s="21" t="str">
        <f>IFERROR(VLOOKUP(January[[#This Row],[Drug Name9]],'Data Options'!$R$1:$S$100,2,FALSE), " ")</f>
        <v xml:space="preserve"> </v>
      </c>
      <c r="CI115" s="55"/>
      <c r="CJ115" s="32"/>
      <c r="CK115" s="32"/>
      <c r="CL115" s="55"/>
      <c r="CM115" s="32"/>
    </row>
    <row r="116" spans="1:91">
      <c r="A116" s="5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1"/>
      <c r="P116" s="31"/>
      <c r="Q116" s="54"/>
      <c r="R116" s="21" t="str">
        <f>IFERROR(VLOOKUP(January[[#This Row],[Drug Name]],'Data Options'!$R$1:$S$100,2,FALSE), " ")</f>
        <v xml:space="preserve"> </v>
      </c>
      <c r="S116" s="55"/>
      <c r="T116" s="32"/>
      <c r="U116" s="32"/>
      <c r="V116" s="55"/>
      <c r="W116" s="32"/>
      <c r="X116" s="54"/>
      <c r="Y116" s="21" t="str">
        <f>IFERROR(VLOOKUP(January[[#This Row],[Drug Name2]],'Data Options'!$R$1:$S$100,2,FALSE), " ")</f>
        <v xml:space="preserve"> </v>
      </c>
      <c r="Z116" s="55"/>
      <c r="AA116" s="32"/>
      <c r="AB116" s="32"/>
      <c r="AC116" s="55"/>
      <c r="AD116" s="32"/>
      <c r="AE116" s="54"/>
      <c r="AF116" s="21" t="str">
        <f>IFERROR(VLOOKUP(January[[#This Row],[Drug Name3]],'Data Options'!$R$1:$S$100,2,FALSE), " ")</f>
        <v xml:space="preserve"> </v>
      </c>
      <c r="AG116" s="55"/>
      <c r="AH116" s="32"/>
      <c r="AI116" s="32"/>
      <c r="AJ116" s="55"/>
      <c r="AK116" s="32"/>
      <c r="AL116" s="32"/>
      <c r="AM116" s="32"/>
      <c r="AN116" s="32"/>
      <c r="AO116" s="32"/>
      <c r="AP116" s="31"/>
      <c r="AQ116" s="31"/>
      <c r="AR116" s="54"/>
      <c r="AS116" s="21" t="str">
        <f>IFERROR(VLOOKUP(January[[#This Row],[Drug Name4]],'Data Options'!$R$1:$S$100,2,FALSE), " ")</f>
        <v xml:space="preserve"> </v>
      </c>
      <c r="AT116" s="55"/>
      <c r="AU116" s="32"/>
      <c r="AV116" s="32"/>
      <c r="AW116" s="55"/>
      <c r="AX116" s="32"/>
      <c r="AY116" s="54"/>
      <c r="AZ116" s="21" t="str">
        <f>IFERROR(VLOOKUP(January[[#This Row],[Drug Name5]],'Data Options'!$R$1:$S$100,2,FALSE), " ")</f>
        <v xml:space="preserve"> </v>
      </c>
      <c r="BA116" s="55"/>
      <c r="BB116" s="32"/>
      <c r="BC116" s="32"/>
      <c r="BD116" s="55"/>
      <c r="BE116" s="32"/>
      <c r="BF116" s="54"/>
      <c r="BG116" s="21" t="str">
        <f>IFERROR(VLOOKUP(January[[#This Row],[Drug Name6]],'Data Options'!$R$1:$S$100,2,FALSE), " ")</f>
        <v xml:space="preserve"> </v>
      </c>
      <c r="BH116" s="55"/>
      <c r="BI116" s="32"/>
      <c r="BJ116" s="32"/>
      <c r="BK116" s="55"/>
      <c r="BL116" s="32"/>
      <c r="BM116" s="32"/>
      <c r="BN116" s="32"/>
      <c r="BO116" s="32"/>
      <c r="BP116" s="32"/>
      <c r="BQ116" s="31"/>
      <c r="BR116" s="31"/>
      <c r="BS116" s="54"/>
      <c r="BT116" s="21" t="str">
        <f>IFERROR(VLOOKUP(January[[#This Row],[Drug Name7]],'Data Options'!$R$1:$S$100,2,FALSE), " ")</f>
        <v xml:space="preserve"> </v>
      </c>
      <c r="BU116" s="55"/>
      <c r="BV116" s="32"/>
      <c r="BW116" s="32"/>
      <c r="BX116" s="55"/>
      <c r="BY116" s="32"/>
      <c r="BZ116" s="54"/>
      <c r="CA116" s="21" t="str">
        <f>IFERROR(VLOOKUP(January[[#This Row],[Drug Name8]],'Data Options'!$R$1:$S$100,2,FALSE), " ")</f>
        <v xml:space="preserve"> </v>
      </c>
      <c r="CB116" s="55"/>
      <c r="CC116" s="32"/>
      <c r="CD116" s="32"/>
      <c r="CE116" s="55"/>
      <c r="CF116" s="32"/>
      <c r="CG116" s="54"/>
      <c r="CH116" s="21" t="str">
        <f>IFERROR(VLOOKUP(January[[#This Row],[Drug Name9]],'Data Options'!$R$1:$S$100,2,FALSE), " ")</f>
        <v xml:space="preserve"> </v>
      </c>
      <c r="CI116" s="55"/>
      <c r="CJ116" s="32"/>
      <c r="CK116" s="32"/>
      <c r="CL116" s="55"/>
      <c r="CM116" s="32"/>
    </row>
    <row r="117" spans="1:91">
      <c r="A117" s="5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1"/>
      <c r="P117" s="31"/>
      <c r="Q117" s="54"/>
      <c r="R117" s="21" t="str">
        <f>IFERROR(VLOOKUP(January[[#This Row],[Drug Name]],'Data Options'!$R$1:$S$100,2,FALSE), " ")</f>
        <v xml:space="preserve"> </v>
      </c>
      <c r="S117" s="55"/>
      <c r="T117" s="32"/>
      <c r="U117" s="32"/>
      <c r="V117" s="55"/>
      <c r="W117" s="32"/>
      <c r="X117" s="54"/>
      <c r="Y117" s="21" t="str">
        <f>IFERROR(VLOOKUP(January[[#This Row],[Drug Name2]],'Data Options'!$R$1:$S$100,2,FALSE), " ")</f>
        <v xml:space="preserve"> </v>
      </c>
      <c r="Z117" s="55"/>
      <c r="AA117" s="32"/>
      <c r="AB117" s="32"/>
      <c r="AC117" s="55"/>
      <c r="AD117" s="32"/>
      <c r="AE117" s="54"/>
      <c r="AF117" s="21" t="str">
        <f>IFERROR(VLOOKUP(January[[#This Row],[Drug Name3]],'Data Options'!$R$1:$S$100,2,FALSE), " ")</f>
        <v xml:space="preserve"> </v>
      </c>
      <c r="AG117" s="55"/>
      <c r="AH117" s="32"/>
      <c r="AI117" s="32"/>
      <c r="AJ117" s="55"/>
      <c r="AK117" s="32"/>
      <c r="AL117" s="32"/>
      <c r="AM117" s="32"/>
      <c r="AN117" s="32"/>
      <c r="AO117" s="32"/>
      <c r="AP117" s="31"/>
      <c r="AQ117" s="31"/>
      <c r="AR117" s="54"/>
      <c r="AS117" s="21" t="str">
        <f>IFERROR(VLOOKUP(January[[#This Row],[Drug Name4]],'Data Options'!$R$1:$S$100,2,FALSE), " ")</f>
        <v xml:space="preserve"> </v>
      </c>
      <c r="AT117" s="55"/>
      <c r="AU117" s="32"/>
      <c r="AV117" s="32"/>
      <c r="AW117" s="55"/>
      <c r="AX117" s="32"/>
      <c r="AY117" s="54"/>
      <c r="AZ117" s="21" t="str">
        <f>IFERROR(VLOOKUP(January[[#This Row],[Drug Name5]],'Data Options'!$R$1:$S$100,2,FALSE), " ")</f>
        <v xml:space="preserve"> </v>
      </c>
      <c r="BA117" s="55"/>
      <c r="BB117" s="32"/>
      <c r="BC117" s="32"/>
      <c r="BD117" s="55"/>
      <c r="BE117" s="32"/>
      <c r="BF117" s="54"/>
      <c r="BG117" s="21" t="str">
        <f>IFERROR(VLOOKUP(January[[#This Row],[Drug Name6]],'Data Options'!$R$1:$S$100,2,FALSE), " ")</f>
        <v xml:space="preserve"> </v>
      </c>
      <c r="BH117" s="55"/>
      <c r="BI117" s="32"/>
      <c r="BJ117" s="32"/>
      <c r="BK117" s="55"/>
      <c r="BL117" s="32"/>
      <c r="BM117" s="32"/>
      <c r="BN117" s="32"/>
      <c r="BO117" s="32"/>
      <c r="BP117" s="32"/>
      <c r="BQ117" s="31"/>
      <c r="BR117" s="31"/>
      <c r="BS117" s="54"/>
      <c r="BT117" s="21" t="str">
        <f>IFERROR(VLOOKUP(January[[#This Row],[Drug Name7]],'Data Options'!$R$1:$S$100,2,FALSE), " ")</f>
        <v xml:space="preserve"> </v>
      </c>
      <c r="BU117" s="55"/>
      <c r="BV117" s="32"/>
      <c r="BW117" s="32"/>
      <c r="BX117" s="55"/>
      <c r="BY117" s="32"/>
      <c r="BZ117" s="54"/>
      <c r="CA117" s="21" t="str">
        <f>IFERROR(VLOOKUP(January[[#This Row],[Drug Name8]],'Data Options'!$R$1:$S$100,2,FALSE), " ")</f>
        <v xml:space="preserve"> </v>
      </c>
      <c r="CB117" s="55"/>
      <c r="CC117" s="32"/>
      <c r="CD117" s="32"/>
      <c r="CE117" s="55"/>
      <c r="CF117" s="32"/>
      <c r="CG117" s="54"/>
      <c r="CH117" s="21" t="str">
        <f>IFERROR(VLOOKUP(January[[#This Row],[Drug Name9]],'Data Options'!$R$1:$S$100,2,FALSE), " ")</f>
        <v xml:space="preserve"> </v>
      </c>
      <c r="CI117" s="55"/>
      <c r="CJ117" s="32"/>
      <c r="CK117" s="32"/>
      <c r="CL117" s="55"/>
      <c r="CM117" s="32"/>
    </row>
    <row r="118" spans="1:91">
      <c r="A118" s="5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/>
      <c r="P118" s="31"/>
      <c r="Q118" s="54"/>
      <c r="R118" s="21" t="str">
        <f>IFERROR(VLOOKUP(January[[#This Row],[Drug Name]],'Data Options'!$R$1:$S$100,2,FALSE), " ")</f>
        <v xml:space="preserve"> </v>
      </c>
      <c r="S118" s="55"/>
      <c r="T118" s="32"/>
      <c r="U118" s="32"/>
      <c r="V118" s="55"/>
      <c r="W118" s="32"/>
      <c r="X118" s="54"/>
      <c r="Y118" s="21" t="str">
        <f>IFERROR(VLOOKUP(January[[#This Row],[Drug Name2]],'Data Options'!$R$1:$S$100,2,FALSE), " ")</f>
        <v xml:space="preserve"> </v>
      </c>
      <c r="Z118" s="55"/>
      <c r="AA118" s="32"/>
      <c r="AB118" s="32"/>
      <c r="AC118" s="55"/>
      <c r="AD118" s="32"/>
      <c r="AE118" s="54"/>
      <c r="AF118" s="21" t="str">
        <f>IFERROR(VLOOKUP(January[[#This Row],[Drug Name3]],'Data Options'!$R$1:$S$100,2,FALSE), " ")</f>
        <v xml:space="preserve"> </v>
      </c>
      <c r="AG118" s="55"/>
      <c r="AH118" s="32"/>
      <c r="AI118" s="32"/>
      <c r="AJ118" s="55"/>
      <c r="AK118" s="32"/>
      <c r="AL118" s="32"/>
      <c r="AM118" s="32"/>
      <c r="AN118" s="32"/>
      <c r="AO118" s="32"/>
      <c r="AP118" s="31"/>
      <c r="AQ118" s="31"/>
      <c r="AR118" s="54"/>
      <c r="AS118" s="21" t="str">
        <f>IFERROR(VLOOKUP(January[[#This Row],[Drug Name4]],'Data Options'!$R$1:$S$100,2,FALSE), " ")</f>
        <v xml:space="preserve"> </v>
      </c>
      <c r="AT118" s="55"/>
      <c r="AU118" s="32"/>
      <c r="AV118" s="32"/>
      <c r="AW118" s="55"/>
      <c r="AX118" s="32"/>
      <c r="AY118" s="54"/>
      <c r="AZ118" s="21" t="str">
        <f>IFERROR(VLOOKUP(January[[#This Row],[Drug Name5]],'Data Options'!$R$1:$S$100,2,FALSE), " ")</f>
        <v xml:space="preserve"> </v>
      </c>
      <c r="BA118" s="55"/>
      <c r="BB118" s="32"/>
      <c r="BC118" s="32"/>
      <c r="BD118" s="55"/>
      <c r="BE118" s="32"/>
      <c r="BF118" s="54"/>
      <c r="BG118" s="21" t="str">
        <f>IFERROR(VLOOKUP(January[[#This Row],[Drug Name6]],'Data Options'!$R$1:$S$100,2,FALSE), " ")</f>
        <v xml:space="preserve"> </v>
      </c>
      <c r="BH118" s="55"/>
      <c r="BI118" s="32"/>
      <c r="BJ118" s="32"/>
      <c r="BK118" s="55"/>
      <c r="BL118" s="32"/>
      <c r="BM118" s="32"/>
      <c r="BN118" s="32"/>
      <c r="BO118" s="32"/>
      <c r="BP118" s="32"/>
      <c r="BQ118" s="31"/>
      <c r="BR118" s="31"/>
      <c r="BS118" s="54"/>
      <c r="BT118" s="21" t="str">
        <f>IFERROR(VLOOKUP(January[[#This Row],[Drug Name7]],'Data Options'!$R$1:$S$100,2,FALSE), " ")</f>
        <v xml:space="preserve"> </v>
      </c>
      <c r="BU118" s="55"/>
      <c r="BV118" s="32"/>
      <c r="BW118" s="32"/>
      <c r="BX118" s="55"/>
      <c r="BY118" s="32"/>
      <c r="BZ118" s="54"/>
      <c r="CA118" s="21" t="str">
        <f>IFERROR(VLOOKUP(January[[#This Row],[Drug Name8]],'Data Options'!$R$1:$S$100,2,FALSE), " ")</f>
        <v xml:space="preserve"> </v>
      </c>
      <c r="CB118" s="55"/>
      <c r="CC118" s="32"/>
      <c r="CD118" s="32"/>
      <c r="CE118" s="55"/>
      <c r="CF118" s="32"/>
      <c r="CG118" s="54"/>
      <c r="CH118" s="21" t="str">
        <f>IFERROR(VLOOKUP(January[[#This Row],[Drug Name9]],'Data Options'!$R$1:$S$100,2,FALSE), " ")</f>
        <v xml:space="preserve"> </v>
      </c>
      <c r="CI118" s="55"/>
      <c r="CJ118" s="32"/>
      <c r="CK118" s="32"/>
      <c r="CL118" s="55"/>
      <c r="CM118" s="32"/>
    </row>
    <row r="119" spans="1:91">
      <c r="A119" s="5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1"/>
      <c r="P119" s="31"/>
      <c r="Q119" s="54"/>
      <c r="R119" s="21" t="str">
        <f>IFERROR(VLOOKUP(January[[#This Row],[Drug Name]],'Data Options'!$R$1:$S$100,2,FALSE), " ")</f>
        <v xml:space="preserve"> </v>
      </c>
      <c r="S119" s="55"/>
      <c r="T119" s="32"/>
      <c r="U119" s="32"/>
      <c r="V119" s="55"/>
      <c r="W119" s="32"/>
      <c r="X119" s="54"/>
      <c r="Y119" s="21" t="str">
        <f>IFERROR(VLOOKUP(January[[#This Row],[Drug Name2]],'Data Options'!$R$1:$S$100,2,FALSE), " ")</f>
        <v xml:space="preserve"> </v>
      </c>
      <c r="Z119" s="55"/>
      <c r="AA119" s="32"/>
      <c r="AB119" s="32"/>
      <c r="AC119" s="55"/>
      <c r="AD119" s="32"/>
      <c r="AE119" s="54"/>
      <c r="AF119" s="21" t="str">
        <f>IFERROR(VLOOKUP(January[[#This Row],[Drug Name3]],'Data Options'!$R$1:$S$100,2,FALSE), " ")</f>
        <v xml:space="preserve"> </v>
      </c>
      <c r="AG119" s="55"/>
      <c r="AH119" s="32"/>
      <c r="AI119" s="32"/>
      <c r="AJ119" s="55"/>
      <c r="AK119" s="32"/>
      <c r="AL119" s="32"/>
      <c r="AM119" s="32"/>
      <c r="AN119" s="32"/>
      <c r="AO119" s="32"/>
      <c r="AP119" s="31"/>
      <c r="AQ119" s="31"/>
      <c r="AR119" s="54"/>
      <c r="AS119" s="21" t="str">
        <f>IFERROR(VLOOKUP(January[[#This Row],[Drug Name4]],'Data Options'!$R$1:$S$100,2,FALSE), " ")</f>
        <v xml:space="preserve"> </v>
      </c>
      <c r="AT119" s="55"/>
      <c r="AU119" s="32"/>
      <c r="AV119" s="32"/>
      <c r="AW119" s="55"/>
      <c r="AX119" s="32"/>
      <c r="AY119" s="54"/>
      <c r="AZ119" s="21" t="str">
        <f>IFERROR(VLOOKUP(January[[#This Row],[Drug Name5]],'Data Options'!$R$1:$S$100,2,FALSE), " ")</f>
        <v xml:space="preserve"> </v>
      </c>
      <c r="BA119" s="55"/>
      <c r="BB119" s="32"/>
      <c r="BC119" s="32"/>
      <c r="BD119" s="55"/>
      <c r="BE119" s="32"/>
      <c r="BF119" s="54"/>
      <c r="BG119" s="21" t="str">
        <f>IFERROR(VLOOKUP(January[[#This Row],[Drug Name6]],'Data Options'!$R$1:$S$100,2,FALSE), " ")</f>
        <v xml:space="preserve"> </v>
      </c>
      <c r="BH119" s="55"/>
      <c r="BI119" s="32"/>
      <c r="BJ119" s="32"/>
      <c r="BK119" s="55"/>
      <c r="BL119" s="32"/>
      <c r="BM119" s="32"/>
      <c r="BN119" s="32"/>
      <c r="BO119" s="32"/>
      <c r="BP119" s="32"/>
      <c r="BQ119" s="31"/>
      <c r="BR119" s="31"/>
      <c r="BS119" s="54"/>
      <c r="BT119" s="21" t="str">
        <f>IFERROR(VLOOKUP(January[[#This Row],[Drug Name7]],'Data Options'!$R$1:$S$100,2,FALSE), " ")</f>
        <v xml:space="preserve"> </v>
      </c>
      <c r="BU119" s="55"/>
      <c r="BV119" s="32"/>
      <c r="BW119" s="32"/>
      <c r="BX119" s="55"/>
      <c r="BY119" s="32"/>
      <c r="BZ119" s="54"/>
      <c r="CA119" s="21" t="str">
        <f>IFERROR(VLOOKUP(January[[#This Row],[Drug Name8]],'Data Options'!$R$1:$S$100,2,FALSE), " ")</f>
        <v xml:space="preserve"> </v>
      </c>
      <c r="CB119" s="55"/>
      <c r="CC119" s="32"/>
      <c r="CD119" s="32"/>
      <c r="CE119" s="55"/>
      <c r="CF119" s="32"/>
      <c r="CG119" s="54"/>
      <c r="CH119" s="21" t="str">
        <f>IFERROR(VLOOKUP(January[[#This Row],[Drug Name9]],'Data Options'!$R$1:$S$100,2,FALSE), " ")</f>
        <v xml:space="preserve"> </v>
      </c>
      <c r="CI119" s="55"/>
      <c r="CJ119" s="32"/>
      <c r="CK119" s="32"/>
      <c r="CL119" s="55"/>
      <c r="CM119" s="32"/>
    </row>
    <row r="120" spans="1:91">
      <c r="A120" s="5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/>
      <c r="P120" s="31"/>
      <c r="Q120" s="54"/>
      <c r="R120" s="21" t="str">
        <f>IFERROR(VLOOKUP(January[[#This Row],[Drug Name]],'Data Options'!$R$1:$S$100,2,FALSE), " ")</f>
        <v xml:space="preserve"> </v>
      </c>
      <c r="S120" s="55"/>
      <c r="T120" s="32"/>
      <c r="U120" s="32"/>
      <c r="V120" s="55"/>
      <c r="W120" s="32"/>
      <c r="X120" s="54"/>
      <c r="Y120" s="21" t="str">
        <f>IFERROR(VLOOKUP(January[[#This Row],[Drug Name2]],'Data Options'!$R$1:$S$100,2,FALSE), " ")</f>
        <v xml:space="preserve"> </v>
      </c>
      <c r="Z120" s="55"/>
      <c r="AA120" s="32"/>
      <c r="AB120" s="32"/>
      <c r="AC120" s="55"/>
      <c r="AD120" s="32"/>
      <c r="AE120" s="54"/>
      <c r="AF120" s="21" t="str">
        <f>IFERROR(VLOOKUP(January[[#This Row],[Drug Name3]],'Data Options'!$R$1:$S$100,2,FALSE), " ")</f>
        <v xml:space="preserve"> </v>
      </c>
      <c r="AG120" s="55"/>
      <c r="AH120" s="32"/>
      <c r="AI120" s="32"/>
      <c r="AJ120" s="55"/>
      <c r="AK120" s="32"/>
      <c r="AL120" s="32"/>
      <c r="AM120" s="32"/>
      <c r="AN120" s="32"/>
      <c r="AO120" s="32"/>
      <c r="AP120" s="31"/>
      <c r="AQ120" s="31"/>
      <c r="AR120" s="54"/>
      <c r="AS120" s="21" t="str">
        <f>IFERROR(VLOOKUP(January[[#This Row],[Drug Name4]],'Data Options'!$R$1:$S$100,2,FALSE), " ")</f>
        <v xml:space="preserve"> </v>
      </c>
      <c r="AT120" s="55"/>
      <c r="AU120" s="32"/>
      <c r="AV120" s="32"/>
      <c r="AW120" s="55"/>
      <c r="AX120" s="32"/>
      <c r="AY120" s="54"/>
      <c r="AZ120" s="21" t="str">
        <f>IFERROR(VLOOKUP(January[[#This Row],[Drug Name5]],'Data Options'!$R$1:$S$100,2,FALSE), " ")</f>
        <v xml:space="preserve"> </v>
      </c>
      <c r="BA120" s="55"/>
      <c r="BB120" s="32"/>
      <c r="BC120" s="32"/>
      <c r="BD120" s="55"/>
      <c r="BE120" s="32"/>
      <c r="BF120" s="54"/>
      <c r="BG120" s="21" t="str">
        <f>IFERROR(VLOOKUP(January[[#This Row],[Drug Name6]],'Data Options'!$R$1:$S$100,2,FALSE), " ")</f>
        <v xml:space="preserve"> </v>
      </c>
      <c r="BH120" s="55"/>
      <c r="BI120" s="32"/>
      <c r="BJ120" s="32"/>
      <c r="BK120" s="55"/>
      <c r="BL120" s="32"/>
      <c r="BM120" s="32"/>
      <c r="BN120" s="32"/>
      <c r="BO120" s="32"/>
      <c r="BP120" s="32"/>
      <c r="BQ120" s="31"/>
      <c r="BR120" s="31"/>
      <c r="BS120" s="54"/>
      <c r="BT120" s="21" t="str">
        <f>IFERROR(VLOOKUP(January[[#This Row],[Drug Name7]],'Data Options'!$R$1:$S$100,2,FALSE), " ")</f>
        <v xml:space="preserve"> </v>
      </c>
      <c r="BU120" s="55"/>
      <c r="BV120" s="32"/>
      <c r="BW120" s="32"/>
      <c r="BX120" s="55"/>
      <c r="BY120" s="32"/>
      <c r="BZ120" s="54"/>
      <c r="CA120" s="21" t="str">
        <f>IFERROR(VLOOKUP(January[[#This Row],[Drug Name8]],'Data Options'!$R$1:$S$100,2,FALSE), " ")</f>
        <v xml:space="preserve"> </v>
      </c>
      <c r="CB120" s="55"/>
      <c r="CC120" s="32"/>
      <c r="CD120" s="32"/>
      <c r="CE120" s="55"/>
      <c r="CF120" s="32"/>
      <c r="CG120" s="54"/>
      <c r="CH120" s="21" t="str">
        <f>IFERROR(VLOOKUP(January[[#This Row],[Drug Name9]],'Data Options'!$R$1:$S$100,2,FALSE), " ")</f>
        <v xml:space="preserve"> </v>
      </c>
      <c r="CI120" s="55"/>
      <c r="CJ120" s="32"/>
      <c r="CK120" s="32"/>
      <c r="CL120" s="55"/>
      <c r="CM120" s="32"/>
    </row>
    <row r="121" spans="1:91">
      <c r="A121" s="5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1"/>
      <c r="P121" s="31"/>
      <c r="Q121" s="54"/>
      <c r="R121" s="21" t="str">
        <f>IFERROR(VLOOKUP(January[[#This Row],[Drug Name]],'Data Options'!$R$1:$S$100,2,FALSE), " ")</f>
        <v xml:space="preserve"> </v>
      </c>
      <c r="S121" s="55"/>
      <c r="T121" s="32"/>
      <c r="U121" s="32"/>
      <c r="V121" s="55"/>
      <c r="W121" s="32"/>
      <c r="X121" s="54"/>
      <c r="Y121" s="21" t="str">
        <f>IFERROR(VLOOKUP(January[[#This Row],[Drug Name2]],'Data Options'!$R$1:$S$100,2,FALSE), " ")</f>
        <v xml:space="preserve"> </v>
      </c>
      <c r="Z121" s="55"/>
      <c r="AA121" s="32"/>
      <c r="AB121" s="32"/>
      <c r="AC121" s="55"/>
      <c r="AD121" s="32"/>
      <c r="AE121" s="54"/>
      <c r="AF121" s="21" t="str">
        <f>IFERROR(VLOOKUP(January[[#This Row],[Drug Name3]],'Data Options'!$R$1:$S$100,2,FALSE), " ")</f>
        <v xml:space="preserve"> </v>
      </c>
      <c r="AG121" s="55"/>
      <c r="AH121" s="32"/>
      <c r="AI121" s="32"/>
      <c r="AJ121" s="55"/>
      <c r="AK121" s="32"/>
      <c r="AL121" s="32"/>
      <c r="AM121" s="32"/>
      <c r="AN121" s="32"/>
      <c r="AO121" s="32"/>
      <c r="AP121" s="31"/>
      <c r="AQ121" s="31"/>
      <c r="AR121" s="54"/>
      <c r="AS121" s="21" t="str">
        <f>IFERROR(VLOOKUP(January[[#This Row],[Drug Name4]],'Data Options'!$R$1:$S$100,2,FALSE), " ")</f>
        <v xml:space="preserve"> </v>
      </c>
      <c r="AT121" s="55"/>
      <c r="AU121" s="32"/>
      <c r="AV121" s="32"/>
      <c r="AW121" s="55"/>
      <c r="AX121" s="32"/>
      <c r="AY121" s="54"/>
      <c r="AZ121" s="21" t="str">
        <f>IFERROR(VLOOKUP(January[[#This Row],[Drug Name5]],'Data Options'!$R$1:$S$100,2,FALSE), " ")</f>
        <v xml:space="preserve"> </v>
      </c>
      <c r="BA121" s="55"/>
      <c r="BB121" s="32"/>
      <c r="BC121" s="32"/>
      <c r="BD121" s="55"/>
      <c r="BE121" s="32"/>
      <c r="BF121" s="54"/>
      <c r="BG121" s="21" t="str">
        <f>IFERROR(VLOOKUP(January[[#This Row],[Drug Name6]],'Data Options'!$R$1:$S$100,2,FALSE), " ")</f>
        <v xml:space="preserve"> </v>
      </c>
      <c r="BH121" s="55"/>
      <c r="BI121" s="32"/>
      <c r="BJ121" s="32"/>
      <c r="BK121" s="55"/>
      <c r="BL121" s="32"/>
      <c r="BM121" s="32"/>
      <c r="BN121" s="32"/>
      <c r="BO121" s="32"/>
      <c r="BP121" s="32"/>
      <c r="BQ121" s="31"/>
      <c r="BR121" s="31"/>
      <c r="BS121" s="54"/>
      <c r="BT121" s="21" t="str">
        <f>IFERROR(VLOOKUP(January[[#This Row],[Drug Name7]],'Data Options'!$R$1:$S$100,2,FALSE), " ")</f>
        <v xml:space="preserve"> </v>
      </c>
      <c r="BU121" s="55"/>
      <c r="BV121" s="32"/>
      <c r="BW121" s="32"/>
      <c r="BX121" s="55"/>
      <c r="BY121" s="32"/>
      <c r="BZ121" s="54"/>
      <c r="CA121" s="21" t="str">
        <f>IFERROR(VLOOKUP(January[[#This Row],[Drug Name8]],'Data Options'!$R$1:$S$100,2,FALSE), " ")</f>
        <v xml:space="preserve"> </v>
      </c>
      <c r="CB121" s="55"/>
      <c r="CC121" s="32"/>
      <c r="CD121" s="32"/>
      <c r="CE121" s="55"/>
      <c r="CF121" s="32"/>
      <c r="CG121" s="54"/>
      <c r="CH121" s="21" t="str">
        <f>IFERROR(VLOOKUP(January[[#This Row],[Drug Name9]],'Data Options'!$R$1:$S$100,2,FALSE), " ")</f>
        <v xml:space="preserve"> </v>
      </c>
      <c r="CI121" s="55"/>
      <c r="CJ121" s="32"/>
      <c r="CK121" s="32"/>
      <c r="CL121" s="55"/>
      <c r="CM121" s="32"/>
    </row>
    <row r="122" spans="1:91">
      <c r="A122" s="5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1"/>
      <c r="P122" s="31"/>
      <c r="Q122" s="54"/>
      <c r="R122" s="21" t="str">
        <f>IFERROR(VLOOKUP(January[[#This Row],[Drug Name]],'Data Options'!$R$1:$S$100,2,FALSE), " ")</f>
        <v xml:space="preserve"> </v>
      </c>
      <c r="S122" s="55"/>
      <c r="T122" s="32"/>
      <c r="U122" s="32"/>
      <c r="V122" s="55"/>
      <c r="W122" s="32"/>
      <c r="X122" s="54"/>
      <c r="Y122" s="21" t="str">
        <f>IFERROR(VLOOKUP(January[[#This Row],[Drug Name2]],'Data Options'!$R$1:$S$100,2,FALSE), " ")</f>
        <v xml:space="preserve"> </v>
      </c>
      <c r="Z122" s="55"/>
      <c r="AA122" s="32"/>
      <c r="AB122" s="32"/>
      <c r="AC122" s="55"/>
      <c r="AD122" s="32"/>
      <c r="AE122" s="54"/>
      <c r="AF122" s="21" t="str">
        <f>IFERROR(VLOOKUP(January[[#This Row],[Drug Name3]],'Data Options'!$R$1:$S$100,2,FALSE), " ")</f>
        <v xml:space="preserve"> </v>
      </c>
      <c r="AG122" s="55"/>
      <c r="AH122" s="32"/>
      <c r="AI122" s="32"/>
      <c r="AJ122" s="55"/>
      <c r="AK122" s="32"/>
      <c r="AL122" s="32"/>
      <c r="AM122" s="32"/>
      <c r="AN122" s="32"/>
      <c r="AO122" s="32"/>
      <c r="AP122" s="31"/>
      <c r="AQ122" s="31"/>
      <c r="AR122" s="54"/>
      <c r="AS122" s="21" t="str">
        <f>IFERROR(VLOOKUP(January[[#This Row],[Drug Name4]],'Data Options'!$R$1:$S$100,2,FALSE), " ")</f>
        <v xml:space="preserve"> </v>
      </c>
      <c r="AT122" s="55"/>
      <c r="AU122" s="32"/>
      <c r="AV122" s="32"/>
      <c r="AW122" s="55"/>
      <c r="AX122" s="32"/>
      <c r="AY122" s="54"/>
      <c r="AZ122" s="21" t="str">
        <f>IFERROR(VLOOKUP(January[[#This Row],[Drug Name5]],'Data Options'!$R$1:$S$100,2,FALSE), " ")</f>
        <v xml:space="preserve"> </v>
      </c>
      <c r="BA122" s="55"/>
      <c r="BB122" s="32"/>
      <c r="BC122" s="32"/>
      <c r="BD122" s="55"/>
      <c r="BE122" s="32"/>
      <c r="BF122" s="54"/>
      <c r="BG122" s="21" t="str">
        <f>IFERROR(VLOOKUP(January[[#This Row],[Drug Name6]],'Data Options'!$R$1:$S$100,2,FALSE), " ")</f>
        <v xml:space="preserve"> </v>
      </c>
      <c r="BH122" s="55"/>
      <c r="BI122" s="32"/>
      <c r="BJ122" s="32"/>
      <c r="BK122" s="55"/>
      <c r="BL122" s="32"/>
      <c r="BM122" s="32"/>
      <c r="BN122" s="32"/>
      <c r="BO122" s="32"/>
      <c r="BP122" s="32"/>
      <c r="BQ122" s="31"/>
      <c r="BR122" s="31"/>
      <c r="BS122" s="54"/>
      <c r="BT122" s="21" t="str">
        <f>IFERROR(VLOOKUP(January[[#This Row],[Drug Name7]],'Data Options'!$R$1:$S$100,2,FALSE), " ")</f>
        <v xml:space="preserve"> </v>
      </c>
      <c r="BU122" s="55"/>
      <c r="BV122" s="32"/>
      <c r="BW122" s="32"/>
      <c r="BX122" s="55"/>
      <c r="BY122" s="32"/>
      <c r="BZ122" s="54"/>
      <c r="CA122" s="21" t="str">
        <f>IFERROR(VLOOKUP(January[[#This Row],[Drug Name8]],'Data Options'!$R$1:$S$100,2,FALSE), " ")</f>
        <v xml:space="preserve"> </v>
      </c>
      <c r="CB122" s="55"/>
      <c r="CC122" s="32"/>
      <c r="CD122" s="32"/>
      <c r="CE122" s="55"/>
      <c r="CF122" s="32"/>
      <c r="CG122" s="54"/>
      <c r="CH122" s="21" t="str">
        <f>IFERROR(VLOOKUP(January[[#This Row],[Drug Name9]],'Data Options'!$R$1:$S$100,2,FALSE), " ")</f>
        <v xml:space="preserve"> </v>
      </c>
      <c r="CI122" s="55"/>
      <c r="CJ122" s="32"/>
      <c r="CK122" s="32"/>
      <c r="CL122" s="55"/>
      <c r="CM122" s="32"/>
    </row>
    <row r="123" spans="1:91">
      <c r="A123" s="5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1"/>
      <c r="P123" s="31"/>
      <c r="Q123" s="54"/>
      <c r="R123" s="21" t="str">
        <f>IFERROR(VLOOKUP(January[[#This Row],[Drug Name]],'Data Options'!$R$1:$S$100,2,FALSE), " ")</f>
        <v xml:space="preserve"> </v>
      </c>
      <c r="S123" s="55"/>
      <c r="T123" s="32"/>
      <c r="U123" s="32"/>
      <c r="V123" s="55"/>
      <c r="W123" s="32"/>
      <c r="X123" s="54"/>
      <c r="Y123" s="21" t="str">
        <f>IFERROR(VLOOKUP(January[[#This Row],[Drug Name2]],'Data Options'!$R$1:$S$100,2,FALSE), " ")</f>
        <v xml:space="preserve"> </v>
      </c>
      <c r="Z123" s="55"/>
      <c r="AA123" s="32"/>
      <c r="AB123" s="32"/>
      <c r="AC123" s="55"/>
      <c r="AD123" s="32"/>
      <c r="AE123" s="54"/>
      <c r="AF123" s="21" t="str">
        <f>IFERROR(VLOOKUP(January[[#This Row],[Drug Name3]],'Data Options'!$R$1:$S$100,2,FALSE), " ")</f>
        <v xml:space="preserve"> </v>
      </c>
      <c r="AG123" s="55"/>
      <c r="AH123" s="32"/>
      <c r="AI123" s="32"/>
      <c r="AJ123" s="55"/>
      <c r="AK123" s="32"/>
      <c r="AL123" s="32"/>
      <c r="AM123" s="32"/>
      <c r="AN123" s="32"/>
      <c r="AO123" s="32"/>
      <c r="AP123" s="31"/>
      <c r="AQ123" s="31"/>
      <c r="AR123" s="54"/>
      <c r="AS123" s="21" t="str">
        <f>IFERROR(VLOOKUP(January[[#This Row],[Drug Name4]],'Data Options'!$R$1:$S$100,2,FALSE), " ")</f>
        <v xml:space="preserve"> </v>
      </c>
      <c r="AT123" s="55"/>
      <c r="AU123" s="32"/>
      <c r="AV123" s="32"/>
      <c r="AW123" s="55"/>
      <c r="AX123" s="32"/>
      <c r="AY123" s="54"/>
      <c r="AZ123" s="21" t="str">
        <f>IFERROR(VLOOKUP(January[[#This Row],[Drug Name5]],'Data Options'!$R$1:$S$100,2,FALSE), " ")</f>
        <v xml:space="preserve"> </v>
      </c>
      <c r="BA123" s="55"/>
      <c r="BB123" s="32"/>
      <c r="BC123" s="32"/>
      <c r="BD123" s="55"/>
      <c r="BE123" s="32"/>
      <c r="BF123" s="54"/>
      <c r="BG123" s="21" t="str">
        <f>IFERROR(VLOOKUP(January[[#This Row],[Drug Name6]],'Data Options'!$R$1:$S$100,2,FALSE), " ")</f>
        <v xml:space="preserve"> </v>
      </c>
      <c r="BH123" s="55"/>
      <c r="BI123" s="32"/>
      <c r="BJ123" s="32"/>
      <c r="BK123" s="55"/>
      <c r="BL123" s="32"/>
      <c r="BM123" s="32"/>
      <c r="BN123" s="32"/>
      <c r="BO123" s="32"/>
      <c r="BP123" s="32"/>
      <c r="BQ123" s="31"/>
      <c r="BR123" s="31"/>
      <c r="BS123" s="54"/>
      <c r="BT123" s="21" t="str">
        <f>IFERROR(VLOOKUP(January[[#This Row],[Drug Name7]],'Data Options'!$R$1:$S$100,2,FALSE), " ")</f>
        <v xml:space="preserve"> </v>
      </c>
      <c r="BU123" s="55"/>
      <c r="BV123" s="32"/>
      <c r="BW123" s="32"/>
      <c r="BX123" s="55"/>
      <c r="BY123" s="32"/>
      <c r="BZ123" s="54"/>
      <c r="CA123" s="21" t="str">
        <f>IFERROR(VLOOKUP(January[[#This Row],[Drug Name8]],'Data Options'!$R$1:$S$100,2,FALSE), " ")</f>
        <v xml:space="preserve"> </v>
      </c>
      <c r="CB123" s="55"/>
      <c r="CC123" s="32"/>
      <c r="CD123" s="32"/>
      <c r="CE123" s="55"/>
      <c r="CF123" s="32"/>
      <c r="CG123" s="54"/>
      <c r="CH123" s="21" t="str">
        <f>IFERROR(VLOOKUP(January[[#This Row],[Drug Name9]],'Data Options'!$R$1:$S$100,2,FALSE), " ")</f>
        <v xml:space="preserve"> </v>
      </c>
      <c r="CI123" s="55"/>
      <c r="CJ123" s="32"/>
      <c r="CK123" s="32"/>
      <c r="CL123" s="55"/>
      <c r="CM123" s="32"/>
    </row>
    <row r="124" spans="1:91">
      <c r="A124" s="5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1"/>
      <c r="P124" s="31"/>
      <c r="Q124" s="54"/>
      <c r="R124" s="21" t="str">
        <f>IFERROR(VLOOKUP(January[[#This Row],[Drug Name]],'Data Options'!$R$1:$S$100,2,FALSE), " ")</f>
        <v xml:space="preserve"> </v>
      </c>
      <c r="S124" s="55"/>
      <c r="T124" s="32"/>
      <c r="U124" s="32"/>
      <c r="V124" s="55"/>
      <c r="W124" s="32"/>
      <c r="X124" s="54"/>
      <c r="Y124" s="21" t="str">
        <f>IFERROR(VLOOKUP(January[[#This Row],[Drug Name2]],'Data Options'!$R$1:$S$100,2,FALSE), " ")</f>
        <v xml:space="preserve"> </v>
      </c>
      <c r="Z124" s="55"/>
      <c r="AA124" s="32"/>
      <c r="AB124" s="32"/>
      <c r="AC124" s="55"/>
      <c r="AD124" s="32"/>
      <c r="AE124" s="54"/>
      <c r="AF124" s="21" t="str">
        <f>IFERROR(VLOOKUP(January[[#This Row],[Drug Name3]],'Data Options'!$R$1:$S$100,2,FALSE), " ")</f>
        <v xml:space="preserve"> </v>
      </c>
      <c r="AG124" s="55"/>
      <c r="AH124" s="32"/>
      <c r="AI124" s="32"/>
      <c r="AJ124" s="55"/>
      <c r="AK124" s="32"/>
      <c r="AL124" s="32"/>
      <c r="AM124" s="32"/>
      <c r="AN124" s="32"/>
      <c r="AO124" s="32"/>
      <c r="AP124" s="31"/>
      <c r="AQ124" s="31"/>
      <c r="AR124" s="54"/>
      <c r="AS124" s="21" t="str">
        <f>IFERROR(VLOOKUP(January[[#This Row],[Drug Name4]],'Data Options'!$R$1:$S$100,2,FALSE), " ")</f>
        <v xml:space="preserve"> </v>
      </c>
      <c r="AT124" s="55"/>
      <c r="AU124" s="32"/>
      <c r="AV124" s="32"/>
      <c r="AW124" s="55"/>
      <c r="AX124" s="32"/>
      <c r="AY124" s="54"/>
      <c r="AZ124" s="21" t="str">
        <f>IFERROR(VLOOKUP(January[[#This Row],[Drug Name5]],'Data Options'!$R$1:$S$100,2,FALSE), " ")</f>
        <v xml:space="preserve"> </v>
      </c>
      <c r="BA124" s="55"/>
      <c r="BB124" s="32"/>
      <c r="BC124" s="32"/>
      <c r="BD124" s="55"/>
      <c r="BE124" s="32"/>
      <c r="BF124" s="54"/>
      <c r="BG124" s="21" t="str">
        <f>IFERROR(VLOOKUP(January[[#This Row],[Drug Name6]],'Data Options'!$R$1:$S$100,2,FALSE), " ")</f>
        <v xml:space="preserve"> </v>
      </c>
      <c r="BH124" s="55"/>
      <c r="BI124" s="32"/>
      <c r="BJ124" s="32"/>
      <c r="BK124" s="55"/>
      <c r="BL124" s="32"/>
      <c r="BM124" s="32"/>
      <c r="BN124" s="32"/>
      <c r="BO124" s="32"/>
      <c r="BP124" s="32"/>
      <c r="BQ124" s="31"/>
      <c r="BR124" s="31"/>
      <c r="BS124" s="54"/>
      <c r="BT124" s="21" t="str">
        <f>IFERROR(VLOOKUP(January[[#This Row],[Drug Name7]],'Data Options'!$R$1:$S$100,2,FALSE), " ")</f>
        <v xml:space="preserve"> </v>
      </c>
      <c r="BU124" s="55"/>
      <c r="BV124" s="32"/>
      <c r="BW124" s="32"/>
      <c r="BX124" s="55"/>
      <c r="BY124" s="32"/>
      <c r="BZ124" s="54"/>
      <c r="CA124" s="21" t="str">
        <f>IFERROR(VLOOKUP(January[[#This Row],[Drug Name8]],'Data Options'!$R$1:$S$100,2,FALSE), " ")</f>
        <v xml:space="preserve"> </v>
      </c>
      <c r="CB124" s="55"/>
      <c r="CC124" s="32"/>
      <c r="CD124" s="32"/>
      <c r="CE124" s="55"/>
      <c r="CF124" s="32"/>
      <c r="CG124" s="54"/>
      <c r="CH124" s="21" t="str">
        <f>IFERROR(VLOOKUP(January[[#This Row],[Drug Name9]],'Data Options'!$R$1:$S$100,2,FALSE), " ")</f>
        <v xml:space="preserve"> </v>
      </c>
      <c r="CI124" s="55"/>
      <c r="CJ124" s="32"/>
      <c r="CK124" s="32"/>
      <c r="CL124" s="55"/>
      <c r="CM124" s="32"/>
    </row>
    <row r="125" spans="1:91">
      <c r="A125" s="5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1"/>
      <c r="P125" s="31"/>
      <c r="Q125" s="54"/>
      <c r="R125" s="21" t="str">
        <f>IFERROR(VLOOKUP(January[[#This Row],[Drug Name]],'Data Options'!$R$1:$S$100,2,FALSE), " ")</f>
        <v xml:space="preserve"> </v>
      </c>
      <c r="S125" s="55"/>
      <c r="T125" s="32"/>
      <c r="U125" s="32"/>
      <c r="V125" s="55"/>
      <c r="W125" s="32"/>
      <c r="X125" s="54"/>
      <c r="Y125" s="21" t="str">
        <f>IFERROR(VLOOKUP(January[[#This Row],[Drug Name2]],'Data Options'!$R$1:$S$100,2,FALSE), " ")</f>
        <v xml:space="preserve"> </v>
      </c>
      <c r="Z125" s="55"/>
      <c r="AA125" s="32"/>
      <c r="AB125" s="32"/>
      <c r="AC125" s="55"/>
      <c r="AD125" s="32"/>
      <c r="AE125" s="54"/>
      <c r="AF125" s="21" t="str">
        <f>IFERROR(VLOOKUP(January[[#This Row],[Drug Name3]],'Data Options'!$R$1:$S$100,2,FALSE), " ")</f>
        <v xml:space="preserve"> </v>
      </c>
      <c r="AG125" s="55"/>
      <c r="AH125" s="32"/>
      <c r="AI125" s="32"/>
      <c r="AJ125" s="55"/>
      <c r="AK125" s="32"/>
      <c r="AL125" s="32"/>
      <c r="AM125" s="32"/>
      <c r="AN125" s="32"/>
      <c r="AO125" s="32"/>
      <c r="AP125" s="31"/>
      <c r="AQ125" s="31"/>
      <c r="AR125" s="54"/>
      <c r="AS125" s="21" t="str">
        <f>IFERROR(VLOOKUP(January[[#This Row],[Drug Name4]],'Data Options'!$R$1:$S$100,2,FALSE), " ")</f>
        <v xml:space="preserve"> </v>
      </c>
      <c r="AT125" s="55"/>
      <c r="AU125" s="32"/>
      <c r="AV125" s="32"/>
      <c r="AW125" s="55"/>
      <c r="AX125" s="32"/>
      <c r="AY125" s="54"/>
      <c r="AZ125" s="21" t="str">
        <f>IFERROR(VLOOKUP(January[[#This Row],[Drug Name5]],'Data Options'!$R$1:$S$100,2,FALSE), " ")</f>
        <v xml:space="preserve"> </v>
      </c>
      <c r="BA125" s="55"/>
      <c r="BB125" s="32"/>
      <c r="BC125" s="32"/>
      <c r="BD125" s="55"/>
      <c r="BE125" s="32"/>
      <c r="BF125" s="54"/>
      <c r="BG125" s="21" t="str">
        <f>IFERROR(VLOOKUP(January[[#This Row],[Drug Name6]],'Data Options'!$R$1:$S$100,2,FALSE), " ")</f>
        <v xml:space="preserve"> </v>
      </c>
      <c r="BH125" s="55"/>
      <c r="BI125" s="32"/>
      <c r="BJ125" s="32"/>
      <c r="BK125" s="55"/>
      <c r="BL125" s="32"/>
      <c r="BM125" s="32"/>
      <c r="BN125" s="32"/>
      <c r="BO125" s="32"/>
      <c r="BP125" s="32"/>
      <c r="BQ125" s="31"/>
      <c r="BR125" s="31"/>
      <c r="BS125" s="54"/>
      <c r="BT125" s="21" t="str">
        <f>IFERROR(VLOOKUP(January[[#This Row],[Drug Name7]],'Data Options'!$R$1:$S$100,2,FALSE), " ")</f>
        <v xml:space="preserve"> </v>
      </c>
      <c r="BU125" s="55"/>
      <c r="BV125" s="32"/>
      <c r="BW125" s="32"/>
      <c r="BX125" s="55"/>
      <c r="BY125" s="32"/>
      <c r="BZ125" s="54"/>
      <c r="CA125" s="21" t="str">
        <f>IFERROR(VLOOKUP(January[[#This Row],[Drug Name8]],'Data Options'!$R$1:$S$100,2,FALSE), " ")</f>
        <v xml:space="preserve"> </v>
      </c>
      <c r="CB125" s="55"/>
      <c r="CC125" s="32"/>
      <c r="CD125" s="32"/>
      <c r="CE125" s="55"/>
      <c r="CF125" s="32"/>
      <c r="CG125" s="54"/>
      <c r="CH125" s="21" t="str">
        <f>IFERROR(VLOOKUP(January[[#This Row],[Drug Name9]],'Data Options'!$R$1:$S$100,2,FALSE), " ")</f>
        <v xml:space="preserve"> </v>
      </c>
      <c r="CI125" s="55"/>
      <c r="CJ125" s="32"/>
      <c r="CK125" s="32"/>
      <c r="CL125" s="55"/>
      <c r="CM125" s="32"/>
    </row>
    <row r="126" spans="1:91">
      <c r="A126" s="5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1"/>
      <c r="P126" s="31"/>
      <c r="Q126" s="54"/>
      <c r="R126" s="21" t="str">
        <f>IFERROR(VLOOKUP(January[[#This Row],[Drug Name]],'Data Options'!$R$1:$S$100,2,FALSE), " ")</f>
        <v xml:space="preserve"> </v>
      </c>
      <c r="S126" s="55"/>
      <c r="T126" s="32"/>
      <c r="U126" s="32"/>
      <c r="V126" s="55"/>
      <c r="W126" s="32"/>
      <c r="X126" s="54"/>
      <c r="Y126" s="21" t="str">
        <f>IFERROR(VLOOKUP(January[[#This Row],[Drug Name2]],'Data Options'!$R$1:$S$100,2,FALSE), " ")</f>
        <v xml:space="preserve"> </v>
      </c>
      <c r="Z126" s="55"/>
      <c r="AA126" s="32"/>
      <c r="AB126" s="32"/>
      <c r="AC126" s="55"/>
      <c r="AD126" s="32"/>
      <c r="AE126" s="54"/>
      <c r="AF126" s="21" t="str">
        <f>IFERROR(VLOOKUP(January[[#This Row],[Drug Name3]],'Data Options'!$R$1:$S$100,2,FALSE), " ")</f>
        <v xml:space="preserve"> </v>
      </c>
      <c r="AG126" s="55"/>
      <c r="AH126" s="32"/>
      <c r="AI126" s="32"/>
      <c r="AJ126" s="55"/>
      <c r="AK126" s="32"/>
      <c r="AL126" s="32"/>
      <c r="AM126" s="32"/>
      <c r="AN126" s="32"/>
      <c r="AO126" s="32"/>
      <c r="AP126" s="31"/>
      <c r="AQ126" s="31"/>
      <c r="AR126" s="54"/>
      <c r="AS126" s="21" t="str">
        <f>IFERROR(VLOOKUP(January[[#This Row],[Drug Name4]],'Data Options'!$R$1:$S$100,2,FALSE), " ")</f>
        <v xml:space="preserve"> </v>
      </c>
      <c r="AT126" s="55"/>
      <c r="AU126" s="32"/>
      <c r="AV126" s="32"/>
      <c r="AW126" s="55"/>
      <c r="AX126" s="32"/>
      <c r="AY126" s="54"/>
      <c r="AZ126" s="21" t="str">
        <f>IFERROR(VLOOKUP(January[[#This Row],[Drug Name5]],'Data Options'!$R$1:$S$100,2,FALSE), " ")</f>
        <v xml:space="preserve"> </v>
      </c>
      <c r="BA126" s="55"/>
      <c r="BB126" s="32"/>
      <c r="BC126" s="32"/>
      <c r="BD126" s="55"/>
      <c r="BE126" s="32"/>
      <c r="BF126" s="54"/>
      <c r="BG126" s="21" t="str">
        <f>IFERROR(VLOOKUP(January[[#This Row],[Drug Name6]],'Data Options'!$R$1:$S$100,2,FALSE), " ")</f>
        <v xml:space="preserve"> </v>
      </c>
      <c r="BH126" s="55"/>
      <c r="BI126" s="32"/>
      <c r="BJ126" s="32"/>
      <c r="BK126" s="55"/>
      <c r="BL126" s="32"/>
      <c r="BM126" s="32"/>
      <c r="BN126" s="32"/>
      <c r="BO126" s="32"/>
      <c r="BP126" s="32"/>
      <c r="BQ126" s="31"/>
      <c r="BR126" s="31"/>
      <c r="BS126" s="54"/>
      <c r="BT126" s="21" t="str">
        <f>IFERROR(VLOOKUP(January[[#This Row],[Drug Name7]],'Data Options'!$R$1:$S$100,2,FALSE), " ")</f>
        <v xml:space="preserve"> </v>
      </c>
      <c r="BU126" s="55"/>
      <c r="BV126" s="32"/>
      <c r="BW126" s="32"/>
      <c r="BX126" s="55"/>
      <c r="BY126" s="32"/>
      <c r="BZ126" s="54"/>
      <c r="CA126" s="21" t="str">
        <f>IFERROR(VLOOKUP(January[[#This Row],[Drug Name8]],'Data Options'!$R$1:$S$100,2,FALSE), " ")</f>
        <v xml:space="preserve"> </v>
      </c>
      <c r="CB126" s="55"/>
      <c r="CC126" s="32"/>
      <c r="CD126" s="32"/>
      <c r="CE126" s="55"/>
      <c r="CF126" s="32"/>
      <c r="CG126" s="54"/>
      <c r="CH126" s="21" t="str">
        <f>IFERROR(VLOOKUP(January[[#This Row],[Drug Name9]],'Data Options'!$R$1:$S$100,2,FALSE), " ")</f>
        <v xml:space="preserve"> </v>
      </c>
      <c r="CI126" s="55"/>
      <c r="CJ126" s="32"/>
      <c r="CK126" s="32"/>
      <c r="CL126" s="55"/>
      <c r="CM126" s="32"/>
    </row>
    <row r="127" spans="1:91">
      <c r="A127" s="5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1"/>
      <c r="P127" s="31"/>
      <c r="Q127" s="54"/>
      <c r="R127" s="21" t="str">
        <f>IFERROR(VLOOKUP(January[[#This Row],[Drug Name]],'Data Options'!$R$1:$S$100,2,FALSE), " ")</f>
        <v xml:space="preserve"> </v>
      </c>
      <c r="S127" s="55"/>
      <c r="T127" s="32"/>
      <c r="U127" s="32"/>
      <c r="V127" s="55"/>
      <c r="W127" s="32"/>
      <c r="X127" s="54"/>
      <c r="Y127" s="21" t="str">
        <f>IFERROR(VLOOKUP(January[[#This Row],[Drug Name2]],'Data Options'!$R$1:$S$100,2,FALSE), " ")</f>
        <v xml:space="preserve"> </v>
      </c>
      <c r="Z127" s="55"/>
      <c r="AA127" s="32"/>
      <c r="AB127" s="32"/>
      <c r="AC127" s="55"/>
      <c r="AD127" s="32"/>
      <c r="AE127" s="54"/>
      <c r="AF127" s="21" t="str">
        <f>IFERROR(VLOOKUP(January[[#This Row],[Drug Name3]],'Data Options'!$R$1:$S$100,2,FALSE), " ")</f>
        <v xml:space="preserve"> </v>
      </c>
      <c r="AG127" s="55"/>
      <c r="AH127" s="32"/>
      <c r="AI127" s="32"/>
      <c r="AJ127" s="55"/>
      <c r="AK127" s="32"/>
      <c r="AL127" s="32"/>
      <c r="AM127" s="32"/>
      <c r="AN127" s="32"/>
      <c r="AO127" s="32"/>
      <c r="AP127" s="31"/>
      <c r="AQ127" s="31"/>
      <c r="AR127" s="54"/>
      <c r="AS127" s="21" t="str">
        <f>IFERROR(VLOOKUP(January[[#This Row],[Drug Name4]],'Data Options'!$R$1:$S$100,2,FALSE), " ")</f>
        <v xml:space="preserve"> </v>
      </c>
      <c r="AT127" s="55"/>
      <c r="AU127" s="32"/>
      <c r="AV127" s="32"/>
      <c r="AW127" s="55"/>
      <c r="AX127" s="32"/>
      <c r="AY127" s="54"/>
      <c r="AZ127" s="21" t="str">
        <f>IFERROR(VLOOKUP(January[[#This Row],[Drug Name5]],'Data Options'!$R$1:$S$100,2,FALSE), " ")</f>
        <v xml:space="preserve"> </v>
      </c>
      <c r="BA127" s="55"/>
      <c r="BB127" s="32"/>
      <c r="BC127" s="32"/>
      <c r="BD127" s="55"/>
      <c r="BE127" s="32"/>
      <c r="BF127" s="54"/>
      <c r="BG127" s="21" t="str">
        <f>IFERROR(VLOOKUP(January[[#This Row],[Drug Name6]],'Data Options'!$R$1:$S$100,2,FALSE), " ")</f>
        <v xml:space="preserve"> </v>
      </c>
      <c r="BH127" s="55"/>
      <c r="BI127" s="32"/>
      <c r="BJ127" s="32"/>
      <c r="BK127" s="55"/>
      <c r="BL127" s="32"/>
      <c r="BM127" s="32"/>
      <c r="BN127" s="32"/>
      <c r="BO127" s="32"/>
      <c r="BP127" s="32"/>
      <c r="BQ127" s="31"/>
      <c r="BR127" s="31"/>
      <c r="BS127" s="54"/>
      <c r="BT127" s="21" t="str">
        <f>IFERROR(VLOOKUP(January[[#This Row],[Drug Name7]],'Data Options'!$R$1:$S$100,2,FALSE), " ")</f>
        <v xml:space="preserve"> </v>
      </c>
      <c r="BU127" s="55"/>
      <c r="BV127" s="32"/>
      <c r="BW127" s="32"/>
      <c r="BX127" s="55"/>
      <c r="BY127" s="32"/>
      <c r="BZ127" s="54"/>
      <c r="CA127" s="21" t="str">
        <f>IFERROR(VLOOKUP(January[[#This Row],[Drug Name8]],'Data Options'!$R$1:$S$100,2,FALSE), " ")</f>
        <v xml:space="preserve"> </v>
      </c>
      <c r="CB127" s="55"/>
      <c r="CC127" s="32"/>
      <c r="CD127" s="32"/>
      <c r="CE127" s="55"/>
      <c r="CF127" s="32"/>
      <c r="CG127" s="54"/>
      <c r="CH127" s="21" t="str">
        <f>IFERROR(VLOOKUP(January[[#This Row],[Drug Name9]],'Data Options'!$R$1:$S$100,2,FALSE), " ")</f>
        <v xml:space="preserve"> </v>
      </c>
      <c r="CI127" s="55"/>
      <c r="CJ127" s="32"/>
      <c r="CK127" s="32"/>
      <c r="CL127" s="55"/>
      <c r="CM127" s="32"/>
    </row>
    <row r="128" spans="1:91">
      <c r="A128" s="5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1"/>
      <c r="P128" s="31"/>
      <c r="Q128" s="54"/>
      <c r="R128" s="21" t="str">
        <f>IFERROR(VLOOKUP(January[[#This Row],[Drug Name]],'Data Options'!$R$1:$S$100,2,FALSE), " ")</f>
        <v xml:space="preserve"> </v>
      </c>
      <c r="S128" s="55"/>
      <c r="T128" s="32"/>
      <c r="U128" s="32"/>
      <c r="V128" s="55"/>
      <c r="W128" s="32"/>
      <c r="X128" s="54"/>
      <c r="Y128" s="21" t="str">
        <f>IFERROR(VLOOKUP(January[[#This Row],[Drug Name2]],'Data Options'!$R$1:$S$100,2,FALSE), " ")</f>
        <v xml:space="preserve"> </v>
      </c>
      <c r="Z128" s="55"/>
      <c r="AA128" s="32"/>
      <c r="AB128" s="32"/>
      <c r="AC128" s="55"/>
      <c r="AD128" s="32"/>
      <c r="AE128" s="54"/>
      <c r="AF128" s="21" t="str">
        <f>IFERROR(VLOOKUP(January[[#This Row],[Drug Name3]],'Data Options'!$R$1:$S$100,2,FALSE), " ")</f>
        <v xml:space="preserve"> </v>
      </c>
      <c r="AG128" s="55"/>
      <c r="AH128" s="32"/>
      <c r="AI128" s="32"/>
      <c r="AJ128" s="55"/>
      <c r="AK128" s="32"/>
      <c r="AL128" s="32"/>
      <c r="AM128" s="32"/>
      <c r="AN128" s="32"/>
      <c r="AO128" s="32"/>
      <c r="AP128" s="31"/>
      <c r="AQ128" s="31"/>
      <c r="AR128" s="54"/>
      <c r="AS128" s="21" t="str">
        <f>IFERROR(VLOOKUP(January[[#This Row],[Drug Name4]],'Data Options'!$R$1:$S$100,2,FALSE), " ")</f>
        <v xml:space="preserve"> </v>
      </c>
      <c r="AT128" s="55"/>
      <c r="AU128" s="32"/>
      <c r="AV128" s="32"/>
      <c r="AW128" s="55"/>
      <c r="AX128" s="32"/>
      <c r="AY128" s="54"/>
      <c r="AZ128" s="21" t="str">
        <f>IFERROR(VLOOKUP(January[[#This Row],[Drug Name5]],'Data Options'!$R$1:$S$100,2,FALSE), " ")</f>
        <v xml:space="preserve"> </v>
      </c>
      <c r="BA128" s="55"/>
      <c r="BB128" s="32"/>
      <c r="BC128" s="32"/>
      <c r="BD128" s="55"/>
      <c r="BE128" s="32"/>
      <c r="BF128" s="54"/>
      <c r="BG128" s="21" t="str">
        <f>IFERROR(VLOOKUP(January[[#This Row],[Drug Name6]],'Data Options'!$R$1:$S$100,2,FALSE), " ")</f>
        <v xml:space="preserve"> </v>
      </c>
      <c r="BH128" s="55"/>
      <c r="BI128" s="32"/>
      <c r="BJ128" s="32"/>
      <c r="BK128" s="55"/>
      <c r="BL128" s="32"/>
      <c r="BM128" s="32"/>
      <c r="BN128" s="32"/>
      <c r="BO128" s="32"/>
      <c r="BP128" s="32"/>
      <c r="BQ128" s="31"/>
      <c r="BR128" s="31"/>
      <c r="BS128" s="54"/>
      <c r="BT128" s="21" t="str">
        <f>IFERROR(VLOOKUP(January[[#This Row],[Drug Name7]],'Data Options'!$R$1:$S$100,2,FALSE), " ")</f>
        <v xml:space="preserve"> </v>
      </c>
      <c r="BU128" s="55"/>
      <c r="BV128" s="32"/>
      <c r="BW128" s="32"/>
      <c r="BX128" s="55"/>
      <c r="BY128" s="32"/>
      <c r="BZ128" s="54"/>
      <c r="CA128" s="21" t="str">
        <f>IFERROR(VLOOKUP(January[[#This Row],[Drug Name8]],'Data Options'!$R$1:$S$100,2,FALSE), " ")</f>
        <v xml:space="preserve"> </v>
      </c>
      <c r="CB128" s="55"/>
      <c r="CC128" s="32"/>
      <c r="CD128" s="32"/>
      <c r="CE128" s="55"/>
      <c r="CF128" s="32"/>
      <c r="CG128" s="54"/>
      <c r="CH128" s="21" t="str">
        <f>IFERROR(VLOOKUP(January[[#This Row],[Drug Name9]],'Data Options'!$R$1:$S$100,2,FALSE), " ")</f>
        <v xml:space="preserve"> </v>
      </c>
      <c r="CI128" s="55"/>
      <c r="CJ128" s="32"/>
      <c r="CK128" s="32"/>
      <c r="CL128" s="55"/>
      <c r="CM128" s="32"/>
    </row>
    <row r="129" spans="1:91">
      <c r="A129" s="5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1"/>
      <c r="P129" s="31"/>
      <c r="Q129" s="54"/>
      <c r="R129" s="21" t="str">
        <f>IFERROR(VLOOKUP(January[[#This Row],[Drug Name]],'Data Options'!$R$1:$S$100,2,FALSE), " ")</f>
        <v xml:space="preserve"> </v>
      </c>
      <c r="S129" s="55"/>
      <c r="T129" s="32"/>
      <c r="U129" s="32"/>
      <c r="V129" s="55"/>
      <c r="W129" s="32"/>
      <c r="X129" s="54"/>
      <c r="Y129" s="21" t="str">
        <f>IFERROR(VLOOKUP(January[[#This Row],[Drug Name2]],'Data Options'!$R$1:$S$100,2,FALSE), " ")</f>
        <v xml:space="preserve"> </v>
      </c>
      <c r="Z129" s="55"/>
      <c r="AA129" s="32"/>
      <c r="AB129" s="32"/>
      <c r="AC129" s="55"/>
      <c r="AD129" s="32"/>
      <c r="AE129" s="54"/>
      <c r="AF129" s="21" t="str">
        <f>IFERROR(VLOOKUP(January[[#This Row],[Drug Name3]],'Data Options'!$R$1:$S$100,2,FALSE), " ")</f>
        <v xml:space="preserve"> </v>
      </c>
      <c r="AG129" s="55"/>
      <c r="AH129" s="32"/>
      <c r="AI129" s="32"/>
      <c r="AJ129" s="55"/>
      <c r="AK129" s="32"/>
      <c r="AL129" s="32"/>
      <c r="AM129" s="32"/>
      <c r="AN129" s="32"/>
      <c r="AO129" s="32"/>
      <c r="AP129" s="31"/>
      <c r="AQ129" s="31"/>
      <c r="AR129" s="54"/>
      <c r="AS129" s="21" t="str">
        <f>IFERROR(VLOOKUP(January[[#This Row],[Drug Name4]],'Data Options'!$R$1:$S$100,2,FALSE), " ")</f>
        <v xml:space="preserve"> </v>
      </c>
      <c r="AT129" s="55"/>
      <c r="AU129" s="32"/>
      <c r="AV129" s="32"/>
      <c r="AW129" s="55"/>
      <c r="AX129" s="32"/>
      <c r="AY129" s="54"/>
      <c r="AZ129" s="21" t="str">
        <f>IFERROR(VLOOKUP(January[[#This Row],[Drug Name5]],'Data Options'!$R$1:$S$100,2,FALSE), " ")</f>
        <v xml:space="preserve"> </v>
      </c>
      <c r="BA129" s="55"/>
      <c r="BB129" s="32"/>
      <c r="BC129" s="32"/>
      <c r="BD129" s="55"/>
      <c r="BE129" s="32"/>
      <c r="BF129" s="54"/>
      <c r="BG129" s="21" t="str">
        <f>IFERROR(VLOOKUP(January[[#This Row],[Drug Name6]],'Data Options'!$R$1:$S$100,2,FALSE), " ")</f>
        <v xml:space="preserve"> </v>
      </c>
      <c r="BH129" s="55"/>
      <c r="BI129" s="32"/>
      <c r="BJ129" s="32"/>
      <c r="BK129" s="55"/>
      <c r="BL129" s="32"/>
      <c r="BM129" s="32"/>
      <c r="BN129" s="32"/>
      <c r="BO129" s="32"/>
      <c r="BP129" s="32"/>
      <c r="BQ129" s="31"/>
      <c r="BR129" s="31"/>
      <c r="BS129" s="54"/>
      <c r="BT129" s="21" t="str">
        <f>IFERROR(VLOOKUP(January[[#This Row],[Drug Name7]],'Data Options'!$R$1:$S$100,2,FALSE), " ")</f>
        <v xml:space="preserve"> </v>
      </c>
      <c r="BU129" s="55"/>
      <c r="BV129" s="32"/>
      <c r="BW129" s="32"/>
      <c r="BX129" s="55"/>
      <c r="BY129" s="32"/>
      <c r="BZ129" s="54"/>
      <c r="CA129" s="21" t="str">
        <f>IFERROR(VLOOKUP(January[[#This Row],[Drug Name8]],'Data Options'!$R$1:$S$100,2,FALSE), " ")</f>
        <v xml:space="preserve"> </v>
      </c>
      <c r="CB129" s="55"/>
      <c r="CC129" s="32"/>
      <c r="CD129" s="32"/>
      <c r="CE129" s="55"/>
      <c r="CF129" s="32"/>
      <c r="CG129" s="54"/>
      <c r="CH129" s="21" t="str">
        <f>IFERROR(VLOOKUP(January[[#This Row],[Drug Name9]],'Data Options'!$R$1:$S$100,2,FALSE), " ")</f>
        <v xml:space="preserve"> </v>
      </c>
      <c r="CI129" s="55"/>
      <c r="CJ129" s="32"/>
      <c r="CK129" s="32"/>
      <c r="CL129" s="55"/>
      <c r="CM129" s="32"/>
    </row>
    <row r="130" spans="1:91">
      <c r="A130" s="5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1"/>
      <c r="P130" s="31"/>
      <c r="Q130" s="54"/>
      <c r="R130" s="21" t="str">
        <f>IFERROR(VLOOKUP(January[[#This Row],[Drug Name]],'Data Options'!$R$1:$S$100,2,FALSE), " ")</f>
        <v xml:space="preserve"> </v>
      </c>
      <c r="S130" s="55"/>
      <c r="T130" s="32"/>
      <c r="U130" s="32"/>
      <c r="V130" s="55"/>
      <c r="W130" s="32"/>
      <c r="X130" s="54"/>
      <c r="Y130" s="21" t="str">
        <f>IFERROR(VLOOKUP(January[[#This Row],[Drug Name2]],'Data Options'!$R$1:$S$100,2,FALSE), " ")</f>
        <v xml:space="preserve"> </v>
      </c>
      <c r="Z130" s="55"/>
      <c r="AA130" s="32"/>
      <c r="AB130" s="32"/>
      <c r="AC130" s="55"/>
      <c r="AD130" s="32"/>
      <c r="AE130" s="54"/>
      <c r="AF130" s="21" t="str">
        <f>IFERROR(VLOOKUP(January[[#This Row],[Drug Name3]],'Data Options'!$R$1:$S$100,2,FALSE), " ")</f>
        <v xml:space="preserve"> </v>
      </c>
      <c r="AG130" s="55"/>
      <c r="AH130" s="32"/>
      <c r="AI130" s="32"/>
      <c r="AJ130" s="55"/>
      <c r="AK130" s="32"/>
      <c r="AL130" s="32"/>
      <c r="AM130" s="32"/>
      <c r="AN130" s="32"/>
      <c r="AO130" s="32"/>
      <c r="AP130" s="31"/>
      <c r="AQ130" s="31"/>
      <c r="AR130" s="54"/>
      <c r="AS130" s="21" t="str">
        <f>IFERROR(VLOOKUP(January[[#This Row],[Drug Name4]],'Data Options'!$R$1:$S$100,2,FALSE), " ")</f>
        <v xml:space="preserve"> </v>
      </c>
      <c r="AT130" s="55"/>
      <c r="AU130" s="32"/>
      <c r="AV130" s="32"/>
      <c r="AW130" s="55"/>
      <c r="AX130" s="32"/>
      <c r="AY130" s="54"/>
      <c r="AZ130" s="21" t="str">
        <f>IFERROR(VLOOKUP(January[[#This Row],[Drug Name5]],'Data Options'!$R$1:$S$100,2,FALSE), " ")</f>
        <v xml:space="preserve"> </v>
      </c>
      <c r="BA130" s="55"/>
      <c r="BB130" s="32"/>
      <c r="BC130" s="32"/>
      <c r="BD130" s="55"/>
      <c r="BE130" s="32"/>
      <c r="BF130" s="54"/>
      <c r="BG130" s="21" t="str">
        <f>IFERROR(VLOOKUP(January[[#This Row],[Drug Name6]],'Data Options'!$R$1:$S$100,2,FALSE), " ")</f>
        <v xml:space="preserve"> </v>
      </c>
      <c r="BH130" s="55"/>
      <c r="BI130" s="32"/>
      <c r="BJ130" s="32"/>
      <c r="BK130" s="55"/>
      <c r="BL130" s="32"/>
      <c r="BM130" s="32"/>
      <c r="BN130" s="32"/>
      <c r="BO130" s="32"/>
      <c r="BP130" s="32"/>
      <c r="BQ130" s="31"/>
      <c r="BR130" s="31"/>
      <c r="BS130" s="54"/>
      <c r="BT130" s="21" t="str">
        <f>IFERROR(VLOOKUP(January[[#This Row],[Drug Name7]],'Data Options'!$R$1:$S$100,2,FALSE), " ")</f>
        <v xml:space="preserve"> </v>
      </c>
      <c r="BU130" s="55"/>
      <c r="BV130" s="32"/>
      <c r="BW130" s="32"/>
      <c r="BX130" s="55"/>
      <c r="BY130" s="32"/>
      <c r="BZ130" s="54"/>
      <c r="CA130" s="21" t="str">
        <f>IFERROR(VLOOKUP(January[[#This Row],[Drug Name8]],'Data Options'!$R$1:$S$100,2,FALSE), " ")</f>
        <v xml:space="preserve"> </v>
      </c>
      <c r="CB130" s="55"/>
      <c r="CC130" s="32"/>
      <c r="CD130" s="32"/>
      <c r="CE130" s="55"/>
      <c r="CF130" s="32"/>
      <c r="CG130" s="54"/>
      <c r="CH130" s="21" t="str">
        <f>IFERROR(VLOOKUP(January[[#This Row],[Drug Name9]],'Data Options'!$R$1:$S$100,2,FALSE), " ")</f>
        <v xml:space="preserve"> </v>
      </c>
      <c r="CI130" s="55"/>
      <c r="CJ130" s="32"/>
      <c r="CK130" s="32"/>
      <c r="CL130" s="55"/>
      <c r="CM130" s="32"/>
    </row>
    <row r="131" spans="1:91">
      <c r="A131" s="5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1"/>
      <c r="P131" s="31"/>
      <c r="Q131" s="54"/>
      <c r="R131" s="21" t="str">
        <f>IFERROR(VLOOKUP(January[[#This Row],[Drug Name]],'Data Options'!$R$1:$S$100,2,FALSE), " ")</f>
        <v xml:space="preserve"> </v>
      </c>
      <c r="S131" s="55"/>
      <c r="T131" s="32"/>
      <c r="U131" s="32"/>
      <c r="V131" s="55"/>
      <c r="W131" s="32"/>
      <c r="X131" s="54"/>
      <c r="Y131" s="21" t="str">
        <f>IFERROR(VLOOKUP(January[[#This Row],[Drug Name2]],'Data Options'!$R$1:$S$100,2,FALSE), " ")</f>
        <v xml:space="preserve"> </v>
      </c>
      <c r="Z131" s="55"/>
      <c r="AA131" s="32"/>
      <c r="AB131" s="32"/>
      <c r="AC131" s="55"/>
      <c r="AD131" s="32"/>
      <c r="AE131" s="54"/>
      <c r="AF131" s="21" t="str">
        <f>IFERROR(VLOOKUP(January[[#This Row],[Drug Name3]],'Data Options'!$R$1:$S$100,2,FALSE), " ")</f>
        <v xml:space="preserve"> </v>
      </c>
      <c r="AG131" s="55"/>
      <c r="AH131" s="32"/>
      <c r="AI131" s="32"/>
      <c r="AJ131" s="55"/>
      <c r="AK131" s="32"/>
      <c r="AL131" s="32"/>
      <c r="AM131" s="32"/>
      <c r="AN131" s="32"/>
      <c r="AO131" s="32"/>
      <c r="AP131" s="31"/>
      <c r="AQ131" s="31"/>
      <c r="AR131" s="54"/>
      <c r="AS131" s="21" t="str">
        <f>IFERROR(VLOOKUP(January[[#This Row],[Drug Name4]],'Data Options'!$R$1:$S$100,2,FALSE), " ")</f>
        <v xml:space="preserve"> </v>
      </c>
      <c r="AT131" s="55"/>
      <c r="AU131" s="32"/>
      <c r="AV131" s="32"/>
      <c r="AW131" s="55"/>
      <c r="AX131" s="32"/>
      <c r="AY131" s="54"/>
      <c r="AZ131" s="21" t="str">
        <f>IFERROR(VLOOKUP(January[[#This Row],[Drug Name5]],'Data Options'!$R$1:$S$100,2,FALSE), " ")</f>
        <v xml:space="preserve"> </v>
      </c>
      <c r="BA131" s="55"/>
      <c r="BB131" s="32"/>
      <c r="BC131" s="32"/>
      <c r="BD131" s="55"/>
      <c r="BE131" s="32"/>
      <c r="BF131" s="54"/>
      <c r="BG131" s="21" t="str">
        <f>IFERROR(VLOOKUP(January[[#This Row],[Drug Name6]],'Data Options'!$R$1:$S$100,2,FALSE), " ")</f>
        <v xml:space="preserve"> </v>
      </c>
      <c r="BH131" s="55"/>
      <c r="BI131" s="32"/>
      <c r="BJ131" s="32"/>
      <c r="BK131" s="55"/>
      <c r="BL131" s="32"/>
      <c r="BM131" s="32"/>
      <c r="BN131" s="32"/>
      <c r="BO131" s="32"/>
      <c r="BP131" s="32"/>
      <c r="BQ131" s="31"/>
      <c r="BR131" s="31"/>
      <c r="BS131" s="54"/>
      <c r="BT131" s="21" t="str">
        <f>IFERROR(VLOOKUP(January[[#This Row],[Drug Name7]],'Data Options'!$R$1:$S$100,2,FALSE), " ")</f>
        <v xml:space="preserve"> </v>
      </c>
      <c r="BU131" s="55"/>
      <c r="BV131" s="32"/>
      <c r="BW131" s="32"/>
      <c r="BX131" s="55"/>
      <c r="BY131" s="32"/>
      <c r="BZ131" s="54"/>
      <c r="CA131" s="21" t="str">
        <f>IFERROR(VLOOKUP(January[[#This Row],[Drug Name8]],'Data Options'!$R$1:$S$100,2,FALSE), " ")</f>
        <v xml:space="preserve"> </v>
      </c>
      <c r="CB131" s="55"/>
      <c r="CC131" s="32"/>
      <c r="CD131" s="32"/>
      <c r="CE131" s="55"/>
      <c r="CF131" s="32"/>
      <c r="CG131" s="54"/>
      <c r="CH131" s="21" t="str">
        <f>IFERROR(VLOOKUP(January[[#This Row],[Drug Name9]],'Data Options'!$R$1:$S$100,2,FALSE), " ")</f>
        <v xml:space="preserve"> </v>
      </c>
      <c r="CI131" s="55"/>
      <c r="CJ131" s="32"/>
      <c r="CK131" s="32"/>
      <c r="CL131" s="55"/>
      <c r="CM131" s="32"/>
    </row>
    <row r="132" spans="1:91">
      <c r="A132" s="5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1"/>
      <c r="P132" s="31"/>
      <c r="Q132" s="54"/>
      <c r="R132" s="21" t="str">
        <f>IFERROR(VLOOKUP(January[[#This Row],[Drug Name]],'Data Options'!$R$1:$S$100,2,FALSE), " ")</f>
        <v xml:space="preserve"> </v>
      </c>
      <c r="S132" s="55"/>
      <c r="T132" s="32"/>
      <c r="U132" s="32"/>
      <c r="V132" s="55"/>
      <c r="W132" s="32"/>
      <c r="X132" s="54"/>
      <c r="Y132" s="21" t="str">
        <f>IFERROR(VLOOKUP(January[[#This Row],[Drug Name2]],'Data Options'!$R$1:$S$100,2,FALSE), " ")</f>
        <v xml:space="preserve"> </v>
      </c>
      <c r="Z132" s="55"/>
      <c r="AA132" s="32"/>
      <c r="AB132" s="32"/>
      <c r="AC132" s="55"/>
      <c r="AD132" s="32"/>
      <c r="AE132" s="54"/>
      <c r="AF132" s="21" t="str">
        <f>IFERROR(VLOOKUP(January[[#This Row],[Drug Name3]],'Data Options'!$R$1:$S$100,2,FALSE), " ")</f>
        <v xml:space="preserve"> </v>
      </c>
      <c r="AG132" s="55"/>
      <c r="AH132" s="32"/>
      <c r="AI132" s="32"/>
      <c r="AJ132" s="55"/>
      <c r="AK132" s="32"/>
      <c r="AL132" s="32"/>
      <c r="AM132" s="32"/>
      <c r="AN132" s="32"/>
      <c r="AO132" s="32"/>
      <c r="AP132" s="31"/>
      <c r="AQ132" s="31"/>
      <c r="AR132" s="54"/>
      <c r="AS132" s="21" t="str">
        <f>IFERROR(VLOOKUP(January[[#This Row],[Drug Name4]],'Data Options'!$R$1:$S$100,2,FALSE), " ")</f>
        <v xml:space="preserve"> </v>
      </c>
      <c r="AT132" s="55"/>
      <c r="AU132" s="32"/>
      <c r="AV132" s="32"/>
      <c r="AW132" s="55"/>
      <c r="AX132" s="32"/>
      <c r="AY132" s="54"/>
      <c r="AZ132" s="21" t="str">
        <f>IFERROR(VLOOKUP(January[[#This Row],[Drug Name5]],'Data Options'!$R$1:$S$100,2,FALSE), " ")</f>
        <v xml:space="preserve"> </v>
      </c>
      <c r="BA132" s="55"/>
      <c r="BB132" s="32"/>
      <c r="BC132" s="32"/>
      <c r="BD132" s="55"/>
      <c r="BE132" s="32"/>
      <c r="BF132" s="54"/>
      <c r="BG132" s="21" t="str">
        <f>IFERROR(VLOOKUP(January[[#This Row],[Drug Name6]],'Data Options'!$R$1:$S$100,2,FALSE), " ")</f>
        <v xml:space="preserve"> </v>
      </c>
      <c r="BH132" s="55"/>
      <c r="BI132" s="32"/>
      <c r="BJ132" s="32"/>
      <c r="BK132" s="55"/>
      <c r="BL132" s="32"/>
      <c r="BM132" s="32"/>
      <c r="BN132" s="32"/>
      <c r="BO132" s="32"/>
      <c r="BP132" s="32"/>
      <c r="BQ132" s="31"/>
      <c r="BR132" s="31"/>
      <c r="BS132" s="54"/>
      <c r="BT132" s="21" t="str">
        <f>IFERROR(VLOOKUP(January[[#This Row],[Drug Name7]],'Data Options'!$R$1:$S$100,2,FALSE), " ")</f>
        <v xml:space="preserve"> </v>
      </c>
      <c r="BU132" s="55"/>
      <c r="BV132" s="32"/>
      <c r="BW132" s="32"/>
      <c r="BX132" s="55"/>
      <c r="BY132" s="32"/>
      <c r="BZ132" s="54"/>
      <c r="CA132" s="21" t="str">
        <f>IFERROR(VLOOKUP(January[[#This Row],[Drug Name8]],'Data Options'!$R$1:$S$100,2,FALSE), " ")</f>
        <v xml:space="preserve"> </v>
      </c>
      <c r="CB132" s="55"/>
      <c r="CC132" s="32"/>
      <c r="CD132" s="32"/>
      <c r="CE132" s="55"/>
      <c r="CF132" s="32"/>
      <c r="CG132" s="54"/>
      <c r="CH132" s="21" t="str">
        <f>IFERROR(VLOOKUP(January[[#This Row],[Drug Name9]],'Data Options'!$R$1:$S$100,2,FALSE), " ")</f>
        <v xml:space="preserve"> </v>
      </c>
      <c r="CI132" s="55"/>
      <c r="CJ132" s="32"/>
      <c r="CK132" s="32"/>
      <c r="CL132" s="55"/>
      <c r="CM132" s="32"/>
    </row>
    <row r="133" spans="1:91">
      <c r="A133" s="5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54"/>
      <c r="R133" s="21" t="str">
        <f>IFERROR(VLOOKUP(January[[#This Row],[Drug Name]],'Data Options'!$R$1:$S$100,2,FALSE), " ")</f>
        <v xml:space="preserve"> </v>
      </c>
      <c r="S133" s="55"/>
      <c r="T133" s="32"/>
      <c r="U133" s="32"/>
      <c r="V133" s="55"/>
      <c r="W133" s="32"/>
      <c r="X133" s="54"/>
      <c r="Y133" s="21" t="str">
        <f>IFERROR(VLOOKUP(January[[#This Row],[Drug Name2]],'Data Options'!$R$1:$S$100,2,FALSE), " ")</f>
        <v xml:space="preserve"> </v>
      </c>
      <c r="Z133" s="55"/>
      <c r="AA133" s="32"/>
      <c r="AB133" s="32"/>
      <c r="AC133" s="55"/>
      <c r="AD133" s="32"/>
      <c r="AE133" s="54"/>
      <c r="AF133" s="21" t="str">
        <f>IFERROR(VLOOKUP(January[[#This Row],[Drug Name3]],'Data Options'!$R$1:$S$100,2,FALSE), " ")</f>
        <v xml:space="preserve"> </v>
      </c>
      <c r="AG133" s="55"/>
      <c r="AH133" s="32"/>
      <c r="AI133" s="32"/>
      <c r="AJ133" s="55"/>
      <c r="AK133" s="32"/>
      <c r="AL133" s="32"/>
      <c r="AM133" s="32"/>
      <c r="AN133" s="32"/>
      <c r="AO133" s="32"/>
      <c r="AP133" s="31"/>
      <c r="AQ133" s="31"/>
      <c r="AR133" s="54"/>
      <c r="AS133" s="21" t="str">
        <f>IFERROR(VLOOKUP(January[[#This Row],[Drug Name4]],'Data Options'!$R$1:$S$100,2,FALSE), " ")</f>
        <v xml:space="preserve"> </v>
      </c>
      <c r="AT133" s="55"/>
      <c r="AU133" s="32"/>
      <c r="AV133" s="32"/>
      <c r="AW133" s="55"/>
      <c r="AX133" s="32"/>
      <c r="AY133" s="54"/>
      <c r="AZ133" s="21" t="str">
        <f>IFERROR(VLOOKUP(January[[#This Row],[Drug Name5]],'Data Options'!$R$1:$S$100,2,FALSE), " ")</f>
        <v xml:space="preserve"> </v>
      </c>
      <c r="BA133" s="55"/>
      <c r="BB133" s="32"/>
      <c r="BC133" s="32"/>
      <c r="BD133" s="55"/>
      <c r="BE133" s="32"/>
      <c r="BF133" s="54"/>
      <c r="BG133" s="21" t="str">
        <f>IFERROR(VLOOKUP(January[[#This Row],[Drug Name6]],'Data Options'!$R$1:$S$100,2,FALSE), " ")</f>
        <v xml:space="preserve"> </v>
      </c>
      <c r="BH133" s="55"/>
      <c r="BI133" s="32"/>
      <c r="BJ133" s="32"/>
      <c r="BK133" s="55"/>
      <c r="BL133" s="32"/>
      <c r="BM133" s="32"/>
      <c r="BN133" s="32"/>
      <c r="BO133" s="32"/>
      <c r="BP133" s="32"/>
      <c r="BQ133" s="31"/>
      <c r="BR133" s="31"/>
      <c r="BS133" s="54"/>
      <c r="BT133" s="21" t="str">
        <f>IFERROR(VLOOKUP(January[[#This Row],[Drug Name7]],'Data Options'!$R$1:$S$100,2,FALSE), " ")</f>
        <v xml:space="preserve"> </v>
      </c>
      <c r="BU133" s="55"/>
      <c r="BV133" s="32"/>
      <c r="BW133" s="32"/>
      <c r="BX133" s="55"/>
      <c r="BY133" s="32"/>
      <c r="BZ133" s="54"/>
      <c r="CA133" s="21" t="str">
        <f>IFERROR(VLOOKUP(January[[#This Row],[Drug Name8]],'Data Options'!$R$1:$S$100,2,FALSE), " ")</f>
        <v xml:space="preserve"> </v>
      </c>
      <c r="CB133" s="55"/>
      <c r="CC133" s="32"/>
      <c r="CD133" s="32"/>
      <c r="CE133" s="55"/>
      <c r="CF133" s="32"/>
      <c r="CG133" s="54"/>
      <c r="CH133" s="21" t="str">
        <f>IFERROR(VLOOKUP(January[[#This Row],[Drug Name9]],'Data Options'!$R$1:$S$100,2,FALSE), " ")</f>
        <v xml:space="preserve"> </v>
      </c>
      <c r="CI133" s="55"/>
      <c r="CJ133" s="32"/>
      <c r="CK133" s="32"/>
      <c r="CL133" s="55"/>
      <c r="CM133" s="32"/>
    </row>
    <row r="134" spans="1:91">
      <c r="A134" s="5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54"/>
      <c r="R134" s="21" t="str">
        <f>IFERROR(VLOOKUP(January[[#This Row],[Drug Name]],'Data Options'!$R$1:$S$100,2,FALSE), " ")</f>
        <v xml:space="preserve"> </v>
      </c>
      <c r="S134" s="55"/>
      <c r="T134" s="32"/>
      <c r="U134" s="32"/>
      <c r="V134" s="55"/>
      <c r="W134" s="32"/>
      <c r="X134" s="54"/>
      <c r="Y134" s="21" t="str">
        <f>IFERROR(VLOOKUP(January[[#This Row],[Drug Name2]],'Data Options'!$R$1:$S$100,2,FALSE), " ")</f>
        <v xml:space="preserve"> </v>
      </c>
      <c r="Z134" s="55"/>
      <c r="AA134" s="32"/>
      <c r="AB134" s="32"/>
      <c r="AC134" s="55"/>
      <c r="AD134" s="32"/>
      <c r="AE134" s="54"/>
      <c r="AF134" s="21" t="str">
        <f>IFERROR(VLOOKUP(January[[#This Row],[Drug Name3]],'Data Options'!$R$1:$S$100,2,FALSE), " ")</f>
        <v xml:space="preserve"> </v>
      </c>
      <c r="AG134" s="55"/>
      <c r="AH134" s="32"/>
      <c r="AI134" s="32"/>
      <c r="AJ134" s="55"/>
      <c r="AK134" s="32"/>
      <c r="AL134" s="32"/>
      <c r="AM134" s="32"/>
      <c r="AN134" s="32"/>
      <c r="AO134" s="32"/>
      <c r="AP134" s="31"/>
      <c r="AQ134" s="31"/>
      <c r="AR134" s="54"/>
      <c r="AS134" s="21" t="str">
        <f>IFERROR(VLOOKUP(January[[#This Row],[Drug Name4]],'Data Options'!$R$1:$S$100,2,FALSE), " ")</f>
        <v xml:space="preserve"> </v>
      </c>
      <c r="AT134" s="55"/>
      <c r="AU134" s="32"/>
      <c r="AV134" s="32"/>
      <c r="AW134" s="55"/>
      <c r="AX134" s="32"/>
      <c r="AY134" s="54"/>
      <c r="AZ134" s="21" t="str">
        <f>IFERROR(VLOOKUP(January[[#This Row],[Drug Name5]],'Data Options'!$R$1:$S$100,2,FALSE), " ")</f>
        <v xml:space="preserve"> </v>
      </c>
      <c r="BA134" s="55"/>
      <c r="BB134" s="32"/>
      <c r="BC134" s="32"/>
      <c r="BD134" s="55"/>
      <c r="BE134" s="32"/>
      <c r="BF134" s="54"/>
      <c r="BG134" s="21" t="str">
        <f>IFERROR(VLOOKUP(January[[#This Row],[Drug Name6]],'Data Options'!$R$1:$S$100,2,FALSE), " ")</f>
        <v xml:space="preserve"> </v>
      </c>
      <c r="BH134" s="55"/>
      <c r="BI134" s="32"/>
      <c r="BJ134" s="32"/>
      <c r="BK134" s="55"/>
      <c r="BL134" s="32"/>
      <c r="BM134" s="32"/>
      <c r="BN134" s="32"/>
      <c r="BO134" s="32"/>
      <c r="BP134" s="32"/>
      <c r="BQ134" s="31"/>
      <c r="BR134" s="31"/>
      <c r="BS134" s="54"/>
      <c r="BT134" s="21" t="str">
        <f>IFERROR(VLOOKUP(January[[#This Row],[Drug Name7]],'Data Options'!$R$1:$S$100,2,FALSE), " ")</f>
        <v xml:space="preserve"> </v>
      </c>
      <c r="BU134" s="55"/>
      <c r="BV134" s="32"/>
      <c r="BW134" s="32"/>
      <c r="BX134" s="55"/>
      <c r="BY134" s="32"/>
      <c r="BZ134" s="54"/>
      <c r="CA134" s="21" t="str">
        <f>IFERROR(VLOOKUP(January[[#This Row],[Drug Name8]],'Data Options'!$R$1:$S$100,2,FALSE), " ")</f>
        <v xml:space="preserve"> </v>
      </c>
      <c r="CB134" s="55"/>
      <c r="CC134" s="32"/>
      <c r="CD134" s="32"/>
      <c r="CE134" s="55"/>
      <c r="CF134" s="32"/>
      <c r="CG134" s="54"/>
      <c r="CH134" s="21" t="str">
        <f>IFERROR(VLOOKUP(January[[#This Row],[Drug Name9]],'Data Options'!$R$1:$S$100,2,FALSE), " ")</f>
        <v xml:space="preserve"> </v>
      </c>
      <c r="CI134" s="55"/>
      <c r="CJ134" s="32"/>
      <c r="CK134" s="32"/>
      <c r="CL134" s="55"/>
      <c r="CM134" s="32"/>
    </row>
    <row r="135" spans="1:91">
      <c r="A135" s="5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1"/>
      <c r="P135" s="31"/>
      <c r="Q135" s="54"/>
      <c r="R135" s="21" t="str">
        <f>IFERROR(VLOOKUP(January[[#This Row],[Drug Name]],'Data Options'!$R$1:$S$100,2,FALSE), " ")</f>
        <v xml:space="preserve"> </v>
      </c>
      <c r="S135" s="55"/>
      <c r="T135" s="32"/>
      <c r="U135" s="32"/>
      <c r="V135" s="55"/>
      <c r="W135" s="32"/>
      <c r="X135" s="54"/>
      <c r="Y135" s="21" t="str">
        <f>IFERROR(VLOOKUP(January[[#This Row],[Drug Name2]],'Data Options'!$R$1:$S$100,2,FALSE), " ")</f>
        <v xml:space="preserve"> </v>
      </c>
      <c r="Z135" s="55"/>
      <c r="AA135" s="32"/>
      <c r="AB135" s="32"/>
      <c r="AC135" s="55"/>
      <c r="AD135" s="32"/>
      <c r="AE135" s="54"/>
      <c r="AF135" s="21" t="str">
        <f>IFERROR(VLOOKUP(January[[#This Row],[Drug Name3]],'Data Options'!$R$1:$S$100,2,FALSE), " ")</f>
        <v xml:space="preserve"> </v>
      </c>
      <c r="AG135" s="55"/>
      <c r="AH135" s="32"/>
      <c r="AI135" s="32"/>
      <c r="AJ135" s="55"/>
      <c r="AK135" s="32"/>
      <c r="AL135" s="32"/>
      <c r="AM135" s="32"/>
      <c r="AN135" s="32"/>
      <c r="AO135" s="32"/>
      <c r="AP135" s="31"/>
      <c r="AQ135" s="31"/>
      <c r="AR135" s="54"/>
      <c r="AS135" s="21" t="str">
        <f>IFERROR(VLOOKUP(January[[#This Row],[Drug Name4]],'Data Options'!$R$1:$S$100,2,FALSE), " ")</f>
        <v xml:space="preserve"> </v>
      </c>
      <c r="AT135" s="55"/>
      <c r="AU135" s="32"/>
      <c r="AV135" s="32"/>
      <c r="AW135" s="55"/>
      <c r="AX135" s="32"/>
      <c r="AY135" s="54"/>
      <c r="AZ135" s="21" t="str">
        <f>IFERROR(VLOOKUP(January[[#This Row],[Drug Name5]],'Data Options'!$R$1:$S$100,2,FALSE), " ")</f>
        <v xml:space="preserve"> </v>
      </c>
      <c r="BA135" s="55"/>
      <c r="BB135" s="32"/>
      <c r="BC135" s="32"/>
      <c r="BD135" s="55"/>
      <c r="BE135" s="32"/>
      <c r="BF135" s="54"/>
      <c r="BG135" s="21" t="str">
        <f>IFERROR(VLOOKUP(January[[#This Row],[Drug Name6]],'Data Options'!$R$1:$S$100,2,FALSE), " ")</f>
        <v xml:space="preserve"> </v>
      </c>
      <c r="BH135" s="55"/>
      <c r="BI135" s="32"/>
      <c r="BJ135" s="32"/>
      <c r="BK135" s="55"/>
      <c r="BL135" s="32"/>
      <c r="BM135" s="32"/>
      <c r="BN135" s="32"/>
      <c r="BO135" s="32"/>
      <c r="BP135" s="32"/>
      <c r="BQ135" s="31"/>
      <c r="BR135" s="31"/>
      <c r="BS135" s="54"/>
      <c r="BT135" s="21" t="str">
        <f>IFERROR(VLOOKUP(January[[#This Row],[Drug Name7]],'Data Options'!$R$1:$S$100,2,FALSE), " ")</f>
        <v xml:space="preserve"> </v>
      </c>
      <c r="BU135" s="55"/>
      <c r="BV135" s="32"/>
      <c r="BW135" s="32"/>
      <c r="BX135" s="55"/>
      <c r="BY135" s="32"/>
      <c r="BZ135" s="54"/>
      <c r="CA135" s="21" t="str">
        <f>IFERROR(VLOOKUP(January[[#This Row],[Drug Name8]],'Data Options'!$R$1:$S$100,2,FALSE), " ")</f>
        <v xml:space="preserve"> </v>
      </c>
      <c r="CB135" s="55"/>
      <c r="CC135" s="32"/>
      <c r="CD135" s="32"/>
      <c r="CE135" s="55"/>
      <c r="CF135" s="32"/>
      <c r="CG135" s="54"/>
      <c r="CH135" s="21" t="str">
        <f>IFERROR(VLOOKUP(January[[#This Row],[Drug Name9]],'Data Options'!$R$1:$S$100,2,FALSE), " ")</f>
        <v xml:space="preserve"> </v>
      </c>
      <c r="CI135" s="55"/>
      <c r="CJ135" s="32"/>
      <c r="CK135" s="32"/>
      <c r="CL135" s="55"/>
      <c r="CM135" s="32"/>
    </row>
    <row r="136" spans="1:91">
      <c r="A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1"/>
      <c r="P136" s="31"/>
      <c r="Q136" s="54"/>
      <c r="R136" s="21" t="str">
        <f>IFERROR(VLOOKUP(January[[#This Row],[Drug Name]],'Data Options'!$R$1:$S$100,2,FALSE), " ")</f>
        <v xml:space="preserve"> </v>
      </c>
      <c r="S136" s="55"/>
      <c r="T136" s="32"/>
      <c r="U136" s="32"/>
      <c r="V136" s="55"/>
      <c r="W136" s="32"/>
      <c r="X136" s="54"/>
      <c r="Y136" s="21" t="str">
        <f>IFERROR(VLOOKUP(January[[#This Row],[Drug Name2]],'Data Options'!$R$1:$S$100,2,FALSE), " ")</f>
        <v xml:space="preserve"> </v>
      </c>
      <c r="Z136" s="55"/>
      <c r="AA136" s="32"/>
      <c r="AB136" s="32"/>
      <c r="AC136" s="55"/>
      <c r="AD136" s="32"/>
      <c r="AE136" s="54"/>
      <c r="AF136" s="21" t="str">
        <f>IFERROR(VLOOKUP(January[[#This Row],[Drug Name3]],'Data Options'!$R$1:$S$100,2,FALSE), " ")</f>
        <v xml:space="preserve"> </v>
      </c>
      <c r="AG136" s="55"/>
      <c r="AH136" s="32"/>
      <c r="AI136" s="32"/>
      <c r="AJ136" s="55"/>
      <c r="AK136" s="32"/>
      <c r="AL136" s="32"/>
      <c r="AM136" s="32"/>
      <c r="AN136" s="32"/>
      <c r="AO136" s="32"/>
      <c r="AP136" s="31"/>
      <c r="AQ136" s="31"/>
      <c r="AR136" s="54"/>
      <c r="AS136" s="21" t="str">
        <f>IFERROR(VLOOKUP(January[[#This Row],[Drug Name4]],'Data Options'!$R$1:$S$100,2,FALSE), " ")</f>
        <v xml:space="preserve"> </v>
      </c>
      <c r="AT136" s="55"/>
      <c r="AU136" s="32"/>
      <c r="AV136" s="32"/>
      <c r="AW136" s="55"/>
      <c r="AX136" s="32"/>
      <c r="AY136" s="54"/>
      <c r="AZ136" s="21" t="str">
        <f>IFERROR(VLOOKUP(January[[#This Row],[Drug Name5]],'Data Options'!$R$1:$S$100,2,FALSE), " ")</f>
        <v xml:space="preserve"> </v>
      </c>
      <c r="BA136" s="55"/>
      <c r="BB136" s="32"/>
      <c r="BC136" s="32"/>
      <c r="BD136" s="55"/>
      <c r="BE136" s="32"/>
      <c r="BF136" s="54"/>
      <c r="BG136" s="21" t="str">
        <f>IFERROR(VLOOKUP(January[[#This Row],[Drug Name6]],'Data Options'!$R$1:$S$100,2,FALSE), " ")</f>
        <v xml:space="preserve"> </v>
      </c>
      <c r="BH136" s="55"/>
      <c r="BI136" s="32"/>
      <c r="BJ136" s="32"/>
      <c r="BK136" s="55"/>
      <c r="BL136" s="32"/>
      <c r="BM136" s="32"/>
      <c r="BN136" s="32"/>
      <c r="BO136" s="32"/>
      <c r="BP136" s="32"/>
      <c r="BQ136" s="31"/>
      <c r="BR136" s="31"/>
      <c r="BS136" s="54"/>
      <c r="BT136" s="21" t="str">
        <f>IFERROR(VLOOKUP(January[[#This Row],[Drug Name7]],'Data Options'!$R$1:$S$100,2,FALSE), " ")</f>
        <v xml:space="preserve"> </v>
      </c>
      <c r="BU136" s="55"/>
      <c r="BV136" s="32"/>
      <c r="BW136" s="32"/>
      <c r="BX136" s="55"/>
      <c r="BY136" s="32"/>
      <c r="BZ136" s="54"/>
      <c r="CA136" s="21" t="str">
        <f>IFERROR(VLOOKUP(January[[#This Row],[Drug Name8]],'Data Options'!$R$1:$S$100,2,FALSE), " ")</f>
        <v xml:space="preserve"> </v>
      </c>
      <c r="CB136" s="55"/>
      <c r="CC136" s="32"/>
      <c r="CD136" s="32"/>
      <c r="CE136" s="55"/>
      <c r="CF136" s="32"/>
      <c r="CG136" s="54"/>
      <c r="CH136" s="21" t="str">
        <f>IFERROR(VLOOKUP(January[[#This Row],[Drug Name9]],'Data Options'!$R$1:$S$100,2,FALSE), " ")</f>
        <v xml:space="preserve"> </v>
      </c>
      <c r="CI136" s="55"/>
      <c r="CJ136" s="32"/>
      <c r="CK136" s="32"/>
      <c r="CL136" s="55"/>
      <c r="CM136" s="32"/>
    </row>
    <row r="137" spans="1:91">
      <c r="A137" s="5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/>
      <c r="P137" s="31"/>
      <c r="Q137" s="54"/>
      <c r="R137" s="21" t="str">
        <f>IFERROR(VLOOKUP(January[[#This Row],[Drug Name]],'Data Options'!$R$1:$S$100,2,FALSE), " ")</f>
        <v xml:space="preserve"> </v>
      </c>
      <c r="S137" s="55"/>
      <c r="T137" s="32"/>
      <c r="U137" s="32"/>
      <c r="V137" s="55"/>
      <c r="W137" s="32"/>
      <c r="X137" s="54"/>
      <c r="Y137" s="21" t="str">
        <f>IFERROR(VLOOKUP(January[[#This Row],[Drug Name2]],'Data Options'!$R$1:$S$100,2,FALSE), " ")</f>
        <v xml:space="preserve"> </v>
      </c>
      <c r="Z137" s="55"/>
      <c r="AA137" s="32"/>
      <c r="AB137" s="32"/>
      <c r="AC137" s="55"/>
      <c r="AD137" s="32"/>
      <c r="AE137" s="54"/>
      <c r="AF137" s="21" t="str">
        <f>IFERROR(VLOOKUP(January[[#This Row],[Drug Name3]],'Data Options'!$R$1:$S$100,2,FALSE), " ")</f>
        <v xml:space="preserve"> </v>
      </c>
      <c r="AG137" s="55"/>
      <c r="AH137" s="32"/>
      <c r="AI137" s="32"/>
      <c r="AJ137" s="55"/>
      <c r="AK137" s="32"/>
      <c r="AL137" s="32"/>
      <c r="AM137" s="32"/>
      <c r="AN137" s="32"/>
      <c r="AO137" s="32"/>
      <c r="AP137" s="31"/>
      <c r="AQ137" s="31"/>
      <c r="AR137" s="54"/>
      <c r="AS137" s="21" t="str">
        <f>IFERROR(VLOOKUP(January[[#This Row],[Drug Name4]],'Data Options'!$R$1:$S$100,2,FALSE), " ")</f>
        <v xml:space="preserve"> </v>
      </c>
      <c r="AT137" s="55"/>
      <c r="AU137" s="32"/>
      <c r="AV137" s="32"/>
      <c r="AW137" s="55"/>
      <c r="AX137" s="32"/>
      <c r="AY137" s="54"/>
      <c r="AZ137" s="21" t="str">
        <f>IFERROR(VLOOKUP(January[[#This Row],[Drug Name5]],'Data Options'!$R$1:$S$100,2,FALSE), " ")</f>
        <v xml:space="preserve"> </v>
      </c>
      <c r="BA137" s="55"/>
      <c r="BB137" s="32"/>
      <c r="BC137" s="32"/>
      <c r="BD137" s="55"/>
      <c r="BE137" s="32"/>
      <c r="BF137" s="54"/>
      <c r="BG137" s="21" t="str">
        <f>IFERROR(VLOOKUP(January[[#This Row],[Drug Name6]],'Data Options'!$R$1:$S$100,2,FALSE), " ")</f>
        <v xml:space="preserve"> </v>
      </c>
      <c r="BH137" s="55"/>
      <c r="BI137" s="32"/>
      <c r="BJ137" s="32"/>
      <c r="BK137" s="55"/>
      <c r="BL137" s="32"/>
      <c r="BM137" s="32"/>
      <c r="BN137" s="32"/>
      <c r="BO137" s="32"/>
      <c r="BP137" s="32"/>
      <c r="BQ137" s="31"/>
      <c r="BR137" s="31"/>
      <c r="BS137" s="54"/>
      <c r="BT137" s="21" t="str">
        <f>IFERROR(VLOOKUP(January[[#This Row],[Drug Name7]],'Data Options'!$R$1:$S$100,2,FALSE), " ")</f>
        <v xml:space="preserve"> </v>
      </c>
      <c r="BU137" s="55"/>
      <c r="BV137" s="32"/>
      <c r="BW137" s="32"/>
      <c r="BX137" s="55"/>
      <c r="BY137" s="32"/>
      <c r="BZ137" s="54"/>
      <c r="CA137" s="21" t="str">
        <f>IFERROR(VLOOKUP(January[[#This Row],[Drug Name8]],'Data Options'!$R$1:$S$100,2,FALSE), " ")</f>
        <v xml:space="preserve"> </v>
      </c>
      <c r="CB137" s="55"/>
      <c r="CC137" s="32"/>
      <c r="CD137" s="32"/>
      <c r="CE137" s="55"/>
      <c r="CF137" s="32"/>
      <c r="CG137" s="54"/>
      <c r="CH137" s="21" t="str">
        <f>IFERROR(VLOOKUP(January[[#This Row],[Drug Name9]],'Data Options'!$R$1:$S$100,2,FALSE), " ")</f>
        <v xml:space="preserve"> </v>
      </c>
      <c r="CI137" s="55"/>
      <c r="CJ137" s="32"/>
      <c r="CK137" s="32"/>
      <c r="CL137" s="55"/>
      <c r="CM137" s="32"/>
    </row>
    <row r="138" spans="1:91">
      <c r="A138" s="5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1"/>
      <c r="P138" s="31"/>
      <c r="Q138" s="54"/>
      <c r="R138" s="21" t="str">
        <f>IFERROR(VLOOKUP(January[[#This Row],[Drug Name]],'Data Options'!$R$1:$S$100,2,FALSE), " ")</f>
        <v xml:space="preserve"> </v>
      </c>
      <c r="S138" s="55"/>
      <c r="T138" s="32"/>
      <c r="U138" s="32"/>
      <c r="V138" s="55"/>
      <c r="W138" s="32"/>
      <c r="X138" s="54"/>
      <c r="Y138" s="21" t="str">
        <f>IFERROR(VLOOKUP(January[[#This Row],[Drug Name2]],'Data Options'!$R$1:$S$100,2,FALSE), " ")</f>
        <v xml:space="preserve"> </v>
      </c>
      <c r="Z138" s="55"/>
      <c r="AA138" s="32"/>
      <c r="AB138" s="32"/>
      <c r="AC138" s="55"/>
      <c r="AD138" s="32"/>
      <c r="AE138" s="54"/>
      <c r="AF138" s="21" t="str">
        <f>IFERROR(VLOOKUP(January[[#This Row],[Drug Name3]],'Data Options'!$R$1:$S$100,2,FALSE), " ")</f>
        <v xml:space="preserve"> </v>
      </c>
      <c r="AG138" s="55"/>
      <c r="AH138" s="32"/>
      <c r="AI138" s="32"/>
      <c r="AJ138" s="55"/>
      <c r="AK138" s="32"/>
      <c r="AL138" s="32"/>
      <c r="AM138" s="32"/>
      <c r="AN138" s="32"/>
      <c r="AO138" s="32"/>
      <c r="AP138" s="31"/>
      <c r="AQ138" s="31"/>
      <c r="AR138" s="54"/>
      <c r="AS138" s="21" t="str">
        <f>IFERROR(VLOOKUP(January[[#This Row],[Drug Name4]],'Data Options'!$R$1:$S$100,2,FALSE), " ")</f>
        <v xml:space="preserve"> </v>
      </c>
      <c r="AT138" s="55"/>
      <c r="AU138" s="32"/>
      <c r="AV138" s="32"/>
      <c r="AW138" s="55"/>
      <c r="AX138" s="32"/>
      <c r="AY138" s="54"/>
      <c r="AZ138" s="21" t="str">
        <f>IFERROR(VLOOKUP(January[[#This Row],[Drug Name5]],'Data Options'!$R$1:$S$100,2,FALSE), " ")</f>
        <v xml:space="preserve"> </v>
      </c>
      <c r="BA138" s="55"/>
      <c r="BB138" s="32"/>
      <c r="BC138" s="32"/>
      <c r="BD138" s="55"/>
      <c r="BE138" s="32"/>
      <c r="BF138" s="54"/>
      <c r="BG138" s="21" t="str">
        <f>IFERROR(VLOOKUP(January[[#This Row],[Drug Name6]],'Data Options'!$R$1:$S$100,2,FALSE), " ")</f>
        <v xml:space="preserve"> </v>
      </c>
      <c r="BH138" s="55"/>
      <c r="BI138" s="32"/>
      <c r="BJ138" s="32"/>
      <c r="BK138" s="55"/>
      <c r="BL138" s="32"/>
      <c r="BM138" s="32"/>
      <c r="BN138" s="32"/>
      <c r="BO138" s="32"/>
      <c r="BP138" s="32"/>
      <c r="BQ138" s="31"/>
      <c r="BR138" s="31"/>
      <c r="BS138" s="54"/>
      <c r="BT138" s="21" t="str">
        <f>IFERROR(VLOOKUP(January[[#This Row],[Drug Name7]],'Data Options'!$R$1:$S$100,2,FALSE), " ")</f>
        <v xml:space="preserve"> </v>
      </c>
      <c r="BU138" s="55"/>
      <c r="BV138" s="32"/>
      <c r="BW138" s="32"/>
      <c r="BX138" s="55"/>
      <c r="BY138" s="32"/>
      <c r="BZ138" s="54"/>
      <c r="CA138" s="21" t="str">
        <f>IFERROR(VLOOKUP(January[[#This Row],[Drug Name8]],'Data Options'!$R$1:$S$100,2,FALSE), " ")</f>
        <v xml:space="preserve"> </v>
      </c>
      <c r="CB138" s="55"/>
      <c r="CC138" s="32"/>
      <c r="CD138" s="32"/>
      <c r="CE138" s="55"/>
      <c r="CF138" s="32"/>
      <c r="CG138" s="54"/>
      <c r="CH138" s="21" t="str">
        <f>IFERROR(VLOOKUP(January[[#This Row],[Drug Name9]],'Data Options'!$R$1:$S$100,2,FALSE), " ")</f>
        <v xml:space="preserve"> </v>
      </c>
      <c r="CI138" s="55"/>
      <c r="CJ138" s="32"/>
      <c r="CK138" s="32"/>
      <c r="CL138" s="55"/>
      <c r="CM138" s="32"/>
    </row>
    <row r="139" spans="1:91">
      <c r="A139" s="5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1"/>
      <c r="P139" s="31"/>
      <c r="Q139" s="54"/>
      <c r="R139" s="21" t="str">
        <f>IFERROR(VLOOKUP(January[[#This Row],[Drug Name]],'Data Options'!$R$1:$S$100,2,FALSE), " ")</f>
        <v xml:space="preserve"> </v>
      </c>
      <c r="S139" s="55"/>
      <c r="T139" s="32"/>
      <c r="U139" s="32"/>
      <c r="V139" s="55"/>
      <c r="W139" s="32"/>
      <c r="X139" s="54"/>
      <c r="Y139" s="21" t="str">
        <f>IFERROR(VLOOKUP(January[[#This Row],[Drug Name2]],'Data Options'!$R$1:$S$100,2,FALSE), " ")</f>
        <v xml:space="preserve"> </v>
      </c>
      <c r="Z139" s="55"/>
      <c r="AA139" s="32"/>
      <c r="AB139" s="32"/>
      <c r="AC139" s="55"/>
      <c r="AD139" s="32"/>
      <c r="AE139" s="54"/>
      <c r="AF139" s="21" t="str">
        <f>IFERROR(VLOOKUP(January[[#This Row],[Drug Name3]],'Data Options'!$R$1:$S$100,2,FALSE), " ")</f>
        <v xml:space="preserve"> </v>
      </c>
      <c r="AG139" s="55"/>
      <c r="AH139" s="32"/>
      <c r="AI139" s="32"/>
      <c r="AJ139" s="55"/>
      <c r="AK139" s="32"/>
      <c r="AL139" s="32"/>
      <c r="AM139" s="32"/>
      <c r="AN139" s="32"/>
      <c r="AO139" s="32"/>
      <c r="AP139" s="31"/>
      <c r="AQ139" s="31"/>
      <c r="AR139" s="54"/>
      <c r="AS139" s="21" t="str">
        <f>IFERROR(VLOOKUP(January[[#This Row],[Drug Name4]],'Data Options'!$R$1:$S$100,2,FALSE), " ")</f>
        <v xml:space="preserve"> </v>
      </c>
      <c r="AT139" s="55"/>
      <c r="AU139" s="32"/>
      <c r="AV139" s="32"/>
      <c r="AW139" s="55"/>
      <c r="AX139" s="32"/>
      <c r="AY139" s="54"/>
      <c r="AZ139" s="21" t="str">
        <f>IFERROR(VLOOKUP(January[[#This Row],[Drug Name5]],'Data Options'!$R$1:$S$100,2,FALSE), " ")</f>
        <v xml:space="preserve"> </v>
      </c>
      <c r="BA139" s="55"/>
      <c r="BB139" s="32"/>
      <c r="BC139" s="32"/>
      <c r="BD139" s="55"/>
      <c r="BE139" s="32"/>
      <c r="BF139" s="54"/>
      <c r="BG139" s="21" t="str">
        <f>IFERROR(VLOOKUP(January[[#This Row],[Drug Name6]],'Data Options'!$R$1:$S$100,2,FALSE), " ")</f>
        <v xml:space="preserve"> </v>
      </c>
      <c r="BH139" s="55"/>
      <c r="BI139" s="32"/>
      <c r="BJ139" s="32"/>
      <c r="BK139" s="55"/>
      <c r="BL139" s="32"/>
      <c r="BM139" s="32"/>
      <c r="BN139" s="32"/>
      <c r="BO139" s="32"/>
      <c r="BP139" s="32"/>
      <c r="BQ139" s="31"/>
      <c r="BR139" s="31"/>
      <c r="BS139" s="54"/>
      <c r="BT139" s="21" t="str">
        <f>IFERROR(VLOOKUP(January[[#This Row],[Drug Name7]],'Data Options'!$R$1:$S$100,2,FALSE), " ")</f>
        <v xml:space="preserve"> </v>
      </c>
      <c r="BU139" s="55"/>
      <c r="BV139" s="32"/>
      <c r="BW139" s="32"/>
      <c r="BX139" s="55"/>
      <c r="BY139" s="32"/>
      <c r="BZ139" s="54"/>
      <c r="CA139" s="21" t="str">
        <f>IFERROR(VLOOKUP(January[[#This Row],[Drug Name8]],'Data Options'!$R$1:$S$100,2,FALSE), " ")</f>
        <v xml:space="preserve"> </v>
      </c>
      <c r="CB139" s="55"/>
      <c r="CC139" s="32"/>
      <c r="CD139" s="32"/>
      <c r="CE139" s="55"/>
      <c r="CF139" s="32"/>
      <c r="CG139" s="54"/>
      <c r="CH139" s="21" t="str">
        <f>IFERROR(VLOOKUP(January[[#This Row],[Drug Name9]],'Data Options'!$R$1:$S$100,2,FALSE), " ")</f>
        <v xml:space="preserve"> </v>
      </c>
      <c r="CI139" s="55"/>
      <c r="CJ139" s="32"/>
      <c r="CK139" s="32"/>
      <c r="CL139" s="55"/>
      <c r="CM139" s="32"/>
    </row>
    <row r="140" spans="1:91">
      <c r="A140" s="5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1"/>
      <c r="P140" s="31"/>
      <c r="Q140" s="54"/>
      <c r="R140" s="21" t="str">
        <f>IFERROR(VLOOKUP(January[[#This Row],[Drug Name]],'Data Options'!$R$1:$S$100,2,FALSE), " ")</f>
        <v xml:space="preserve"> </v>
      </c>
      <c r="S140" s="55"/>
      <c r="T140" s="32"/>
      <c r="U140" s="32"/>
      <c r="V140" s="55"/>
      <c r="W140" s="32"/>
      <c r="X140" s="54"/>
      <c r="Y140" s="21" t="str">
        <f>IFERROR(VLOOKUP(January[[#This Row],[Drug Name2]],'Data Options'!$R$1:$S$100,2,FALSE), " ")</f>
        <v xml:space="preserve"> </v>
      </c>
      <c r="Z140" s="55"/>
      <c r="AA140" s="32"/>
      <c r="AB140" s="32"/>
      <c r="AC140" s="55"/>
      <c r="AD140" s="32"/>
      <c r="AE140" s="54"/>
      <c r="AF140" s="21" t="str">
        <f>IFERROR(VLOOKUP(January[[#This Row],[Drug Name3]],'Data Options'!$R$1:$S$100,2,FALSE), " ")</f>
        <v xml:space="preserve"> </v>
      </c>
      <c r="AG140" s="55"/>
      <c r="AH140" s="32"/>
      <c r="AI140" s="32"/>
      <c r="AJ140" s="55"/>
      <c r="AK140" s="32"/>
      <c r="AL140" s="32"/>
      <c r="AM140" s="32"/>
      <c r="AN140" s="32"/>
      <c r="AO140" s="32"/>
      <c r="AP140" s="31"/>
      <c r="AQ140" s="31"/>
      <c r="AR140" s="54"/>
      <c r="AS140" s="21" t="str">
        <f>IFERROR(VLOOKUP(January[[#This Row],[Drug Name4]],'Data Options'!$R$1:$S$100,2,FALSE), " ")</f>
        <v xml:space="preserve"> </v>
      </c>
      <c r="AT140" s="55"/>
      <c r="AU140" s="32"/>
      <c r="AV140" s="32"/>
      <c r="AW140" s="55"/>
      <c r="AX140" s="32"/>
      <c r="AY140" s="54"/>
      <c r="AZ140" s="21" t="str">
        <f>IFERROR(VLOOKUP(January[[#This Row],[Drug Name5]],'Data Options'!$R$1:$S$100,2,FALSE), " ")</f>
        <v xml:space="preserve"> </v>
      </c>
      <c r="BA140" s="55"/>
      <c r="BB140" s="32"/>
      <c r="BC140" s="32"/>
      <c r="BD140" s="55"/>
      <c r="BE140" s="32"/>
      <c r="BF140" s="54"/>
      <c r="BG140" s="21" t="str">
        <f>IFERROR(VLOOKUP(January[[#This Row],[Drug Name6]],'Data Options'!$R$1:$S$100,2,FALSE), " ")</f>
        <v xml:space="preserve"> </v>
      </c>
      <c r="BH140" s="55"/>
      <c r="BI140" s="32"/>
      <c r="BJ140" s="32"/>
      <c r="BK140" s="55"/>
      <c r="BL140" s="32"/>
      <c r="BM140" s="32"/>
      <c r="BN140" s="32"/>
      <c r="BO140" s="32"/>
      <c r="BP140" s="32"/>
      <c r="BQ140" s="31"/>
      <c r="BR140" s="31"/>
      <c r="BS140" s="54"/>
      <c r="BT140" s="21" t="str">
        <f>IFERROR(VLOOKUP(January[[#This Row],[Drug Name7]],'Data Options'!$R$1:$S$100,2,FALSE), " ")</f>
        <v xml:space="preserve"> </v>
      </c>
      <c r="BU140" s="55"/>
      <c r="BV140" s="32"/>
      <c r="BW140" s="32"/>
      <c r="BX140" s="55"/>
      <c r="BY140" s="32"/>
      <c r="BZ140" s="54"/>
      <c r="CA140" s="21" t="str">
        <f>IFERROR(VLOOKUP(January[[#This Row],[Drug Name8]],'Data Options'!$R$1:$S$100,2,FALSE), " ")</f>
        <v xml:space="preserve"> </v>
      </c>
      <c r="CB140" s="55"/>
      <c r="CC140" s="32"/>
      <c r="CD140" s="32"/>
      <c r="CE140" s="55"/>
      <c r="CF140" s="32"/>
      <c r="CG140" s="54"/>
      <c r="CH140" s="21" t="str">
        <f>IFERROR(VLOOKUP(January[[#This Row],[Drug Name9]],'Data Options'!$R$1:$S$100,2,FALSE), " ")</f>
        <v xml:space="preserve"> </v>
      </c>
      <c r="CI140" s="55"/>
      <c r="CJ140" s="32"/>
      <c r="CK140" s="32"/>
      <c r="CL140" s="55"/>
      <c r="CM140" s="32"/>
    </row>
    <row r="141" spans="1:91">
      <c r="A141" s="5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1"/>
      <c r="Q141" s="54"/>
      <c r="R141" s="21" t="str">
        <f>IFERROR(VLOOKUP(January[[#This Row],[Drug Name]],'Data Options'!$R$1:$S$100,2,FALSE), " ")</f>
        <v xml:space="preserve"> </v>
      </c>
      <c r="S141" s="55"/>
      <c r="T141" s="32"/>
      <c r="U141" s="32"/>
      <c r="V141" s="55"/>
      <c r="W141" s="32"/>
      <c r="X141" s="54"/>
      <c r="Y141" s="21" t="str">
        <f>IFERROR(VLOOKUP(January[[#This Row],[Drug Name2]],'Data Options'!$R$1:$S$100,2,FALSE), " ")</f>
        <v xml:space="preserve"> </v>
      </c>
      <c r="Z141" s="55"/>
      <c r="AA141" s="32"/>
      <c r="AB141" s="32"/>
      <c r="AC141" s="55"/>
      <c r="AD141" s="32"/>
      <c r="AE141" s="54"/>
      <c r="AF141" s="21" t="str">
        <f>IFERROR(VLOOKUP(January[[#This Row],[Drug Name3]],'Data Options'!$R$1:$S$100,2,FALSE), " ")</f>
        <v xml:space="preserve"> </v>
      </c>
      <c r="AG141" s="55"/>
      <c r="AH141" s="32"/>
      <c r="AI141" s="32"/>
      <c r="AJ141" s="55"/>
      <c r="AK141" s="32"/>
      <c r="AL141" s="32"/>
      <c r="AM141" s="32"/>
      <c r="AN141" s="32"/>
      <c r="AO141" s="32"/>
      <c r="AP141" s="31"/>
      <c r="AQ141" s="31"/>
      <c r="AR141" s="54"/>
      <c r="AS141" s="21" t="str">
        <f>IFERROR(VLOOKUP(January[[#This Row],[Drug Name4]],'Data Options'!$R$1:$S$100,2,FALSE), " ")</f>
        <v xml:space="preserve"> </v>
      </c>
      <c r="AT141" s="55"/>
      <c r="AU141" s="32"/>
      <c r="AV141" s="32"/>
      <c r="AW141" s="55"/>
      <c r="AX141" s="32"/>
      <c r="AY141" s="54"/>
      <c r="AZ141" s="21" t="str">
        <f>IFERROR(VLOOKUP(January[[#This Row],[Drug Name5]],'Data Options'!$R$1:$S$100,2,FALSE), " ")</f>
        <v xml:space="preserve"> </v>
      </c>
      <c r="BA141" s="55"/>
      <c r="BB141" s="32"/>
      <c r="BC141" s="32"/>
      <c r="BD141" s="55"/>
      <c r="BE141" s="32"/>
      <c r="BF141" s="54"/>
      <c r="BG141" s="21" t="str">
        <f>IFERROR(VLOOKUP(January[[#This Row],[Drug Name6]],'Data Options'!$R$1:$S$100,2,FALSE), " ")</f>
        <v xml:space="preserve"> </v>
      </c>
      <c r="BH141" s="55"/>
      <c r="BI141" s="32"/>
      <c r="BJ141" s="32"/>
      <c r="BK141" s="55"/>
      <c r="BL141" s="32"/>
      <c r="BM141" s="32"/>
      <c r="BN141" s="32"/>
      <c r="BO141" s="32"/>
      <c r="BP141" s="32"/>
      <c r="BQ141" s="31"/>
      <c r="BR141" s="31"/>
      <c r="BS141" s="54"/>
      <c r="BT141" s="21" t="str">
        <f>IFERROR(VLOOKUP(January[[#This Row],[Drug Name7]],'Data Options'!$R$1:$S$100,2,FALSE), " ")</f>
        <v xml:space="preserve"> </v>
      </c>
      <c r="BU141" s="55"/>
      <c r="BV141" s="32"/>
      <c r="BW141" s="32"/>
      <c r="BX141" s="55"/>
      <c r="BY141" s="32"/>
      <c r="BZ141" s="54"/>
      <c r="CA141" s="21" t="str">
        <f>IFERROR(VLOOKUP(January[[#This Row],[Drug Name8]],'Data Options'!$R$1:$S$100,2,FALSE), " ")</f>
        <v xml:space="preserve"> </v>
      </c>
      <c r="CB141" s="55"/>
      <c r="CC141" s="32"/>
      <c r="CD141" s="32"/>
      <c r="CE141" s="55"/>
      <c r="CF141" s="32"/>
      <c r="CG141" s="54"/>
      <c r="CH141" s="21" t="str">
        <f>IFERROR(VLOOKUP(January[[#This Row],[Drug Name9]],'Data Options'!$R$1:$S$100,2,FALSE), " ")</f>
        <v xml:space="preserve"> </v>
      </c>
      <c r="CI141" s="55"/>
      <c r="CJ141" s="32"/>
      <c r="CK141" s="32"/>
      <c r="CL141" s="55"/>
      <c r="CM141" s="32"/>
    </row>
    <row r="142" spans="1:91">
      <c r="A142" s="5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1"/>
      <c r="P142" s="31"/>
      <c r="Q142" s="54"/>
      <c r="R142" s="21" t="str">
        <f>IFERROR(VLOOKUP(January[[#This Row],[Drug Name]],'Data Options'!$R$1:$S$100,2,FALSE), " ")</f>
        <v xml:space="preserve"> </v>
      </c>
      <c r="S142" s="55"/>
      <c r="T142" s="32"/>
      <c r="U142" s="32"/>
      <c r="V142" s="55"/>
      <c r="W142" s="32"/>
      <c r="X142" s="54"/>
      <c r="Y142" s="21" t="str">
        <f>IFERROR(VLOOKUP(January[[#This Row],[Drug Name2]],'Data Options'!$R$1:$S$100,2,FALSE), " ")</f>
        <v xml:space="preserve"> </v>
      </c>
      <c r="Z142" s="55"/>
      <c r="AA142" s="32"/>
      <c r="AB142" s="32"/>
      <c r="AC142" s="55"/>
      <c r="AD142" s="32"/>
      <c r="AE142" s="54"/>
      <c r="AF142" s="21" t="str">
        <f>IFERROR(VLOOKUP(January[[#This Row],[Drug Name3]],'Data Options'!$R$1:$S$100,2,FALSE), " ")</f>
        <v xml:space="preserve"> </v>
      </c>
      <c r="AG142" s="55"/>
      <c r="AH142" s="32"/>
      <c r="AI142" s="32"/>
      <c r="AJ142" s="55"/>
      <c r="AK142" s="32"/>
      <c r="AL142" s="32"/>
      <c r="AM142" s="32"/>
      <c r="AN142" s="32"/>
      <c r="AO142" s="32"/>
      <c r="AP142" s="31"/>
      <c r="AQ142" s="31"/>
      <c r="AR142" s="54"/>
      <c r="AS142" s="21" t="str">
        <f>IFERROR(VLOOKUP(January[[#This Row],[Drug Name4]],'Data Options'!$R$1:$S$100,2,FALSE), " ")</f>
        <v xml:space="preserve"> </v>
      </c>
      <c r="AT142" s="55"/>
      <c r="AU142" s="32"/>
      <c r="AV142" s="32"/>
      <c r="AW142" s="55"/>
      <c r="AX142" s="32"/>
      <c r="AY142" s="54"/>
      <c r="AZ142" s="21" t="str">
        <f>IFERROR(VLOOKUP(January[[#This Row],[Drug Name5]],'Data Options'!$R$1:$S$100,2,FALSE), " ")</f>
        <v xml:space="preserve"> </v>
      </c>
      <c r="BA142" s="55"/>
      <c r="BB142" s="32"/>
      <c r="BC142" s="32"/>
      <c r="BD142" s="55"/>
      <c r="BE142" s="32"/>
      <c r="BF142" s="54"/>
      <c r="BG142" s="21" t="str">
        <f>IFERROR(VLOOKUP(January[[#This Row],[Drug Name6]],'Data Options'!$R$1:$S$100,2,FALSE), " ")</f>
        <v xml:space="preserve"> </v>
      </c>
      <c r="BH142" s="55"/>
      <c r="BI142" s="32"/>
      <c r="BJ142" s="32"/>
      <c r="BK142" s="55"/>
      <c r="BL142" s="32"/>
      <c r="BM142" s="32"/>
      <c r="BN142" s="32"/>
      <c r="BO142" s="32"/>
      <c r="BP142" s="32"/>
      <c r="BQ142" s="31"/>
      <c r="BR142" s="31"/>
      <c r="BS142" s="54"/>
      <c r="BT142" s="21" t="str">
        <f>IFERROR(VLOOKUP(January[[#This Row],[Drug Name7]],'Data Options'!$R$1:$S$100,2,FALSE), " ")</f>
        <v xml:space="preserve"> </v>
      </c>
      <c r="BU142" s="55"/>
      <c r="BV142" s="32"/>
      <c r="BW142" s="32"/>
      <c r="BX142" s="55"/>
      <c r="BY142" s="32"/>
      <c r="BZ142" s="54"/>
      <c r="CA142" s="21" t="str">
        <f>IFERROR(VLOOKUP(January[[#This Row],[Drug Name8]],'Data Options'!$R$1:$S$100,2,FALSE), " ")</f>
        <v xml:space="preserve"> </v>
      </c>
      <c r="CB142" s="55"/>
      <c r="CC142" s="32"/>
      <c r="CD142" s="32"/>
      <c r="CE142" s="55"/>
      <c r="CF142" s="32"/>
      <c r="CG142" s="54"/>
      <c r="CH142" s="21" t="str">
        <f>IFERROR(VLOOKUP(January[[#This Row],[Drug Name9]],'Data Options'!$R$1:$S$100,2,FALSE), " ")</f>
        <v xml:space="preserve"> </v>
      </c>
      <c r="CI142" s="55"/>
      <c r="CJ142" s="32"/>
      <c r="CK142" s="32"/>
      <c r="CL142" s="55"/>
      <c r="CM142" s="32"/>
    </row>
    <row r="143" spans="1:91">
      <c r="A143" s="5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1"/>
      <c r="P143" s="31"/>
      <c r="Q143" s="54"/>
      <c r="R143" s="21" t="str">
        <f>IFERROR(VLOOKUP(January[[#This Row],[Drug Name]],'Data Options'!$R$1:$S$100,2,FALSE), " ")</f>
        <v xml:space="preserve"> </v>
      </c>
      <c r="S143" s="55"/>
      <c r="T143" s="32"/>
      <c r="U143" s="32"/>
      <c r="V143" s="55"/>
      <c r="W143" s="32"/>
      <c r="X143" s="54"/>
      <c r="Y143" s="21" t="str">
        <f>IFERROR(VLOOKUP(January[[#This Row],[Drug Name2]],'Data Options'!$R$1:$S$100,2,FALSE), " ")</f>
        <v xml:space="preserve"> </v>
      </c>
      <c r="Z143" s="55"/>
      <c r="AA143" s="32"/>
      <c r="AB143" s="32"/>
      <c r="AC143" s="55"/>
      <c r="AD143" s="32"/>
      <c r="AE143" s="54"/>
      <c r="AF143" s="21" t="str">
        <f>IFERROR(VLOOKUP(January[[#This Row],[Drug Name3]],'Data Options'!$R$1:$S$100,2,FALSE), " ")</f>
        <v xml:space="preserve"> </v>
      </c>
      <c r="AG143" s="55"/>
      <c r="AH143" s="32"/>
      <c r="AI143" s="32"/>
      <c r="AJ143" s="55"/>
      <c r="AK143" s="32"/>
      <c r="AL143" s="32"/>
      <c r="AM143" s="32"/>
      <c r="AN143" s="32"/>
      <c r="AO143" s="32"/>
      <c r="AP143" s="31"/>
      <c r="AQ143" s="31"/>
      <c r="AR143" s="54"/>
      <c r="AS143" s="21" t="str">
        <f>IFERROR(VLOOKUP(January[[#This Row],[Drug Name4]],'Data Options'!$R$1:$S$100,2,FALSE), " ")</f>
        <v xml:space="preserve"> </v>
      </c>
      <c r="AT143" s="55"/>
      <c r="AU143" s="32"/>
      <c r="AV143" s="32"/>
      <c r="AW143" s="55"/>
      <c r="AX143" s="32"/>
      <c r="AY143" s="54"/>
      <c r="AZ143" s="21" t="str">
        <f>IFERROR(VLOOKUP(January[[#This Row],[Drug Name5]],'Data Options'!$R$1:$S$100,2,FALSE), " ")</f>
        <v xml:space="preserve"> </v>
      </c>
      <c r="BA143" s="55"/>
      <c r="BB143" s="32"/>
      <c r="BC143" s="32"/>
      <c r="BD143" s="55"/>
      <c r="BE143" s="32"/>
      <c r="BF143" s="54"/>
      <c r="BG143" s="21" t="str">
        <f>IFERROR(VLOOKUP(January[[#This Row],[Drug Name6]],'Data Options'!$R$1:$S$100,2,FALSE), " ")</f>
        <v xml:space="preserve"> </v>
      </c>
      <c r="BH143" s="55"/>
      <c r="BI143" s="32"/>
      <c r="BJ143" s="32"/>
      <c r="BK143" s="55"/>
      <c r="BL143" s="32"/>
      <c r="BM143" s="32"/>
      <c r="BN143" s="32"/>
      <c r="BO143" s="32"/>
      <c r="BP143" s="32"/>
      <c r="BQ143" s="31"/>
      <c r="BR143" s="31"/>
      <c r="BS143" s="54"/>
      <c r="BT143" s="21" t="str">
        <f>IFERROR(VLOOKUP(January[[#This Row],[Drug Name7]],'Data Options'!$R$1:$S$100,2,FALSE), " ")</f>
        <v xml:space="preserve"> </v>
      </c>
      <c r="BU143" s="55"/>
      <c r="BV143" s="32"/>
      <c r="BW143" s="32"/>
      <c r="BX143" s="55"/>
      <c r="BY143" s="32"/>
      <c r="BZ143" s="54"/>
      <c r="CA143" s="21" t="str">
        <f>IFERROR(VLOOKUP(January[[#This Row],[Drug Name8]],'Data Options'!$R$1:$S$100,2,FALSE), " ")</f>
        <v xml:space="preserve"> </v>
      </c>
      <c r="CB143" s="55"/>
      <c r="CC143" s="32"/>
      <c r="CD143" s="32"/>
      <c r="CE143" s="55"/>
      <c r="CF143" s="32"/>
      <c r="CG143" s="54"/>
      <c r="CH143" s="21" t="str">
        <f>IFERROR(VLOOKUP(January[[#This Row],[Drug Name9]],'Data Options'!$R$1:$S$100,2,FALSE), " ")</f>
        <v xml:space="preserve"> </v>
      </c>
      <c r="CI143" s="55"/>
      <c r="CJ143" s="32"/>
      <c r="CK143" s="32"/>
      <c r="CL143" s="55"/>
      <c r="CM143" s="32"/>
    </row>
    <row r="144" spans="1:91">
      <c r="A144" s="5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1"/>
      <c r="P144" s="31"/>
      <c r="Q144" s="54"/>
      <c r="R144" s="21" t="str">
        <f>IFERROR(VLOOKUP(January[[#This Row],[Drug Name]],'Data Options'!$R$1:$S$100,2,FALSE), " ")</f>
        <v xml:space="preserve"> </v>
      </c>
      <c r="S144" s="55"/>
      <c r="T144" s="32"/>
      <c r="U144" s="32"/>
      <c r="V144" s="55"/>
      <c r="W144" s="32"/>
      <c r="X144" s="54"/>
      <c r="Y144" s="21" t="str">
        <f>IFERROR(VLOOKUP(January[[#This Row],[Drug Name2]],'Data Options'!$R$1:$S$100,2,FALSE), " ")</f>
        <v xml:space="preserve"> </v>
      </c>
      <c r="Z144" s="55"/>
      <c r="AA144" s="32"/>
      <c r="AB144" s="32"/>
      <c r="AC144" s="55"/>
      <c r="AD144" s="32"/>
      <c r="AE144" s="54"/>
      <c r="AF144" s="21" t="str">
        <f>IFERROR(VLOOKUP(January[[#This Row],[Drug Name3]],'Data Options'!$R$1:$S$100,2,FALSE), " ")</f>
        <v xml:space="preserve"> </v>
      </c>
      <c r="AG144" s="55"/>
      <c r="AH144" s="32"/>
      <c r="AI144" s="32"/>
      <c r="AJ144" s="55"/>
      <c r="AK144" s="32"/>
      <c r="AL144" s="32"/>
      <c r="AM144" s="32"/>
      <c r="AN144" s="32"/>
      <c r="AO144" s="32"/>
      <c r="AP144" s="31"/>
      <c r="AQ144" s="31"/>
      <c r="AR144" s="54"/>
      <c r="AS144" s="21" t="str">
        <f>IFERROR(VLOOKUP(January[[#This Row],[Drug Name4]],'Data Options'!$R$1:$S$100,2,FALSE), " ")</f>
        <v xml:space="preserve"> </v>
      </c>
      <c r="AT144" s="55"/>
      <c r="AU144" s="32"/>
      <c r="AV144" s="32"/>
      <c r="AW144" s="55"/>
      <c r="AX144" s="32"/>
      <c r="AY144" s="54"/>
      <c r="AZ144" s="21" t="str">
        <f>IFERROR(VLOOKUP(January[[#This Row],[Drug Name5]],'Data Options'!$R$1:$S$100,2,FALSE), " ")</f>
        <v xml:space="preserve"> </v>
      </c>
      <c r="BA144" s="55"/>
      <c r="BB144" s="32"/>
      <c r="BC144" s="32"/>
      <c r="BD144" s="55"/>
      <c r="BE144" s="32"/>
      <c r="BF144" s="54"/>
      <c r="BG144" s="21" t="str">
        <f>IFERROR(VLOOKUP(January[[#This Row],[Drug Name6]],'Data Options'!$R$1:$S$100,2,FALSE), " ")</f>
        <v xml:space="preserve"> </v>
      </c>
      <c r="BH144" s="55"/>
      <c r="BI144" s="32"/>
      <c r="BJ144" s="32"/>
      <c r="BK144" s="55"/>
      <c r="BL144" s="32"/>
      <c r="BM144" s="32"/>
      <c r="BN144" s="32"/>
      <c r="BO144" s="32"/>
      <c r="BP144" s="32"/>
      <c r="BQ144" s="31"/>
      <c r="BR144" s="31"/>
      <c r="BS144" s="54"/>
      <c r="BT144" s="21" t="str">
        <f>IFERROR(VLOOKUP(January[[#This Row],[Drug Name7]],'Data Options'!$R$1:$S$100,2,FALSE), " ")</f>
        <v xml:space="preserve"> </v>
      </c>
      <c r="BU144" s="55"/>
      <c r="BV144" s="32"/>
      <c r="BW144" s="32"/>
      <c r="BX144" s="55"/>
      <c r="BY144" s="32"/>
      <c r="BZ144" s="54"/>
      <c r="CA144" s="21" t="str">
        <f>IFERROR(VLOOKUP(January[[#This Row],[Drug Name8]],'Data Options'!$R$1:$S$100,2,FALSE), " ")</f>
        <v xml:space="preserve"> </v>
      </c>
      <c r="CB144" s="55"/>
      <c r="CC144" s="32"/>
      <c r="CD144" s="32"/>
      <c r="CE144" s="55"/>
      <c r="CF144" s="32"/>
      <c r="CG144" s="54"/>
      <c r="CH144" s="21" t="str">
        <f>IFERROR(VLOOKUP(January[[#This Row],[Drug Name9]],'Data Options'!$R$1:$S$100,2,FALSE), " ")</f>
        <v xml:space="preserve"> </v>
      </c>
      <c r="CI144" s="55"/>
      <c r="CJ144" s="32"/>
      <c r="CK144" s="32"/>
      <c r="CL144" s="55"/>
      <c r="CM144" s="32"/>
    </row>
    <row r="145" spans="1:91">
      <c r="A145" s="5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1"/>
      <c r="P145" s="31"/>
      <c r="Q145" s="54"/>
      <c r="R145" s="21" t="str">
        <f>IFERROR(VLOOKUP(January[[#This Row],[Drug Name]],'Data Options'!$R$1:$S$100,2,FALSE), " ")</f>
        <v xml:space="preserve"> </v>
      </c>
      <c r="S145" s="55"/>
      <c r="T145" s="32"/>
      <c r="U145" s="32"/>
      <c r="V145" s="55"/>
      <c r="W145" s="32"/>
      <c r="X145" s="54"/>
      <c r="Y145" s="21" t="str">
        <f>IFERROR(VLOOKUP(January[[#This Row],[Drug Name2]],'Data Options'!$R$1:$S$100,2,FALSE), " ")</f>
        <v xml:space="preserve"> </v>
      </c>
      <c r="Z145" s="55"/>
      <c r="AA145" s="32"/>
      <c r="AB145" s="32"/>
      <c r="AC145" s="55"/>
      <c r="AD145" s="32"/>
      <c r="AE145" s="54"/>
      <c r="AF145" s="21" t="str">
        <f>IFERROR(VLOOKUP(January[[#This Row],[Drug Name3]],'Data Options'!$R$1:$S$100,2,FALSE), " ")</f>
        <v xml:space="preserve"> </v>
      </c>
      <c r="AG145" s="55"/>
      <c r="AH145" s="32"/>
      <c r="AI145" s="32"/>
      <c r="AJ145" s="55"/>
      <c r="AK145" s="32"/>
      <c r="AL145" s="32"/>
      <c r="AM145" s="32"/>
      <c r="AN145" s="32"/>
      <c r="AO145" s="32"/>
      <c r="AP145" s="31"/>
      <c r="AQ145" s="31"/>
      <c r="AR145" s="54"/>
      <c r="AS145" s="21" t="str">
        <f>IFERROR(VLOOKUP(January[[#This Row],[Drug Name4]],'Data Options'!$R$1:$S$100,2,FALSE), " ")</f>
        <v xml:space="preserve"> </v>
      </c>
      <c r="AT145" s="55"/>
      <c r="AU145" s="32"/>
      <c r="AV145" s="32"/>
      <c r="AW145" s="55"/>
      <c r="AX145" s="32"/>
      <c r="AY145" s="54"/>
      <c r="AZ145" s="21" t="str">
        <f>IFERROR(VLOOKUP(January[[#This Row],[Drug Name5]],'Data Options'!$R$1:$S$100,2,FALSE), " ")</f>
        <v xml:space="preserve"> </v>
      </c>
      <c r="BA145" s="55"/>
      <c r="BB145" s="32"/>
      <c r="BC145" s="32"/>
      <c r="BD145" s="55"/>
      <c r="BE145" s="32"/>
      <c r="BF145" s="54"/>
      <c r="BG145" s="21" t="str">
        <f>IFERROR(VLOOKUP(January[[#This Row],[Drug Name6]],'Data Options'!$R$1:$S$100,2,FALSE), " ")</f>
        <v xml:space="preserve"> </v>
      </c>
      <c r="BH145" s="55"/>
      <c r="BI145" s="32"/>
      <c r="BJ145" s="32"/>
      <c r="BK145" s="55"/>
      <c r="BL145" s="32"/>
      <c r="BM145" s="32"/>
      <c r="BN145" s="32"/>
      <c r="BO145" s="32"/>
      <c r="BP145" s="32"/>
      <c r="BQ145" s="31"/>
      <c r="BR145" s="31"/>
      <c r="BS145" s="54"/>
      <c r="BT145" s="21" t="str">
        <f>IFERROR(VLOOKUP(January[[#This Row],[Drug Name7]],'Data Options'!$R$1:$S$100,2,FALSE), " ")</f>
        <v xml:space="preserve"> </v>
      </c>
      <c r="BU145" s="55"/>
      <c r="BV145" s="32"/>
      <c r="BW145" s="32"/>
      <c r="BX145" s="55"/>
      <c r="BY145" s="32"/>
      <c r="BZ145" s="54"/>
      <c r="CA145" s="21" t="str">
        <f>IFERROR(VLOOKUP(January[[#This Row],[Drug Name8]],'Data Options'!$R$1:$S$100,2,FALSE), " ")</f>
        <v xml:space="preserve"> </v>
      </c>
      <c r="CB145" s="55"/>
      <c r="CC145" s="32"/>
      <c r="CD145" s="32"/>
      <c r="CE145" s="55"/>
      <c r="CF145" s="32"/>
      <c r="CG145" s="54"/>
      <c r="CH145" s="21" t="str">
        <f>IFERROR(VLOOKUP(January[[#This Row],[Drug Name9]],'Data Options'!$R$1:$S$100,2,FALSE), " ")</f>
        <v xml:space="preserve"> </v>
      </c>
      <c r="CI145" s="55"/>
      <c r="CJ145" s="32"/>
      <c r="CK145" s="32"/>
      <c r="CL145" s="55"/>
      <c r="CM145" s="32"/>
    </row>
    <row r="146" spans="1:91">
      <c r="A146" s="5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1"/>
      <c r="P146" s="31"/>
      <c r="Q146" s="54"/>
      <c r="R146" s="21" t="str">
        <f>IFERROR(VLOOKUP(January[[#This Row],[Drug Name]],'Data Options'!$R$1:$S$100,2,FALSE), " ")</f>
        <v xml:space="preserve"> </v>
      </c>
      <c r="S146" s="55"/>
      <c r="T146" s="32"/>
      <c r="U146" s="32"/>
      <c r="V146" s="55"/>
      <c r="W146" s="32"/>
      <c r="X146" s="54"/>
      <c r="Y146" s="21" t="str">
        <f>IFERROR(VLOOKUP(January[[#This Row],[Drug Name2]],'Data Options'!$R$1:$S$100,2,FALSE), " ")</f>
        <v xml:space="preserve"> </v>
      </c>
      <c r="Z146" s="55"/>
      <c r="AA146" s="32"/>
      <c r="AB146" s="32"/>
      <c r="AC146" s="55"/>
      <c r="AD146" s="32"/>
      <c r="AE146" s="54"/>
      <c r="AF146" s="21" t="str">
        <f>IFERROR(VLOOKUP(January[[#This Row],[Drug Name3]],'Data Options'!$R$1:$S$100,2,FALSE), " ")</f>
        <v xml:space="preserve"> </v>
      </c>
      <c r="AG146" s="55"/>
      <c r="AH146" s="32"/>
      <c r="AI146" s="32"/>
      <c r="AJ146" s="55"/>
      <c r="AK146" s="32"/>
      <c r="AL146" s="32"/>
      <c r="AM146" s="32"/>
      <c r="AN146" s="32"/>
      <c r="AO146" s="32"/>
      <c r="AP146" s="31"/>
      <c r="AQ146" s="31"/>
      <c r="AR146" s="54"/>
      <c r="AS146" s="21" t="str">
        <f>IFERROR(VLOOKUP(January[[#This Row],[Drug Name4]],'Data Options'!$R$1:$S$100,2,FALSE), " ")</f>
        <v xml:space="preserve"> </v>
      </c>
      <c r="AT146" s="55"/>
      <c r="AU146" s="32"/>
      <c r="AV146" s="32"/>
      <c r="AW146" s="55"/>
      <c r="AX146" s="32"/>
      <c r="AY146" s="54"/>
      <c r="AZ146" s="21" t="str">
        <f>IFERROR(VLOOKUP(January[[#This Row],[Drug Name5]],'Data Options'!$R$1:$S$100,2,FALSE), " ")</f>
        <v xml:space="preserve"> </v>
      </c>
      <c r="BA146" s="55"/>
      <c r="BB146" s="32"/>
      <c r="BC146" s="32"/>
      <c r="BD146" s="55"/>
      <c r="BE146" s="32"/>
      <c r="BF146" s="54"/>
      <c r="BG146" s="21" t="str">
        <f>IFERROR(VLOOKUP(January[[#This Row],[Drug Name6]],'Data Options'!$R$1:$S$100,2,FALSE), " ")</f>
        <v xml:space="preserve"> </v>
      </c>
      <c r="BH146" s="55"/>
      <c r="BI146" s="32"/>
      <c r="BJ146" s="32"/>
      <c r="BK146" s="55"/>
      <c r="BL146" s="32"/>
      <c r="BM146" s="32"/>
      <c r="BN146" s="32"/>
      <c r="BO146" s="32"/>
      <c r="BP146" s="32"/>
      <c r="BQ146" s="31"/>
      <c r="BR146" s="31"/>
      <c r="BS146" s="54"/>
      <c r="BT146" s="21" t="str">
        <f>IFERROR(VLOOKUP(January[[#This Row],[Drug Name7]],'Data Options'!$R$1:$S$100,2,FALSE), " ")</f>
        <v xml:space="preserve"> </v>
      </c>
      <c r="BU146" s="55"/>
      <c r="BV146" s="32"/>
      <c r="BW146" s="32"/>
      <c r="BX146" s="55"/>
      <c r="BY146" s="32"/>
      <c r="BZ146" s="54"/>
      <c r="CA146" s="21" t="str">
        <f>IFERROR(VLOOKUP(January[[#This Row],[Drug Name8]],'Data Options'!$R$1:$S$100,2,FALSE), " ")</f>
        <v xml:space="preserve"> </v>
      </c>
      <c r="CB146" s="55"/>
      <c r="CC146" s="32"/>
      <c r="CD146" s="32"/>
      <c r="CE146" s="55"/>
      <c r="CF146" s="32"/>
      <c r="CG146" s="54"/>
      <c r="CH146" s="21" t="str">
        <f>IFERROR(VLOOKUP(January[[#This Row],[Drug Name9]],'Data Options'!$R$1:$S$100,2,FALSE), " ")</f>
        <v xml:space="preserve"> </v>
      </c>
      <c r="CI146" s="55"/>
      <c r="CJ146" s="32"/>
      <c r="CK146" s="32"/>
      <c r="CL146" s="55"/>
      <c r="CM146" s="32"/>
    </row>
    <row r="147" spans="1:91">
      <c r="A147" s="5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1"/>
      <c r="P147" s="31"/>
      <c r="Q147" s="54"/>
      <c r="R147" s="21" t="str">
        <f>IFERROR(VLOOKUP(January[[#This Row],[Drug Name]],'Data Options'!$R$1:$S$100,2,FALSE), " ")</f>
        <v xml:space="preserve"> </v>
      </c>
      <c r="S147" s="55"/>
      <c r="T147" s="32"/>
      <c r="U147" s="32"/>
      <c r="V147" s="55"/>
      <c r="W147" s="32"/>
      <c r="X147" s="54"/>
      <c r="Y147" s="21" t="str">
        <f>IFERROR(VLOOKUP(January[[#This Row],[Drug Name2]],'Data Options'!$R$1:$S$100,2,FALSE), " ")</f>
        <v xml:space="preserve"> </v>
      </c>
      <c r="Z147" s="55"/>
      <c r="AA147" s="32"/>
      <c r="AB147" s="32"/>
      <c r="AC147" s="55"/>
      <c r="AD147" s="32"/>
      <c r="AE147" s="54"/>
      <c r="AF147" s="21" t="str">
        <f>IFERROR(VLOOKUP(January[[#This Row],[Drug Name3]],'Data Options'!$R$1:$S$100,2,FALSE), " ")</f>
        <v xml:space="preserve"> </v>
      </c>
      <c r="AG147" s="55"/>
      <c r="AH147" s="32"/>
      <c r="AI147" s="32"/>
      <c r="AJ147" s="55"/>
      <c r="AK147" s="32"/>
      <c r="AL147" s="32"/>
      <c r="AM147" s="32"/>
      <c r="AN147" s="32"/>
      <c r="AO147" s="32"/>
      <c r="AP147" s="31"/>
      <c r="AQ147" s="31"/>
      <c r="AR147" s="54"/>
      <c r="AS147" s="21" t="str">
        <f>IFERROR(VLOOKUP(January[[#This Row],[Drug Name4]],'Data Options'!$R$1:$S$100,2,FALSE), " ")</f>
        <v xml:space="preserve"> </v>
      </c>
      <c r="AT147" s="55"/>
      <c r="AU147" s="32"/>
      <c r="AV147" s="32"/>
      <c r="AW147" s="55"/>
      <c r="AX147" s="32"/>
      <c r="AY147" s="54"/>
      <c r="AZ147" s="21" t="str">
        <f>IFERROR(VLOOKUP(January[[#This Row],[Drug Name5]],'Data Options'!$R$1:$S$100,2,FALSE), " ")</f>
        <v xml:space="preserve"> </v>
      </c>
      <c r="BA147" s="55"/>
      <c r="BB147" s="32"/>
      <c r="BC147" s="32"/>
      <c r="BD147" s="55"/>
      <c r="BE147" s="32"/>
      <c r="BF147" s="54"/>
      <c r="BG147" s="21" t="str">
        <f>IFERROR(VLOOKUP(January[[#This Row],[Drug Name6]],'Data Options'!$R$1:$S$100,2,FALSE), " ")</f>
        <v xml:space="preserve"> </v>
      </c>
      <c r="BH147" s="55"/>
      <c r="BI147" s="32"/>
      <c r="BJ147" s="32"/>
      <c r="BK147" s="55"/>
      <c r="BL147" s="32"/>
      <c r="BM147" s="32"/>
      <c r="BN147" s="32"/>
      <c r="BO147" s="32"/>
      <c r="BP147" s="32"/>
      <c r="BQ147" s="31"/>
      <c r="BR147" s="31"/>
      <c r="BS147" s="54"/>
      <c r="BT147" s="21" t="str">
        <f>IFERROR(VLOOKUP(January[[#This Row],[Drug Name7]],'Data Options'!$R$1:$S$100,2,FALSE), " ")</f>
        <v xml:space="preserve"> </v>
      </c>
      <c r="BU147" s="55"/>
      <c r="BV147" s="32"/>
      <c r="BW147" s="32"/>
      <c r="BX147" s="55"/>
      <c r="BY147" s="32"/>
      <c r="BZ147" s="54"/>
      <c r="CA147" s="21" t="str">
        <f>IFERROR(VLOOKUP(January[[#This Row],[Drug Name8]],'Data Options'!$R$1:$S$100,2,FALSE), " ")</f>
        <v xml:space="preserve"> </v>
      </c>
      <c r="CB147" s="55"/>
      <c r="CC147" s="32"/>
      <c r="CD147" s="32"/>
      <c r="CE147" s="55"/>
      <c r="CF147" s="32"/>
      <c r="CG147" s="54"/>
      <c r="CH147" s="21" t="str">
        <f>IFERROR(VLOOKUP(January[[#This Row],[Drug Name9]],'Data Options'!$R$1:$S$100,2,FALSE), " ")</f>
        <v xml:space="preserve"> </v>
      </c>
      <c r="CI147" s="55"/>
      <c r="CJ147" s="32"/>
      <c r="CK147" s="32"/>
      <c r="CL147" s="55"/>
      <c r="CM147" s="32"/>
    </row>
    <row r="148" spans="1:91">
      <c r="A148" s="5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1"/>
      <c r="P148" s="31"/>
      <c r="Q148" s="54"/>
      <c r="R148" s="21" t="str">
        <f>IFERROR(VLOOKUP(January[[#This Row],[Drug Name]],'Data Options'!$R$1:$S$100,2,FALSE), " ")</f>
        <v xml:space="preserve"> </v>
      </c>
      <c r="S148" s="55"/>
      <c r="T148" s="32"/>
      <c r="U148" s="32"/>
      <c r="V148" s="55"/>
      <c r="W148" s="32"/>
      <c r="X148" s="54"/>
      <c r="Y148" s="21" t="str">
        <f>IFERROR(VLOOKUP(January[[#This Row],[Drug Name2]],'Data Options'!$R$1:$S$100,2,FALSE), " ")</f>
        <v xml:space="preserve"> </v>
      </c>
      <c r="Z148" s="55"/>
      <c r="AA148" s="32"/>
      <c r="AB148" s="32"/>
      <c r="AC148" s="55"/>
      <c r="AD148" s="32"/>
      <c r="AE148" s="54"/>
      <c r="AF148" s="21" t="str">
        <f>IFERROR(VLOOKUP(January[[#This Row],[Drug Name3]],'Data Options'!$R$1:$S$100,2,FALSE), " ")</f>
        <v xml:space="preserve"> </v>
      </c>
      <c r="AG148" s="55"/>
      <c r="AH148" s="32"/>
      <c r="AI148" s="32"/>
      <c r="AJ148" s="55"/>
      <c r="AK148" s="32"/>
      <c r="AL148" s="32"/>
      <c r="AM148" s="32"/>
      <c r="AN148" s="32"/>
      <c r="AO148" s="32"/>
      <c r="AP148" s="31"/>
      <c r="AQ148" s="31"/>
      <c r="AR148" s="54"/>
      <c r="AS148" s="21" t="str">
        <f>IFERROR(VLOOKUP(January[[#This Row],[Drug Name4]],'Data Options'!$R$1:$S$100,2,FALSE), " ")</f>
        <v xml:space="preserve"> </v>
      </c>
      <c r="AT148" s="55"/>
      <c r="AU148" s="32"/>
      <c r="AV148" s="32"/>
      <c r="AW148" s="55"/>
      <c r="AX148" s="32"/>
      <c r="AY148" s="54"/>
      <c r="AZ148" s="21" t="str">
        <f>IFERROR(VLOOKUP(January[[#This Row],[Drug Name5]],'Data Options'!$R$1:$S$100,2,FALSE), " ")</f>
        <v xml:space="preserve"> </v>
      </c>
      <c r="BA148" s="55"/>
      <c r="BB148" s="32"/>
      <c r="BC148" s="32"/>
      <c r="BD148" s="55"/>
      <c r="BE148" s="32"/>
      <c r="BF148" s="54"/>
      <c r="BG148" s="21" t="str">
        <f>IFERROR(VLOOKUP(January[[#This Row],[Drug Name6]],'Data Options'!$R$1:$S$100,2,FALSE), " ")</f>
        <v xml:space="preserve"> </v>
      </c>
      <c r="BH148" s="55"/>
      <c r="BI148" s="32"/>
      <c r="BJ148" s="32"/>
      <c r="BK148" s="55"/>
      <c r="BL148" s="32"/>
      <c r="BM148" s="32"/>
      <c r="BN148" s="32"/>
      <c r="BO148" s="32"/>
      <c r="BP148" s="32"/>
      <c r="BQ148" s="31"/>
      <c r="BR148" s="31"/>
      <c r="BS148" s="54"/>
      <c r="BT148" s="21" t="str">
        <f>IFERROR(VLOOKUP(January[[#This Row],[Drug Name7]],'Data Options'!$R$1:$S$100,2,FALSE), " ")</f>
        <v xml:space="preserve"> </v>
      </c>
      <c r="BU148" s="55"/>
      <c r="BV148" s="32"/>
      <c r="BW148" s="32"/>
      <c r="BX148" s="55"/>
      <c r="BY148" s="32"/>
      <c r="BZ148" s="54"/>
      <c r="CA148" s="21" t="str">
        <f>IFERROR(VLOOKUP(January[[#This Row],[Drug Name8]],'Data Options'!$R$1:$S$100,2,FALSE), " ")</f>
        <v xml:space="preserve"> </v>
      </c>
      <c r="CB148" s="55"/>
      <c r="CC148" s="32"/>
      <c r="CD148" s="32"/>
      <c r="CE148" s="55"/>
      <c r="CF148" s="32"/>
      <c r="CG148" s="54"/>
      <c r="CH148" s="21" t="str">
        <f>IFERROR(VLOOKUP(January[[#This Row],[Drug Name9]],'Data Options'!$R$1:$S$100,2,FALSE), " ")</f>
        <v xml:space="preserve"> </v>
      </c>
      <c r="CI148" s="55"/>
      <c r="CJ148" s="32"/>
      <c r="CK148" s="32"/>
      <c r="CL148" s="55"/>
      <c r="CM148" s="32"/>
    </row>
    <row r="149" spans="1:91">
      <c r="A149" s="5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1"/>
      <c r="P149" s="31"/>
      <c r="Q149" s="54"/>
      <c r="R149" s="21" t="str">
        <f>IFERROR(VLOOKUP(January[[#This Row],[Drug Name]],'Data Options'!$R$1:$S$100,2,FALSE), " ")</f>
        <v xml:space="preserve"> </v>
      </c>
      <c r="S149" s="55"/>
      <c r="T149" s="32"/>
      <c r="U149" s="32"/>
      <c r="V149" s="55"/>
      <c r="W149" s="32"/>
      <c r="X149" s="54"/>
      <c r="Y149" s="21" t="str">
        <f>IFERROR(VLOOKUP(January[[#This Row],[Drug Name2]],'Data Options'!$R$1:$S$100,2,FALSE), " ")</f>
        <v xml:space="preserve"> </v>
      </c>
      <c r="Z149" s="55"/>
      <c r="AA149" s="32"/>
      <c r="AB149" s="32"/>
      <c r="AC149" s="55"/>
      <c r="AD149" s="32"/>
      <c r="AE149" s="54"/>
      <c r="AF149" s="21" t="str">
        <f>IFERROR(VLOOKUP(January[[#This Row],[Drug Name3]],'Data Options'!$R$1:$S$100,2,FALSE), " ")</f>
        <v xml:space="preserve"> </v>
      </c>
      <c r="AG149" s="55"/>
      <c r="AH149" s="32"/>
      <c r="AI149" s="32"/>
      <c r="AJ149" s="55"/>
      <c r="AK149" s="32"/>
      <c r="AL149" s="32"/>
      <c r="AM149" s="32"/>
      <c r="AN149" s="32"/>
      <c r="AO149" s="32"/>
      <c r="AP149" s="31"/>
      <c r="AQ149" s="31"/>
      <c r="AR149" s="54"/>
      <c r="AS149" s="21" t="str">
        <f>IFERROR(VLOOKUP(January[[#This Row],[Drug Name4]],'Data Options'!$R$1:$S$100,2,FALSE), " ")</f>
        <v xml:space="preserve"> </v>
      </c>
      <c r="AT149" s="55"/>
      <c r="AU149" s="32"/>
      <c r="AV149" s="32"/>
      <c r="AW149" s="55"/>
      <c r="AX149" s="32"/>
      <c r="AY149" s="54"/>
      <c r="AZ149" s="21" t="str">
        <f>IFERROR(VLOOKUP(January[[#This Row],[Drug Name5]],'Data Options'!$R$1:$S$100,2,FALSE), " ")</f>
        <v xml:space="preserve"> </v>
      </c>
      <c r="BA149" s="55"/>
      <c r="BB149" s="32"/>
      <c r="BC149" s="32"/>
      <c r="BD149" s="55"/>
      <c r="BE149" s="32"/>
      <c r="BF149" s="54"/>
      <c r="BG149" s="21" t="str">
        <f>IFERROR(VLOOKUP(January[[#This Row],[Drug Name6]],'Data Options'!$R$1:$S$100,2,FALSE), " ")</f>
        <v xml:space="preserve"> </v>
      </c>
      <c r="BH149" s="55"/>
      <c r="BI149" s="32"/>
      <c r="BJ149" s="32"/>
      <c r="BK149" s="55"/>
      <c r="BL149" s="32"/>
      <c r="BM149" s="32"/>
      <c r="BN149" s="32"/>
      <c r="BO149" s="32"/>
      <c r="BP149" s="32"/>
      <c r="BQ149" s="31"/>
      <c r="BR149" s="31"/>
      <c r="BS149" s="54"/>
      <c r="BT149" s="21" t="str">
        <f>IFERROR(VLOOKUP(January[[#This Row],[Drug Name7]],'Data Options'!$R$1:$S$100,2,FALSE), " ")</f>
        <v xml:space="preserve"> </v>
      </c>
      <c r="BU149" s="55"/>
      <c r="BV149" s="32"/>
      <c r="BW149" s="32"/>
      <c r="BX149" s="55"/>
      <c r="BY149" s="32"/>
      <c r="BZ149" s="54"/>
      <c r="CA149" s="21" t="str">
        <f>IFERROR(VLOOKUP(January[[#This Row],[Drug Name8]],'Data Options'!$R$1:$S$100,2,FALSE), " ")</f>
        <v xml:space="preserve"> </v>
      </c>
      <c r="CB149" s="55"/>
      <c r="CC149" s="32"/>
      <c r="CD149" s="32"/>
      <c r="CE149" s="55"/>
      <c r="CF149" s="32"/>
      <c r="CG149" s="54"/>
      <c r="CH149" s="21" t="str">
        <f>IFERROR(VLOOKUP(January[[#This Row],[Drug Name9]],'Data Options'!$R$1:$S$100,2,FALSE), " ")</f>
        <v xml:space="preserve"> </v>
      </c>
      <c r="CI149" s="55"/>
      <c r="CJ149" s="32"/>
      <c r="CK149" s="32"/>
      <c r="CL149" s="55"/>
      <c r="CM149" s="32"/>
    </row>
    <row r="150" spans="1:91">
      <c r="A150" s="5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1"/>
      <c r="P150" s="31"/>
      <c r="Q150" s="54"/>
      <c r="R150" s="21" t="str">
        <f>IFERROR(VLOOKUP(January[[#This Row],[Drug Name]],'Data Options'!$R$1:$S$100,2,FALSE), " ")</f>
        <v xml:space="preserve"> </v>
      </c>
      <c r="S150" s="55"/>
      <c r="T150" s="32"/>
      <c r="U150" s="32"/>
      <c r="V150" s="55"/>
      <c r="W150" s="32"/>
      <c r="X150" s="54"/>
      <c r="Y150" s="21" t="str">
        <f>IFERROR(VLOOKUP(January[[#This Row],[Drug Name2]],'Data Options'!$R$1:$S$100,2,FALSE), " ")</f>
        <v xml:space="preserve"> </v>
      </c>
      <c r="Z150" s="55"/>
      <c r="AA150" s="32"/>
      <c r="AB150" s="32"/>
      <c r="AC150" s="55"/>
      <c r="AD150" s="32"/>
      <c r="AE150" s="54"/>
      <c r="AF150" s="21" t="str">
        <f>IFERROR(VLOOKUP(January[[#This Row],[Drug Name3]],'Data Options'!$R$1:$S$100,2,FALSE), " ")</f>
        <v xml:space="preserve"> </v>
      </c>
      <c r="AG150" s="55"/>
      <c r="AH150" s="32"/>
      <c r="AI150" s="32"/>
      <c r="AJ150" s="55"/>
      <c r="AK150" s="32"/>
      <c r="AL150" s="32"/>
      <c r="AM150" s="32"/>
      <c r="AN150" s="32"/>
      <c r="AO150" s="32"/>
      <c r="AP150" s="31"/>
      <c r="AQ150" s="31"/>
      <c r="AR150" s="54"/>
      <c r="AS150" s="21" t="str">
        <f>IFERROR(VLOOKUP(January[[#This Row],[Drug Name4]],'Data Options'!$R$1:$S$100,2,FALSE), " ")</f>
        <v xml:space="preserve"> </v>
      </c>
      <c r="AT150" s="55"/>
      <c r="AU150" s="32"/>
      <c r="AV150" s="32"/>
      <c r="AW150" s="55"/>
      <c r="AX150" s="32"/>
      <c r="AY150" s="54"/>
      <c r="AZ150" s="21" t="str">
        <f>IFERROR(VLOOKUP(January[[#This Row],[Drug Name5]],'Data Options'!$R$1:$S$100,2,FALSE), " ")</f>
        <v xml:space="preserve"> </v>
      </c>
      <c r="BA150" s="55"/>
      <c r="BB150" s="32"/>
      <c r="BC150" s="32"/>
      <c r="BD150" s="55"/>
      <c r="BE150" s="32"/>
      <c r="BF150" s="54"/>
      <c r="BG150" s="21" t="str">
        <f>IFERROR(VLOOKUP(January[[#This Row],[Drug Name6]],'Data Options'!$R$1:$S$100,2,FALSE), " ")</f>
        <v xml:space="preserve"> </v>
      </c>
      <c r="BH150" s="55"/>
      <c r="BI150" s="32"/>
      <c r="BJ150" s="32"/>
      <c r="BK150" s="55"/>
      <c r="BL150" s="32"/>
      <c r="BM150" s="32"/>
      <c r="BN150" s="32"/>
      <c r="BO150" s="32"/>
      <c r="BP150" s="32"/>
      <c r="BQ150" s="31"/>
      <c r="BR150" s="31"/>
      <c r="BS150" s="54"/>
      <c r="BT150" s="21" t="str">
        <f>IFERROR(VLOOKUP(January[[#This Row],[Drug Name7]],'Data Options'!$R$1:$S$100,2,FALSE), " ")</f>
        <v xml:space="preserve"> </v>
      </c>
      <c r="BU150" s="55"/>
      <c r="BV150" s="32"/>
      <c r="BW150" s="32"/>
      <c r="BX150" s="55"/>
      <c r="BY150" s="32"/>
      <c r="BZ150" s="54"/>
      <c r="CA150" s="21" t="str">
        <f>IFERROR(VLOOKUP(January[[#This Row],[Drug Name8]],'Data Options'!$R$1:$S$100,2,FALSE), " ")</f>
        <v xml:space="preserve"> </v>
      </c>
      <c r="CB150" s="55"/>
      <c r="CC150" s="32"/>
      <c r="CD150" s="32"/>
      <c r="CE150" s="55"/>
      <c r="CF150" s="32"/>
      <c r="CG150" s="54"/>
      <c r="CH150" s="21" t="str">
        <f>IFERROR(VLOOKUP(January[[#This Row],[Drug Name9]],'Data Options'!$R$1:$S$100,2,FALSE), " ")</f>
        <v xml:space="preserve"> </v>
      </c>
      <c r="CI150" s="55"/>
      <c r="CJ150" s="32"/>
      <c r="CK150" s="32"/>
      <c r="CL150" s="55"/>
      <c r="CM150" s="32"/>
    </row>
    <row r="151" spans="1:91">
      <c r="A151" s="5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1"/>
      <c r="P151" s="31"/>
      <c r="Q151" s="54"/>
      <c r="R151" s="21" t="str">
        <f>IFERROR(VLOOKUP(January[[#This Row],[Drug Name]],'Data Options'!$R$1:$S$100,2,FALSE), " ")</f>
        <v xml:space="preserve"> </v>
      </c>
      <c r="S151" s="55"/>
      <c r="T151" s="32"/>
      <c r="U151" s="32"/>
      <c r="V151" s="55"/>
      <c r="W151" s="32"/>
      <c r="X151" s="54"/>
      <c r="Y151" s="21" t="str">
        <f>IFERROR(VLOOKUP(January[[#This Row],[Drug Name2]],'Data Options'!$R$1:$S$100,2,FALSE), " ")</f>
        <v xml:space="preserve"> </v>
      </c>
      <c r="Z151" s="55"/>
      <c r="AA151" s="32"/>
      <c r="AB151" s="32"/>
      <c r="AC151" s="55"/>
      <c r="AD151" s="32"/>
      <c r="AE151" s="54"/>
      <c r="AF151" s="21" t="str">
        <f>IFERROR(VLOOKUP(January[[#This Row],[Drug Name3]],'Data Options'!$R$1:$S$100,2,FALSE), " ")</f>
        <v xml:space="preserve"> </v>
      </c>
      <c r="AG151" s="55"/>
      <c r="AH151" s="32"/>
      <c r="AI151" s="32"/>
      <c r="AJ151" s="55"/>
      <c r="AK151" s="32"/>
      <c r="AL151" s="32"/>
      <c r="AM151" s="32"/>
      <c r="AN151" s="32"/>
      <c r="AO151" s="32"/>
      <c r="AP151" s="31"/>
      <c r="AQ151" s="31"/>
      <c r="AR151" s="54"/>
      <c r="AS151" s="21" t="str">
        <f>IFERROR(VLOOKUP(January[[#This Row],[Drug Name4]],'Data Options'!$R$1:$S$100,2,FALSE), " ")</f>
        <v xml:space="preserve"> </v>
      </c>
      <c r="AT151" s="55"/>
      <c r="AU151" s="32"/>
      <c r="AV151" s="32"/>
      <c r="AW151" s="55"/>
      <c r="AX151" s="32"/>
      <c r="AY151" s="54"/>
      <c r="AZ151" s="21" t="str">
        <f>IFERROR(VLOOKUP(January[[#This Row],[Drug Name5]],'Data Options'!$R$1:$S$100,2,FALSE), " ")</f>
        <v xml:space="preserve"> </v>
      </c>
      <c r="BA151" s="55"/>
      <c r="BB151" s="32"/>
      <c r="BC151" s="32"/>
      <c r="BD151" s="55"/>
      <c r="BE151" s="32"/>
      <c r="BF151" s="54"/>
      <c r="BG151" s="21" t="str">
        <f>IFERROR(VLOOKUP(January[[#This Row],[Drug Name6]],'Data Options'!$R$1:$S$100,2,FALSE), " ")</f>
        <v xml:space="preserve"> </v>
      </c>
      <c r="BH151" s="55"/>
      <c r="BI151" s="32"/>
      <c r="BJ151" s="32"/>
      <c r="BK151" s="55"/>
      <c r="BL151" s="32"/>
      <c r="BM151" s="32"/>
      <c r="BN151" s="32"/>
      <c r="BO151" s="32"/>
      <c r="BP151" s="32"/>
      <c r="BQ151" s="31"/>
      <c r="BR151" s="31"/>
      <c r="BS151" s="54"/>
      <c r="BT151" s="21" t="str">
        <f>IFERROR(VLOOKUP(January[[#This Row],[Drug Name7]],'Data Options'!$R$1:$S$100,2,FALSE), " ")</f>
        <v xml:space="preserve"> </v>
      </c>
      <c r="BU151" s="55"/>
      <c r="BV151" s="32"/>
      <c r="BW151" s="32"/>
      <c r="BX151" s="55"/>
      <c r="BY151" s="32"/>
      <c r="BZ151" s="54"/>
      <c r="CA151" s="21" t="str">
        <f>IFERROR(VLOOKUP(January[[#This Row],[Drug Name8]],'Data Options'!$R$1:$S$100,2,FALSE), " ")</f>
        <v xml:space="preserve"> </v>
      </c>
      <c r="CB151" s="55"/>
      <c r="CC151" s="32"/>
      <c r="CD151" s="32"/>
      <c r="CE151" s="55"/>
      <c r="CF151" s="32"/>
      <c r="CG151" s="54"/>
      <c r="CH151" s="21" t="str">
        <f>IFERROR(VLOOKUP(January[[#This Row],[Drug Name9]],'Data Options'!$R$1:$S$100,2,FALSE), " ")</f>
        <v xml:space="preserve"> </v>
      </c>
      <c r="CI151" s="55"/>
      <c r="CJ151" s="32"/>
      <c r="CK151" s="32"/>
      <c r="CL151" s="55"/>
      <c r="CM151" s="32"/>
    </row>
    <row r="152" spans="1:91">
      <c r="A152" s="5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1"/>
      <c r="P152" s="31"/>
      <c r="Q152" s="54"/>
      <c r="R152" s="21" t="str">
        <f>IFERROR(VLOOKUP(January[[#This Row],[Drug Name]],'Data Options'!$R$1:$S$100,2,FALSE), " ")</f>
        <v xml:space="preserve"> </v>
      </c>
      <c r="S152" s="55"/>
      <c r="T152" s="32"/>
      <c r="U152" s="32"/>
      <c r="V152" s="55"/>
      <c r="W152" s="32"/>
      <c r="X152" s="54"/>
      <c r="Y152" s="21" t="str">
        <f>IFERROR(VLOOKUP(January[[#This Row],[Drug Name2]],'Data Options'!$R$1:$S$100,2,FALSE), " ")</f>
        <v xml:space="preserve"> </v>
      </c>
      <c r="Z152" s="55"/>
      <c r="AA152" s="32"/>
      <c r="AB152" s="32"/>
      <c r="AC152" s="55"/>
      <c r="AD152" s="32"/>
      <c r="AE152" s="54"/>
      <c r="AF152" s="21" t="str">
        <f>IFERROR(VLOOKUP(January[[#This Row],[Drug Name3]],'Data Options'!$R$1:$S$100,2,FALSE), " ")</f>
        <v xml:space="preserve"> </v>
      </c>
      <c r="AG152" s="55"/>
      <c r="AH152" s="32"/>
      <c r="AI152" s="32"/>
      <c r="AJ152" s="55"/>
      <c r="AK152" s="32"/>
      <c r="AL152" s="32"/>
      <c r="AM152" s="32"/>
      <c r="AN152" s="32"/>
      <c r="AO152" s="32"/>
      <c r="AP152" s="31"/>
      <c r="AQ152" s="31"/>
      <c r="AR152" s="54"/>
      <c r="AS152" s="21" t="str">
        <f>IFERROR(VLOOKUP(January[[#This Row],[Drug Name4]],'Data Options'!$R$1:$S$100,2,FALSE), " ")</f>
        <v xml:space="preserve"> </v>
      </c>
      <c r="AT152" s="55"/>
      <c r="AU152" s="32"/>
      <c r="AV152" s="32"/>
      <c r="AW152" s="55"/>
      <c r="AX152" s="32"/>
      <c r="AY152" s="54"/>
      <c r="AZ152" s="21" t="str">
        <f>IFERROR(VLOOKUP(January[[#This Row],[Drug Name5]],'Data Options'!$R$1:$S$100,2,FALSE), " ")</f>
        <v xml:space="preserve"> </v>
      </c>
      <c r="BA152" s="55"/>
      <c r="BB152" s="32"/>
      <c r="BC152" s="32"/>
      <c r="BD152" s="55"/>
      <c r="BE152" s="32"/>
      <c r="BF152" s="54"/>
      <c r="BG152" s="21" t="str">
        <f>IFERROR(VLOOKUP(January[[#This Row],[Drug Name6]],'Data Options'!$R$1:$S$100,2,FALSE), " ")</f>
        <v xml:space="preserve"> </v>
      </c>
      <c r="BH152" s="55"/>
      <c r="BI152" s="32"/>
      <c r="BJ152" s="32"/>
      <c r="BK152" s="55"/>
      <c r="BL152" s="32"/>
      <c r="BM152" s="32"/>
      <c r="BN152" s="32"/>
      <c r="BO152" s="32"/>
      <c r="BP152" s="32"/>
      <c r="BQ152" s="31"/>
      <c r="BR152" s="31"/>
      <c r="BS152" s="54"/>
      <c r="BT152" s="21" t="str">
        <f>IFERROR(VLOOKUP(January[[#This Row],[Drug Name7]],'Data Options'!$R$1:$S$100,2,FALSE), " ")</f>
        <v xml:space="preserve"> </v>
      </c>
      <c r="BU152" s="55"/>
      <c r="BV152" s="32"/>
      <c r="BW152" s="32"/>
      <c r="BX152" s="55"/>
      <c r="BY152" s="32"/>
      <c r="BZ152" s="54"/>
      <c r="CA152" s="21" t="str">
        <f>IFERROR(VLOOKUP(January[[#This Row],[Drug Name8]],'Data Options'!$R$1:$S$100,2,FALSE), " ")</f>
        <v xml:space="preserve"> </v>
      </c>
      <c r="CB152" s="55"/>
      <c r="CC152" s="32"/>
      <c r="CD152" s="32"/>
      <c r="CE152" s="55"/>
      <c r="CF152" s="32"/>
      <c r="CG152" s="54"/>
      <c r="CH152" s="21" t="str">
        <f>IFERROR(VLOOKUP(January[[#This Row],[Drug Name9]],'Data Options'!$R$1:$S$100,2,FALSE), " ")</f>
        <v xml:space="preserve"> </v>
      </c>
      <c r="CI152" s="55"/>
      <c r="CJ152" s="32"/>
      <c r="CK152" s="32"/>
      <c r="CL152" s="55"/>
      <c r="CM152" s="32"/>
    </row>
    <row r="153" spans="1:91">
      <c r="A153" s="5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1"/>
      <c r="P153" s="31"/>
      <c r="Q153" s="54"/>
      <c r="R153" s="21" t="str">
        <f>IFERROR(VLOOKUP(January[[#This Row],[Drug Name]],'Data Options'!$R$1:$S$100,2,FALSE), " ")</f>
        <v xml:space="preserve"> </v>
      </c>
      <c r="S153" s="55"/>
      <c r="T153" s="32"/>
      <c r="U153" s="32"/>
      <c r="V153" s="55"/>
      <c r="W153" s="32"/>
      <c r="X153" s="54"/>
      <c r="Y153" s="21" t="str">
        <f>IFERROR(VLOOKUP(January[[#This Row],[Drug Name2]],'Data Options'!$R$1:$S$100,2,FALSE), " ")</f>
        <v xml:space="preserve"> </v>
      </c>
      <c r="Z153" s="55"/>
      <c r="AA153" s="32"/>
      <c r="AB153" s="32"/>
      <c r="AC153" s="55"/>
      <c r="AD153" s="32"/>
      <c r="AE153" s="54"/>
      <c r="AF153" s="21" t="str">
        <f>IFERROR(VLOOKUP(January[[#This Row],[Drug Name3]],'Data Options'!$R$1:$S$100,2,FALSE), " ")</f>
        <v xml:space="preserve"> </v>
      </c>
      <c r="AG153" s="55"/>
      <c r="AH153" s="32"/>
      <c r="AI153" s="32"/>
      <c r="AJ153" s="55"/>
      <c r="AK153" s="32"/>
      <c r="AL153" s="32"/>
      <c r="AM153" s="32"/>
      <c r="AN153" s="32"/>
      <c r="AO153" s="32"/>
      <c r="AP153" s="31"/>
      <c r="AQ153" s="31"/>
      <c r="AR153" s="54"/>
      <c r="AS153" s="21" t="str">
        <f>IFERROR(VLOOKUP(January[[#This Row],[Drug Name4]],'Data Options'!$R$1:$S$100,2,FALSE), " ")</f>
        <v xml:space="preserve"> </v>
      </c>
      <c r="AT153" s="55"/>
      <c r="AU153" s="32"/>
      <c r="AV153" s="32"/>
      <c r="AW153" s="55"/>
      <c r="AX153" s="32"/>
      <c r="AY153" s="54"/>
      <c r="AZ153" s="21" t="str">
        <f>IFERROR(VLOOKUP(January[[#This Row],[Drug Name5]],'Data Options'!$R$1:$S$100,2,FALSE), " ")</f>
        <v xml:space="preserve"> </v>
      </c>
      <c r="BA153" s="55"/>
      <c r="BB153" s="32"/>
      <c r="BC153" s="32"/>
      <c r="BD153" s="55"/>
      <c r="BE153" s="32"/>
      <c r="BF153" s="54"/>
      <c r="BG153" s="21" t="str">
        <f>IFERROR(VLOOKUP(January[[#This Row],[Drug Name6]],'Data Options'!$R$1:$S$100,2,FALSE), " ")</f>
        <v xml:space="preserve"> </v>
      </c>
      <c r="BH153" s="55"/>
      <c r="BI153" s="32"/>
      <c r="BJ153" s="32"/>
      <c r="BK153" s="55"/>
      <c r="BL153" s="32"/>
      <c r="BM153" s="32"/>
      <c r="BN153" s="32"/>
      <c r="BO153" s="32"/>
      <c r="BP153" s="32"/>
      <c r="BQ153" s="31"/>
      <c r="BR153" s="31"/>
      <c r="BS153" s="54"/>
      <c r="BT153" s="21" t="str">
        <f>IFERROR(VLOOKUP(January[[#This Row],[Drug Name7]],'Data Options'!$R$1:$S$100,2,FALSE), " ")</f>
        <v xml:space="preserve"> </v>
      </c>
      <c r="BU153" s="55"/>
      <c r="BV153" s="32"/>
      <c r="BW153" s="32"/>
      <c r="BX153" s="55"/>
      <c r="BY153" s="32"/>
      <c r="BZ153" s="54"/>
      <c r="CA153" s="21" t="str">
        <f>IFERROR(VLOOKUP(January[[#This Row],[Drug Name8]],'Data Options'!$R$1:$S$100,2,FALSE), " ")</f>
        <v xml:space="preserve"> </v>
      </c>
      <c r="CB153" s="55"/>
      <c r="CC153" s="32"/>
      <c r="CD153" s="32"/>
      <c r="CE153" s="55"/>
      <c r="CF153" s="32"/>
      <c r="CG153" s="54"/>
      <c r="CH153" s="21" t="str">
        <f>IFERROR(VLOOKUP(January[[#This Row],[Drug Name9]],'Data Options'!$R$1:$S$100,2,FALSE), " ")</f>
        <v xml:space="preserve"> </v>
      </c>
      <c r="CI153" s="55"/>
      <c r="CJ153" s="32"/>
      <c r="CK153" s="32"/>
      <c r="CL153" s="55"/>
      <c r="CM153" s="32"/>
    </row>
    <row r="154" spans="1:91">
      <c r="A154" s="5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1"/>
      <c r="P154" s="31"/>
      <c r="Q154" s="54"/>
      <c r="R154" s="21" t="str">
        <f>IFERROR(VLOOKUP(January[[#This Row],[Drug Name]],'Data Options'!$R$1:$S$100,2,FALSE), " ")</f>
        <v xml:space="preserve"> </v>
      </c>
      <c r="S154" s="55"/>
      <c r="T154" s="32"/>
      <c r="U154" s="32"/>
      <c r="V154" s="55"/>
      <c r="W154" s="32"/>
      <c r="X154" s="54"/>
      <c r="Y154" s="21" t="str">
        <f>IFERROR(VLOOKUP(January[[#This Row],[Drug Name2]],'Data Options'!$R$1:$S$100,2,FALSE), " ")</f>
        <v xml:space="preserve"> </v>
      </c>
      <c r="Z154" s="55"/>
      <c r="AA154" s="32"/>
      <c r="AB154" s="32"/>
      <c r="AC154" s="55"/>
      <c r="AD154" s="32"/>
      <c r="AE154" s="54"/>
      <c r="AF154" s="21" t="str">
        <f>IFERROR(VLOOKUP(January[[#This Row],[Drug Name3]],'Data Options'!$R$1:$S$100,2,FALSE), " ")</f>
        <v xml:space="preserve"> </v>
      </c>
      <c r="AG154" s="55"/>
      <c r="AH154" s="32"/>
      <c r="AI154" s="32"/>
      <c r="AJ154" s="55"/>
      <c r="AK154" s="32"/>
      <c r="AL154" s="32"/>
      <c r="AM154" s="32"/>
      <c r="AN154" s="32"/>
      <c r="AO154" s="32"/>
      <c r="AP154" s="31"/>
      <c r="AQ154" s="31"/>
      <c r="AR154" s="54"/>
      <c r="AS154" s="21" t="str">
        <f>IFERROR(VLOOKUP(January[[#This Row],[Drug Name4]],'Data Options'!$R$1:$S$100,2,FALSE), " ")</f>
        <v xml:space="preserve"> </v>
      </c>
      <c r="AT154" s="55"/>
      <c r="AU154" s="32"/>
      <c r="AV154" s="32"/>
      <c r="AW154" s="55"/>
      <c r="AX154" s="32"/>
      <c r="AY154" s="54"/>
      <c r="AZ154" s="21" t="str">
        <f>IFERROR(VLOOKUP(January[[#This Row],[Drug Name5]],'Data Options'!$R$1:$S$100,2,FALSE), " ")</f>
        <v xml:space="preserve"> </v>
      </c>
      <c r="BA154" s="55"/>
      <c r="BB154" s="32"/>
      <c r="BC154" s="32"/>
      <c r="BD154" s="55"/>
      <c r="BE154" s="32"/>
      <c r="BF154" s="54"/>
      <c r="BG154" s="21" t="str">
        <f>IFERROR(VLOOKUP(January[[#This Row],[Drug Name6]],'Data Options'!$R$1:$S$100,2,FALSE), " ")</f>
        <v xml:space="preserve"> </v>
      </c>
      <c r="BH154" s="55"/>
      <c r="BI154" s="32"/>
      <c r="BJ154" s="32"/>
      <c r="BK154" s="55"/>
      <c r="BL154" s="32"/>
      <c r="BM154" s="32"/>
      <c r="BN154" s="32"/>
      <c r="BO154" s="32"/>
      <c r="BP154" s="32"/>
      <c r="BQ154" s="31"/>
      <c r="BR154" s="31"/>
      <c r="BS154" s="54"/>
      <c r="BT154" s="21" t="str">
        <f>IFERROR(VLOOKUP(January[[#This Row],[Drug Name7]],'Data Options'!$R$1:$S$100,2,FALSE), " ")</f>
        <v xml:space="preserve"> </v>
      </c>
      <c r="BU154" s="55"/>
      <c r="BV154" s="32"/>
      <c r="BW154" s="32"/>
      <c r="BX154" s="55"/>
      <c r="BY154" s="32"/>
      <c r="BZ154" s="54"/>
      <c r="CA154" s="21" t="str">
        <f>IFERROR(VLOOKUP(January[[#This Row],[Drug Name8]],'Data Options'!$R$1:$S$100,2,FALSE), " ")</f>
        <v xml:space="preserve"> </v>
      </c>
      <c r="CB154" s="55"/>
      <c r="CC154" s="32"/>
      <c r="CD154" s="32"/>
      <c r="CE154" s="55"/>
      <c r="CF154" s="32"/>
      <c r="CG154" s="54"/>
      <c r="CH154" s="21" t="str">
        <f>IFERROR(VLOOKUP(January[[#This Row],[Drug Name9]],'Data Options'!$R$1:$S$100,2,FALSE), " ")</f>
        <v xml:space="preserve"> </v>
      </c>
      <c r="CI154" s="55"/>
      <c r="CJ154" s="32"/>
      <c r="CK154" s="32"/>
      <c r="CL154" s="55"/>
      <c r="CM154" s="32"/>
    </row>
    <row r="155" spans="1:91">
      <c r="A155" s="5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54"/>
      <c r="R155" s="21" t="str">
        <f>IFERROR(VLOOKUP(January[[#This Row],[Drug Name]],'Data Options'!$R$1:$S$100,2,FALSE), " ")</f>
        <v xml:space="preserve"> </v>
      </c>
      <c r="S155" s="55"/>
      <c r="T155" s="32"/>
      <c r="U155" s="32"/>
      <c r="V155" s="55"/>
      <c r="W155" s="32"/>
      <c r="X155" s="54"/>
      <c r="Y155" s="21" t="str">
        <f>IFERROR(VLOOKUP(January[[#This Row],[Drug Name2]],'Data Options'!$R$1:$S$100,2,FALSE), " ")</f>
        <v xml:space="preserve"> </v>
      </c>
      <c r="Z155" s="55"/>
      <c r="AA155" s="32"/>
      <c r="AB155" s="32"/>
      <c r="AC155" s="55"/>
      <c r="AD155" s="32"/>
      <c r="AE155" s="54"/>
      <c r="AF155" s="21" t="str">
        <f>IFERROR(VLOOKUP(January[[#This Row],[Drug Name3]],'Data Options'!$R$1:$S$100,2,FALSE), " ")</f>
        <v xml:space="preserve"> </v>
      </c>
      <c r="AG155" s="55"/>
      <c r="AH155" s="32"/>
      <c r="AI155" s="32"/>
      <c r="AJ155" s="55"/>
      <c r="AK155" s="32"/>
      <c r="AL155" s="32"/>
      <c r="AM155" s="32"/>
      <c r="AN155" s="32"/>
      <c r="AO155" s="32"/>
      <c r="AP155" s="31"/>
      <c r="AQ155" s="31"/>
      <c r="AR155" s="54"/>
      <c r="AS155" s="21" t="str">
        <f>IFERROR(VLOOKUP(January[[#This Row],[Drug Name4]],'Data Options'!$R$1:$S$100,2,FALSE), " ")</f>
        <v xml:space="preserve"> </v>
      </c>
      <c r="AT155" s="55"/>
      <c r="AU155" s="32"/>
      <c r="AV155" s="32"/>
      <c r="AW155" s="55"/>
      <c r="AX155" s="32"/>
      <c r="AY155" s="54"/>
      <c r="AZ155" s="21" t="str">
        <f>IFERROR(VLOOKUP(January[[#This Row],[Drug Name5]],'Data Options'!$R$1:$S$100,2,FALSE), " ")</f>
        <v xml:space="preserve"> </v>
      </c>
      <c r="BA155" s="55"/>
      <c r="BB155" s="32"/>
      <c r="BC155" s="32"/>
      <c r="BD155" s="55"/>
      <c r="BE155" s="32"/>
      <c r="BF155" s="54"/>
      <c r="BG155" s="21" t="str">
        <f>IFERROR(VLOOKUP(January[[#This Row],[Drug Name6]],'Data Options'!$R$1:$S$100,2,FALSE), " ")</f>
        <v xml:space="preserve"> </v>
      </c>
      <c r="BH155" s="55"/>
      <c r="BI155" s="32"/>
      <c r="BJ155" s="32"/>
      <c r="BK155" s="55"/>
      <c r="BL155" s="32"/>
      <c r="BM155" s="32"/>
      <c r="BN155" s="32"/>
      <c r="BO155" s="32"/>
      <c r="BP155" s="32"/>
      <c r="BQ155" s="31"/>
      <c r="BR155" s="31"/>
      <c r="BS155" s="54"/>
      <c r="BT155" s="21" t="str">
        <f>IFERROR(VLOOKUP(January[[#This Row],[Drug Name7]],'Data Options'!$R$1:$S$100,2,FALSE), " ")</f>
        <v xml:space="preserve"> </v>
      </c>
      <c r="BU155" s="55"/>
      <c r="BV155" s="32"/>
      <c r="BW155" s="32"/>
      <c r="BX155" s="55"/>
      <c r="BY155" s="32"/>
      <c r="BZ155" s="54"/>
      <c r="CA155" s="21" t="str">
        <f>IFERROR(VLOOKUP(January[[#This Row],[Drug Name8]],'Data Options'!$R$1:$S$100,2,FALSE), " ")</f>
        <v xml:space="preserve"> </v>
      </c>
      <c r="CB155" s="55"/>
      <c r="CC155" s="32"/>
      <c r="CD155" s="32"/>
      <c r="CE155" s="55"/>
      <c r="CF155" s="32"/>
      <c r="CG155" s="54"/>
      <c r="CH155" s="21" t="str">
        <f>IFERROR(VLOOKUP(January[[#This Row],[Drug Name9]],'Data Options'!$R$1:$S$100,2,FALSE), " ")</f>
        <v xml:space="preserve"> </v>
      </c>
      <c r="CI155" s="55"/>
      <c r="CJ155" s="32"/>
      <c r="CK155" s="32"/>
      <c r="CL155" s="55"/>
      <c r="CM155" s="32"/>
    </row>
    <row r="156" spans="1:91">
      <c r="A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1"/>
      <c r="P156" s="31"/>
      <c r="Q156" s="54"/>
      <c r="R156" s="21" t="str">
        <f>IFERROR(VLOOKUP(January[[#This Row],[Drug Name]],'Data Options'!$R$1:$S$100,2,FALSE), " ")</f>
        <v xml:space="preserve"> </v>
      </c>
      <c r="S156" s="55"/>
      <c r="T156" s="32"/>
      <c r="U156" s="32"/>
      <c r="V156" s="55"/>
      <c r="W156" s="32"/>
      <c r="X156" s="54"/>
      <c r="Y156" s="21" t="str">
        <f>IFERROR(VLOOKUP(January[[#This Row],[Drug Name2]],'Data Options'!$R$1:$S$100,2,FALSE), " ")</f>
        <v xml:space="preserve"> </v>
      </c>
      <c r="Z156" s="55"/>
      <c r="AA156" s="32"/>
      <c r="AB156" s="32"/>
      <c r="AC156" s="55"/>
      <c r="AD156" s="32"/>
      <c r="AE156" s="54"/>
      <c r="AF156" s="21" t="str">
        <f>IFERROR(VLOOKUP(January[[#This Row],[Drug Name3]],'Data Options'!$R$1:$S$100,2,FALSE), " ")</f>
        <v xml:space="preserve"> </v>
      </c>
      <c r="AG156" s="55"/>
      <c r="AH156" s="32"/>
      <c r="AI156" s="32"/>
      <c r="AJ156" s="55"/>
      <c r="AK156" s="32"/>
      <c r="AL156" s="32"/>
      <c r="AM156" s="32"/>
      <c r="AN156" s="32"/>
      <c r="AO156" s="32"/>
      <c r="AP156" s="31"/>
      <c r="AQ156" s="31"/>
      <c r="AR156" s="54"/>
      <c r="AS156" s="21" t="str">
        <f>IFERROR(VLOOKUP(January[[#This Row],[Drug Name4]],'Data Options'!$R$1:$S$100,2,FALSE), " ")</f>
        <v xml:space="preserve"> </v>
      </c>
      <c r="AT156" s="55"/>
      <c r="AU156" s="32"/>
      <c r="AV156" s="32"/>
      <c r="AW156" s="55"/>
      <c r="AX156" s="32"/>
      <c r="AY156" s="54"/>
      <c r="AZ156" s="21" t="str">
        <f>IFERROR(VLOOKUP(January[[#This Row],[Drug Name5]],'Data Options'!$R$1:$S$100,2,FALSE), " ")</f>
        <v xml:space="preserve"> </v>
      </c>
      <c r="BA156" s="55"/>
      <c r="BB156" s="32"/>
      <c r="BC156" s="32"/>
      <c r="BD156" s="55"/>
      <c r="BE156" s="32"/>
      <c r="BF156" s="54"/>
      <c r="BG156" s="21" t="str">
        <f>IFERROR(VLOOKUP(January[[#This Row],[Drug Name6]],'Data Options'!$R$1:$S$100,2,FALSE), " ")</f>
        <v xml:space="preserve"> </v>
      </c>
      <c r="BH156" s="55"/>
      <c r="BI156" s="32"/>
      <c r="BJ156" s="32"/>
      <c r="BK156" s="55"/>
      <c r="BL156" s="32"/>
      <c r="BM156" s="32"/>
      <c r="BN156" s="32"/>
      <c r="BO156" s="32"/>
      <c r="BP156" s="32"/>
      <c r="BQ156" s="31"/>
      <c r="BR156" s="31"/>
      <c r="BS156" s="54"/>
      <c r="BT156" s="21" t="str">
        <f>IFERROR(VLOOKUP(January[[#This Row],[Drug Name7]],'Data Options'!$R$1:$S$100,2,FALSE), " ")</f>
        <v xml:space="preserve"> </v>
      </c>
      <c r="BU156" s="55"/>
      <c r="BV156" s="32"/>
      <c r="BW156" s="32"/>
      <c r="BX156" s="55"/>
      <c r="BY156" s="32"/>
      <c r="BZ156" s="54"/>
      <c r="CA156" s="21" t="str">
        <f>IFERROR(VLOOKUP(January[[#This Row],[Drug Name8]],'Data Options'!$R$1:$S$100,2,FALSE), " ")</f>
        <v xml:space="preserve"> </v>
      </c>
      <c r="CB156" s="55"/>
      <c r="CC156" s="32"/>
      <c r="CD156" s="32"/>
      <c r="CE156" s="55"/>
      <c r="CF156" s="32"/>
      <c r="CG156" s="54"/>
      <c r="CH156" s="21" t="str">
        <f>IFERROR(VLOOKUP(January[[#This Row],[Drug Name9]],'Data Options'!$R$1:$S$100,2,FALSE), " ")</f>
        <v xml:space="preserve"> </v>
      </c>
      <c r="CI156" s="55"/>
      <c r="CJ156" s="32"/>
      <c r="CK156" s="32"/>
      <c r="CL156" s="55"/>
      <c r="CM156" s="32"/>
    </row>
    <row r="157" spans="1:91">
      <c r="A157" s="5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1"/>
      <c r="P157" s="31"/>
      <c r="Q157" s="54"/>
      <c r="R157" s="21" t="str">
        <f>IFERROR(VLOOKUP(January[[#This Row],[Drug Name]],'Data Options'!$R$1:$S$100,2,FALSE), " ")</f>
        <v xml:space="preserve"> </v>
      </c>
      <c r="S157" s="55"/>
      <c r="T157" s="32"/>
      <c r="U157" s="32"/>
      <c r="V157" s="55"/>
      <c r="W157" s="32"/>
      <c r="X157" s="54"/>
      <c r="Y157" s="21" t="str">
        <f>IFERROR(VLOOKUP(January[[#This Row],[Drug Name2]],'Data Options'!$R$1:$S$100,2,FALSE), " ")</f>
        <v xml:space="preserve"> </v>
      </c>
      <c r="Z157" s="55"/>
      <c r="AA157" s="32"/>
      <c r="AB157" s="32"/>
      <c r="AC157" s="55"/>
      <c r="AD157" s="32"/>
      <c r="AE157" s="54"/>
      <c r="AF157" s="21" t="str">
        <f>IFERROR(VLOOKUP(January[[#This Row],[Drug Name3]],'Data Options'!$R$1:$S$100,2,FALSE), " ")</f>
        <v xml:space="preserve"> </v>
      </c>
      <c r="AG157" s="55"/>
      <c r="AH157" s="32"/>
      <c r="AI157" s="32"/>
      <c r="AJ157" s="55"/>
      <c r="AK157" s="32"/>
      <c r="AL157" s="32"/>
      <c r="AM157" s="32"/>
      <c r="AN157" s="32"/>
      <c r="AO157" s="32"/>
      <c r="AP157" s="31"/>
      <c r="AQ157" s="31"/>
      <c r="AR157" s="54"/>
      <c r="AS157" s="21" t="str">
        <f>IFERROR(VLOOKUP(January[[#This Row],[Drug Name4]],'Data Options'!$R$1:$S$100,2,FALSE), " ")</f>
        <v xml:space="preserve"> </v>
      </c>
      <c r="AT157" s="55"/>
      <c r="AU157" s="32"/>
      <c r="AV157" s="32"/>
      <c r="AW157" s="55"/>
      <c r="AX157" s="32"/>
      <c r="AY157" s="54"/>
      <c r="AZ157" s="21" t="str">
        <f>IFERROR(VLOOKUP(January[[#This Row],[Drug Name5]],'Data Options'!$R$1:$S$100,2,FALSE), " ")</f>
        <v xml:space="preserve"> </v>
      </c>
      <c r="BA157" s="55"/>
      <c r="BB157" s="32"/>
      <c r="BC157" s="32"/>
      <c r="BD157" s="55"/>
      <c r="BE157" s="32"/>
      <c r="BF157" s="54"/>
      <c r="BG157" s="21" t="str">
        <f>IFERROR(VLOOKUP(January[[#This Row],[Drug Name6]],'Data Options'!$R$1:$S$100,2,FALSE), " ")</f>
        <v xml:space="preserve"> </v>
      </c>
      <c r="BH157" s="55"/>
      <c r="BI157" s="32"/>
      <c r="BJ157" s="32"/>
      <c r="BK157" s="55"/>
      <c r="BL157" s="32"/>
      <c r="BM157" s="32"/>
      <c r="BN157" s="32"/>
      <c r="BO157" s="32"/>
      <c r="BP157" s="32"/>
      <c r="BQ157" s="31"/>
      <c r="BR157" s="31"/>
      <c r="BS157" s="54"/>
      <c r="BT157" s="21" t="str">
        <f>IFERROR(VLOOKUP(January[[#This Row],[Drug Name7]],'Data Options'!$R$1:$S$100,2,FALSE), " ")</f>
        <v xml:space="preserve"> </v>
      </c>
      <c r="BU157" s="55"/>
      <c r="BV157" s="32"/>
      <c r="BW157" s="32"/>
      <c r="BX157" s="55"/>
      <c r="BY157" s="32"/>
      <c r="BZ157" s="54"/>
      <c r="CA157" s="21" t="str">
        <f>IFERROR(VLOOKUP(January[[#This Row],[Drug Name8]],'Data Options'!$R$1:$S$100,2,FALSE), " ")</f>
        <v xml:space="preserve"> </v>
      </c>
      <c r="CB157" s="55"/>
      <c r="CC157" s="32"/>
      <c r="CD157" s="32"/>
      <c r="CE157" s="55"/>
      <c r="CF157" s="32"/>
      <c r="CG157" s="54"/>
      <c r="CH157" s="21" t="str">
        <f>IFERROR(VLOOKUP(January[[#This Row],[Drug Name9]],'Data Options'!$R$1:$S$100,2,FALSE), " ")</f>
        <v xml:space="preserve"> </v>
      </c>
      <c r="CI157" s="55"/>
      <c r="CJ157" s="32"/>
      <c r="CK157" s="32"/>
      <c r="CL157" s="55"/>
      <c r="CM157" s="32"/>
    </row>
    <row r="158" spans="1:91">
      <c r="A158" s="5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1"/>
      <c r="P158" s="31"/>
      <c r="Q158" s="54"/>
      <c r="R158" s="21" t="str">
        <f>IFERROR(VLOOKUP(January[[#This Row],[Drug Name]],'Data Options'!$R$1:$S$100,2,FALSE), " ")</f>
        <v xml:space="preserve"> </v>
      </c>
      <c r="S158" s="55"/>
      <c r="T158" s="32"/>
      <c r="U158" s="32"/>
      <c r="V158" s="55"/>
      <c r="W158" s="32"/>
      <c r="X158" s="54"/>
      <c r="Y158" s="21" t="str">
        <f>IFERROR(VLOOKUP(January[[#This Row],[Drug Name2]],'Data Options'!$R$1:$S$100,2,FALSE), " ")</f>
        <v xml:space="preserve"> </v>
      </c>
      <c r="Z158" s="55"/>
      <c r="AA158" s="32"/>
      <c r="AB158" s="32"/>
      <c r="AC158" s="55"/>
      <c r="AD158" s="32"/>
      <c r="AE158" s="54"/>
      <c r="AF158" s="21" t="str">
        <f>IFERROR(VLOOKUP(January[[#This Row],[Drug Name3]],'Data Options'!$R$1:$S$100,2,FALSE), " ")</f>
        <v xml:space="preserve"> </v>
      </c>
      <c r="AG158" s="55"/>
      <c r="AH158" s="32"/>
      <c r="AI158" s="32"/>
      <c r="AJ158" s="55"/>
      <c r="AK158" s="32"/>
      <c r="AL158" s="32"/>
      <c r="AM158" s="32"/>
      <c r="AN158" s="32"/>
      <c r="AO158" s="32"/>
      <c r="AP158" s="31"/>
      <c r="AQ158" s="31"/>
      <c r="AR158" s="54"/>
      <c r="AS158" s="21" t="str">
        <f>IFERROR(VLOOKUP(January[[#This Row],[Drug Name4]],'Data Options'!$R$1:$S$100,2,FALSE), " ")</f>
        <v xml:space="preserve"> </v>
      </c>
      <c r="AT158" s="55"/>
      <c r="AU158" s="32"/>
      <c r="AV158" s="32"/>
      <c r="AW158" s="55"/>
      <c r="AX158" s="32"/>
      <c r="AY158" s="54"/>
      <c r="AZ158" s="21" t="str">
        <f>IFERROR(VLOOKUP(January[[#This Row],[Drug Name5]],'Data Options'!$R$1:$S$100,2,FALSE), " ")</f>
        <v xml:space="preserve"> </v>
      </c>
      <c r="BA158" s="55"/>
      <c r="BB158" s="32"/>
      <c r="BC158" s="32"/>
      <c r="BD158" s="55"/>
      <c r="BE158" s="32"/>
      <c r="BF158" s="54"/>
      <c r="BG158" s="21" t="str">
        <f>IFERROR(VLOOKUP(January[[#This Row],[Drug Name6]],'Data Options'!$R$1:$S$100,2,FALSE), " ")</f>
        <v xml:space="preserve"> </v>
      </c>
      <c r="BH158" s="55"/>
      <c r="BI158" s="32"/>
      <c r="BJ158" s="32"/>
      <c r="BK158" s="55"/>
      <c r="BL158" s="32"/>
      <c r="BM158" s="32"/>
      <c r="BN158" s="32"/>
      <c r="BO158" s="32"/>
      <c r="BP158" s="32"/>
      <c r="BQ158" s="31"/>
      <c r="BR158" s="31"/>
      <c r="BS158" s="54"/>
      <c r="BT158" s="21" t="str">
        <f>IFERROR(VLOOKUP(January[[#This Row],[Drug Name7]],'Data Options'!$R$1:$S$100,2,FALSE), " ")</f>
        <v xml:space="preserve"> </v>
      </c>
      <c r="BU158" s="55"/>
      <c r="BV158" s="32"/>
      <c r="BW158" s="32"/>
      <c r="BX158" s="55"/>
      <c r="BY158" s="32"/>
      <c r="BZ158" s="54"/>
      <c r="CA158" s="21" t="str">
        <f>IFERROR(VLOOKUP(January[[#This Row],[Drug Name8]],'Data Options'!$R$1:$S$100,2,FALSE), " ")</f>
        <v xml:space="preserve"> </v>
      </c>
      <c r="CB158" s="55"/>
      <c r="CC158" s="32"/>
      <c r="CD158" s="32"/>
      <c r="CE158" s="55"/>
      <c r="CF158" s="32"/>
      <c r="CG158" s="54"/>
      <c r="CH158" s="21" t="str">
        <f>IFERROR(VLOOKUP(January[[#This Row],[Drug Name9]],'Data Options'!$R$1:$S$100,2,FALSE), " ")</f>
        <v xml:space="preserve"> </v>
      </c>
      <c r="CI158" s="55"/>
      <c r="CJ158" s="32"/>
      <c r="CK158" s="32"/>
      <c r="CL158" s="55"/>
      <c r="CM158" s="32"/>
    </row>
    <row r="159" spans="1:91">
      <c r="A159" s="5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1"/>
      <c r="P159" s="31"/>
      <c r="Q159" s="54"/>
      <c r="R159" s="21" t="str">
        <f>IFERROR(VLOOKUP(January[[#This Row],[Drug Name]],'Data Options'!$R$1:$S$100,2,FALSE), " ")</f>
        <v xml:space="preserve"> </v>
      </c>
      <c r="S159" s="55"/>
      <c r="T159" s="32"/>
      <c r="U159" s="32"/>
      <c r="V159" s="55"/>
      <c r="W159" s="32"/>
      <c r="X159" s="54"/>
      <c r="Y159" s="21" t="str">
        <f>IFERROR(VLOOKUP(January[[#This Row],[Drug Name2]],'Data Options'!$R$1:$S$100,2,FALSE), " ")</f>
        <v xml:space="preserve"> </v>
      </c>
      <c r="Z159" s="55"/>
      <c r="AA159" s="32"/>
      <c r="AB159" s="32"/>
      <c r="AC159" s="55"/>
      <c r="AD159" s="32"/>
      <c r="AE159" s="54"/>
      <c r="AF159" s="21" t="str">
        <f>IFERROR(VLOOKUP(January[[#This Row],[Drug Name3]],'Data Options'!$R$1:$S$100,2,FALSE), " ")</f>
        <v xml:space="preserve"> </v>
      </c>
      <c r="AG159" s="55"/>
      <c r="AH159" s="32"/>
      <c r="AI159" s="32"/>
      <c r="AJ159" s="55"/>
      <c r="AK159" s="32"/>
      <c r="AL159" s="32"/>
      <c r="AM159" s="32"/>
      <c r="AN159" s="32"/>
      <c r="AO159" s="32"/>
      <c r="AP159" s="31"/>
      <c r="AQ159" s="31"/>
      <c r="AR159" s="54"/>
      <c r="AS159" s="21" t="str">
        <f>IFERROR(VLOOKUP(January[[#This Row],[Drug Name4]],'Data Options'!$R$1:$S$100,2,FALSE), " ")</f>
        <v xml:space="preserve"> </v>
      </c>
      <c r="AT159" s="55"/>
      <c r="AU159" s="32"/>
      <c r="AV159" s="32"/>
      <c r="AW159" s="55"/>
      <c r="AX159" s="32"/>
      <c r="AY159" s="54"/>
      <c r="AZ159" s="21" t="str">
        <f>IFERROR(VLOOKUP(January[[#This Row],[Drug Name5]],'Data Options'!$R$1:$S$100,2,FALSE), " ")</f>
        <v xml:space="preserve"> </v>
      </c>
      <c r="BA159" s="55"/>
      <c r="BB159" s="32"/>
      <c r="BC159" s="32"/>
      <c r="BD159" s="55"/>
      <c r="BE159" s="32"/>
      <c r="BF159" s="54"/>
      <c r="BG159" s="21" t="str">
        <f>IFERROR(VLOOKUP(January[[#This Row],[Drug Name6]],'Data Options'!$R$1:$S$100,2,FALSE), " ")</f>
        <v xml:space="preserve"> </v>
      </c>
      <c r="BH159" s="55"/>
      <c r="BI159" s="32"/>
      <c r="BJ159" s="32"/>
      <c r="BK159" s="55"/>
      <c r="BL159" s="32"/>
      <c r="BM159" s="32"/>
      <c r="BN159" s="32"/>
      <c r="BO159" s="32"/>
      <c r="BP159" s="32"/>
      <c r="BQ159" s="31"/>
      <c r="BR159" s="31"/>
      <c r="BS159" s="54"/>
      <c r="BT159" s="21" t="str">
        <f>IFERROR(VLOOKUP(January[[#This Row],[Drug Name7]],'Data Options'!$R$1:$S$100,2,FALSE), " ")</f>
        <v xml:space="preserve"> </v>
      </c>
      <c r="BU159" s="55"/>
      <c r="BV159" s="32"/>
      <c r="BW159" s="32"/>
      <c r="BX159" s="55"/>
      <c r="BY159" s="32"/>
      <c r="BZ159" s="54"/>
      <c r="CA159" s="21" t="str">
        <f>IFERROR(VLOOKUP(January[[#This Row],[Drug Name8]],'Data Options'!$R$1:$S$100,2,FALSE), " ")</f>
        <v xml:space="preserve"> </v>
      </c>
      <c r="CB159" s="55"/>
      <c r="CC159" s="32"/>
      <c r="CD159" s="32"/>
      <c r="CE159" s="55"/>
      <c r="CF159" s="32"/>
      <c r="CG159" s="54"/>
      <c r="CH159" s="21" t="str">
        <f>IFERROR(VLOOKUP(January[[#This Row],[Drug Name9]],'Data Options'!$R$1:$S$100,2,FALSE), " ")</f>
        <v xml:space="preserve"> </v>
      </c>
      <c r="CI159" s="55"/>
      <c r="CJ159" s="32"/>
      <c r="CK159" s="32"/>
      <c r="CL159" s="55"/>
      <c r="CM159" s="32"/>
    </row>
    <row r="160" spans="1:91">
      <c r="A160" s="5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1"/>
      <c r="P160" s="31"/>
      <c r="Q160" s="54"/>
      <c r="R160" s="21" t="str">
        <f>IFERROR(VLOOKUP(January[[#This Row],[Drug Name]],'Data Options'!$R$1:$S$100,2,FALSE), " ")</f>
        <v xml:space="preserve"> </v>
      </c>
      <c r="S160" s="55"/>
      <c r="T160" s="32"/>
      <c r="U160" s="32"/>
      <c r="V160" s="55"/>
      <c r="W160" s="32"/>
      <c r="X160" s="54"/>
      <c r="Y160" s="21" t="str">
        <f>IFERROR(VLOOKUP(January[[#This Row],[Drug Name2]],'Data Options'!$R$1:$S$100,2,FALSE), " ")</f>
        <v xml:space="preserve"> </v>
      </c>
      <c r="Z160" s="55"/>
      <c r="AA160" s="32"/>
      <c r="AB160" s="32"/>
      <c r="AC160" s="55"/>
      <c r="AD160" s="32"/>
      <c r="AE160" s="54"/>
      <c r="AF160" s="21" t="str">
        <f>IFERROR(VLOOKUP(January[[#This Row],[Drug Name3]],'Data Options'!$R$1:$S$100,2,FALSE), " ")</f>
        <v xml:space="preserve"> </v>
      </c>
      <c r="AG160" s="55"/>
      <c r="AH160" s="32"/>
      <c r="AI160" s="32"/>
      <c r="AJ160" s="55"/>
      <c r="AK160" s="32"/>
      <c r="AL160" s="32"/>
      <c r="AM160" s="32"/>
      <c r="AN160" s="32"/>
      <c r="AO160" s="32"/>
      <c r="AP160" s="31"/>
      <c r="AQ160" s="31"/>
      <c r="AR160" s="54"/>
      <c r="AS160" s="21" t="str">
        <f>IFERROR(VLOOKUP(January[[#This Row],[Drug Name4]],'Data Options'!$R$1:$S$100,2,FALSE), " ")</f>
        <v xml:space="preserve"> </v>
      </c>
      <c r="AT160" s="55"/>
      <c r="AU160" s="32"/>
      <c r="AV160" s="32"/>
      <c r="AW160" s="55"/>
      <c r="AX160" s="32"/>
      <c r="AY160" s="54"/>
      <c r="AZ160" s="21" t="str">
        <f>IFERROR(VLOOKUP(January[[#This Row],[Drug Name5]],'Data Options'!$R$1:$S$100,2,FALSE), " ")</f>
        <v xml:space="preserve"> </v>
      </c>
      <c r="BA160" s="55"/>
      <c r="BB160" s="32"/>
      <c r="BC160" s="32"/>
      <c r="BD160" s="55"/>
      <c r="BE160" s="32"/>
      <c r="BF160" s="54"/>
      <c r="BG160" s="21" t="str">
        <f>IFERROR(VLOOKUP(January[[#This Row],[Drug Name6]],'Data Options'!$R$1:$S$100,2,FALSE), " ")</f>
        <v xml:space="preserve"> </v>
      </c>
      <c r="BH160" s="55"/>
      <c r="BI160" s="32"/>
      <c r="BJ160" s="32"/>
      <c r="BK160" s="55"/>
      <c r="BL160" s="32"/>
      <c r="BM160" s="32"/>
      <c r="BN160" s="32"/>
      <c r="BO160" s="32"/>
      <c r="BP160" s="32"/>
      <c r="BQ160" s="31"/>
      <c r="BR160" s="31"/>
      <c r="BS160" s="54"/>
      <c r="BT160" s="21" t="str">
        <f>IFERROR(VLOOKUP(January[[#This Row],[Drug Name7]],'Data Options'!$R$1:$S$100,2,FALSE), " ")</f>
        <v xml:space="preserve"> </v>
      </c>
      <c r="BU160" s="55"/>
      <c r="BV160" s="32"/>
      <c r="BW160" s="32"/>
      <c r="BX160" s="55"/>
      <c r="BY160" s="32"/>
      <c r="BZ160" s="54"/>
      <c r="CA160" s="21" t="str">
        <f>IFERROR(VLOOKUP(January[[#This Row],[Drug Name8]],'Data Options'!$R$1:$S$100,2,FALSE), " ")</f>
        <v xml:space="preserve"> </v>
      </c>
      <c r="CB160" s="55"/>
      <c r="CC160" s="32"/>
      <c r="CD160" s="32"/>
      <c r="CE160" s="55"/>
      <c r="CF160" s="32"/>
      <c r="CG160" s="54"/>
      <c r="CH160" s="21" t="str">
        <f>IFERROR(VLOOKUP(January[[#This Row],[Drug Name9]],'Data Options'!$R$1:$S$100,2,FALSE), " ")</f>
        <v xml:space="preserve"> </v>
      </c>
      <c r="CI160" s="55"/>
      <c r="CJ160" s="32"/>
      <c r="CK160" s="32"/>
      <c r="CL160" s="55"/>
      <c r="CM160" s="32"/>
    </row>
    <row r="161" spans="1:91">
      <c r="A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1"/>
      <c r="P161" s="31"/>
      <c r="Q161" s="54"/>
      <c r="R161" s="21" t="str">
        <f>IFERROR(VLOOKUP(January[[#This Row],[Drug Name]],'Data Options'!$R$1:$S$100,2,FALSE), " ")</f>
        <v xml:space="preserve"> </v>
      </c>
      <c r="S161" s="55"/>
      <c r="T161" s="32"/>
      <c r="U161" s="32"/>
      <c r="V161" s="55"/>
      <c r="W161" s="32"/>
      <c r="X161" s="54"/>
      <c r="Y161" s="21" t="str">
        <f>IFERROR(VLOOKUP(January[[#This Row],[Drug Name2]],'Data Options'!$R$1:$S$100,2,FALSE), " ")</f>
        <v xml:space="preserve"> </v>
      </c>
      <c r="Z161" s="55"/>
      <c r="AA161" s="32"/>
      <c r="AB161" s="32"/>
      <c r="AC161" s="55"/>
      <c r="AD161" s="32"/>
      <c r="AE161" s="54"/>
      <c r="AF161" s="21" t="str">
        <f>IFERROR(VLOOKUP(January[[#This Row],[Drug Name3]],'Data Options'!$R$1:$S$100,2,FALSE), " ")</f>
        <v xml:space="preserve"> </v>
      </c>
      <c r="AG161" s="55"/>
      <c r="AH161" s="32"/>
      <c r="AI161" s="32"/>
      <c r="AJ161" s="55"/>
      <c r="AK161" s="32"/>
      <c r="AL161" s="32"/>
      <c r="AM161" s="32"/>
      <c r="AN161" s="32"/>
      <c r="AO161" s="32"/>
      <c r="AP161" s="31"/>
      <c r="AQ161" s="31"/>
      <c r="AR161" s="54"/>
      <c r="AS161" s="21" t="str">
        <f>IFERROR(VLOOKUP(January[[#This Row],[Drug Name4]],'Data Options'!$R$1:$S$100,2,FALSE), " ")</f>
        <v xml:space="preserve"> </v>
      </c>
      <c r="AT161" s="55"/>
      <c r="AU161" s="32"/>
      <c r="AV161" s="32"/>
      <c r="AW161" s="55"/>
      <c r="AX161" s="32"/>
      <c r="AY161" s="54"/>
      <c r="AZ161" s="21" t="str">
        <f>IFERROR(VLOOKUP(January[[#This Row],[Drug Name5]],'Data Options'!$R$1:$S$100,2,FALSE), " ")</f>
        <v xml:space="preserve"> </v>
      </c>
      <c r="BA161" s="55"/>
      <c r="BB161" s="32"/>
      <c r="BC161" s="32"/>
      <c r="BD161" s="55"/>
      <c r="BE161" s="32"/>
      <c r="BF161" s="54"/>
      <c r="BG161" s="21" t="str">
        <f>IFERROR(VLOOKUP(January[[#This Row],[Drug Name6]],'Data Options'!$R$1:$S$100,2,FALSE), " ")</f>
        <v xml:space="preserve"> </v>
      </c>
      <c r="BH161" s="55"/>
      <c r="BI161" s="32"/>
      <c r="BJ161" s="32"/>
      <c r="BK161" s="55"/>
      <c r="BL161" s="32"/>
      <c r="BM161" s="32"/>
      <c r="BN161" s="32"/>
      <c r="BO161" s="32"/>
      <c r="BP161" s="32"/>
      <c r="BQ161" s="31"/>
      <c r="BR161" s="31"/>
      <c r="BS161" s="54"/>
      <c r="BT161" s="21" t="str">
        <f>IFERROR(VLOOKUP(January[[#This Row],[Drug Name7]],'Data Options'!$R$1:$S$100,2,FALSE), " ")</f>
        <v xml:space="preserve"> </v>
      </c>
      <c r="BU161" s="55"/>
      <c r="BV161" s="32"/>
      <c r="BW161" s="32"/>
      <c r="BX161" s="55"/>
      <c r="BY161" s="32"/>
      <c r="BZ161" s="54"/>
      <c r="CA161" s="21" t="str">
        <f>IFERROR(VLOOKUP(January[[#This Row],[Drug Name8]],'Data Options'!$R$1:$S$100,2,FALSE), " ")</f>
        <v xml:space="preserve"> </v>
      </c>
      <c r="CB161" s="55"/>
      <c r="CC161" s="32"/>
      <c r="CD161" s="32"/>
      <c r="CE161" s="55"/>
      <c r="CF161" s="32"/>
      <c r="CG161" s="54"/>
      <c r="CH161" s="21" t="str">
        <f>IFERROR(VLOOKUP(January[[#This Row],[Drug Name9]],'Data Options'!$R$1:$S$100,2,FALSE), " ")</f>
        <v xml:space="preserve"> </v>
      </c>
      <c r="CI161" s="55"/>
      <c r="CJ161" s="32"/>
      <c r="CK161" s="32"/>
      <c r="CL161" s="55"/>
      <c r="CM161" s="32"/>
    </row>
    <row r="162" spans="1:91">
      <c r="A162" s="5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1"/>
      <c r="P162" s="31"/>
      <c r="Q162" s="54"/>
      <c r="R162" s="21" t="str">
        <f>IFERROR(VLOOKUP(January[[#This Row],[Drug Name]],'Data Options'!$R$1:$S$100,2,FALSE), " ")</f>
        <v xml:space="preserve"> </v>
      </c>
      <c r="S162" s="55"/>
      <c r="T162" s="32"/>
      <c r="U162" s="32"/>
      <c r="V162" s="55"/>
      <c r="W162" s="32"/>
      <c r="X162" s="54"/>
      <c r="Y162" s="21" t="str">
        <f>IFERROR(VLOOKUP(January[[#This Row],[Drug Name2]],'Data Options'!$R$1:$S$100,2,FALSE), " ")</f>
        <v xml:space="preserve"> </v>
      </c>
      <c r="Z162" s="55"/>
      <c r="AA162" s="32"/>
      <c r="AB162" s="32"/>
      <c r="AC162" s="55"/>
      <c r="AD162" s="32"/>
      <c r="AE162" s="54"/>
      <c r="AF162" s="21" t="str">
        <f>IFERROR(VLOOKUP(January[[#This Row],[Drug Name3]],'Data Options'!$R$1:$S$100,2,FALSE), " ")</f>
        <v xml:space="preserve"> </v>
      </c>
      <c r="AG162" s="55"/>
      <c r="AH162" s="32"/>
      <c r="AI162" s="32"/>
      <c r="AJ162" s="55"/>
      <c r="AK162" s="32"/>
      <c r="AL162" s="32"/>
      <c r="AM162" s="32"/>
      <c r="AN162" s="32"/>
      <c r="AO162" s="32"/>
      <c r="AP162" s="31"/>
      <c r="AQ162" s="31"/>
      <c r="AR162" s="54"/>
      <c r="AS162" s="21" t="str">
        <f>IFERROR(VLOOKUP(January[[#This Row],[Drug Name4]],'Data Options'!$R$1:$S$100,2,FALSE), " ")</f>
        <v xml:space="preserve"> </v>
      </c>
      <c r="AT162" s="55"/>
      <c r="AU162" s="32"/>
      <c r="AV162" s="32"/>
      <c r="AW162" s="55"/>
      <c r="AX162" s="32"/>
      <c r="AY162" s="54"/>
      <c r="AZ162" s="21" t="str">
        <f>IFERROR(VLOOKUP(January[[#This Row],[Drug Name5]],'Data Options'!$R$1:$S$100,2,FALSE), " ")</f>
        <v xml:space="preserve"> </v>
      </c>
      <c r="BA162" s="55"/>
      <c r="BB162" s="32"/>
      <c r="BC162" s="32"/>
      <c r="BD162" s="55"/>
      <c r="BE162" s="32"/>
      <c r="BF162" s="54"/>
      <c r="BG162" s="21" t="str">
        <f>IFERROR(VLOOKUP(January[[#This Row],[Drug Name6]],'Data Options'!$R$1:$S$100,2,FALSE), " ")</f>
        <v xml:space="preserve"> </v>
      </c>
      <c r="BH162" s="55"/>
      <c r="BI162" s="32"/>
      <c r="BJ162" s="32"/>
      <c r="BK162" s="55"/>
      <c r="BL162" s="32"/>
      <c r="BM162" s="32"/>
      <c r="BN162" s="32"/>
      <c r="BO162" s="32"/>
      <c r="BP162" s="32"/>
      <c r="BQ162" s="31"/>
      <c r="BR162" s="31"/>
      <c r="BS162" s="54"/>
      <c r="BT162" s="21" t="str">
        <f>IFERROR(VLOOKUP(January[[#This Row],[Drug Name7]],'Data Options'!$R$1:$S$100,2,FALSE), " ")</f>
        <v xml:space="preserve"> </v>
      </c>
      <c r="BU162" s="55"/>
      <c r="BV162" s="32"/>
      <c r="BW162" s="32"/>
      <c r="BX162" s="55"/>
      <c r="BY162" s="32"/>
      <c r="BZ162" s="54"/>
      <c r="CA162" s="21" t="str">
        <f>IFERROR(VLOOKUP(January[[#This Row],[Drug Name8]],'Data Options'!$R$1:$S$100,2,FALSE), " ")</f>
        <v xml:space="preserve"> </v>
      </c>
      <c r="CB162" s="55"/>
      <c r="CC162" s="32"/>
      <c r="CD162" s="32"/>
      <c r="CE162" s="55"/>
      <c r="CF162" s="32"/>
      <c r="CG162" s="54"/>
      <c r="CH162" s="21" t="str">
        <f>IFERROR(VLOOKUP(January[[#This Row],[Drug Name9]],'Data Options'!$R$1:$S$100,2,FALSE), " ")</f>
        <v xml:space="preserve"> </v>
      </c>
      <c r="CI162" s="55"/>
      <c r="CJ162" s="32"/>
      <c r="CK162" s="32"/>
      <c r="CL162" s="55"/>
      <c r="CM162" s="32"/>
    </row>
    <row r="163" spans="1:91">
      <c r="A163" s="5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1"/>
      <c r="P163" s="31"/>
      <c r="Q163" s="54"/>
      <c r="R163" s="21" t="str">
        <f>IFERROR(VLOOKUP(January[[#This Row],[Drug Name]],'Data Options'!$R$1:$S$100,2,FALSE), " ")</f>
        <v xml:space="preserve"> </v>
      </c>
      <c r="S163" s="55"/>
      <c r="T163" s="32"/>
      <c r="U163" s="32"/>
      <c r="V163" s="55"/>
      <c r="W163" s="32"/>
      <c r="X163" s="54"/>
      <c r="Y163" s="21" t="str">
        <f>IFERROR(VLOOKUP(January[[#This Row],[Drug Name2]],'Data Options'!$R$1:$S$100,2,FALSE), " ")</f>
        <v xml:space="preserve"> </v>
      </c>
      <c r="Z163" s="55"/>
      <c r="AA163" s="32"/>
      <c r="AB163" s="32"/>
      <c r="AC163" s="55"/>
      <c r="AD163" s="32"/>
      <c r="AE163" s="54"/>
      <c r="AF163" s="21" t="str">
        <f>IFERROR(VLOOKUP(January[[#This Row],[Drug Name3]],'Data Options'!$R$1:$S$100,2,FALSE), " ")</f>
        <v xml:space="preserve"> </v>
      </c>
      <c r="AG163" s="55"/>
      <c r="AH163" s="32"/>
      <c r="AI163" s="32"/>
      <c r="AJ163" s="55"/>
      <c r="AK163" s="32"/>
      <c r="AL163" s="32"/>
      <c r="AM163" s="32"/>
      <c r="AN163" s="32"/>
      <c r="AO163" s="32"/>
      <c r="AP163" s="31"/>
      <c r="AQ163" s="31"/>
      <c r="AR163" s="54"/>
      <c r="AS163" s="21" t="str">
        <f>IFERROR(VLOOKUP(January[[#This Row],[Drug Name4]],'Data Options'!$R$1:$S$100,2,FALSE), " ")</f>
        <v xml:space="preserve"> </v>
      </c>
      <c r="AT163" s="55"/>
      <c r="AU163" s="32"/>
      <c r="AV163" s="32"/>
      <c r="AW163" s="55"/>
      <c r="AX163" s="32"/>
      <c r="AY163" s="54"/>
      <c r="AZ163" s="21" t="str">
        <f>IFERROR(VLOOKUP(January[[#This Row],[Drug Name5]],'Data Options'!$R$1:$S$100,2,FALSE), " ")</f>
        <v xml:space="preserve"> </v>
      </c>
      <c r="BA163" s="55"/>
      <c r="BB163" s="32"/>
      <c r="BC163" s="32"/>
      <c r="BD163" s="55"/>
      <c r="BE163" s="32"/>
      <c r="BF163" s="54"/>
      <c r="BG163" s="21" t="str">
        <f>IFERROR(VLOOKUP(January[[#This Row],[Drug Name6]],'Data Options'!$R$1:$S$100,2,FALSE), " ")</f>
        <v xml:space="preserve"> </v>
      </c>
      <c r="BH163" s="55"/>
      <c r="BI163" s="32"/>
      <c r="BJ163" s="32"/>
      <c r="BK163" s="55"/>
      <c r="BL163" s="32"/>
      <c r="BM163" s="32"/>
      <c r="BN163" s="32"/>
      <c r="BO163" s="32"/>
      <c r="BP163" s="32"/>
      <c r="BQ163" s="31"/>
      <c r="BR163" s="31"/>
      <c r="BS163" s="54"/>
      <c r="BT163" s="21" t="str">
        <f>IFERROR(VLOOKUP(January[[#This Row],[Drug Name7]],'Data Options'!$R$1:$S$100,2,FALSE), " ")</f>
        <v xml:space="preserve"> </v>
      </c>
      <c r="BU163" s="55"/>
      <c r="BV163" s="32"/>
      <c r="BW163" s="32"/>
      <c r="BX163" s="55"/>
      <c r="BY163" s="32"/>
      <c r="BZ163" s="54"/>
      <c r="CA163" s="21" t="str">
        <f>IFERROR(VLOOKUP(January[[#This Row],[Drug Name8]],'Data Options'!$R$1:$S$100,2,FALSE), " ")</f>
        <v xml:space="preserve"> </v>
      </c>
      <c r="CB163" s="55"/>
      <c r="CC163" s="32"/>
      <c r="CD163" s="32"/>
      <c r="CE163" s="55"/>
      <c r="CF163" s="32"/>
      <c r="CG163" s="54"/>
      <c r="CH163" s="21" t="str">
        <f>IFERROR(VLOOKUP(January[[#This Row],[Drug Name9]],'Data Options'!$R$1:$S$100,2,FALSE), " ")</f>
        <v xml:space="preserve"> </v>
      </c>
      <c r="CI163" s="55"/>
      <c r="CJ163" s="32"/>
      <c r="CK163" s="32"/>
      <c r="CL163" s="55"/>
      <c r="CM163" s="32"/>
    </row>
    <row r="164" spans="1:91">
      <c r="A164" s="5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1"/>
      <c r="P164" s="31"/>
      <c r="Q164" s="54"/>
      <c r="R164" s="21" t="str">
        <f>IFERROR(VLOOKUP(January[[#This Row],[Drug Name]],'Data Options'!$R$1:$S$100,2,FALSE), " ")</f>
        <v xml:space="preserve"> </v>
      </c>
      <c r="S164" s="55"/>
      <c r="T164" s="32"/>
      <c r="U164" s="32"/>
      <c r="V164" s="55"/>
      <c r="W164" s="32"/>
      <c r="X164" s="54"/>
      <c r="Y164" s="21" t="str">
        <f>IFERROR(VLOOKUP(January[[#This Row],[Drug Name2]],'Data Options'!$R$1:$S$100,2,FALSE), " ")</f>
        <v xml:space="preserve"> </v>
      </c>
      <c r="Z164" s="55"/>
      <c r="AA164" s="32"/>
      <c r="AB164" s="32"/>
      <c r="AC164" s="55"/>
      <c r="AD164" s="32"/>
      <c r="AE164" s="54"/>
      <c r="AF164" s="21" t="str">
        <f>IFERROR(VLOOKUP(January[[#This Row],[Drug Name3]],'Data Options'!$R$1:$S$100,2,FALSE), " ")</f>
        <v xml:space="preserve"> </v>
      </c>
      <c r="AG164" s="55"/>
      <c r="AH164" s="32"/>
      <c r="AI164" s="32"/>
      <c r="AJ164" s="55"/>
      <c r="AK164" s="32"/>
      <c r="AL164" s="32"/>
      <c r="AM164" s="32"/>
      <c r="AN164" s="32"/>
      <c r="AO164" s="32"/>
      <c r="AP164" s="31"/>
      <c r="AQ164" s="31"/>
      <c r="AR164" s="54"/>
      <c r="AS164" s="21" t="str">
        <f>IFERROR(VLOOKUP(January[[#This Row],[Drug Name4]],'Data Options'!$R$1:$S$100,2,FALSE), " ")</f>
        <v xml:space="preserve"> </v>
      </c>
      <c r="AT164" s="55"/>
      <c r="AU164" s="32"/>
      <c r="AV164" s="32"/>
      <c r="AW164" s="55"/>
      <c r="AX164" s="32"/>
      <c r="AY164" s="54"/>
      <c r="AZ164" s="21" t="str">
        <f>IFERROR(VLOOKUP(January[[#This Row],[Drug Name5]],'Data Options'!$R$1:$S$100,2,FALSE), " ")</f>
        <v xml:space="preserve"> </v>
      </c>
      <c r="BA164" s="55"/>
      <c r="BB164" s="32"/>
      <c r="BC164" s="32"/>
      <c r="BD164" s="55"/>
      <c r="BE164" s="32"/>
      <c r="BF164" s="54"/>
      <c r="BG164" s="21" t="str">
        <f>IFERROR(VLOOKUP(January[[#This Row],[Drug Name6]],'Data Options'!$R$1:$S$100,2,FALSE), " ")</f>
        <v xml:space="preserve"> </v>
      </c>
      <c r="BH164" s="55"/>
      <c r="BI164" s="32"/>
      <c r="BJ164" s="32"/>
      <c r="BK164" s="55"/>
      <c r="BL164" s="32"/>
      <c r="BM164" s="32"/>
      <c r="BN164" s="32"/>
      <c r="BO164" s="32"/>
      <c r="BP164" s="32"/>
      <c r="BQ164" s="31"/>
      <c r="BR164" s="31"/>
      <c r="BS164" s="54"/>
      <c r="BT164" s="21" t="str">
        <f>IFERROR(VLOOKUP(January[[#This Row],[Drug Name7]],'Data Options'!$R$1:$S$100,2,FALSE), " ")</f>
        <v xml:space="preserve"> </v>
      </c>
      <c r="BU164" s="55"/>
      <c r="BV164" s="32"/>
      <c r="BW164" s="32"/>
      <c r="BX164" s="55"/>
      <c r="BY164" s="32"/>
      <c r="BZ164" s="54"/>
      <c r="CA164" s="21" t="str">
        <f>IFERROR(VLOOKUP(January[[#This Row],[Drug Name8]],'Data Options'!$R$1:$S$100,2,FALSE), " ")</f>
        <v xml:space="preserve"> </v>
      </c>
      <c r="CB164" s="55"/>
      <c r="CC164" s="32"/>
      <c r="CD164" s="32"/>
      <c r="CE164" s="55"/>
      <c r="CF164" s="32"/>
      <c r="CG164" s="54"/>
      <c r="CH164" s="21" t="str">
        <f>IFERROR(VLOOKUP(January[[#This Row],[Drug Name9]],'Data Options'!$R$1:$S$100,2,FALSE), " ")</f>
        <v xml:space="preserve"> </v>
      </c>
      <c r="CI164" s="55"/>
      <c r="CJ164" s="32"/>
      <c r="CK164" s="32"/>
      <c r="CL164" s="55"/>
      <c r="CM164" s="32"/>
    </row>
    <row r="165" spans="1:91">
      <c r="A165" s="5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1"/>
      <c r="P165" s="31"/>
      <c r="Q165" s="54"/>
      <c r="R165" s="21" t="str">
        <f>IFERROR(VLOOKUP(January[[#This Row],[Drug Name]],'Data Options'!$R$1:$S$100,2,FALSE), " ")</f>
        <v xml:space="preserve"> </v>
      </c>
      <c r="S165" s="55"/>
      <c r="T165" s="32"/>
      <c r="U165" s="32"/>
      <c r="V165" s="55"/>
      <c r="W165" s="32"/>
      <c r="X165" s="54"/>
      <c r="Y165" s="21" t="str">
        <f>IFERROR(VLOOKUP(January[[#This Row],[Drug Name2]],'Data Options'!$R$1:$S$100,2,FALSE), " ")</f>
        <v xml:space="preserve"> </v>
      </c>
      <c r="Z165" s="55"/>
      <c r="AA165" s="32"/>
      <c r="AB165" s="32"/>
      <c r="AC165" s="55"/>
      <c r="AD165" s="32"/>
      <c r="AE165" s="54"/>
      <c r="AF165" s="21" t="str">
        <f>IFERROR(VLOOKUP(January[[#This Row],[Drug Name3]],'Data Options'!$R$1:$S$100,2,FALSE), " ")</f>
        <v xml:space="preserve"> </v>
      </c>
      <c r="AG165" s="55"/>
      <c r="AH165" s="32"/>
      <c r="AI165" s="32"/>
      <c r="AJ165" s="55"/>
      <c r="AK165" s="32"/>
      <c r="AL165" s="32"/>
      <c r="AM165" s="32"/>
      <c r="AN165" s="32"/>
      <c r="AO165" s="32"/>
      <c r="AP165" s="31"/>
      <c r="AQ165" s="31"/>
      <c r="AR165" s="54"/>
      <c r="AS165" s="21" t="str">
        <f>IFERROR(VLOOKUP(January[[#This Row],[Drug Name4]],'Data Options'!$R$1:$S$100,2,FALSE), " ")</f>
        <v xml:space="preserve"> </v>
      </c>
      <c r="AT165" s="55"/>
      <c r="AU165" s="32"/>
      <c r="AV165" s="32"/>
      <c r="AW165" s="55"/>
      <c r="AX165" s="32"/>
      <c r="AY165" s="54"/>
      <c r="AZ165" s="21" t="str">
        <f>IFERROR(VLOOKUP(January[[#This Row],[Drug Name5]],'Data Options'!$R$1:$S$100,2,FALSE), " ")</f>
        <v xml:space="preserve"> </v>
      </c>
      <c r="BA165" s="55"/>
      <c r="BB165" s="32"/>
      <c r="BC165" s="32"/>
      <c r="BD165" s="55"/>
      <c r="BE165" s="32"/>
      <c r="BF165" s="54"/>
      <c r="BG165" s="21" t="str">
        <f>IFERROR(VLOOKUP(January[[#This Row],[Drug Name6]],'Data Options'!$R$1:$S$100,2,FALSE), " ")</f>
        <v xml:space="preserve"> </v>
      </c>
      <c r="BH165" s="55"/>
      <c r="BI165" s="32"/>
      <c r="BJ165" s="32"/>
      <c r="BK165" s="55"/>
      <c r="BL165" s="32"/>
      <c r="BM165" s="32"/>
      <c r="BN165" s="32"/>
      <c r="BO165" s="32"/>
      <c r="BP165" s="32"/>
      <c r="BQ165" s="31"/>
      <c r="BR165" s="31"/>
      <c r="BS165" s="54"/>
      <c r="BT165" s="21" t="str">
        <f>IFERROR(VLOOKUP(January[[#This Row],[Drug Name7]],'Data Options'!$R$1:$S$100,2,FALSE), " ")</f>
        <v xml:space="preserve"> </v>
      </c>
      <c r="BU165" s="55"/>
      <c r="BV165" s="32"/>
      <c r="BW165" s="32"/>
      <c r="BX165" s="55"/>
      <c r="BY165" s="32"/>
      <c r="BZ165" s="54"/>
      <c r="CA165" s="21" t="str">
        <f>IFERROR(VLOOKUP(January[[#This Row],[Drug Name8]],'Data Options'!$R$1:$S$100,2,FALSE), " ")</f>
        <v xml:space="preserve"> </v>
      </c>
      <c r="CB165" s="55"/>
      <c r="CC165" s="32"/>
      <c r="CD165" s="32"/>
      <c r="CE165" s="55"/>
      <c r="CF165" s="32"/>
      <c r="CG165" s="54"/>
      <c r="CH165" s="21" t="str">
        <f>IFERROR(VLOOKUP(January[[#This Row],[Drug Name9]],'Data Options'!$R$1:$S$100,2,FALSE), " ")</f>
        <v xml:space="preserve"> </v>
      </c>
      <c r="CI165" s="55"/>
      <c r="CJ165" s="32"/>
      <c r="CK165" s="32"/>
      <c r="CL165" s="55"/>
      <c r="CM165" s="32"/>
    </row>
    <row r="166" spans="1:91">
      <c r="A166" s="5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1"/>
      <c r="P166" s="31"/>
      <c r="Q166" s="54"/>
      <c r="R166" s="21" t="str">
        <f>IFERROR(VLOOKUP(January[[#This Row],[Drug Name]],'Data Options'!$R$1:$S$100,2,FALSE), " ")</f>
        <v xml:space="preserve"> </v>
      </c>
      <c r="S166" s="55"/>
      <c r="T166" s="32"/>
      <c r="U166" s="32"/>
      <c r="V166" s="55"/>
      <c r="W166" s="32"/>
      <c r="X166" s="54"/>
      <c r="Y166" s="21" t="str">
        <f>IFERROR(VLOOKUP(January[[#This Row],[Drug Name2]],'Data Options'!$R$1:$S$100,2,FALSE), " ")</f>
        <v xml:space="preserve"> </v>
      </c>
      <c r="Z166" s="55"/>
      <c r="AA166" s="32"/>
      <c r="AB166" s="32"/>
      <c r="AC166" s="55"/>
      <c r="AD166" s="32"/>
      <c r="AE166" s="54"/>
      <c r="AF166" s="21" t="str">
        <f>IFERROR(VLOOKUP(January[[#This Row],[Drug Name3]],'Data Options'!$R$1:$S$100,2,FALSE), " ")</f>
        <v xml:space="preserve"> </v>
      </c>
      <c r="AG166" s="55"/>
      <c r="AH166" s="32"/>
      <c r="AI166" s="32"/>
      <c r="AJ166" s="55"/>
      <c r="AK166" s="32"/>
      <c r="AL166" s="32"/>
      <c r="AM166" s="32"/>
      <c r="AN166" s="32"/>
      <c r="AO166" s="32"/>
      <c r="AP166" s="31"/>
      <c r="AQ166" s="31"/>
      <c r="AR166" s="54"/>
      <c r="AS166" s="21" t="str">
        <f>IFERROR(VLOOKUP(January[[#This Row],[Drug Name4]],'Data Options'!$R$1:$S$100,2,FALSE), " ")</f>
        <v xml:space="preserve"> </v>
      </c>
      <c r="AT166" s="55"/>
      <c r="AU166" s="32"/>
      <c r="AV166" s="32"/>
      <c r="AW166" s="55"/>
      <c r="AX166" s="32"/>
      <c r="AY166" s="54"/>
      <c r="AZ166" s="21" t="str">
        <f>IFERROR(VLOOKUP(January[[#This Row],[Drug Name5]],'Data Options'!$R$1:$S$100,2,FALSE), " ")</f>
        <v xml:space="preserve"> </v>
      </c>
      <c r="BA166" s="55"/>
      <c r="BB166" s="32"/>
      <c r="BC166" s="32"/>
      <c r="BD166" s="55"/>
      <c r="BE166" s="32"/>
      <c r="BF166" s="54"/>
      <c r="BG166" s="21" t="str">
        <f>IFERROR(VLOOKUP(January[[#This Row],[Drug Name6]],'Data Options'!$R$1:$S$100,2,FALSE), " ")</f>
        <v xml:space="preserve"> </v>
      </c>
      <c r="BH166" s="55"/>
      <c r="BI166" s="32"/>
      <c r="BJ166" s="32"/>
      <c r="BK166" s="55"/>
      <c r="BL166" s="32"/>
      <c r="BM166" s="32"/>
      <c r="BN166" s="32"/>
      <c r="BO166" s="32"/>
      <c r="BP166" s="32"/>
      <c r="BQ166" s="31"/>
      <c r="BR166" s="31"/>
      <c r="BS166" s="54"/>
      <c r="BT166" s="21" t="str">
        <f>IFERROR(VLOOKUP(January[[#This Row],[Drug Name7]],'Data Options'!$R$1:$S$100,2,FALSE), " ")</f>
        <v xml:space="preserve"> </v>
      </c>
      <c r="BU166" s="55"/>
      <c r="BV166" s="32"/>
      <c r="BW166" s="32"/>
      <c r="BX166" s="55"/>
      <c r="BY166" s="32"/>
      <c r="BZ166" s="54"/>
      <c r="CA166" s="21" t="str">
        <f>IFERROR(VLOOKUP(January[[#This Row],[Drug Name8]],'Data Options'!$R$1:$S$100,2,FALSE), " ")</f>
        <v xml:space="preserve"> </v>
      </c>
      <c r="CB166" s="55"/>
      <c r="CC166" s="32"/>
      <c r="CD166" s="32"/>
      <c r="CE166" s="55"/>
      <c r="CF166" s="32"/>
      <c r="CG166" s="54"/>
      <c r="CH166" s="21" t="str">
        <f>IFERROR(VLOOKUP(January[[#This Row],[Drug Name9]],'Data Options'!$R$1:$S$100,2,FALSE), " ")</f>
        <v xml:space="preserve"> </v>
      </c>
      <c r="CI166" s="55"/>
      <c r="CJ166" s="32"/>
      <c r="CK166" s="32"/>
      <c r="CL166" s="55"/>
      <c r="CM166" s="32"/>
    </row>
    <row r="167" spans="1:91">
      <c r="A167" s="5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1"/>
      <c r="P167" s="31"/>
      <c r="Q167" s="54"/>
      <c r="R167" s="21" t="str">
        <f>IFERROR(VLOOKUP(January[[#This Row],[Drug Name]],'Data Options'!$R$1:$S$100,2,FALSE), " ")</f>
        <v xml:space="preserve"> </v>
      </c>
      <c r="S167" s="55"/>
      <c r="T167" s="32"/>
      <c r="U167" s="32"/>
      <c r="V167" s="55"/>
      <c r="W167" s="32"/>
      <c r="X167" s="54"/>
      <c r="Y167" s="21" t="str">
        <f>IFERROR(VLOOKUP(January[[#This Row],[Drug Name2]],'Data Options'!$R$1:$S$100,2,FALSE), " ")</f>
        <v xml:space="preserve"> </v>
      </c>
      <c r="Z167" s="55"/>
      <c r="AA167" s="32"/>
      <c r="AB167" s="32"/>
      <c r="AC167" s="55"/>
      <c r="AD167" s="32"/>
      <c r="AE167" s="54"/>
      <c r="AF167" s="21" t="str">
        <f>IFERROR(VLOOKUP(January[[#This Row],[Drug Name3]],'Data Options'!$R$1:$S$100,2,FALSE), " ")</f>
        <v xml:space="preserve"> </v>
      </c>
      <c r="AG167" s="55"/>
      <c r="AH167" s="32"/>
      <c r="AI167" s="32"/>
      <c r="AJ167" s="55"/>
      <c r="AK167" s="32"/>
      <c r="AL167" s="32"/>
      <c r="AM167" s="32"/>
      <c r="AN167" s="32"/>
      <c r="AO167" s="32"/>
      <c r="AP167" s="31"/>
      <c r="AQ167" s="31"/>
      <c r="AR167" s="54"/>
      <c r="AS167" s="21" t="str">
        <f>IFERROR(VLOOKUP(January[[#This Row],[Drug Name4]],'Data Options'!$R$1:$S$100,2,FALSE), " ")</f>
        <v xml:space="preserve"> </v>
      </c>
      <c r="AT167" s="55"/>
      <c r="AU167" s="32"/>
      <c r="AV167" s="32"/>
      <c r="AW167" s="55"/>
      <c r="AX167" s="32"/>
      <c r="AY167" s="54"/>
      <c r="AZ167" s="21" t="str">
        <f>IFERROR(VLOOKUP(January[[#This Row],[Drug Name5]],'Data Options'!$R$1:$S$100,2,FALSE), " ")</f>
        <v xml:space="preserve"> </v>
      </c>
      <c r="BA167" s="55"/>
      <c r="BB167" s="32"/>
      <c r="BC167" s="32"/>
      <c r="BD167" s="55"/>
      <c r="BE167" s="32"/>
      <c r="BF167" s="54"/>
      <c r="BG167" s="21" t="str">
        <f>IFERROR(VLOOKUP(January[[#This Row],[Drug Name6]],'Data Options'!$R$1:$S$100,2,FALSE), " ")</f>
        <v xml:space="preserve"> </v>
      </c>
      <c r="BH167" s="55"/>
      <c r="BI167" s="32"/>
      <c r="BJ167" s="32"/>
      <c r="BK167" s="55"/>
      <c r="BL167" s="32"/>
      <c r="BM167" s="32"/>
      <c r="BN167" s="32"/>
      <c r="BO167" s="32"/>
      <c r="BP167" s="32"/>
      <c r="BQ167" s="31"/>
      <c r="BR167" s="31"/>
      <c r="BS167" s="54"/>
      <c r="BT167" s="21" t="str">
        <f>IFERROR(VLOOKUP(January[[#This Row],[Drug Name7]],'Data Options'!$R$1:$S$100,2,FALSE), " ")</f>
        <v xml:space="preserve"> </v>
      </c>
      <c r="BU167" s="55"/>
      <c r="BV167" s="32"/>
      <c r="BW167" s="32"/>
      <c r="BX167" s="55"/>
      <c r="BY167" s="32"/>
      <c r="BZ167" s="54"/>
      <c r="CA167" s="21" t="str">
        <f>IFERROR(VLOOKUP(January[[#This Row],[Drug Name8]],'Data Options'!$R$1:$S$100,2,FALSE), " ")</f>
        <v xml:space="preserve"> </v>
      </c>
      <c r="CB167" s="55"/>
      <c r="CC167" s="32"/>
      <c r="CD167" s="32"/>
      <c r="CE167" s="55"/>
      <c r="CF167" s="32"/>
      <c r="CG167" s="54"/>
      <c r="CH167" s="21" t="str">
        <f>IFERROR(VLOOKUP(January[[#This Row],[Drug Name9]],'Data Options'!$R$1:$S$100,2,FALSE), " ")</f>
        <v xml:space="preserve"> </v>
      </c>
      <c r="CI167" s="55"/>
      <c r="CJ167" s="32"/>
      <c r="CK167" s="32"/>
      <c r="CL167" s="55"/>
      <c r="CM167" s="32"/>
    </row>
    <row r="168" spans="1:91">
      <c r="A168" s="5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1"/>
      <c r="P168" s="31"/>
      <c r="Q168" s="54"/>
      <c r="R168" s="21" t="str">
        <f>IFERROR(VLOOKUP(January[[#This Row],[Drug Name]],'Data Options'!$R$1:$S$100,2,FALSE), " ")</f>
        <v xml:space="preserve"> </v>
      </c>
      <c r="S168" s="55"/>
      <c r="T168" s="32"/>
      <c r="U168" s="32"/>
      <c r="V168" s="55"/>
      <c r="W168" s="32"/>
      <c r="X168" s="54"/>
      <c r="Y168" s="21" t="str">
        <f>IFERROR(VLOOKUP(January[[#This Row],[Drug Name2]],'Data Options'!$R$1:$S$100,2,FALSE), " ")</f>
        <v xml:space="preserve"> </v>
      </c>
      <c r="Z168" s="55"/>
      <c r="AA168" s="32"/>
      <c r="AB168" s="32"/>
      <c r="AC168" s="55"/>
      <c r="AD168" s="32"/>
      <c r="AE168" s="54"/>
      <c r="AF168" s="21" t="str">
        <f>IFERROR(VLOOKUP(January[[#This Row],[Drug Name3]],'Data Options'!$R$1:$S$100,2,FALSE), " ")</f>
        <v xml:space="preserve"> </v>
      </c>
      <c r="AG168" s="55"/>
      <c r="AH168" s="32"/>
      <c r="AI168" s="32"/>
      <c r="AJ168" s="55"/>
      <c r="AK168" s="32"/>
      <c r="AL168" s="32"/>
      <c r="AM168" s="32"/>
      <c r="AN168" s="32"/>
      <c r="AO168" s="32"/>
      <c r="AP168" s="31"/>
      <c r="AQ168" s="31"/>
      <c r="AR168" s="54"/>
      <c r="AS168" s="21" t="str">
        <f>IFERROR(VLOOKUP(January[[#This Row],[Drug Name4]],'Data Options'!$R$1:$S$100,2,FALSE), " ")</f>
        <v xml:space="preserve"> </v>
      </c>
      <c r="AT168" s="55"/>
      <c r="AU168" s="32"/>
      <c r="AV168" s="32"/>
      <c r="AW168" s="55"/>
      <c r="AX168" s="32"/>
      <c r="AY168" s="54"/>
      <c r="AZ168" s="21" t="str">
        <f>IFERROR(VLOOKUP(January[[#This Row],[Drug Name5]],'Data Options'!$R$1:$S$100,2,FALSE), " ")</f>
        <v xml:space="preserve"> </v>
      </c>
      <c r="BA168" s="55"/>
      <c r="BB168" s="32"/>
      <c r="BC168" s="32"/>
      <c r="BD168" s="55"/>
      <c r="BE168" s="32"/>
      <c r="BF168" s="54"/>
      <c r="BG168" s="21" t="str">
        <f>IFERROR(VLOOKUP(January[[#This Row],[Drug Name6]],'Data Options'!$R$1:$S$100,2,FALSE), " ")</f>
        <v xml:space="preserve"> </v>
      </c>
      <c r="BH168" s="55"/>
      <c r="BI168" s="32"/>
      <c r="BJ168" s="32"/>
      <c r="BK168" s="55"/>
      <c r="BL168" s="32"/>
      <c r="BM168" s="32"/>
      <c r="BN168" s="32"/>
      <c r="BO168" s="32"/>
      <c r="BP168" s="32"/>
      <c r="BQ168" s="31"/>
      <c r="BR168" s="31"/>
      <c r="BS168" s="54"/>
      <c r="BT168" s="21" t="str">
        <f>IFERROR(VLOOKUP(January[[#This Row],[Drug Name7]],'Data Options'!$R$1:$S$100,2,FALSE), " ")</f>
        <v xml:space="preserve"> </v>
      </c>
      <c r="BU168" s="55"/>
      <c r="BV168" s="32"/>
      <c r="BW168" s="32"/>
      <c r="BX168" s="55"/>
      <c r="BY168" s="32"/>
      <c r="BZ168" s="54"/>
      <c r="CA168" s="21" t="str">
        <f>IFERROR(VLOOKUP(January[[#This Row],[Drug Name8]],'Data Options'!$R$1:$S$100,2,FALSE), " ")</f>
        <v xml:space="preserve"> </v>
      </c>
      <c r="CB168" s="55"/>
      <c r="CC168" s="32"/>
      <c r="CD168" s="32"/>
      <c r="CE168" s="55"/>
      <c r="CF168" s="32"/>
      <c r="CG168" s="54"/>
      <c r="CH168" s="21" t="str">
        <f>IFERROR(VLOOKUP(January[[#This Row],[Drug Name9]],'Data Options'!$R$1:$S$100,2,FALSE), " ")</f>
        <v xml:space="preserve"> </v>
      </c>
      <c r="CI168" s="55"/>
      <c r="CJ168" s="32"/>
      <c r="CK168" s="32"/>
      <c r="CL168" s="55"/>
      <c r="CM168" s="32"/>
    </row>
    <row r="169" spans="1:91">
      <c r="A169" s="5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1"/>
      <c r="P169" s="31"/>
      <c r="Q169" s="54"/>
      <c r="R169" s="21" t="str">
        <f>IFERROR(VLOOKUP(January[[#This Row],[Drug Name]],'Data Options'!$R$1:$S$100,2,FALSE), " ")</f>
        <v xml:space="preserve"> </v>
      </c>
      <c r="S169" s="55"/>
      <c r="T169" s="32"/>
      <c r="U169" s="32"/>
      <c r="V169" s="55"/>
      <c r="W169" s="32"/>
      <c r="X169" s="54"/>
      <c r="Y169" s="21" t="str">
        <f>IFERROR(VLOOKUP(January[[#This Row],[Drug Name2]],'Data Options'!$R$1:$S$100,2,FALSE), " ")</f>
        <v xml:space="preserve"> </v>
      </c>
      <c r="Z169" s="55"/>
      <c r="AA169" s="32"/>
      <c r="AB169" s="32"/>
      <c r="AC169" s="55"/>
      <c r="AD169" s="32"/>
      <c r="AE169" s="54"/>
      <c r="AF169" s="21" t="str">
        <f>IFERROR(VLOOKUP(January[[#This Row],[Drug Name3]],'Data Options'!$R$1:$S$100,2,FALSE), " ")</f>
        <v xml:space="preserve"> </v>
      </c>
      <c r="AG169" s="55"/>
      <c r="AH169" s="32"/>
      <c r="AI169" s="32"/>
      <c r="AJ169" s="55"/>
      <c r="AK169" s="32"/>
      <c r="AL169" s="32"/>
      <c r="AM169" s="32"/>
      <c r="AN169" s="32"/>
      <c r="AO169" s="32"/>
      <c r="AP169" s="31"/>
      <c r="AQ169" s="31"/>
      <c r="AR169" s="54"/>
      <c r="AS169" s="21" t="str">
        <f>IFERROR(VLOOKUP(January[[#This Row],[Drug Name4]],'Data Options'!$R$1:$S$100,2,FALSE), " ")</f>
        <v xml:space="preserve"> </v>
      </c>
      <c r="AT169" s="55"/>
      <c r="AU169" s="32"/>
      <c r="AV169" s="32"/>
      <c r="AW169" s="55"/>
      <c r="AX169" s="32"/>
      <c r="AY169" s="54"/>
      <c r="AZ169" s="21" t="str">
        <f>IFERROR(VLOOKUP(January[[#This Row],[Drug Name5]],'Data Options'!$R$1:$S$100,2,FALSE), " ")</f>
        <v xml:space="preserve"> </v>
      </c>
      <c r="BA169" s="55"/>
      <c r="BB169" s="32"/>
      <c r="BC169" s="32"/>
      <c r="BD169" s="55"/>
      <c r="BE169" s="32"/>
      <c r="BF169" s="54"/>
      <c r="BG169" s="21" t="str">
        <f>IFERROR(VLOOKUP(January[[#This Row],[Drug Name6]],'Data Options'!$R$1:$S$100,2,FALSE), " ")</f>
        <v xml:space="preserve"> </v>
      </c>
      <c r="BH169" s="55"/>
      <c r="BI169" s="32"/>
      <c r="BJ169" s="32"/>
      <c r="BK169" s="55"/>
      <c r="BL169" s="32"/>
      <c r="BM169" s="32"/>
      <c r="BN169" s="32"/>
      <c r="BO169" s="32"/>
      <c r="BP169" s="32"/>
      <c r="BQ169" s="31"/>
      <c r="BR169" s="31"/>
      <c r="BS169" s="54"/>
      <c r="BT169" s="21" t="str">
        <f>IFERROR(VLOOKUP(January[[#This Row],[Drug Name7]],'Data Options'!$R$1:$S$100,2,FALSE), " ")</f>
        <v xml:space="preserve"> </v>
      </c>
      <c r="BU169" s="55"/>
      <c r="BV169" s="32"/>
      <c r="BW169" s="32"/>
      <c r="BX169" s="55"/>
      <c r="BY169" s="32"/>
      <c r="BZ169" s="54"/>
      <c r="CA169" s="21" t="str">
        <f>IFERROR(VLOOKUP(January[[#This Row],[Drug Name8]],'Data Options'!$R$1:$S$100,2,FALSE), " ")</f>
        <v xml:space="preserve"> </v>
      </c>
      <c r="CB169" s="55"/>
      <c r="CC169" s="32"/>
      <c r="CD169" s="32"/>
      <c r="CE169" s="55"/>
      <c r="CF169" s="32"/>
      <c r="CG169" s="54"/>
      <c r="CH169" s="21" t="str">
        <f>IFERROR(VLOOKUP(January[[#This Row],[Drug Name9]],'Data Options'!$R$1:$S$100,2,FALSE), " ")</f>
        <v xml:space="preserve"> </v>
      </c>
      <c r="CI169" s="55"/>
      <c r="CJ169" s="32"/>
      <c r="CK169" s="32"/>
      <c r="CL169" s="55"/>
      <c r="CM169" s="32"/>
    </row>
    <row r="170" spans="1:91">
      <c r="A170" s="5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1"/>
      <c r="P170" s="31"/>
      <c r="Q170" s="54"/>
      <c r="R170" s="21" t="str">
        <f>IFERROR(VLOOKUP(January[[#This Row],[Drug Name]],'Data Options'!$R$1:$S$100,2,FALSE), " ")</f>
        <v xml:space="preserve"> </v>
      </c>
      <c r="S170" s="55"/>
      <c r="T170" s="32"/>
      <c r="U170" s="32"/>
      <c r="V170" s="55"/>
      <c r="W170" s="32"/>
      <c r="X170" s="54"/>
      <c r="Y170" s="21" t="str">
        <f>IFERROR(VLOOKUP(January[[#This Row],[Drug Name2]],'Data Options'!$R$1:$S$100,2,FALSE), " ")</f>
        <v xml:space="preserve"> </v>
      </c>
      <c r="Z170" s="55"/>
      <c r="AA170" s="32"/>
      <c r="AB170" s="32"/>
      <c r="AC170" s="55"/>
      <c r="AD170" s="32"/>
      <c r="AE170" s="54"/>
      <c r="AF170" s="21" t="str">
        <f>IFERROR(VLOOKUP(January[[#This Row],[Drug Name3]],'Data Options'!$R$1:$S$100,2,FALSE), " ")</f>
        <v xml:space="preserve"> </v>
      </c>
      <c r="AG170" s="55"/>
      <c r="AH170" s="32"/>
      <c r="AI170" s="32"/>
      <c r="AJ170" s="55"/>
      <c r="AK170" s="32"/>
      <c r="AL170" s="32"/>
      <c r="AM170" s="32"/>
      <c r="AN170" s="32"/>
      <c r="AO170" s="32"/>
      <c r="AP170" s="31"/>
      <c r="AQ170" s="31"/>
      <c r="AR170" s="54"/>
      <c r="AS170" s="21" t="str">
        <f>IFERROR(VLOOKUP(January[[#This Row],[Drug Name4]],'Data Options'!$R$1:$S$100,2,FALSE), " ")</f>
        <v xml:space="preserve"> </v>
      </c>
      <c r="AT170" s="55"/>
      <c r="AU170" s="32"/>
      <c r="AV170" s="32"/>
      <c r="AW170" s="55"/>
      <c r="AX170" s="32"/>
      <c r="AY170" s="54"/>
      <c r="AZ170" s="21" t="str">
        <f>IFERROR(VLOOKUP(January[[#This Row],[Drug Name5]],'Data Options'!$R$1:$S$100,2,FALSE), " ")</f>
        <v xml:space="preserve"> </v>
      </c>
      <c r="BA170" s="55"/>
      <c r="BB170" s="32"/>
      <c r="BC170" s="32"/>
      <c r="BD170" s="55"/>
      <c r="BE170" s="32"/>
      <c r="BF170" s="54"/>
      <c r="BG170" s="21" t="str">
        <f>IFERROR(VLOOKUP(January[[#This Row],[Drug Name6]],'Data Options'!$R$1:$S$100,2,FALSE), " ")</f>
        <v xml:space="preserve"> </v>
      </c>
      <c r="BH170" s="55"/>
      <c r="BI170" s="32"/>
      <c r="BJ170" s="32"/>
      <c r="BK170" s="55"/>
      <c r="BL170" s="32"/>
      <c r="BM170" s="32"/>
      <c r="BN170" s="32"/>
      <c r="BO170" s="32"/>
      <c r="BP170" s="32"/>
      <c r="BQ170" s="31"/>
      <c r="BR170" s="31"/>
      <c r="BS170" s="54"/>
      <c r="BT170" s="21" t="str">
        <f>IFERROR(VLOOKUP(January[[#This Row],[Drug Name7]],'Data Options'!$R$1:$S$100,2,FALSE), " ")</f>
        <v xml:space="preserve"> </v>
      </c>
      <c r="BU170" s="55"/>
      <c r="BV170" s="32"/>
      <c r="BW170" s="32"/>
      <c r="BX170" s="55"/>
      <c r="BY170" s="32"/>
      <c r="BZ170" s="54"/>
      <c r="CA170" s="21" t="str">
        <f>IFERROR(VLOOKUP(January[[#This Row],[Drug Name8]],'Data Options'!$R$1:$S$100,2,FALSE), " ")</f>
        <v xml:space="preserve"> </v>
      </c>
      <c r="CB170" s="55"/>
      <c r="CC170" s="32"/>
      <c r="CD170" s="32"/>
      <c r="CE170" s="55"/>
      <c r="CF170" s="32"/>
      <c r="CG170" s="54"/>
      <c r="CH170" s="21" t="str">
        <f>IFERROR(VLOOKUP(January[[#This Row],[Drug Name9]],'Data Options'!$R$1:$S$100,2,FALSE), " ")</f>
        <v xml:space="preserve"> </v>
      </c>
      <c r="CI170" s="55"/>
      <c r="CJ170" s="32"/>
      <c r="CK170" s="32"/>
      <c r="CL170" s="55"/>
      <c r="CM170" s="32"/>
    </row>
    <row r="171" spans="1:91">
      <c r="A171" s="5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1"/>
      <c r="P171" s="31"/>
      <c r="Q171" s="54"/>
      <c r="R171" s="21" t="str">
        <f>IFERROR(VLOOKUP(January[[#This Row],[Drug Name]],'Data Options'!$R$1:$S$100,2,FALSE), " ")</f>
        <v xml:space="preserve"> </v>
      </c>
      <c r="S171" s="55"/>
      <c r="T171" s="32"/>
      <c r="U171" s="32"/>
      <c r="V171" s="55"/>
      <c r="W171" s="32"/>
      <c r="X171" s="54"/>
      <c r="Y171" s="21" t="str">
        <f>IFERROR(VLOOKUP(January[[#This Row],[Drug Name2]],'Data Options'!$R$1:$S$100,2,FALSE), " ")</f>
        <v xml:space="preserve"> </v>
      </c>
      <c r="Z171" s="55"/>
      <c r="AA171" s="32"/>
      <c r="AB171" s="32"/>
      <c r="AC171" s="55"/>
      <c r="AD171" s="32"/>
      <c r="AE171" s="54"/>
      <c r="AF171" s="21" t="str">
        <f>IFERROR(VLOOKUP(January[[#This Row],[Drug Name3]],'Data Options'!$R$1:$S$100,2,FALSE), " ")</f>
        <v xml:space="preserve"> </v>
      </c>
      <c r="AG171" s="55"/>
      <c r="AH171" s="32"/>
      <c r="AI171" s="32"/>
      <c r="AJ171" s="55"/>
      <c r="AK171" s="32"/>
      <c r="AL171" s="32"/>
      <c r="AM171" s="32"/>
      <c r="AN171" s="32"/>
      <c r="AO171" s="32"/>
      <c r="AP171" s="31"/>
      <c r="AQ171" s="31"/>
      <c r="AR171" s="54"/>
      <c r="AS171" s="21" t="str">
        <f>IFERROR(VLOOKUP(January[[#This Row],[Drug Name4]],'Data Options'!$R$1:$S$100,2,FALSE), " ")</f>
        <v xml:space="preserve"> </v>
      </c>
      <c r="AT171" s="55"/>
      <c r="AU171" s="32"/>
      <c r="AV171" s="32"/>
      <c r="AW171" s="55"/>
      <c r="AX171" s="32"/>
      <c r="AY171" s="54"/>
      <c r="AZ171" s="21" t="str">
        <f>IFERROR(VLOOKUP(January[[#This Row],[Drug Name5]],'Data Options'!$R$1:$S$100,2,FALSE), " ")</f>
        <v xml:space="preserve"> </v>
      </c>
      <c r="BA171" s="55"/>
      <c r="BB171" s="32"/>
      <c r="BC171" s="32"/>
      <c r="BD171" s="55"/>
      <c r="BE171" s="32"/>
      <c r="BF171" s="54"/>
      <c r="BG171" s="21" t="str">
        <f>IFERROR(VLOOKUP(January[[#This Row],[Drug Name6]],'Data Options'!$R$1:$S$100,2,FALSE), " ")</f>
        <v xml:space="preserve"> </v>
      </c>
      <c r="BH171" s="55"/>
      <c r="BI171" s="32"/>
      <c r="BJ171" s="32"/>
      <c r="BK171" s="55"/>
      <c r="BL171" s="32"/>
      <c r="BM171" s="32"/>
      <c r="BN171" s="32"/>
      <c r="BO171" s="32"/>
      <c r="BP171" s="32"/>
      <c r="BQ171" s="31"/>
      <c r="BR171" s="31"/>
      <c r="BS171" s="54"/>
      <c r="BT171" s="21" t="str">
        <f>IFERROR(VLOOKUP(January[[#This Row],[Drug Name7]],'Data Options'!$R$1:$S$100,2,FALSE), " ")</f>
        <v xml:space="preserve"> </v>
      </c>
      <c r="BU171" s="55"/>
      <c r="BV171" s="32"/>
      <c r="BW171" s="32"/>
      <c r="BX171" s="55"/>
      <c r="BY171" s="32"/>
      <c r="BZ171" s="54"/>
      <c r="CA171" s="21" t="str">
        <f>IFERROR(VLOOKUP(January[[#This Row],[Drug Name8]],'Data Options'!$R$1:$S$100,2,FALSE), " ")</f>
        <v xml:space="preserve"> </v>
      </c>
      <c r="CB171" s="55"/>
      <c r="CC171" s="32"/>
      <c r="CD171" s="32"/>
      <c r="CE171" s="55"/>
      <c r="CF171" s="32"/>
      <c r="CG171" s="54"/>
      <c r="CH171" s="21" t="str">
        <f>IFERROR(VLOOKUP(January[[#This Row],[Drug Name9]],'Data Options'!$R$1:$S$100,2,FALSE), " ")</f>
        <v xml:space="preserve"> </v>
      </c>
      <c r="CI171" s="55"/>
      <c r="CJ171" s="32"/>
      <c r="CK171" s="32"/>
      <c r="CL171" s="55"/>
      <c r="CM171" s="32"/>
    </row>
    <row r="172" spans="1:91">
      <c r="A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1"/>
      <c r="P172" s="31"/>
      <c r="Q172" s="54"/>
      <c r="R172" s="21" t="str">
        <f>IFERROR(VLOOKUP(January[[#This Row],[Drug Name]],'Data Options'!$R$1:$S$100,2,FALSE), " ")</f>
        <v xml:space="preserve"> </v>
      </c>
      <c r="S172" s="55"/>
      <c r="T172" s="32"/>
      <c r="U172" s="32"/>
      <c r="V172" s="55"/>
      <c r="W172" s="32"/>
      <c r="X172" s="54"/>
      <c r="Y172" s="21" t="str">
        <f>IFERROR(VLOOKUP(January[[#This Row],[Drug Name2]],'Data Options'!$R$1:$S$100,2,FALSE), " ")</f>
        <v xml:space="preserve"> </v>
      </c>
      <c r="Z172" s="55"/>
      <c r="AA172" s="32"/>
      <c r="AB172" s="32"/>
      <c r="AC172" s="55"/>
      <c r="AD172" s="32"/>
      <c r="AE172" s="54"/>
      <c r="AF172" s="21" t="str">
        <f>IFERROR(VLOOKUP(January[[#This Row],[Drug Name3]],'Data Options'!$R$1:$S$100,2,FALSE), " ")</f>
        <v xml:space="preserve"> </v>
      </c>
      <c r="AG172" s="55"/>
      <c r="AH172" s="32"/>
      <c r="AI172" s="32"/>
      <c r="AJ172" s="55"/>
      <c r="AK172" s="32"/>
      <c r="AL172" s="32"/>
      <c r="AM172" s="32"/>
      <c r="AN172" s="32"/>
      <c r="AO172" s="32"/>
      <c r="AP172" s="31"/>
      <c r="AQ172" s="31"/>
      <c r="AR172" s="54"/>
      <c r="AS172" s="21" t="str">
        <f>IFERROR(VLOOKUP(January[[#This Row],[Drug Name4]],'Data Options'!$R$1:$S$100,2,FALSE), " ")</f>
        <v xml:space="preserve"> </v>
      </c>
      <c r="AT172" s="55"/>
      <c r="AU172" s="32"/>
      <c r="AV172" s="32"/>
      <c r="AW172" s="55"/>
      <c r="AX172" s="32"/>
      <c r="AY172" s="54"/>
      <c r="AZ172" s="21" t="str">
        <f>IFERROR(VLOOKUP(January[[#This Row],[Drug Name5]],'Data Options'!$R$1:$S$100,2,FALSE), " ")</f>
        <v xml:space="preserve"> </v>
      </c>
      <c r="BA172" s="55"/>
      <c r="BB172" s="32"/>
      <c r="BC172" s="32"/>
      <c r="BD172" s="55"/>
      <c r="BE172" s="32"/>
      <c r="BF172" s="54"/>
      <c r="BG172" s="21" t="str">
        <f>IFERROR(VLOOKUP(January[[#This Row],[Drug Name6]],'Data Options'!$R$1:$S$100,2,FALSE), " ")</f>
        <v xml:space="preserve"> </v>
      </c>
      <c r="BH172" s="55"/>
      <c r="BI172" s="32"/>
      <c r="BJ172" s="32"/>
      <c r="BK172" s="55"/>
      <c r="BL172" s="32"/>
      <c r="BM172" s="32"/>
      <c r="BN172" s="32"/>
      <c r="BO172" s="32"/>
      <c r="BP172" s="32"/>
      <c r="BQ172" s="31"/>
      <c r="BR172" s="31"/>
      <c r="BS172" s="54"/>
      <c r="BT172" s="21" t="str">
        <f>IFERROR(VLOOKUP(January[[#This Row],[Drug Name7]],'Data Options'!$R$1:$S$100,2,FALSE), " ")</f>
        <v xml:space="preserve"> </v>
      </c>
      <c r="BU172" s="55"/>
      <c r="BV172" s="32"/>
      <c r="BW172" s="32"/>
      <c r="BX172" s="55"/>
      <c r="BY172" s="32"/>
      <c r="BZ172" s="54"/>
      <c r="CA172" s="21" t="str">
        <f>IFERROR(VLOOKUP(January[[#This Row],[Drug Name8]],'Data Options'!$R$1:$S$100,2,FALSE), " ")</f>
        <v xml:space="preserve"> </v>
      </c>
      <c r="CB172" s="55"/>
      <c r="CC172" s="32"/>
      <c r="CD172" s="32"/>
      <c r="CE172" s="55"/>
      <c r="CF172" s="32"/>
      <c r="CG172" s="54"/>
      <c r="CH172" s="21" t="str">
        <f>IFERROR(VLOOKUP(January[[#This Row],[Drug Name9]],'Data Options'!$R$1:$S$100,2,FALSE), " ")</f>
        <v xml:space="preserve"> </v>
      </c>
      <c r="CI172" s="55"/>
      <c r="CJ172" s="32"/>
      <c r="CK172" s="32"/>
      <c r="CL172" s="55"/>
      <c r="CM172" s="32"/>
    </row>
    <row r="173" spans="1:91">
      <c r="A173" s="5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1"/>
      <c r="P173" s="31"/>
      <c r="Q173" s="54"/>
      <c r="R173" s="21" t="str">
        <f>IFERROR(VLOOKUP(January[[#This Row],[Drug Name]],'Data Options'!$R$1:$S$100,2,FALSE), " ")</f>
        <v xml:space="preserve"> </v>
      </c>
      <c r="S173" s="55"/>
      <c r="T173" s="32"/>
      <c r="U173" s="32"/>
      <c r="V173" s="55"/>
      <c r="W173" s="32"/>
      <c r="X173" s="54"/>
      <c r="Y173" s="21" t="str">
        <f>IFERROR(VLOOKUP(January[[#This Row],[Drug Name2]],'Data Options'!$R$1:$S$100,2,FALSE), " ")</f>
        <v xml:space="preserve"> </v>
      </c>
      <c r="Z173" s="55"/>
      <c r="AA173" s="32"/>
      <c r="AB173" s="32"/>
      <c r="AC173" s="55"/>
      <c r="AD173" s="32"/>
      <c r="AE173" s="54"/>
      <c r="AF173" s="21" t="str">
        <f>IFERROR(VLOOKUP(January[[#This Row],[Drug Name3]],'Data Options'!$R$1:$S$100,2,FALSE), " ")</f>
        <v xml:space="preserve"> </v>
      </c>
      <c r="AG173" s="55"/>
      <c r="AH173" s="32"/>
      <c r="AI173" s="32"/>
      <c r="AJ173" s="55"/>
      <c r="AK173" s="32"/>
      <c r="AL173" s="32"/>
      <c r="AM173" s="32"/>
      <c r="AN173" s="32"/>
      <c r="AO173" s="32"/>
      <c r="AP173" s="31"/>
      <c r="AQ173" s="31"/>
      <c r="AR173" s="54"/>
      <c r="AS173" s="21" t="str">
        <f>IFERROR(VLOOKUP(January[[#This Row],[Drug Name4]],'Data Options'!$R$1:$S$100,2,FALSE), " ")</f>
        <v xml:space="preserve"> </v>
      </c>
      <c r="AT173" s="55"/>
      <c r="AU173" s="32"/>
      <c r="AV173" s="32"/>
      <c r="AW173" s="55"/>
      <c r="AX173" s="32"/>
      <c r="AY173" s="54"/>
      <c r="AZ173" s="21" t="str">
        <f>IFERROR(VLOOKUP(January[[#This Row],[Drug Name5]],'Data Options'!$R$1:$S$100,2,FALSE), " ")</f>
        <v xml:space="preserve"> </v>
      </c>
      <c r="BA173" s="55"/>
      <c r="BB173" s="32"/>
      <c r="BC173" s="32"/>
      <c r="BD173" s="55"/>
      <c r="BE173" s="32"/>
      <c r="BF173" s="54"/>
      <c r="BG173" s="21" t="str">
        <f>IFERROR(VLOOKUP(January[[#This Row],[Drug Name6]],'Data Options'!$R$1:$S$100,2,FALSE), " ")</f>
        <v xml:space="preserve"> </v>
      </c>
      <c r="BH173" s="55"/>
      <c r="BI173" s="32"/>
      <c r="BJ173" s="32"/>
      <c r="BK173" s="55"/>
      <c r="BL173" s="32"/>
      <c r="BM173" s="32"/>
      <c r="BN173" s="32"/>
      <c r="BO173" s="32"/>
      <c r="BP173" s="32"/>
      <c r="BQ173" s="31"/>
      <c r="BR173" s="31"/>
      <c r="BS173" s="54"/>
      <c r="BT173" s="21" t="str">
        <f>IFERROR(VLOOKUP(January[[#This Row],[Drug Name7]],'Data Options'!$R$1:$S$100,2,FALSE), " ")</f>
        <v xml:space="preserve"> </v>
      </c>
      <c r="BU173" s="55"/>
      <c r="BV173" s="32"/>
      <c r="BW173" s="32"/>
      <c r="BX173" s="55"/>
      <c r="BY173" s="32"/>
      <c r="BZ173" s="54"/>
      <c r="CA173" s="21" t="str">
        <f>IFERROR(VLOOKUP(January[[#This Row],[Drug Name8]],'Data Options'!$R$1:$S$100,2,FALSE), " ")</f>
        <v xml:space="preserve"> </v>
      </c>
      <c r="CB173" s="55"/>
      <c r="CC173" s="32"/>
      <c r="CD173" s="32"/>
      <c r="CE173" s="55"/>
      <c r="CF173" s="32"/>
      <c r="CG173" s="54"/>
      <c r="CH173" s="21" t="str">
        <f>IFERROR(VLOOKUP(January[[#This Row],[Drug Name9]],'Data Options'!$R$1:$S$100,2,FALSE), " ")</f>
        <v xml:space="preserve"> </v>
      </c>
      <c r="CI173" s="55"/>
      <c r="CJ173" s="32"/>
      <c r="CK173" s="32"/>
      <c r="CL173" s="55"/>
      <c r="CM173" s="32"/>
    </row>
    <row r="174" spans="1:91">
      <c r="A174" s="5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1"/>
      <c r="P174" s="31"/>
      <c r="Q174" s="54"/>
      <c r="R174" s="21" t="str">
        <f>IFERROR(VLOOKUP(January[[#This Row],[Drug Name]],'Data Options'!$R$1:$S$100,2,FALSE), " ")</f>
        <v xml:space="preserve"> </v>
      </c>
      <c r="S174" s="55"/>
      <c r="T174" s="32"/>
      <c r="U174" s="32"/>
      <c r="V174" s="55"/>
      <c r="W174" s="32"/>
      <c r="X174" s="54"/>
      <c r="Y174" s="21" t="str">
        <f>IFERROR(VLOOKUP(January[[#This Row],[Drug Name2]],'Data Options'!$R$1:$S$100,2,FALSE), " ")</f>
        <v xml:space="preserve"> </v>
      </c>
      <c r="Z174" s="55"/>
      <c r="AA174" s="32"/>
      <c r="AB174" s="32"/>
      <c r="AC174" s="55"/>
      <c r="AD174" s="32"/>
      <c r="AE174" s="54"/>
      <c r="AF174" s="21" t="str">
        <f>IFERROR(VLOOKUP(January[[#This Row],[Drug Name3]],'Data Options'!$R$1:$S$100,2,FALSE), " ")</f>
        <v xml:space="preserve"> </v>
      </c>
      <c r="AG174" s="55"/>
      <c r="AH174" s="32"/>
      <c r="AI174" s="32"/>
      <c r="AJ174" s="55"/>
      <c r="AK174" s="32"/>
      <c r="AL174" s="32"/>
      <c r="AM174" s="32"/>
      <c r="AN174" s="32"/>
      <c r="AO174" s="32"/>
      <c r="AP174" s="31"/>
      <c r="AQ174" s="31"/>
      <c r="AR174" s="54"/>
      <c r="AS174" s="21" t="str">
        <f>IFERROR(VLOOKUP(January[[#This Row],[Drug Name4]],'Data Options'!$R$1:$S$100,2,FALSE), " ")</f>
        <v xml:space="preserve"> </v>
      </c>
      <c r="AT174" s="55"/>
      <c r="AU174" s="32"/>
      <c r="AV174" s="32"/>
      <c r="AW174" s="55"/>
      <c r="AX174" s="32"/>
      <c r="AY174" s="54"/>
      <c r="AZ174" s="21" t="str">
        <f>IFERROR(VLOOKUP(January[[#This Row],[Drug Name5]],'Data Options'!$R$1:$S$100,2,FALSE), " ")</f>
        <v xml:space="preserve"> </v>
      </c>
      <c r="BA174" s="55"/>
      <c r="BB174" s="32"/>
      <c r="BC174" s="32"/>
      <c r="BD174" s="55"/>
      <c r="BE174" s="32"/>
      <c r="BF174" s="54"/>
      <c r="BG174" s="21" t="str">
        <f>IFERROR(VLOOKUP(January[[#This Row],[Drug Name6]],'Data Options'!$R$1:$S$100,2,FALSE), " ")</f>
        <v xml:space="preserve"> </v>
      </c>
      <c r="BH174" s="55"/>
      <c r="BI174" s="32"/>
      <c r="BJ174" s="32"/>
      <c r="BK174" s="55"/>
      <c r="BL174" s="32"/>
      <c r="BM174" s="32"/>
      <c r="BN174" s="32"/>
      <c r="BO174" s="32"/>
      <c r="BP174" s="32"/>
      <c r="BQ174" s="31"/>
      <c r="BR174" s="31"/>
      <c r="BS174" s="54"/>
      <c r="BT174" s="21" t="str">
        <f>IFERROR(VLOOKUP(January[[#This Row],[Drug Name7]],'Data Options'!$R$1:$S$100,2,FALSE), " ")</f>
        <v xml:space="preserve"> </v>
      </c>
      <c r="BU174" s="55"/>
      <c r="BV174" s="32"/>
      <c r="BW174" s="32"/>
      <c r="BX174" s="55"/>
      <c r="BY174" s="32"/>
      <c r="BZ174" s="54"/>
      <c r="CA174" s="21" t="str">
        <f>IFERROR(VLOOKUP(January[[#This Row],[Drug Name8]],'Data Options'!$R$1:$S$100,2,FALSE), " ")</f>
        <v xml:space="preserve"> </v>
      </c>
      <c r="CB174" s="55"/>
      <c r="CC174" s="32"/>
      <c r="CD174" s="32"/>
      <c r="CE174" s="55"/>
      <c r="CF174" s="32"/>
      <c r="CG174" s="54"/>
      <c r="CH174" s="21" t="str">
        <f>IFERROR(VLOOKUP(January[[#This Row],[Drug Name9]],'Data Options'!$R$1:$S$100,2,FALSE), " ")</f>
        <v xml:space="preserve"> </v>
      </c>
      <c r="CI174" s="55"/>
      <c r="CJ174" s="32"/>
      <c r="CK174" s="32"/>
      <c r="CL174" s="55"/>
      <c r="CM174" s="32"/>
    </row>
    <row r="175" spans="1:91">
      <c r="A175" s="5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1"/>
      <c r="P175" s="31"/>
      <c r="Q175" s="54"/>
      <c r="R175" s="21" t="str">
        <f>IFERROR(VLOOKUP(January[[#This Row],[Drug Name]],'Data Options'!$R$1:$S$100,2,FALSE), " ")</f>
        <v xml:space="preserve"> </v>
      </c>
      <c r="S175" s="55"/>
      <c r="T175" s="32"/>
      <c r="U175" s="32"/>
      <c r="V175" s="55"/>
      <c r="W175" s="32"/>
      <c r="X175" s="54"/>
      <c r="Y175" s="21" t="str">
        <f>IFERROR(VLOOKUP(January[[#This Row],[Drug Name2]],'Data Options'!$R$1:$S$100,2,FALSE), " ")</f>
        <v xml:space="preserve"> </v>
      </c>
      <c r="Z175" s="55"/>
      <c r="AA175" s="32"/>
      <c r="AB175" s="32"/>
      <c r="AC175" s="55"/>
      <c r="AD175" s="32"/>
      <c r="AE175" s="54"/>
      <c r="AF175" s="21" t="str">
        <f>IFERROR(VLOOKUP(January[[#This Row],[Drug Name3]],'Data Options'!$R$1:$S$100,2,FALSE), " ")</f>
        <v xml:space="preserve"> </v>
      </c>
      <c r="AG175" s="55"/>
      <c r="AH175" s="32"/>
      <c r="AI175" s="32"/>
      <c r="AJ175" s="55"/>
      <c r="AK175" s="32"/>
      <c r="AL175" s="32"/>
      <c r="AM175" s="32"/>
      <c r="AN175" s="32"/>
      <c r="AO175" s="32"/>
      <c r="AP175" s="31"/>
      <c r="AQ175" s="31"/>
      <c r="AR175" s="54"/>
      <c r="AS175" s="21" t="str">
        <f>IFERROR(VLOOKUP(January[[#This Row],[Drug Name4]],'Data Options'!$R$1:$S$100,2,FALSE), " ")</f>
        <v xml:space="preserve"> </v>
      </c>
      <c r="AT175" s="55"/>
      <c r="AU175" s="32"/>
      <c r="AV175" s="32"/>
      <c r="AW175" s="55"/>
      <c r="AX175" s="32"/>
      <c r="AY175" s="54"/>
      <c r="AZ175" s="21" t="str">
        <f>IFERROR(VLOOKUP(January[[#This Row],[Drug Name5]],'Data Options'!$R$1:$S$100,2,FALSE), " ")</f>
        <v xml:space="preserve"> </v>
      </c>
      <c r="BA175" s="55"/>
      <c r="BB175" s="32"/>
      <c r="BC175" s="32"/>
      <c r="BD175" s="55"/>
      <c r="BE175" s="32"/>
      <c r="BF175" s="54"/>
      <c r="BG175" s="21" t="str">
        <f>IFERROR(VLOOKUP(January[[#This Row],[Drug Name6]],'Data Options'!$R$1:$S$100,2,FALSE), " ")</f>
        <v xml:space="preserve"> </v>
      </c>
      <c r="BH175" s="55"/>
      <c r="BI175" s="32"/>
      <c r="BJ175" s="32"/>
      <c r="BK175" s="55"/>
      <c r="BL175" s="32"/>
      <c r="BM175" s="32"/>
      <c r="BN175" s="32"/>
      <c r="BO175" s="32"/>
      <c r="BP175" s="32"/>
      <c r="BQ175" s="31"/>
      <c r="BR175" s="31"/>
      <c r="BS175" s="54"/>
      <c r="BT175" s="21" t="str">
        <f>IFERROR(VLOOKUP(January[[#This Row],[Drug Name7]],'Data Options'!$R$1:$S$100,2,FALSE), " ")</f>
        <v xml:space="preserve"> </v>
      </c>
      <c r="BU175" s="55"/>
      <c r="BV175" s="32"/>
      <c r="BW175" s="32"/>
      <c r="BX175" s="55"/>
      <c r="BY175" s="32"/>
      <c r="BZ175" s="54"/>
      <c r="CA175" s="21" t="str">
        <f>IFERROR(VLOOKUP(January[[#This Row],[Drug Name8]],'Data Options'!$R$1:$S$100,2,FALSE), " ")</f>
        <v xml:space="preserve"> </v>
      </c>
      <c r="CB175" s="55"/>
      <c r="CC175" s="32"/>
      <c r="CD175" s="32"/>
      <c r="CE175" s="55"/>
      <c r="CF175" s="32"/>
      <c r="CG175" s="54"/>
      <c r="CH175" s="21" t="str">
        <f>IFERROR(VLOOKUP(January[[#This Row],[Drug Name9]],'Data Options'!$R$1:$S$100,2,FALSE), " ")</f>
        <v xml:space="preserve"> </v>
      </c>
      <c r="CI175" s="55"/>
      <c r="CJ175" s="32"/>
      <c r="CK175" s="32"/>
      <c r="CL175" s="55"/>
      <c r="CM175" s="32"/>
    </row>
    <row r="176" spans="1:91">
      <c r="A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1"/>
      <c r="P176" s="31"/>
      <c r="Q176" s="54"/>
      <c r="R176" s="21" t="str">
        <f>IFERROR(VLOOKUP(January[[#This Row],[Drug Name]],'Data Options'!$R$1:$S$100,2,FALSE), " ")</f>
        <v xml:space="preserve"> </v>
      </c>
      <c r="S176" s="55"/>
      <c r="T176" s="32"/>
      <c r="U176" s="32"/>
      <c r="V176" s="55"/>
      <c r="W176" s="32"/>
      <c r="X176" s="54"/>
      <c r="Y176" s="21" t="str">
        <f>IFERROR(VLOOKUP(January[[#This Row],[Drug Name2]],'Data Options'!$R$1:$S$100,2,FALSE), " ")</f>
        <v xml:space="preserve"> </v>
      </c>
      <c r="Z176" s="55"/>
      <c r="AA176" s="32"/>
      <c r="AB176" s="32"/>
      <c r="AC176" s="55"/>
      <c r="AD176" s="32"/>
      <c r="AE176" s="54"/>
      <c r="AF176" s="21" t="str">
        <f>IFERROR(VLOOKUP(January[[#This Row],[Drug Name3]],'Data Options'!$R$1:$S$100,2,FALSE), " ")</f>
        <v xml:space="preserve"> </v>
      </c>
      <c r="AG176" s="55"/>
      <c r="AH176" s="32"/>
      <c r="AI176" s="32"/>
      <c r="AJ176" s="55"/>
      <c r="AK176" s="32"/>
      <c r="AL176" s="32"/>
      <c r="AM176" s="32"/>
      <c r="AN176" s="32"/>
      <c r="AO176" s="32"/>
      <c r="AP176" s="31"/>
      <c r="AQ176" s="31"/>
      <c r="AR176" s="54"/>
      <c r="AS176" s="21" t="str">
        <f>IFERROR(VLOOKUP(January[[#This Row],[Drug Name4]],'Data Options'!$R$1:$S$100,2,FALSE), " ")</f>
        <v xml:space="preserve"> </v>
      </c>
      <c r="AT176" s="55"/>
      <c r="AU176" s="32"/>
      <c r="AV176" s="32"/>
      <c r="AW176" s="55"/>
      <c r="AX176" s="32"/>
      <c r="AY176" s="54"/>
      <c r="AZ176" s="21" t="str">
        <f>IFERROR(VLOOKUP(January[[#This Row],[Drug Name5]],'Data Options'!$R$1:$S$100,2,FALSE), " ")</f>
        <v xml:space="preserve"> </v>
      </c>
      <c r="BA176" s="55"/>
      <c r="BB176" s="32"/>
      <c r="BC176" s="32"/>
      <c r="BD176" s="55"/>
      <c r="BE176" s="32"/>
      <c r="BF176" s="54"/>
      <c r="BG176" s="21" t="str">
        <f>IFERROR(VLOOKUP(January[[#This Row],[Drug Name6]],'Data Options'!$R$1:$S$100,2,FALSE), " ")</f>
        <v xml:space="preserve"> </v>
      </c>
      <c r="BH176" s="55"/>
      <c r="BI176" s="32"/>
      <c r="BJ176" s="32"/>
      <c r="BK176" s="55"/>
      <c r="BL176" s="32"/>
      <c r="BM176" s="32"/>
      <c r="BN176" s="32"/>
      <c r="BO176" s="32"/>
      <c r="BP176" s="32"/>
      <c r="BQ176" s="31"/>
      <c r="BR176" s="31"/>
      <c r="BS176" s="54"/>
      <c r="BT176" s="21" t="str">
        <f>IFERROR(VLOOKUP(January[[#This Row],[Drug Name7]],'Data Options'!$R$1:$S$100,2,FALSE), " ")</f>
        <v xml:space="preserve"> </v>
      </c>
      <c r="BU176" s="55"/>
      <c r="BV176" s="32"/>
      <c r="BW176" s="32"/>
      <c r="BX176" s="55"/>
      <c r="BY176" s="32"/>
      <c r="BZ176" s="54"/>
      <c r="CA176" s="21" t="str">
        <f>IFERROR(VLOOKUP(January[[#This Row],[Drug Name8]],'Data Options'!$R$1:$S$100,2,FALSE), " ")</f>
        <v xml:space="preserve"> </v>
      </c>
      <c r="CB176" s="55"/>
      <c r="CC176" s="32"/>
      <c r="CD176" s="32"/>
      <c r="CE176" s="55"/>
      <c r="CF176" s="32"/>
      <c r="CG176" s="54"/>
      <c r="CH176" s="21" t="str">
        <f>IFERROR(VLOOKUP(January[[#This Row],[Drug Name9]],'Data Options'!$R$1:$S$100,2,FALSE), " ")</f>
        <v xml:space="preserve"> </v>
      </c>
      <c r="CI176" s="55"/>
      <c r="CJ176" s="32"/>
      <c r="CK176" s="32"/>
      <c r="CL176" s="55"/>
      <c r="CM176" s="32"/>
    </row>
    <row r="177" spans="1:91">
      <c r="A177" s="5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1"/>
      <c r="P177" s="31"/>
      <c r="Q177" s="54"/>
      <c r="R177" s="21" t="str">
        <f>IFERROR(VLOOKUP(January[[#This Row],[Drug Name]],'Data Options'!$R$1:$S$100,2,FALSE), " ")</f>
        <v xml:space="preserve"> </v>
      </c>
      <c r="S177" s="55"/>
      <c r="T177" s="32"/>
      <c r="U177" s="32"/>
      <c r="V177" s="55"/>
      <c r="W177" s="32"/>
      <c r="X177" s="54"/>
      <c r="Y177" s="21" t="str">
        <f>IFERROR(VLOOKUP(January[[#This Row],[Drug Name2]],'Data Options'!$R$1:$S$100,2,FALSE), " ")</f>
        <v xml:space="preserve"> </v>
      </c>
      <c r="Z177" s="55"/>
      <c r="AA177" s="32"/>
      <c r="AB177" s="32"/>
      <c r="AC177" s="55"/>
      <c r="AD177" s="32"/>
      <c r="AE177" s="54"/>
      <c r="AF177" s="21" t="str">
        <f>IFERROR(VLOOKUP(January[[#This Row],[Drug Name3]],'Data Options'!$R$1:$S$100,2,FALSE), " ")</f>
        <v xml:space="preserve"> </v>
      </c>
      <c r="AG177" s="55"/>
      <c r="AH177" s="32"/>
      <c r="AI177" s="32"/>
      <c r="AJ177" s="55"/>
      <c r="AK177" s="32"/>
      <c r="AL177" s="32"/>
      <c r="AM177" s="32"/>
      <c r="AN177" s="32"/>
      <c r="AO177" s="32"/>
      <c r="AP177" s="31"/>
      <c r="AQ177" s="31"/>
      <c r="AR177" s="54"/>
      <c r="AS177" s="21" t="str">
        <f>IFERROR(VLOOKUP(January[[#This Row],[Drug Name4]],'Data Options'!$R$1:$S$100,2,FALSE), " ")</f>
        <v xml:space="preserve"> </v>
      </c>
      <c r="AT177" s="55"/>
      <c r="AU177" s="32"/>
      <c r="AV177" s="32"/>
      <c r="AW177" s="55"/>
      <c r="AX177" s="32"/>
      <c r="AY177" s="54"/>
      <c r="AZ177" s="21" t="str">
        <f>IFERROR(VLOOKUP(January[[#This Row],[Drug Name5]],'Data Options'!$R$1:$S$100,2,FALSE), " ")</f>
        <v xml:space="preserve"> </v>
      </c>
      <c r="BA177" s="55"/>
      <c r="BB177" s="32"/>
      <c r="BC177" s="32"/>
      <c r="BD177" s="55"/>
      <c r="BE177" s="32"/>
      <c r="BF177" s="54"/>
      <c r="BG177" s="21" t="str">
        <f>IFERROR(VLOOKUP(January[[#This Row],[Drug Name6]],'Data Options'!$R$1:$S$100,2,FALSE), " ")</f>
        <v xml:space="preserve"> </v>
      </c>
      <c r="BH177" s="55"/>
      <c r="BI177" s="32"/>
      <c r="BJ177" s="32"/>
      <c r="BK177" s="55"/>
      <c r="BL177" s="32"/>
      <c r="BM177" s="32"/>
      <c r="BN177" s="32"/>
      <c r="BO177" s="32"/>
      <c r="BP177" s="32"/>
      <c r="BQ177" s="31"/>
      <c r="BR177" s="31"/>
      <c r="BS177" s="54"/>
      <c r="BT177" s="21" t="str">
        <f>IFERROR(VLOOKUP(January[[#This Row],[Drug Name7]],'Data Options'!$R$1:$S$100,2,FALSE), " ")</f>
        <v xml:space="preserve"> </v>
      </c>
      <c r="BU177" s="55"/>
      <c r="BV177" s="32"/>
      <c r="BW177" s="32"/>
      <c r="BX177" s="55"/>
      <c r="BY177" s="32"/>
      <c r="BZ177" s="54"/>
      <c r="CA177" s="21" t="str">
        <f>IFERROR(VLOOKUP(January[[#This Row],[Drug Name8]],'Data Options'!$R$1:$S$100,2,FALSE), " ")</f>
        <v xml:space="preserve"> </v>
      </c>
      <c r="CB177" s="55"/>
      <c r="CC177" s="32"/>
      <c r="CD177" s="32"/>
      <c r="CE177" s="55"/>
      <c r="CF177" s="32"/>
      <c r="CG177" s="54"/>
      <c r="CH177" s="21" t="str">
        <f>IFERROR(VLOOKUP(January[[#This Row],[Drug Name9]],'Data Options'!$R$1:$S$100,2,FALSE), " ")</f>
        <v xml:space="preserve"> </v>
      </c>
      <c r="CI177" s="55"/>
      <c r="CJ177" s="32"/>
      <c r="CK177" s="32"/>
      <c r="CL177" s="55"/>
      <c r="CM177" s="32"/>
    </row>
    <row r="178" spans="1:91">
      <c r="A178" s="5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1"/>
      <c r="P178" s="31"/>
      <c r="Q178" s="54"/>
      <c r="R178" s="21" t="str">
        <f>IFERROR(VLOOKUP(January[[#This Row],[Drug Name]],'Data Options'!$R$1:$S$100,2,FALSE), " ")</f>
        <v xml:space="preserve"> </v>
      </c>
      <c r="S178" s="55"/>
      <c r="T178" s="32"/>
      <c r="U178" s="32"/>
      <c r="V178" s="55"/>
      <c r="W178" s="32"/>
      <c r="X178" s="54"/>
      <c r="Y178" s="21" t="str">
        <f>IFERROR(VLOOKUP(January[[#This Row],[Drug Name2]],'Data Options'!$R$1:$S$100,2,FALSE), " ")</f>
        <v xml:space="preserve"> </v>
      </c>
      <c r="Z178" s="55"/>
      <c r="AA178" s="32"/>
      <c r="AB178" s="32"/>
      <c r="AC178" s="55"/>
      <c r="AD178" s="32"/>
      <c r="AE178" s="54"/>
      <c r="AF178" s="21" t="str">
        <f>IFERROR(VLOOKUP(January[[#This Row],[Drug Name3]],'Data Options'!$R$1:$S$100,2,FALSE), " ")</f>
        <v xml:space="preserve"> </v>
      </c>
      <c r="AG178" s="55"/>
      <c r="AH178" s="32"/>
      <c r="AI178" s="32"/>
      <c r="AJ178" s="55"/>
      <c r="AK178" s="32"/>
      <c r="AL178" s="32"/>
      <c r="AM178" s="32"/>
      <c r="AN178" s="32"/>
      <c r="AO178" s="32"/>
      <c r="AP178" s="31"/>
      <c r="AQ178" s="31"/>
      <c r="AR178" s="54"/>
      <c r="AS178" s="21" t="str">
        <f>IFERROR(VLOOKUP(January[[#This Row],[Drug Name4]],'Data Options'!$R$1:$S$100,2,FALSE), " ")</f>
        <v xml:space="preserve"> </v>
      </c>
      <c r="AT178" s="55"/>
      <c r="AU178" s="32"/>
      <c r="AV178" s="32"/>
      <c r="AW178" s="55"/>
      <c r="AX178" s="32"/>
      <c r="AY178" s="54"/>
      <c r="AZ178" s="21" t="str">
        <f>IFERROR(VLOOKUP(January[[#This Row],[Drug Name5]],'Data Options'!$R$1:$S$100,2,FALSE), " ")</f>
        <v xml:space="preserve"> </v>
      </c>
      <c r="BA178" s="55"/>
      <c r="BB178" s="32"/>
      <c r="BC178" s="32"/>
      <c r="BD178" s="55"/>
      <c r="BE178" s="32"/>
      <c r="BF178" s="54"/>
      <c r="BG178" s="21" t="str">
        <f>IFERROR(VLOOKUP(January[[#This Row],[Drug Name6]],'Data Options'!$R$1:$S$100,2,FALSE), " ")</f>
        <v xml:space="preserve"> </v>
      </c>
      <c r="BH178" s="55"/>
      <c r="BI178" s="32"/>
      <c r="BJ178" s="32"/>
      <c r="BK178" s="55"/>
      <c r="BL178" s="32"/>
      <c r="BM178" s="32"/>
      <c r="BN178" s="32"/>
      <c r="BO178" s="32"/>
      <c r="BP178" s="32"/>
      <c r="BQ178" s="31"/>
      <c r="BR178" s="31"/>
      <c r="BS178" s="54"/>
      <c r="BT178" s="21" t="str">
        <f>IFERROR(VLOOKUP(January[[#This Row],[Drug Name7]],'Data Options'!$R$1:$S$100,2,FALSE), " ")</f>
        <v xml:space="preserve"> </v>
      </c>
      <c r="BU178" s="55"/>
      <c r="BV178" s="32"/>
      <c r="BW178" s="32"/>
      <c r="BX178" s="55"/>
      <c r="BY178" s="32"/>
      <c r="BZ178" s="54"/>
      <c r="CA178" s="21" t="str">
        <f>IFERROR(VLOOKUP(January[[#This Row],[Drug Name8]],'Data Options'!$R$1:$S$100,2,FALSE), " ")</f>
        <v xml:space="preserve"> </v>
      </c>
      <c r="CB178" s="55"/>
      <c r="CC178" s="32"/>
      <c r="CD178" s="32"/>
      <c r="CE178" s="55"/>
      <c r="CF178" s="32"/>
      <c r="CG178" s="54"/>
      <c r="CH178" s="21" t="str">
        <f>IFERROR(VLOOKUP(January[[#This Row],[Drug Name9]],'Data Options'!$R$1:$S$100,2,FALSE), " ")</f>
        <v xml:space="preserve"> </v>
      </c>
      <c r="CI178" s="55"/>
      <c r="CJ178" s="32"/>
      <c r="CK178" s="32"/>
      <c r="CL178" s="55"/>
      <c r="CM178" s="32"/>
    </row>
    <row r="179" spans="1:91">
      <c r="A179" s="5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1"/>
      <c r="P179" s="31"/>
      <c r="Q179" s="54"/>
      <c r="R179" s="21" t="str">
        <f>IFERROR(VLOOKUP(January[[#This Row],[Drug Name]],'Data Options'!$R$1:$S$100,2,FALSE), " ")</f>
        <v xml:space="preserve"> </v>
      </c>
      <c r="S179" s="55"/>
      <c r="T179" s="32"/>
      <c r="U179" s="32"/>
      <c r="V179" s="55"/>
      <c r="W179" s="32"/>
      <c r="X179" s="54"/>
      <c r="Y179" s="21" t="str">
        <f>IFERROR(VLOOKUP(January[[#This Row],[Drug Name2]],'Data Options'!$R$1:$S$100,2,FALSE), " ")</f>
        <v xml:space="preserve"> </v>
      </c>
      <c r="Z179" s="55"/>
      <c r="AA179" s="32"/>
      <c r="AB179" s="32"/>
      <c r="AC179" s="55"/>
      <c r="AD179" s="32"/>
      <c r="AE179" s="54"/>
      <c r="AF179" s="21" t="str">
        <f>IFERROR(VLOOKUP(January[[#This Row],[Drug Name3]],'Data Options'!$R$1:$S$100,2,FALSE), " ")</f>
        <v xml:space="preserve"> </v>
      </c>
      <c r="AG179" s="55"/>
      <c r="AH179" s="32"/>
      <c r="AI179" s="32"/>
      <c r="AJ179" s="55"/>
      <c r="AK179" s="32"/>
      <c r="AL179" s="32"/>
      <c r="AM179" s="32"/>
      <c r="AN179" s="32"/>
      <c r="AO179" s="32"/>
      <c r="AP179" s="31"/>
      <c r="AQ179" s="31"/>
      <c r="AR179" s="54"/>
      <c r="AS179" s="21" t="str">
        <f>IFERROR(VLOOKUP(January[[#This Row],[Drug Name4]],'Data Options'!$R$1:$S$100,2,FALSE), " ")</f>
        <v xml:space="preserve"> </v>
      </c>
      <c r="AT179" s="55"/>
      <c r="AU179" s="32"/>
      <c r="AV179" s="32"/>
      <c r="AW179" s="55"/>
      <c r="AX179" s="32"/>
      <c r="AY179" s="54"/>
      <c r="AZ179" s="21" t="str">
        <f>IFERROR(VLOOKUP(January[[#This Row],[Drug Name5]],'Data Options'!$R$1:$S$100,2,FALSE), " ")</f>
        <v xml:space="preserve"> </v>
      </c>
      <c r="BA179" s="55"/>
      <c r="BB179" s="32"/>
      <c r="BC179" s="32"/>
      <c r="BD179" s="55"/>
      <c r="BE179" s="32"/>
      <c r="BF179" s="54"/>
      <c r="BG179" s="21" t="str">
        <f>IFERROR(VLOOKUP(January[[#This Row],[Drug Name6]],'Data Options'!$R$1:$S$100,2,FALSE), " ")</f>
        <v xml:space="preserve"> </v>
      </c>
      <c r="BH179" s="55"/>
      <c r="BI179" s="32"/>
      <c r="BJ179" s="32"/>
      <c r="BK179" s="55"/>
      <c r="BL179" s="32"/>
      <c r="BM179" s="32"/>
      <c r="BN179" s="32"/>
      <c r="BO179" s="32"/>
      <c r="BP179" s="32"/>
      <c r="BQ179" s="31"/>
      <c r="BR179" s="31"/>
      <c r="BS179" s="54"/>
      <c r="BT179" s="21" t="str">
        <f>IFERROR(VLOOKUP(January[[#This Row],[Drug Name7]],'Data Options'!$R$1:$S$100,2,FALSE), " ")</f>
        <v xml:space="preserve"> </v>
      </c>
      <c r="BU179" s="55"/>
      <c r="BV179" s="32"/>
      <c r="BW179" s="32"/>
      <c r="BX179" s="55"/>
      <c r="BY179" s="32"/>
      <c r="BZ179" s="54"/>
      <c r="CA179" s="21" t="str">
        <f>IFERROR(VLOOKUP(January[[#This Row],[Drug Name8]],'Data Options'!$R$1:$S$100,2,FALSE), " ")</f>
        <v xml:space="preserve"> </v>
      </c>
      <c r="CB179" s="55"/>
      <c r="CC179" s="32"/>
      <c r="CD179" s="32"/>
      <c r="CE179" s="55"/>
      <c r="CF179" s="32"/>
      <c r="CG179" s="54"/>
      <c r="CH179" s="21" t="str">
        <f>IFERROR(VLOOKUP(January[[#This Row],[Drug Name9]],'Data Options'!$R$1:$S$100,2,FALSE), " ")</f>
        <v xml:space="preserve"> </v>
      </c>
      <c r="CI179" s="55"/>
      <c r="CJ179" s="32"/>
      <c r="CK179" s="32"/>
      <c r="CL179" s="55"/>
      <c r="CM179" s="32"/>
    </row>
    <row r="180" spans="1:91">
      <c r="A180" s="5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1"/>
      <c r="P180" s="31"/>
      <c r="Q180" s="54"/>
      <c r="R180" s="21" t="str">
        <f>IFERROR(VLOOKUP(January[[#This Row],[Drug Name]],'Data Options'!$R$1:$S$100,2,FALSE), " ")</f>
        <v xml:space="preserve"> </v>
      </c>
      <c r="S180" s="55"/>
      <c r="T180" s="32"/>
      <c r="U180" s="32"/>
      <c r="V180" s="55"/>
      <c r="W180" s="32"/>
      <c r="X180" s="54"/>
      <c r="Y180" s="21" t="str">
        <f>IFERROR(VLOOKUP(January[[#This Row],[Drug Name2]],'Data Options'!$R$1:$S$100,2,FALSE), " ")</f>
        <v xml:space="preserve"> </v>
      </c>
      <c r="Z180" s="55"/>
      <c r="AA180" s="32"/>
      <c r="AB180" s="32"/>
      <c r="AC180" s="55"/>
      <c r="AD180" s="32"/>
      <c r="AE180" s="54"/>
      <c r="AF180" s="21" t="str">
        <f>IFERROR(VLOOKUP(January[[#This Row],[Drug Name3]],'Data Options'!$R$1:$S$100,2,FALSE), " ")</f>
        <v xml:space="preserve"> </v>
      </c>
      <c r="AG180" s="55"/>
      <c r="AH180" s="32"/>
      <c r="AI180" s="32"/>
      <c r="AJ180" s="55"/>
      <c r="AK180" s="32"/>
      <c r="AL180" s="32"/>
      <c r="AM180" s="32"/>
      <c r="AN180" s="32"/>
      <c r="AO180" s="32"/>
      <c r="AP180" s="31"/>
      <c r="AQ180" s="31"/>
      <c r="AR180" s="54"/>
      <c r="AS180" s="21" t="str">
        <f>IFERROR(VLOOKUP(January[[#This Row],[Drug Name4]],'Data Options'!$R$1:$S$100,2,FALSE), " ")</f>
        <v xml:space="preserve"> </v>
      </c>
      <c r="AT180" s="55"/>
      <c r="AU180" s="32"/>
      <c r="AV180" s="32"/>
      <c r="AW180" s="55"/>
      <c r="AX180" s="32"/>
      <c r="AY180" s="54"/>
      <c r="AZ180" s="21" t="str">
        <f>IFERROR(VLOOKUP(January[[#This Row],[Drug Name5]],'Data Options'!$R$1:$S$100,2,FALSE), " ")</f>
        <v xml:space="preserve"> </v>
      </c>
      <c r="BA180" s="55"/>
      <c r="BB180" s="32"/>
      <c r="BC180" s="32"/>
      <c r="BD180" s="55"/>
      <c r="BE180" s="32"/>
      <c r="BF180" s="54"/>
      <c r="BG180" s="21" t="str">
        <f>IFERROR(VLOOKUP(January[[#This Row],[Drug Name6]],'Data Options'!$R$1:$S$100,2,FALSE), " ")</f>
        <v xml:space="preserve"> </v>
      </c>
      <c r="BH180" s="55"/>
      <c r="BI180" s="32"/>
      <c r="BJ180" s="32"/>
      <c r="BK180" s="55"/>
      <c r="BL180" s="32"/>
      <c r="BM180" s="32"/>
      <c r="BN180" s="32"/>
      <c r="BO180" s="32"/>
      <c r="BP180" s="32"/>
      <c r="BQ180" s="31"/>
      <c r="BR180" s="31"/>
      <c r="BS180" s="54"/>
      <c r="BT180" s="21" t="str">
        <f>IFERROR(VLOOKUP(January[[#This Row],[Drug Name7]],'Data Options'!$R$1:$S$100,2,FALSE), " ")</f>
        <v xml:space="preserve"> </v>
      </c>
      <c r="BU180" s="55"/>
      <c r="BV180" s="32"/>
      <c r="BW180" s="32"/>
      <c r="BX180" s="55"/>
      <c r="BY180" s="32"/>
      <c r="BZ180" s="54"/>
      <c r="CA180" s="21" t="str">
        <f>IFERROR(VLOOKUP(January[[#This Row],[Drug Name8]],'Data Options'!$R$1:$S$100,2,FALSE), " ")</f>
        <v xml:space="preserve"> </v>
      </c>
      <c r="CB180" s="55"/>
      <c r="CC180" s="32"/>
      <c r="CD180" s="32"/>
      <c r="CE180" s="55"/>
      <c r="CF180" s="32"/>
      <c r="CG180" s="54"/>
      <c r="CH180" s="21" t="str">
        <f>IFERROR(VLOOKUP(January[[#This Row],[Drug Name9]],'Data Options'!$R$1:$S$100,2,FALSE), " ")</f>
        <v xml:space="preserve"> </v>
      </c>
      <c r="CI180" s="55"/>
      <c r="CJ180" s="32"/>
      <c r="CK180" s="32"/>
      <c r="CL180" s="55"/>
      <c r="CM180" s="32"/>
    </row>
    <row r="181" spans="1:91">
      <c r="A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1"/>
      <c r="P181" s="31"/>
      <c r="Q181" s="54"/>
      <c r="R181" s="21" t="str">
        <f>IFERROR(VLOOKUP(January[[#This Row],[Drug Name]],'Data Options'!$R$1:$S$100,2,FALSE), " ")</f>
        <v xml:space="preserve"> </v>
      </c>
      <c r="S181" s="55"/>
      <c r="T181" s="32"/>
      <c r="U181" s="32"/>
      <c r="V181" s="55"/>
      <c r="W181" s="32"/>
      <c r="X181" s="54"/>
      <c r="Y181" s="21" t="str">
        <f>IFERROR(VLOOKUP(January[[#This Row],[Drug Name2]],'Data Options'!$R$1:$S$100,2,FALSE), " ")</f>
        <v xml:space="preserve"> </v>
      </c>
      <c r="Z181" s="55"/>
      <c r="AA181" s="32"/>
      <c r="AB181" s="32"/>
      <c r="AC181" s="55"/>
      <c r="AD181" s="32"/>
      <c r="AE181" s="54"/>
      <c r="AF181" s="21" t="str">
        <f>IFERROR(VLOOKUP(January[[#This Row],[Drug Name3]],'Data Options'!$R$1:$S$100,2,FALSE), " ")</f>
        <v xml:space="preserve"> </v>
      </c>
      <c r="AG181" s="55"/>
      <c r="AH181" s="32"/>
      <c r="AI181" s="32"/>
      <c r="AJ181" s="55"/>
      <c r="AK181" s="32"/>
      <c r="AL181" s="32"/>
      <c r="AM181" s="32"/>
      <c r="AN181" s="32"/>
      <c r="AO181" s="32"/>
      <c r="AP181" s="31"/>
      <c r="AQ181" s="31"/>
      <c r="AR181" s="54"/>
      <c r="AS181" s="21" t="str">
        <f>IFERROR(VLOOKUP(January[[#This Row],[Drug Name4]],'Data Options'!$R$1:$S$100,2,FALSE), " ")</f>
        <v xml:space="preserve"> </v>
      </c>
      <c r="AT181" s="55"/>
      <c r="AU181" s="32"/>
      <c r="AV181" s="32"/>
      <c r="AW181" s="55"/>
      <c r="AX181" s="32"/>
      <c r="AY181" s="54"/>
      <c r="AZ181" s="21" t="str">
        <f>IFERROR(VLOOKUP(January[[#This Row],[Drug Name5]],'Data Options'!$R$1:$S$100,2,FALSE), " ")</f>
        <v xml:space="preserve"> </v>
      </c>
      <c r="BA181" s="55"/>
      <c r="BB181" s="32"/>
      <c r="BC181" s="32"/>
      <c r="BD181" s="55"/>
      <c r="BE181" s="32"/>
      <c r="BF181" s="54"/>
      <c r="BG181" s="21" t="str">
        <f>IFERROR(VLOOKUP(January[[#This Row],[Drug Name6]],'Data Options'!$R$1:$S$100,2,FALSE), " ")</f>
        <v xml:space="preserve"> </v>
      </c>
      <c r="BH181" s="55"/>
      <c r="BI181" s="32"/>
      <c r="BJ181" s="32"/>
      <c r="BK181" s="55"/>
      <c r="BL181" s="32"/>
      <c r="BM181" s="32"/>
      <c r="BN181" s="32"/>
      <c r="BO181" s="32"/>
      <c r="BP181" s="32"/>
      <c r="BQ181" s="31"/>
      <c r="BR181" s="31"/>
      <c r="BS181" s="54"/>
      <c r="BT181" s="21" t="str">
        <f>IFERROR(VLOOKUP(January[[#This Row],[Drug Name7]],'Data Options'!$R$1:$S$100,2,FALSE), " ")</f>
        <v xml:space="preserve"> </v>
      </c>
      <c r="BU181" s="55"/>
      <c r="BV181" s="32"/>
      <c r="BW181" s="32"/>
      <c r="BX181" s="55"/>
      <c r="BY181" s="32"/>
      <c r="BZ181" s="54"/>
      <c r="CA181" s="21" t="str">
        <f>IFERROR(VLOOKUP(January[[#This Row],[Drug Name8]],'Data Options'!$R$1:$S$100,2,FALSE), " ")</f>
        <v xml:space="preserve"> </v>
      </c>
      <c r="CB181" s="55"/>
      <c r="CC181" s="32"/>
      <c r="CD181" s="32"/>
      <c r="CE181" s="55"/>
      <c r="CF181" s="32"/>
      <c r="CG181" s="54"/>
      <c r="CH181" s="21" t="str">
        <f>IFERROR(VLOOKUP(January[[#This Row],[Drug Name9]],'Data Options'!$R$1:$S$100,2,FALSE), " ")</f>
        <v xml:space="preserve"> </v>
      </c>
      <c r="CI181" s="55"/>
      <c r="CJ181" s="32"/>
      <c r="CK181" s="32"/>
      <c r="CL181" s="55"/>
      <c r="CM181" s="32"/>
    </row>
    <row r="182" spans="1:91">
      <c r="A182" s="5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1"/>
      <c r="P182" s="31"/>
      <c r="Q182" s="54"/>
      <c r="R182" s="21" t="str">
        <f>IFERROR(VLOOKUP(January[[#This Row],[Drug Name]],'Data Options'!$R$1:$S$100,2,FALSE), " ")</f>
        <v xml:space="preserve"> </v>
      </c>
      <c r="S182" s="55"/>
      <c r="T182" s="32"/>
      <c r="U182" s="32"/>
      <c r="V182" s="55"/>
      <c r="W182" s="32"/>
      <c r="X182" s="54"/>
      <c r="Y182" s="21" t="str">
        <f>IFERROR(VLOOKUP(January[[#This Row],[Drug Name2]],'Data Options'!$R$1:$S$100,2,FALSE), " ")</f>
        <v xml:space="preserve"> </v>
      </c>
      <c r="Z182" s="55"/>
      <c r="AA182" s="32"/>
      <c r="AB182" s="32"/>
      <c r="AC182" s="55"/>
      <c r="AD182" s="32"/>
      <c r="AE182" s="54"/>
      <c r="AF182" s="21" t="str">
        <f>IFERROR(VLOOKUP(January[[#This Row],[Drug Name3]],'Data Options'!$R$1:$S$100,2,FALSE), " ")</f>
        <v xml:space="preserve"> </v>
      </c>
      <c r="AG182" s="55"/>
      <c r="AH182" s="32"/>
      <c r="AI182" s="32"/>
      <c r="AJ182" s="55"/>
      <c r="AK182" s="32"/>
      <c r="AL182" s="32"/>
      <c r="AM182" s="32"/>
      <c r="AN182" s="32"/>
      <c r="AO182" s="32"/>
      <c r="AP182" s="31"/>
      <c r="AQ182" s="31"/>
      <c r="AR182" s="54"/>
      <c r="AS182" s="21" t="str">
        <f>IFERROR(VLOOKUP(January[[#This Row],[Drug Name4]],'Data Options'!$R$1:$S$100,2,FALSE), " ")</f>
        <v xml:space="preserve"> </v>
      </c>
      <c r="AT182" s="55"/>
      <c r="AU182" s="32"/>
      <c r="AV182" s="32"/>
      <c r="AW182" s="55"/>
      <c r="AX182" s="32"/>
      <c r="AY182" s="54"/>
      <c r="AZ182" s="21" t="str">
        <f>IFERROR(VLOOKUP(January[[#This Row],[Drug Name5]],'Data Options'!$R$1:$S$100,2,FALSE), " ")</f>
        <v xml:space="preserve"> </v>
      </c>
      <c r="BA182" s="55"/>
      <c r="BB182" s="32"/>
      <c r="BC182" s="32"/>
      <c r="BD182" s="55"/>
      <c r="BE182" s="32"/>
      <c r="BF182" s="54"/>
      <c r="BG182" s="21" t="str">
        <f>IFERROR(VLOOKUP(January[[#This Row],[Drug Name6]],'Data Options'!$R$1:$S$100,2,FALSE), " ")</f>
        <v xml:space="preserve"> </v>
      </c>
      <c r="BH182" s="55"/>
      <c r="BI182" s="32"/>
      <c r="BJ182" s="32"/>
      <c r="BK182" s="55"/>
      <c r="BL182" s="32"/>
      <c r="BM182" s="32"/>
      <c r="BN182" s="32"/>
      <c r="BO182" s="32"/>
      <c r="BP182" s="32"/>
      <c r="BQ182" s="31"/>
      <c r="BR182" s="31"/>
      <c r="BS182" s="54"/>
      <c r="BT182" s="21" t="str">
        <f>IFERROR(VLOOKUP(January[[#This Row],[Drug Name7]],'Data Options'!$R$1:$S$100,2,FALSE), " ")</f>
        <v xml:space="preserve"> </v>
      </c>
      <c r="BU182" s="55"/>
      <c r="BV182" s="32"/>
      <c r="BW182" s="32"/>
      <c r="BX182" s="55"/>
      <c r="BY182" s="32"/>
      <c r="BZ182" s="54"/>
      <c r="CA182" s="21" t="str">
        <f>IFERROR(VLOOKUP(January[[#This Row],[Drug Name8]],'Data Options'!$R$1:$S$100,2,FALSE), " ")</f>
        <v xml:space="preserve"> </v>
      </c>
      <c r="CB182" s="55"/>
      <c r="CC182" s="32"/>
      <c r="CD182" s="32"/>
      <c r="CE182" s="55"/>
      <c r="CF182" s="32"/>
      <c r="CG182" s="54"/>
      <c r="CH182" s="21" t="str">
        <f>IFERROR(VLOOKUP(January[[#This Row],[Drug Name9]],'Data Options'!$R$1:$S$100,2,FALSE), " ")</f>
        <v xml:space="preserve"> </v>
      </c>
      <c r="CI182" s="55"/>
      <c r="CJ182" s="32"/>
      <c r="CK182" s="32"/>
      <c r="CL182" s="55"/>
      <c r="CM182" s="32"/>
    </row>
    <row r="183" spans="1:91">
      <c r="A183" s="5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1"/>
      <c r="P183" s="31"/>
      <c r="Q183" s="54"/>
      <c r="R183" s="21" t="str">
        <f>IFERROR(VLOOKUP(January[[#This Row],[Drug Name]],'Data Options'!$R$1:$S$100,2,FALSE), " ")</f>
        <v xml:space="preserve"> </v>
      </c>
      <c r="S183" s="55"/>
      <c r="T183" s="32"/>
      <c r="U183" s="32"/>
      <c r="V183" s="55"/>
      <c r="W183" s="32"/>
      <c r="X183" s="54"/>
      <c r="Y183" s="21" t="str">
        <f>IFERROR(VLOOKUP(January[[#This Row],[Drug Name2]],'Data Options'!$R$1:$S$100,2,FALSE), " ")</f>
        <v xml:space="preserve"> </v>
      </c>
      <c r="Z183" s="55"/>
      <c r="AA183" s="32"/>
      <c r="AB183" s="32"/>
      <c r="AC183" s="55"/>
      <c r="AD183" s="32"/>
      <c r="AE183" s="54"/>
      <c r="AF183" s="21" t="str">
        <f>IFERROR(VLOOKUP(January[[#This Row],[Drug Name3]],'Data Options'!$R$1:$S$100,2,FALSE), " ")</f>
        <v xml:space="preserve"> </v>
      </c>
      <c r="AG183" s="55"/>
      <c r="AH183" s="32"/>
      <c r="AI183" s="32"/>
      <c r="AJ183" s="55"/>
      <c r="AK183" s="32"/>
      <c r="AL183" s="32"/>
      <c r="AM183" s="32"/>
      <c r="AN183" s="32"/>
      <c r="AO183" s="32"/>
      <c r="AP183" s="31"/>
      <c r="AQ183" s="31"/>
      <c r="AR183" s="54"/>
      <c r="AS183" s="21" t="str">
        <f>IFERROR(VLOOKUP(January[[#This Row],[Drug Name4]],'Data Options'!$R$1:$S$100,2,FALSE), " ")</f>
        <v xml:space="preserve"> </v>
      </c>
      <c r="AT183" s="55"/>
      <c r="AU183" s="32"/>
      <c r="AV183" s="32"/>
      <c r="AW183" s="55"/>
      <c r="AX183" s="32"/>
      <c r="AY183" s="54"/>
      <c r="AZ183" s="21" t="str">
        <f>IFERROR(VLOOKUP(January[[#This Row],[Drug Name5]],'Data Options'!$R$1:$S$100,2,FALSE), " ")</f>
        <v xml:space="preserve"> </v>
      </c>
      <c r="BA183" s="55"/>
      <c r="BB183" s="32"/>
      <c r="BC183" s="32"/>
      <c r="BD183" s="55"/>
      <c r="BE183" s="32"/>
      <c r="BF183" s="54"/>
      <c r="BG183" s="21" t="str">
        <f>IFERROR(VLOOKUP(January[[#This Row],[Drug Name6]],'Data Options'!$R$1:$S$100,2,FALSE), " ")</f>
        <v xml:space="preserve"> </v>
      </c>
      <c r="BH183" s="55"/>
      <c r="BI183" s="32"/>
      <c r="BJ183" s="32"/>
      <c r="BK183" s="55"/>
      <c r="BL183" s="32"/>
      <c r="BM183" s="32"/>
      <c r="BN183" s="32"/>
      <c r="BO183" s="32"/>
      <c r="BP183" s="32"/>
      <c r="BQ183" s="31"/>
      <c r="BR183" s="31"/>
      <c r="BS183" s="54"/>
      <c r="BT183" s="21" t="str">
        <f>IFERROR(VLOOKUP(January[[#This Row],[Drug Name7]],'Data Options'!$R$1:$S$100,2,FALSE), " ")</f>
        <v xml:space="preserve"> </v>
      </c>
      <c r="BU183" s="55"/>
      <c r="BV183" s="32"/>
      <c r="BW183" s="32"/>
      <c r="BX183" s="55"/>
      <c r="BY183" s="32"/>
      <c r="BZ183" s="54"/>
      <c r="CA183" s="21" t="str">
        <f>IFERROR(VLOOKUP(January[[#This Row],[Drug Name8]],'Data Options'!$R$1:$S$100,2,FALSE), " ")</f>
        <v xml:space="preserve"> </v>
      </c>
      <c r="CB183" s="55"/>
      <c r="CC183" s="32"/>
      <c r="CD183" s="32"/>
      <c r="CE183" s="55"/>
      <c r="CF183" s="32"/>
      <c r="CG183" s="54"/>
      <c r="CH183" s="21" t="str">
        <f>IFERROR(VLOOKUP(January[[#This Row],[Drug Name9]],'Data Options'!$R$1:$S$100,2,FALSE), " ")</f>
        <v xml:space="preserve"> </v>
      </c>
      <c r="CI183" s="55"/>
      <c r="CJ183" s="32"/>
      <c r="CK183" s="32"/>
      <c r="CL183" s="55"/>
      <c r="CM183" s="32"/>
    </row>
    <row r="184" spans="1:91">
      <c r="A184" s="5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1"/>
      <c r="P184" s="31"/>
      <c r="Q184" s="54"/>
      <c r="R184" s="21" t="str">
        <f>IFERROR(VLOOKUP(January[[#This Row],[Drug Name]],'Data Options'!$R$1:$S$100,2,FALSE), " ")</f>
        <v xml:space="preserve"> </v>
      </c>
      <c r="S184" s="55"/>
      <c r="T184" s="32"/>
      <c r="U184" s="32"/>
      <c r="V184" s="55"/>
      <c r="W184" s="32"/>
      <c r="X184" s="54"/>
      <c r="Y184" s="21" t="str">
        <f>IFERROR(VLOOKUP(January[[#This Row],[Drug Name2]],'Data Options'!$R$1:$S$100,2,FALSE), " ")</f>
        <v xml:space="preserve"> </v>
      </c>
      <c r="Z184" s="55"/>
      <c r="AA184" s="32"/>
      <c r="AB184" s="32"/>
      <c r="AC184" s="55"/>
      <c r="AD184" s="32"/>
      <c r="AE184" s="54"/>
      <c r="AF184" s="21" t="str">
        <f>IFERROR(VLOOKUP(January[[#This Row],[Drug Name3]],'Data Options'!$R$1:$S$100,2,FALSE), " ")</f>
        <v xml:space="preserve"> </v>
      </c>
      <c r="AG184" s="55"/>
      <c r="AH184" s="32"/>
      <c r="AI184" s="32"/>
      <c r="AJ184" s="55"/>
      <c r="AK184" s="32"/>
      <c r="AL184" s="32"/>
      <c r="AM184" s="32"/>
      <c r="AN184" s="32"/>
      <c r="AO184" s="32"/>
      <c r="AP184" s="31"/>
      <c r="AQ184" s="31"/>
      <c r="AR184" s="54"/>
      <c r="AS184" s="21" t="str">
        <f>IFERROR(VLOOKUP(January[[#This Row],[Drug Name4]],'Data Options'!$R$1:$S$100,2,FALSE), " ")</f>
        <v xml:space="preserve"> </v>
      </c>
      <c r="AT184" s="55"/>
      <c r="AU184" s="32"/>
      <c r="AV184" s="32"/>
      <c r="AW184" s="55"/>
      <c r="AX184" s="32"/>
      <c r="AY184" s="54"/>
      <c r="AZ184" s="21" t="str">
        <f>IFERROR(VLOOKUP(January[[#This Row],[Drug Name5]],'Data Options'!$R$1:$S$100,2,FALSE), " ")</f>
        <v xml:space="preserve"> </v>
      </c>
      <c r="BA184" s="55"/>
      <c r="BB184" s="32"/>
      <c r="BC184" s="32"/>
      <c r="BD184" s="55"/>
      <c r="BE184" s="32"/>
      <c r="BF184" s="54"/>
      <c r="BG184" s="21" t="str">
        <f>IFERROR(VLOOKUP(January[[#This Row],[Drug Name6]],'Data Options'!$R$1:$S$100,2,FALSE), " ")</f>
        <v xml:space="preserve"> </v>
      </c>
      <c r="BH184" s="55"/>
      <c r="BI184" s="32"/>
      <c r="BJ184" s="32"/>
      <c r="BK184" s="55"/>
      <c r="BL184" s="32"/>
      <c r="BM184" s="32"/>
      <c r="BN184" s="32"/>
      <c r="BO184" s="32"/>
      <c r="BP184" s="32"/>
      <c r="BQ184" s="31"/>
      <c r="BR184" s="31"/>
      <c r="BS184" s="54"/>
      <c r="BT184" s="21" t="str">
        <f>IFERROR(VLOOKUP(January[[#This Row],[Drug Name7]],'Data Options'!$R$1:$S$100,2,FALSE), " ")</f>
        <v xml:space="preserve"> </v>
      </c>
      <c r="BU184" s="55"/>
      <c r="BV184" s="32"/>
      <c r="BW184" s="32"/>
      <c r="BX184" s="55"/>
      <c r="BY184" s="32"/>
      <c r="BZ184" s="54"/>
      <c r="CA184" s="21" t="str">
        <f>IFERROR(VLOOKUP(January[[#This Row],[Drug Name8]],'Data Options'!$R$1:$S$100,2,FALSE), " ")</f>
        <v xml:space="preserve"> </v>
      </c>
      <c r="CB184" s="55"/>
      <c r="CC184" s="32"/>
      <c r="CD184" s="32"/>
      <c r="CE184" s="55"/>
      <c r="CF184" s="32"/>
      <c r="CG184" s="54"/>
      <c r="CH184" s="21" t="str">
        <f>IFERROR(VLOOKUP(January[[#This Row],[Drug Name9]],'Data Options'!$R$1:$S$100,2,FALSE), " ")</f>
        <v xml:space="preserve"> </v>
      </c>
      <c r="CI184" s="55"/>
      <c r="CJ184" s="32"/>
      <c r="CK184" s="32"/>
      <c r="CL184" s="55"/>
      <c r="CM184" s="32"/>
    </row>
    <row r="185" spans="1:91">
      <c r="A185" s="5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1"/>
      <c r="P185" s="31"/>
      <c r="Q185" s="54"/>
      <c r="R185" s="21" t="str">
        <f>IFERROR(VLOOKUP(January[[#This Row],[Drug Name]],'Data Options'!$R$1:$S$100,2,FALSE), " ")</f>
        <v xml:space="preserve"> </v>
      </c>
      <c r="S185" s="55"/>
      <c r="T185" s="32"/>
      <c r="U185" s="32"/>
      <c r="V185" s="55"/>
      <c r="W185" s="32"/>
      <c r="X185" s="54"/>
      <c r="Y185" s="21" t="str">
        <f>IFERROR(VLOOKUP(January[[#This Row],[Drug Name2]],'Data Options'!$R$1:$S$100,2,FALSE), " ")</f>
        <v xml:space="preserve"> </v>
      </c>
      <c r="Z185" s="55"/>
      <c r="AA185" s="32"/>
      <c r="AB185" s="32"/>
      <c r="AC185" s="55"/>
      <c r="AD185" s="32"/>
      <c r="AE185" s="54"/>
      <c r="AF185" s="21" t="str">
        <f>IFERROR(VLOOKUP(January[[#This Row],[Drug Name3]],'Data Options'!$R$1:$S$100,2,FALSE), " ")</f>
        <v xml:space="preserve"> </v>
      </c>
      <c r="AG185" s="55"/>
      <c r="AH185" s="32"/>
      <c r="AI185" s="32"/>
      <c r="AJ185" s="55"/>
      <c r="AK185" s="32"/>
      <c r="AL185" s="32"/>
      <c r="AM185" s="32"/>
      <c r="AN185" s="32"/>
      <c r="AO185" s="32"/>
      <c r="AP185" s="31"/>
      <c r="AQ185" s="31"/>
      <c r="AR185" s="54"/>
      <c r="AS185" s="21" t="str">
        <f>IFERROR(VLOOKUP(January[[#This Row],[Drug Name4]],'Data Options'!$R$1:$S$100,2,FALSE), " ")</f>
        <v xml:space="preserve"> </v>
      </c>
      <c r="AT185" s="55"/>
      <c r="AU185" s="32"/>
      <c r="AV185" s="32"/>
      <c r="AW185" s="55"/>
      <c r="AX185" s="32"/>
      <c r="AY185" s="54"/>
      <c r="AZ185" s="21" t="str">
        <f>IFERROR(VLOOKUP(January[[#This Row],[Drug Name5]],'Data Options'!$R$1:$S$100,2,FALSE), " ")</f>
        <v xml:space="preserve"> </v>
      </c>
      <c r="BA185" s="55"/>
      <c r="BB185" s="32"/>
      <c r="BC185" s="32"/>
      <c r="BD185" s="55"/>
      <c r="BE185" s="32"/>
      <c r="BF185" s="54"/>
      <c r="BG185" s="21" t="str">
        <f>IFERROR(VLOOKUP(January[[#This Row],[Drug Name6]],'Data Options'!$R$1:$S$100,2,FALSE), " ")</f>
        <v xml:space="preserve"> </v>
      </c>
      <c r="BH185" s="55"/>
      <c r="BI185" s="32"/>
      <c r="BJ185" s="32"/>
      <c r="BK185" s="55"/>
      <c r="BL185" s="32"/>
      <c r="BM185" s="32"/>
      <c r="BN185" s="32"/>
      <c r="BO185" s="32"/>
      <c r="BP185" s="32"/>
      <c r="BQ185" s="31"/>
      <c r="BR185" s="31"/>
      <c r="BS185" s="54"/>
      <c r="BT185" s="21" t="str">
        <f>IFERROR(VLOOKUP(January[[#This Row],[Drug Name7]],'Data Options'!$R$1:$S$100,2,FALSE), " ")</f>
        <v xml:space="preserve"> </v>
      </c>
      <c r="BU185" s="55"/>
      <c r="BV185" s="32"/>
      <c r="BW185" s="32"/>
      <c r="BX185" s="55"/>
      <c r="BY185" s="32"/>
      <c r="BZ185" s="54"/>
      <c r="CA185" s="21" t="str">
        <f>IFERROR(VLOOKUP(January[[#This Row],[Drug Name8]],'Data Options'!$R$1:$S$100,2,FALSE), " ")</f>
        <v xml:space="preserve"> </v>
      </c>
      <c r="CB185" s="55"/>
      <c r="CC185" s="32"/>
      <c r="CD185" s="32"/>
      <c r="CE185" s="55"/>
      <c r="CF185" s="32"/>
      <c r="CG185" s="54"/>
      <c r="CH185" s="21" t="str">
        <f>IFERROR(VLOOKUP(January[[#This Row],[Drug Name9]],'Data Options'!$R$1:$S$100,2,FALSE), " ")</f>
        <v xml:space="preserve"> </v>
      </c>
      <c r="CI185" s="55"/>
      <c r="CJ185" s="32"/>
      <c r="CK185" s="32"/>
      <c r="CL185" s="55"/>
      <c r="CM185" s="32"/>
    </row>
    <row r="186" spans="1:91">
      <c r="A186" s="5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1"/>
      <c r="P186" s="31"/>
      <c r="Q186" s="54"/>
      <c r="R186" s="21" t="str">
        <f>IFERROR(VLOOKUP(January[[#This Row],[Drug Name]],'Data Options'!$R$1:$S$100,2,FALSE), " ")</f>
        <v xml:space="preserve"> </v>
      </c>
      <c r="S186" s="55"/>
      <c r="T186" s="32"/>
      <c r="U186" s="32"/>
      <c r="V186" s="55"/>
      <c r="W186" s="32"/>
      <c r="X186" s="54"/>
      <c r="Y186" s="21" t="str">
        <f>IFERROR(VLOOKUP(January[[#This Row],[Drug Name2]],'Data Options'!$R$1:$S$100,2,FALSE), " ")</f>
        <v xml:space="preserve"> </v>
      </c>
      <c r="Z186" s="55"/>
      <c r="AA186" s="32"/>
      <c r="AB186" s="32"/>
      <c r="AC186" s="55"/>
      <c r="AD186" s="32"/>
      <c r="AE186" s="54"/>
      <c r="AF186" s="21" t="str">
        <f>IFERROR(VLOOKUP(January[[#This Row],[Drug Name3]],'Data Options'!$R$1:$S$100,2,FALSE), " ")</f>
        <v xml:space="preserve"> </v>
      </c>
      <c r="AG186" s="55"/>
      <c r="AH186" s="32"/>
      <c r="AI186" s="32"/>
      <c r="AJ186" s="55"/>
      <c r="AK186" s="32"/>
      <c r="AL186" s="32"/>
      <c r="AM186" s="32"/>
      <c r="AN186" s="32"/>
      <c r="AO186" s="32"/>
      <c r="AP186" s="31"/>
      <c r="AQ186" s="31"/>
      <c r="AR186" s="54"/>
      <c r="AS186" s="21" t="str">
        <f>IFERROR(VLOOKUP(January[[#This Row],[Drug Name4]],'Data Options'!$R$1:$S$100,2,FALSE), " ")</f>
        <v xml:space="preserve"> </v>
      </c>
      <c r="AT186" s="55"/>
      <c r="AU186" s="32"/>
      <c r="AV186" s="32"/>
      <c r="AW186" s="55"/>
      <c r="AX186" s="32"/>
      <c r="AY186" s="54"/>
      <c r="AZ186" s="21" t="str">
        <f>IFERROR(VLOOKUP(January[[#This Row],[Drug Name5]],'Data Options'!$R$1:$S$100,2,FALSE), " ")</f>
        <v xml:space="preserve"> </v>
      </c>
      <c r="BA186" s="55"/>
      <c r="BB186" s="32"/>
      <c r="BC186" s="32"/>
      <c r="BD186" s="55"/>
      <c r="BE186" s="32"/>
      <c r="BF186" s="54"/>
      <c r="BG186" s="21" t="str">
        <f>IFERROR(VLOOKUP(January[[#This Row],[Drug Name6]],'Data Options'!$R$1:$S$100,2,FALSE), " ")</f>
        <v xml:space="preserve"> </v>
      </c>
      <c r="BH186" s="55"/>
      <c r="BI186" s="32"/>
      <c r="BJ186" s="32"/>
      <c r="BK186" s="55"/>
      <c r="BL186" s="32"/>
      <c r="BM186" s="32"/>
      <c r="BN186" s="32"/>
      <c r="BO186" s="32"/>
      <c r="BP186" s="32"/>
      <c r="BQ186" s="31"/>
      <c r="BR186" s="31"/>
      <c r="BS186" s="54"/>
      <c r="BT186" s="21" t="str">
        <f>IFERROR(VLOOKUP(January[[#This Row],[Drug Name7]],'Data Options'!$R$1:$S$100,2,FALSE), " ")</f>
        <v xml:space="preserve"> </v>
      </c>
      <c r="BU186" s="55"/>
      <c r="BV186" s="32"/>
      <c r="BW186" s="32"/>
      <c r="BX186" s="55"/>
      <c r="BY186" s="32"/>
      <c r="BZ186" s="54"/>
      <c r="CA186" s="21" t="str">
        <f>IFERROR(VLOOKUP(January[[#This Row],[Drug Name8]],'Data Options'!$R$1:$S$100,2,FALSE), " ")</f>
        <v xml:space="preserve"> </v>
      </c>
      <c r="CB186" s="55"/>
      <c r="CC186" s="32"/>
      <c r="CD186" s="32"/>
      <c r="CE186" s="55"/>
      <c r="CF186" s="32"/>
      <c r="CG186" s="54"/>
      <c r="CH186" s="21" t="str">
        <f>IFERROR(VLOOKUP(January[[#This Row],[Drug Name9]],'Data Options'!$R$1:$S$100,2,FALSE), " ")</f>
        <v xml:space="preserve"> </v>
      </c>
      <c r="CI186" s="55"/>
      <c r="CJ186" s="32"/>
      <c r="CK186" s="32"/>
      <c r="CL186" s="55"/>
      <c r="CM186" s="32"/>
    </row>
    <row r="187" spans="1:91">
      <c r="A187" s="5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1"/>
      <c r="P187" s="31"/>
      <c r="Q187" s="54"/>
      <c r="R187" s="21" t="str">
        <f>IFERROR(VLOOKUP(January[[#This Row],[Drug Name]],'Data Options'!$R$1:$S$100,2,FALSE), " ")</f>
        <v xml:space="preserve"> </v>
      </c>
      <c r="S187" s="55"/>
      <c r="T187" s="32"/>
      <c r="U187" s="32"/>
      <c r="V187" s="55"/>
      <c r="W187" s="32"/>
      <c r="X187" s="54"/>
      <c r="Y187" s="21" t="str">
        <f>IFERROR(VLOOKUP(January[[#This Row],[Drug Name2]],'Data Options'!$R$1:$S$100,2,FALSE), " ")</f>
        <v xml:space="preserve"> </v>
      </c>
      <c r="Z187" s="55"/>
      <c r="AA187" s="32"/>
      <c r="AB187" s="32"/>
      <c r="AC187" s="55"/>
      <c r="AD187" s="32"/>
      <c r="AE187" s="54"/>
      <c r="AF187" s="21" t="str">
        <f>IFERROR(VLOOKUP(January[[#This Row],[Drug Name3]],'Data Options'!$R$1:$S$100,2,FALSE), " ")</f>
        <v xml:space="preserve"> </v>
      </c>
      <c r="AG187" s="55"/>
      <c r="AH187" s="32"/>
      <c r="AI187" s="32"/>
      <c r="AJ187" s="55"/>
      <c r="AK187" s="32"/>
      <c r="AL187" s="32"/>
      <c r="AM187" s="32"/>
      <c r="AN187" s="32"/>
      <c r="AO187" s="32"/>
      <c r="AP187" s="31"/>
      <c r="AQ187" s="31"/>
      <c r="AR187" s="54"/>
      <c r="AS187" s="21" t="str">
        <f>IFERROR(VLOOKUP(January[[#This Row],[Drug Name4]],'Data Options'!$R$1:$S$100,2,FALSE), " ")</f>
        <v xml:space="preserve"> </v>
      </c>
      <c r="AT187" s="55"/>
      <c r="AU187" s="32"/>
      <c r="AV187" s="32"/>
      <c r="AW187" s="55"/>
      <c r="AX187" s="32"/>
      <c r="AY187" s="54"/>
      <c r="AZ187" s="21" t="str">
        <f>IFERROR(VLOOKUP(January[[#This Row],[Drug Name5]],'Data Options'!$R$1:$S$100,2,FALSE), " ")</f>
        <v xml:space="preserve"> </v>
      </c>
      <c r="BA187" s="55"/>
      <c r="BB187" s="32"/>
      <c r="BC187" s="32"/>
      <c r="BD187" s="55"/>
      <c r="BE187" s="32"/>
      <c r="BF187" s="54"/>
      <c r="BG187" s="21" t="str">
        <f>IFERROR(VLOOKUP(January[[#This Row],[Drug Name6]],'Data Options'!$R$1:$S$100,2,FALSE), " ")</f>
        <v xml:space="preserve"> </v>
      </c>
      <c r="BH187" s="55"/>
      <c r="BI187" s="32"/>
      <c r="BJ187" s="32"/>
      <c r="BK187" s="55"/>
      <c r="BL187" s="32"/>
      <c r="BM187" s="32"/>
      <c r="BN187" s="32"/>
      <c r="BO187" s="32"/>
      <c r="BP187" s="32"/>
      <c r="BQ187" s="31"/>
      <c r="BR187" s="31"/>
      <c r="BS187" s="54"/>
      <c r="BT187" s="21" t="str">
        <f>IFERROR(VLOOKUP(January[[#This Row],[Drug Name7]],'Data Options'!$R$1:$S$100,2,FALSE), " ")</f>
        <v xml:space="preserve"> </v>
      </c>
      <c r="BU187" s="55"/>
      <c r="BV187" s="32"/>
      <c r="BW187" s="32"/>
      <c r="BX187" s="55"/>
      <c r="BY187" s="32"/>
      <c r="BZ187" s="54"/>
      <c r="CA187" s="21" t="str">
        <f>IFERROR(VLOOKUP(January[[#This Row],[Drug Name8]],'Data Options'!$R$1:$S$100,2,FALSE), " ")</f>
        <v xml:space="preserve"> </v>
      </c>
      <c r="CB187" s="55"/>
      <c r="CC187" s="32"/>
      <c r="CD187" s="32"/>
      <c r="CE187" s="55"/>
      <c r="CF187" s="32"/>
      <c r="CG187" s="54"/>
      <c r="CH187" s="21" t="str">
        <f>IFERROR(VLOOKUP(January[[#This Row],[Drug Name9]],'Data Options'!$R$1:$S$100,2,FALSE), " ")</f>
        <v xml:space="preserve"> </v>
      </c>
      <c r="CI187" s="55"/>
      <c r="CJ187" s="32"/>
      <c r="CK187" s="32"/>
      <c r="CL187" s="55"/>
      <c r="CM187" s="32"/>
    </row>
    <row r="188" spans="1:91">
      <c r="A188" s="5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1"/>
      <c r="P188" s="31"/>
      <c r="Q188" s="54"/>
      <c r="R188" s="21" t="str">
        <f>IFERROR(VLOOKUP(January[[#This Row],[Drug Name]],'Data Options'!$R$1:$S$100,2,FALSE), " ")</f>
        <v xml:space="preserve"> </v>
      </c>
      <c r="S188" s="55"/>
      <c r="T188" s="32"/>
      <c r="U188" s="32"/>
      <c r="V188" s="55"/>
      <c r="W188" s="32"/>
      <c r="X188" s="54"/>
      <c r="Y188" s="21" t="str">
        <f>IFERROR(VLOOKUP(January[[#This Row],[Drug Name2]],'Data Options'!$R$1:$S$100,2,FALSE), " ")</f>
        <v xml:space="preserve"> </v>
      </c>
      <c r="Z188" s="55"/>
      <c r="AA188" s="32"/>
      <c r="AB188" s="32"/>
      <c r="AC188" s="55"/>
      <c r="AD188" s="32"/>
      <c r="AE188" s="54"/>
      <c r="AF188" s="21" t="str">
        <f>IFERROR(VLOOKUP(January[[#This Row],[Drug Name3]],'Data Options'!$R$1:$S$100,2,FALSE), " ")</f>
        <v xml:space="preserve"> </v>
      </c>
      <c r="AG188" s="55"/>
      <c r="AH188" s="32"/>
      <c r="AI188" s="32"/>
      <c r="AJ188" s="55"/>
      <c r="AK188" s="32"/>
      <c r="AL188" s="32"/>
      <c r="AM188" s="32"/>
      <c r="AN188" s="32"/>
      <c r="AO188" s="32"/>
      <c r="AP188" s="31"/>
      <c r="AQ188" s="31"/>
      <c r="AR188" s="54"/>
      <c r="AS188" s="21" t="str">
        <f>IFERROR(VLOOKUP(January[[#This Row],[Drug Name4]],'Data Options'!$R$1:$S$100,2,FALSE), " ")</f>
        <v xml:space="preserve"> </v>
      </c>
      <c r="AT188" s="55"/>
      <c r="AU188" s="32"/>
      <c r="AV188" s="32"/>
      <c r="AW188" s="55"/>
      <c r="AX188" s="32"/>
      <c r="AY188" s="54"/>
      <c r="AZ188" s="21" t="str">
        <f>IFERROR(VLOOKUP(January[[#This Row],[Drug Name5]],'Data Options'!$R$1:$S$100,2,FALSE), " ")</f>
        <v xml:space="preserve"> </v>
      </c>
      <c r="BA188" s="55"/>
      <c r="BB188" s="32"/>
      <c r="BC188" s="32"/>
      <c r="BD188" s="55"/>
      <c r="BE188" s="32"/>
      <c r="BF188" s="54"/>
      <c r="BG188" s="21" t="str">
        <f>IFERROR(VLOOKUP(January[[#This Row],[Drug Name6]],'Data Options'!$R$1:$S$100,2,FALSE), " ")</f>
        <v xml:space="preserve"> </v>
      </c>
      <c r="BH188" s="55"/>
      <c r="BI188" s="32"/>
      <c r="BJ188" s="32"/>
      <c r="BK188" s="55"/>
      <c r="BL188" s="32"/>
      <c r="BM188" s="32"/>
      <c r="BN188" s="32"/>
      <c r="BO188" s="32"/>
      <c r="BP188" s="32"/>
      <c r="BQ188" s="31"/>
      <c r="BR188" s="31"/>
      <c r="BS188" s="54"/>
      <c r="BT188" s="21" t="str">
        <f>IFERROR(VLOOKUP(January[[#This Row],[Drug Name7]],'Data Options'!$R$1:$S$100,2,FALSE), " ")</f>
        <v xml:space="preserve"> </v>
      </c>
      <c r="BU188" s="55"/>
      <c r="BV188" s="32"/>
      <c r="BW188" s="32"/>
      <c r="BX188" s="55"/>
      <c r="BY188" s="32"/>
      <c r="BZ188" s="54"/>
      <c r="CA188" s="21" t="str">
        <f>IFERROR(VLOOKUP(January[[#This Row],[Drug Name8]],'Data Options'!$R$1:$S$100,2,FALSE), " ")</f>
        <v xml:space="preserve"> </v>
      </c>
      <c r="CB188" s="55"/>
      <c r="CC188" s="32"/>
      <c r="CD188" s="32"/>
      <c r="CE188" s="55"/>
      <c r="CF188" s="32"/>
      <c r="CG188" s="54"/>
      <c r="CH188" s="21" t="str">
        <f>IFERROR(VLOOKUP(January[[#This Row],[Drug Name9]],'Data Options'!$R$1:$S$100,2,FALSE), " ")</f>
        <v xml:space="preserve"> </v>
      </c>
      <c r="CI188" s="55"/>
      <c r="CJ188" s="32"/>
      <c r="CK188" s="32"/>
      <c r="CL188" s="55"/>
      <c r="CM188" s="32"/>
    </row>
    <row r="189" spans="1:91">
      <c r="A189" s="5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/>
      <c r="P189" s="31"/>
      <c r="Q189" s="54"/>
      <c r="R189" s="21" t="str">
        <f>IFERROR(VLOOKUP(January[[#This Row],[Drug Name]],'Data Options'!$R$1:$S$100,2,FALSE), " ")</f>
        <v xml:space="preserve"> </v>
      </c>
      <c r="S189" s="55"/>
      <c r="T189" s="32"/>
      <c r="U189" s="32"/>
      <c r="V189" s="55"/>
      <c r="W189" s="32"/>
      <c r="X189" s="54"/>
      <c r="Y189" s="21" t="str">
        <f>IFERROR(VLOOKUP(January[[#This Row],[Drug Name2]],'Data Options'!$R$1:$S$100,2,FALSE), " ")</f>
        <v xml:space="preserve"> </v>
      </c>
      <c r="Z189" s="55"/>
      <c r="AA189" s="32"/>
      <c r="AB189" s="32"/>
      <c r="AC189" s="55"/>
      <c r="AD189" s="32"/>
      <c r="AE189" s="54"/>
      <c r="AF189" s="21" t="str">
        <f>IFERROR(VLOOKUP(January[[#This Row],[Drug Name3]],'Data Options'!$R$1:$S$100,2,FALSE), " ")</f>
        <v xml:space="preserve"> </v>
      </c>
      <c r="AG189" s="55"/>
      <c r="AH189" s="32"/>
      <c r="AI189" s="32"/>
      <c r="AJ189" s="55"/>
      <c r="AK189" s="32"/>
      <c r="AL189" s="32"/>
      <c r="AM189" s="32"/>
      <c r="AN189" s="32"/>
      <c r="AO189" s="32"/>
      <c r="AP189" s="31"/>
      <c r="AQ189" s="31"/>
      <c r="AR189" s="54"/>
      <c r="AS189" s="21" t="str">
        <f>IFERROR(VLOOKUP(January[[#This Row],[Drug Name4]],'Data Options'!$R$1:$S$100,2,FALSE), " ")</f>
        <v xml:space="preserve"> </v>
      </c>
      <c r="AT189" s="55"/>
      <c r="AU189" s="32"/>
      <c r="AV189" s="32"/>
      <c r="AW189" s="55"/>
      <c r="AX189" s="32"/>
      <c r="AY189" s="54"/>
      <c r="AZ189" s="21" t="str">
        <f>IFERROR(VLOOKUP(January[[#This Row],[Drug Name5]],'Data Options'!$R$1:$S$100,2,FALSE), " ")</f>
        <v xml:space="preserve"> </v>
      </c>
      <c r="BA189" s="55"/>
      <c r="BB189" s="32"/>
      <c r="BC189" s="32"/>
      <c r="BD189" s="55"/>
      <c r="BE189" s="32"/>
      <c r="BF189" s="54"/>
      <c r="BG189" s="21" t="str">
        <f>IFERROR(VLOOKUP(January[[#This Row],[Drug Name6]],'Data Options'!$R$1:$S$100,2,FALSE), " ")</f>
        <v xml:space="preserve"> </v>
      </c>
      <c r="BH189" s="55"/>
      <c r="BI189" s="32"/>
      <c r="BJ189" s="32"/>
      <c r="BK189" s="55"/>
      <c r="BL189" s="32"/>
      <c r="BM189" s="32"/>
      <c r="BN189" s="32"/>
      <c r="BO189" s="32"/>
      <c r="BP189" s="32"/>
      <c r="BQ189" s="31"/>
      <c r="BR189" s="31"/>
      <c r="BS189" s="54"/>
      <c r="BT189" s="21" t="str">
        <f>IFERROR(VLOOKUP(January[[#This Row],[Drug Name7]],'Data Options'!$R$1:$S$100,2,FALSE), " ")</f>
        <v xml:space="preserve"> </v>
      </c>
      <c r="BU189" s="55"/>
      <c r="BV189" s="32"/>
      <c r="BW189" s="32"/>
      <c r="BX189" s="55"/>
      <c r="BY189" s="32"/>
      <c r="BZ189" s="54"/>
      <c r="CA189" s="21" t="str">
        <f>IFERROR(VLOOKUP(January[[#This Row],[Drug Name8]],'Data Options'!$R$1:$S$100,2,FALSE), " ")</f>
        <v xml:space="preserve"> </v>
      </c>
      <c r="CB189" s="55"/>
      <c r="CC189" s="32"/>
      <c r="CD189" s="32"/>
      <c r="CE189" s="55"/>
      <c r="CF189" s="32"/>
      <c r="CG189" s="54"/>
      <c r="CH189" s="21" t="str">
        <f>IFERROR(VLOOKUP(January[[#This Row],[Drug Name9]],'Data Options'!$R$1:$S$100,2,FALSE), " ")</f>
        <v xml:space="preserve"> </v>
      </c>
      <c r="CI189" s="55"/>
      <c r="CJ189" s="32"/>
      <c r="CK189" s="32"/>
      <c r="CL189" s="55"/>
      <c r="CM189" s="32"/>
    </row>
    <row r="190" spans="1:91">
      <c r="A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54"/>
      <c r="R190" s="21" t="str">
        <f>IFERROR(VLOOKUP(January[[#This Row],[Drug Name]],'Data Options'!$R$1:$S$100,2,FALSE), " ")</f>
        <v xml:space="preserve"> </v>
      </c>
      <c r="S190" s="55"/>
      <c r="T190" s="32"/>
      <c r="U190" s="32"/>
      <c r="V190" s="55"/>
      <c r="W190" s="32"/>
      <c r="X190" s="54"/>
      <c r="Y190" s="21" t="str">
        <f>IFERROR(VLOOKUP(January[[#This Row],[Drug Name2]],'Data Options'!$R$1:$S$100,2,FALSE), " ")</f>
        <v xml:space="preserve"> </v>
      </c>
      <c r="Z190" s="55"/>
      <c r="AA190" s="32"/>
      <c r="AB190" s="32"/>
      <c r="AC190" s="55"/>
      <c r="AD190" s="32"/>
      <c r="AE190" s="54"/>
      <c r="AF190" s="21" t="str">
        <f>IFERROR(VLOOKUP(January[[#This Row],[Drug Name3]],'Data Options'!$R$1:$S$100,2,FALSE), " ")</f>
        <v xml:space="preserve"> </v>
      </c>
      <c r="AG190" s="55"/>
      <c r="AH190" s="32"/>
      <c r="AI190" s="32"/>
      <c r="AJ190" s="55"/>
      <c r="AK190" s="32"/>
      <c r="AL190" s="32"/>
      <c r="AM190" s="32"/>
      <c r="AN190" s="32"/>
      <c r="AO190" s="32"/>
      <c r="AP190" s="31"/>
      <c r="AQ190" s="31"/>
      <c r="AR190" s="54"/>
      <c r="AS190" s="21" t="str">
        <f>IFERROR(VLOOKUP(January[[#This Row],[Drug Name4]],'Data Options'!$R$1:$S$100,2,FALSE), " ")</f>
        <v xml:space="preserve"> </v>
      </c>
      <c r="AT190" s="55"/>
      <c r="AU190" s="32"/>
      <c r="AV190" s="32"/>
      <c r="AW190" s="55"/>
      <c r="AX190" s="32"/>
      <c r="AY190" s="54"/>
      <c r="AZ190" s="21" t="str">
        <f>IFERROR(VLOOKUP(January[[#This Row],[Drug Name5]],'Data Options'!$R$1:$S$100,2,FALSE), " ")</f>
        <v xml:space="preserve"> </v>
      </c>
      <c r="BA190" s="55"/>
      <c r="BB190" s="32"/>
      <c r="BC190" s="32"/>
      <c r="BD190" s="55"/>
      <c r="BE190" s="32"/>
      <c r="BF190" s="54"/>
      <c r="BG190" s="21" t="str">
        <f>IFERROR(VLOOKUP(January[[#This Row],[Drug Name6]],'Data Options'!$R$1:$S$100,2,FALSE), " ")</f>
        <v xml:space="preserve"> </v>
      </c>
      <c r="BH190" s="55"/>
      <c r="BI190" s="32"/>
      <c r="BJ190" s="32"/>
      <c r="BK190" s="55"/>
      <c r="BL190" s="32"/>
      <c r="BM190" s="32"/>
      <c r="BN190" s="32"/>
      <c r="BO190" s="32"/>
      <c r="BP190" s="32"/>
      <c r="BQ190" s="31"/>
      <c r="BR190" s="31"/>
      <c r="BS190" s="54"/>
      <c r="BT190" s="21" t="str">
        <f>IFERROR(VLOOKUP(January[[#This Row],[Drug Name7]],'Data Options'!$R$1:$S$100,2,FALSE), " ")</f>
        <v xml:space="preserve"> </v>
      </c>
      <c r="BU190" s="55"/>
      <c r="BV190" s="32"/>
      <c r="BW190" s="32"/>
      <c r="BX190" s="55"/>
      <c r="BY190" s="32"/>
      <c r="BZ190" s="54"/>
      <c r="CA190" s="21" t="str">
        <f>IFERROR(VLOOKUP(January[[#This Row],[Drug Name8]],'Data Options'!$R$1:$S$100,2,FALSE), " ")</f>
        <v xml:space="preserve"> </v>
      </c>
      <c r="CB190" s="55"/>
      <c r="CC190" s="32"/>
      <c r="CD190" s="32"/>
      <c r="CE190" s="55"/>
      <c r="CF190" s="32"/>
      <c r="CG190" s="54"/>
      <c r="CH190" s="21" t="str">
        <f>IFERROR(VLOOKUP(January[[#This Row],[Drug Name9]],'Data Options'!$R$1:$S$100,2,FALSE), " ")</f>
        <v xml:space="preserve"> </v>
      </c>
      <c r="CI190" s="55"/>
      <c r="CJ190" s="32"/>
      <c r="CK190" s="32"/>
      <c r="CL190" s="55"/>
      <c r="CM190" s="32"/>
    </row>
    <row r="191" spans="1:91">
      <c r="A191" s="5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1"/>
      <c r="P191" s="31"/>
      <c r="Q191" s="54"/>
      <c r="R191" s="21" t="str">
        <f>IFERROR(VLOOKUP(January[[#This Row],[Drug Name]],'Data Options'!$R$1:$S$100,2,FALSE), " ")</f>
        <v xml:space="preserve"> </v>
      </c>
      <c r="S191" s="55"/>
      <c r="T191" s="32"/>
      <c r="U191" s="32"/>
      <c r="V191" s="55"/>
      <c r="W191" s="32"/>
      <c r="X191" s="54"/>
      <c r="Y191" s="21" t="str">
        <f>IFERROR(VLOOKUP(January[[#This Row],[Drug Name2]],'Data Options'!$R$1:$S$100,2,FALSE), " ")</f>
        <v xml:space="preserve"> </v>
      </c>
      <c r="Z191" s="55"/>
      <c r="AA191" s="32"/>
      <c r="AB191" s="32"/>
      <c r="AC191" s="55"/>
      <c r="AD191" s="32"/>
      <c r="AE191" s="54"/>
      <c r="AF191" s="21" t="str">
        <f>IFERROR(VLOOKUP(January[[#This Row],[Drug Name3]],'Data Options'!$R$1:$S$100,2,FALSE), " ")</f>
        <v xml:space="preserve"> </v>
      </c>
      <c r="AG191" s="55"/>
      <c r="AH191" s="32"/>
      <c r="AI191" s="32"/>
      <c r="AJ191" s="55"/>
      <c r="AK191" s="32"/>
      <c r="AL191" s="32"/>
      <c r="AM191" s="32"/>
      <c r="AN191" s="32"/>
      <c r="AO191" s="32"/>
      <c r="AP191" s="31"/>
      <c r="AQ191" s="31"/>
      <c r="AR191" s="54"/>
      <c r="AS191" s="21" t="str">
        <f>IFERROR(VLOOKUP(January[[#This Row],[Drug Name4]],'Data Options'!$R$1:$S$100,2,FALSE), " ")</f>
        <v xml:space="preserve"> </v>
      </c>
      <c r="AT191" s="55"/>
      <c r="AU191" s="32"/>
      <c r="AV191" s="32"/>
      <c r="AW191" s="55"/>
      <c r="AX191" s="32"/>
      <c r="AY191" s="54"/>
      <c r="AZ191" s="21" t="str">
        <f>IFERROR(VLOOKUP(January[[#This Row],[Drug Name5]],'Data Options'!$R$1:$S$100,2,FALSE), " ")</f>
        <v xml:space="preserve"> </v>
      </c>
      <c r="BA191" s="55"/>
      <c r="BB191" s="32"/>
      <c r="BC191" s="32"/>
      <c r="BD191" s="55"/>
      <c r="BE191" s="32"/>
      <c r="BF191" s="54"/>
      <c r="BG191" s="21" t="str">
        <f>IFERROR(VLOOKUP(January[[#This Row],[Drug Name6]],'Data Options'!$R$1:$S$100,2,FALSE), " ")</f>
        <v xml:space="preserve"> </v>
      </c>
      <c r="BH191" s="55"/>
      <c r="BI191" s="32"/>
      <c r="BJ191" s="32"/>
      <c r="BK191" s="55"/>
      <c r="BL191" s="32"/>
      <c r="BM191" s="32"/>
      <c r="BN191" s="32"/>
      <c r="BO191" s="32"/>
      <c r="BP191" s="32"/>
      <c r="BQ191" s="31"/>
      <c r="BR191" s="31"/>
      <c r="BS191" s="54"/>
      <c r="BT191" s="21" t="str">
        <f>IFERROR(VLOOKUP(January[[#This Row],[Drug Name7]],'Data Options'!$R$1:$S$100,2,FALSE), " ")</f>
        <v xml:space="preserve"> </v>
      </c>
      <c r="BU191" s="55"/>
      <c r="BV191" s="32"/>
      <c r="BW191" s="32"/>
      <c r="BX191" s="55"/>
      <c r="BY191" s="32"/>
      <c r="BZ191" s="54"/>
      <c r="CA191" s="21" t="str">
        <f>IFERROR(VLOOKUP(January[[#This Row],[Drug Name8]],'Data Options'!$R$1:$S$100,2,FALSE), " ")</f>
        <v xml:space="preserve"> </v>
      </c>
      <c r="CB191" s="55"/>
      <c r="CC191" s="32"/>
      <c r="CD191" s="32"/>
      <c r="CE191" s="55"/>
      <c r="CF191" s="32"/>
      <c r="CG191" s="54"/>
      <c r="CH191" s="21" t="str">
        <f>IFERROR(VLOOKUP(January[[#This Row],[Drug Name9]],'Data Options'!$R$1:$S$100,2,FALSE), " ")</f>
        <v xml:space="preserve"> </v>
      </c>
      <c r="CI191" s="55"/>
      <c r="CJ191" s="32"/>
      <c r="CK191" s="32"/>
      <c r="CL191" s="55"/>
      <c r="CM191" s="32"/>
    </row>
    <row r="192" spans="1:91">
      <c r="A192" s="5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1"/>
      <c r="P192" s="31"/>
      <c r="Q192" s="54"/>
      <c r="R192" s="21" t="str">
        <f>IFERROR(VLOOKUP(January[[#This Row],[Drug Name]],'Data Options'!$R$1:$S$100,2,FALSE), " ")</f>
        <v xml:space="preserve"> </v>
      </c>
      <c r="S192" s="55"/>
      <c r="T192" s="32"/>
      <c r="U192" s="32"/>
      <c r="V192" s="55"/>
      <c r="W192" s="32"/>
      <c r="X192" s="54"/>
      <c r="Y192" s="21" t="str">
        <f>IFERROR(VLOOKUP(January[[#This Row],[Drug Name2]],'Data Options'!$R$1:$S$100,2,FALSE), " ")</f>
        <v xml:space="preserve"> </v>
      </c>
      <c r="Z192" s="55"/>
      <c r="AA192" s="32"/>
      <c r="AB192" s="32"/>
      <c r="AC192" s="55"/>
      <c r="AD192" s="32"/>
      <c r="AE192" s="54"/>
      <c r="AF192" s="21" t="str">
        <f>IFERROR(VLOOKUP(January[[#This Row],[Drug Name3]],'Data Options'!$R$1:$S$100,2,FALSE), " ")</f>
        <v xml:space="preserve"> </v>
      </c>
      <c r="AG192" s="55"/>
      <c r="AH192" s="32"/>
      <c r="AI192" s="32"/>
      <c r="AJ192" s="55"/>
      <c r="AK192" s="32"/>
      <c r="AL192" s="32"/>
      <c r="AM192" s="32"/>
      <c r="AN192" s="32"/>
      <c r="AO192" s="32"/>
      <c r="AP192" s="31"/>
      <c r="AQ192" s="31"/>
      <c r="AR192" s="54"/>
      <c r="AS192" s="21" t="str">
        <f>IFERROR(VLOOKUP(January[[#This Row],[Drug Name4]],'Data Options'!$R$1:$S$100,2,FALSE), " ")</f>
        <v xml:space="preserve"> </v>
      </c>
      <c r="AT192" s="55"/>
      <c r="AU192" s="32"/>
      <c r="AV192" s="32"/>
      <c r="AW192" s="55"/>
      <c r="AX192" s="32"/>
      <c r="AY192" s="54"/>
      <c r="AZ192" s="21" t="str">
        <f>IFERROR(VLOOKUP(January[[#This Row],[Drug Name5]],'Data Options'!$R$1:$S$100,2,FALSE), " ")</f>
        <v xml:space="preserve"> </v>
      </c>
      <c r="BA192" s="55"/>
      <c r="BB192" s="32"/>
      <c r="BC192" s="32"/>
      <c r="BD192" s="55"/>
      <c r="BE192" s="32"/>
      <c r="BF192" s="54"/>
      <c r="BG192" s="21" t="str">
        <f>IFERROR(VLOOKUP(January[[#This Row],[Drug Name6]],'Data Options'!$R$1:$S$100,2,FALSE), " ")</f>
        <v xml:space="preserve"> </v>
      </c>
      <c r="BH192" s="55"/>
      <c r="BI192" s="32"/>
      <c r="BJ192" s="32"/>
      <c r="BK192" s="55"/>
      <c r="BL192" s="32"/>
      <c r="BM192" s="32"/>
      <c r="BN192" s="32"/>
      <c r="BO192" s="32"/>
      <c r="BP192" s="32"/>
      <c r="BQ192" s="31"/>
      <c r="BR192" s="31"/>
      <c r="BS192" s="54"/>
      <c r="BT192" s="21" t="str">
        <f>IFERROR(VLOOKUP(January[[#This Row],[Drug Name7]],'Data Options'!$R$1:$S$100,2,FALSE), " ")</f>
        <v xml:space="preserve"> </v>
      </c>
      <c r="BU192" s="55"/>
      <c r="BV192" s="32"/>
      <c r="BW192" s="32"/>
      <c r="BX192" s="55"/>
      <c r="BY192" s="32"/>
      <c r="BZ192" s="54"/>
      <c r="CA192" s="21" t="str">
        <f>IFERROR(VLOOKUP(January[[#This Row],[Drug Name8]],'Data Options'!$R$1:$S$100,2,FALSE), " ")</f>
        <v xml:space="preserve"> </v>
      </c>
      <c r="CB192" s="55"/>
      <c r="CC192" s="32"/>
      <c r="CD192" s="32"/>
      <c r="CE192" s="55"/>
      <c r="CF192" s="32"/>
      <c r="CG192" s="54"/>
      <c r="CH192" s="21" t="str">
        <f>IFERROR(VLOOKUP(January[[#This Row],[Drug Name9]],'Data Options'!$R$1:$S$100,2,FALSE), " ")</f>
        <v xml:space="preserve"> </v>
      </c>
      <c r="CI192" s="55"/>
      <c r="CJ192" s="32"/>
      <c r="CK192" s="32"/>
      <c r="CL192" s="55"/>
      <c r="CM192" s="32"/>
    </row>
    <row r="193" spans="1:91">
      <c r="A193" s="5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1"/>
      <c r="P193" s="31"/>
      <c r="Q193" s="54"/>
      <c r="R193" s="21" t="str">
        <f>IFERROR(VLOOKUP(January[[#This Row],[Drug Name]],'Data Options'!$R$1:$S$100,2,FALSE), " ")</f>
        <v xml:space="preserve"> </v>
      </c>
      <c r="S193" s="55"/>
      <c r="T193" s="32"/>
      <c r="U193" s="32"/>
      <c r="V193" s="55"/>
      <c r="W193" s="32"/>
      <c r="X193" s="54"/>
      <c r="Y193" s="21" t="str">
        <f>IFERROR(VLOOKUP(January[[#This Row],[Drug Name2]],'Data Options'!$R$1:$S$100,2,FALSE), " ")</f>
        <v xml:space="preserve"> </v>
      </c>
      <c r="Z193" s="55"/>
      <c r="AA193" s="32"/>
      <c r="AB193" s="32"/>
      <c r="AC193" s="55"/>
      <c r="AD193" s="32"/>
      <c r="AE193" s="54"/>
      <c r="AF193" s="21" t="str">
        <f>IFERROR(VLOOKUP(January[[#This Row],[Drug Name3]],'Data Options'!$R$1:$S$100,2,FALSE), " ")</f>
        <v xml:space="preserve"> </v>
      </c>
      <c r="AG193" s="55"/>
      <c r="AH193" s="32"/>
      <c r="AI193" s="32"/>
      <c r="AJ193" s="55"/>
      <c r="AK193" s="32"/>
      <c r="AL193" s="32"/>
      <c r="AM193" s="32"/>
      <c r="AN193" s="32"/>
      <c r="AO193" s="32"/>
      <c r="AP193" s="31"/>
      <c r="AQ193" s="31"/>
      <c r="AR193" s="54"/>
      <c r="AS193" s="21" t="str">
        <f>IFERROR(VLOOKUP(January[[#This Row],[Drug Name4]],'Data Options'!$R$1:$S$100,2,FALSE), " ")</f>
        <v xml:space="preserve"> </v>
      </c>
      <c r="AT193" s="55"/>
      <c r="AU193" s="32"/>
      <c r="AV193" s="32"/>
      <c r="AW193" s="55"/>
      <c r="AX193" s="32"/>
      <c r="AY193" s="54"/>
      <c r="AZ193" s="21" t="str">
        <f>IFERROR(VLOOKUP(January[[#This Row],[Drug Name5]],'Data Options'!$R$1:$S$100,2,FALSE), " ")</f>
        <v xml:space="preserve"> </v>
      </c>
      <c r="BA193" s="55"/>
      <c r="BB193" s="32"/>
      <c r="BC193" s="32"/>
      <c r="BD193" s="55"/>
      <c r="BE193" s="32"/>
      <c r="BF193" s="54"/>
      <c r="BG193" s="21" t="str">
        <f>IFERROR(VLOOKUP(January[[#This Row],[Drug Name6]],'Data Options'!$R$1:$S$100,2,FALSE), " ")</f>
        <v xml:space="preserve"> </v>
      </c>
      <c r="BH193" s="55"/>
      <c r="BI193" s="32"/>
      <c r="BJ193" s="32"/>
      <c r="BK193" s="55"/>
      <c r="BL193" s="32"/>
      <c r="BM193" s="32"/>
      <c r="BN193" s="32"/>
      <c r="BO193" s="32"/>
      <c r="BP193" s="32"/>
      <c r="BQ193" s="31"/>
      <c r="BR193" s="31"/>
      <c r="BS193" s="54"/>
      <c r="BT193" s="21" t="str">
        <f>IFERROR(VLOOKUP(January[[#This Row],[Drug Name7]],'Data Options'!$R$1:$S$100,2,FALSE), " ")</f>
        <v xml:space="preserve"> </v>
      </c>
      <c r="BU193" s="55"/>
      <c r="BV193" s="32"/>
      <c r="BW193" s="32"/>
      <c r="BX193" s="55"/>
      <c r="BY193" s="32"/>
      <c r="BZ193" s="54"/>
      <c r="CA193" s="21" t="str">
        <f>IFERROR(VLOOKUP(January[[#This Row],[Drug Name8]],'Data Options'!$R$1:$S$100,2,FALSE), " ")</f>
        <v xml:space="preserve"> </v>
      </c>
      <c r="CB193" s="55"/>
      <c r="CC193" s="32"/>
      <c r="CD193" s="32"/>
      <c r="CE193" s="55"/>
      <c r="CF193" s="32"/>
      <c r="CG193" s="54"/>
      <c r="CH193" s="21" t="str">
        <f>IFERROR(VLOOKUP(January[[#This Row],[Drug Name9]],'Data Options'!$R$1:$S$100,2,FALSE), " ")</f>
        <v xml:space="preserve"> </v>
      </c>
      <c r="CI193" s="55"/>
      <c r="CJ193" s="32"/>
      <c r="CK193" s="32"/>
      <c r="CL193" s="55"/>
      <c r="CM193" s="32"/>
    </row>
    <row r="194" spans="1:91">
      <c r="A194" s="5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1"/>
      <c r="P194" s="31"/>
      <c r="Q194" s="54"/>
      <c r="R194" s="21" t="str">
        <f>IFERROR(VLOOKUP(January[[#This Row],[Drug Name]],'Data Options'!$R$1:$S$100,2,FALSE), " ")</f>
        <v xml:space="preserve"> </v>
      </c>
      <c r="S194" s="55"/>
      <c r="T194" s="32"/>
      <c r="U194" s="32"/>
      <c r="V194" s="55"/>
      <c r="W194" s="32"/>
      <c r="X194" s="54"/>
      <c r="Y194" s="21" t="str">
        <f>IFERROR(VLOOKUP(January[[#This Row],[Drug Name2]],'Data Options'!$R$1:$S$100,2,FALSE), " ")</f>
        <v xml:space="preserve"> </v>
      </c>
      <c r="Z194" s="55"/>
      <c r="AA194" s="32"/>
      <c r="AB194" s="32"/>
      <c r="AC194" s="55"/>
      <c r="AD194" s="32"/>
      <c r="AE194" s="54"/>
      <c r="AF194" s="21" t="str">
        <f>IFERROR(VLOOKUP(January[[#This Row],[Drug Name3]],'Data Options'!$R$1:$S$100,2,FALSE), " ")</f>
        <v xml:space="preserve"> </v>
      </c>
      <c r="AG194" s="55"/>
      <c r="AH194" s="32"/>
      <c r="AI194" s="32"/>
      <c r="AJ194" s="55"/>
      <c r="AK194" s="32"/>
      <c r="AL194" s="32"/>
      <c r="AM194" s="32"/>
      <c r="AN194" s="32"/>
      <c r="AO194" s="32"/>
      <c r="AP194" s="31"/>
      <c r="AQ194" s="31"/>
      <c r="AR194" s="54"/>
      <c r="AS194" s="21" t="str">
        <f>IFERROR(VLOOKUP(January[[#This Row],[Drug Name4]],'Data Options'!$R$1:$S$100,2,FALSE), " ")</f>
        <v xml:space="preserve"> </v>
      </c>
      <c r="AT194" s="55"/>
      <c r="AU194" s="32"/>
      <c r="AV194" s="32"/>
      <c r="AW194" s="55"/>
      <c r="AX194" s="32"/>
      <c r="AY194" s="54"/>
      <c r="AZ194" s="21" t="str">
        <f>IFERROR(VLOOKUP(January[[#This Row],[Drug Name5]],'Data Options'!$R$1:$S$100,2,FALSE), " ")</f>
        <v xml:space="preserve"> </v>
      </c>
      <c r="BA194" s="55"/>
      <c r="BB194" s="32"/>
      <c r="BC194" s="32"/>
      <c r="BD194" s="55"/>
      <c r="BE194" s="32"/>
      <c r="BF194" s="54"/>
      <c r="BG194" s="21" t="str">
        <f>IFERROR(VLOOKUP(January[[#This Row],[Drug Name6]],'Data Options'!$R$1:$S$100,2,FALSE), " ")</f>
        <v xml:space="preserve"> </v>
      </c>
      <c r="BH194" s="55"/>
      <c r="BI194" s="32"/>
      <c r="BJ194" s="32"/>
      <c r="BK194" s="55"/>
      <c r="BL194" s="32"/>
      <c r="BM194" s="32"/>
      <c r="BN194" s="32"/>
      <c r="BO194" s="32"/>
      <c r="BP194" s="32"/>
      <c r="BQ194" s="31"/>
      <c r="BR194" s="31"/>
      <c r="BS194" s="54"/>
      <c r="BT194" s="21" t="str">
        <f>IFERROR(VLOOKUP(January[[#This Row],[Drug Name7]],'Data Options'!$R$1:$S$100,2,FALSE), " ")</f>
        <v xml:space="preserve"> </v>
      </c>
      <c r="BU194" s="55"/>
      <c r="BV194" s="32"/>
      <c r="BW194" s="32"/>
      <c r="BX194" s="55"/>
      <c r="BY194" s="32"/>
      <c r="BZ194" s="54"/>
      <c r="CA194" s="21" t="str">
        <f>IFERROR(VLOOKUP(January[[#This Row],[Drug Name8]],'Data Options'!$R$1:$S$100,2,FALSE), " ")</f>
        <v xml:space="preserve"> </v>
      </c>
      <c r="CB194" s="55"/>
      <c r="CC194" s="32"/>
      <c r="CD194" s="32"/>
      <c r="CE194" s="55"/>
      <c r="CF194" s="32"/>
      <c r="CG194" s="54"/>
      <c r="CH194" s="21" t="str">
        <f>IFERROR(VLOOKUP(January[[#This Row],[Drug Name9]],'Data Options'!$R$1:$S$100,2,FALSE), " ")</f>
        <v xml:space="preserve"> </v>
      </c>
      <c r="CI194" s="55"/>
      <c r="CJ194" s="32"/>
      <c r="CK194" s="32"/>
      <c r="CL194" s="55"/>
      <c r="CM194" s="32"/>
    </row>
    <row r="195" spans="1:91">
      <c r="A195" s="5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1"/>
      <c r="P195" s="31"/>
      <c r="Q195" s="54"/>
      <c r="R195" s="21" t="str">
        <f>IFERROR(VLOOKUP(January[[#This Row],[Drug Name]],'Data Options'!$R$1:$S$100,2,FALSE), " ")</f>
        <v xml:space="preserve"> </v>
      </c>
      <c r="S195" s="55"/>
      <c r="T195" s="32"/>
      <c r="U195" s="32"/>
      <c r="V195" s="55"/>
      <c r="W195" s="32"/>
      <c r="X195" s="54"/>
      <c r="Y195" s="21" t="str">
        <f>IFERROR(VLOOKUP(January[[#This Row],[Drug Name2]],'Data Options'!$R$1:$S$100,2,FALSE), " ")</f>
        <v xml:space="preserve"> </v>
      </c>
      <c r="Z195" s="55"/>
      <c r="AA195" s="32"/>
      <c r="AB195" s="32"/>
      <c r="AC195" s="55"/>
      <c r="AD195" s="32"/>
      <c r="AE195" s="54"/>
      <c r="AF195" s="21" t="str">
        <f>IFERROR(VLOOKUP(January[[#This Row],[Drug Name3]],'Data Options'!$R$1:$S$100,2,FALSE), " ")</f>
        <v xml:space="preserve"> </v>
      </c>
      <c r="AG195" s="55"/>
      <c r="AH195" s="32"/>
      <c r="AI195" s="32"/>
      <c r="AJ195" s="55"/>
      <c r="AK195" s="32"/>
      <c r="AL195" s="32"/>
      <c r="AM195" s="32"/>
      <c r="AN195" s="32"/>
      <c r="AO195" s="32"/>
      <c r="AP195" s="31"/>
      <c r="AQ195" s="31"/>
      <c r="AR195" s="54"/>
      <c r="AS195" s="21" t="str">
        <f>IFERROR(VLOOKUP(January[[#This Row],[Drug Name4]],'Data Options'!$R$1:$S$100,2,FALSE), " ")</f>
        <v xml:space="preserve"> </v>
      </c>
      <c r="AT195" s="55"/>
      <c r="AU195" s="32"/>
      <c r="AV195" s="32"/>
      <c r="AW195" s="55"/>
      <c r="AX195" s="32"/>
      <c r="AY195" s="54"/>
      <c r="AZ195" s="21" t="str">
        <f>IFERROR(VLOOKUP(January[[#This Row],[Drug Name5]],'Data Options'!$R$1:$S$100,2,FALSE), " ")</f>
        <v xml:space="preserve"> </v>
      </c>
      <c r="BA195" s="55"/>
      <c r="BB195" s="32"/>
      <c r="BC195" s="32"/>
      <c r="BD195" s="55"/>
      <c r="BE195" s="32"/>
      <c r="BF195" s="54"/>
      <c r="BG195" s="21" t="str">
        <f>IFERROR(VLOOKUP(January[[#This Row],[Drug Name6]],'Data Options'!$R$1:$S$100,2,FALSE), " ")</f>
        <v xml:space="preserve"> </v>
      </c>
      <c r="BH195" s="55"/>
      <c r="BI195" s="32"/>
      <c r="BJ195" s="32"/>
      <c r="BK195" s="55"/>
      <c r="BL195" s="32"/>
      <c r="BM195" s="32"/>
      <c r="BN195" s="32"/>
      <c r="BO195" s="32"/>
      <c r="BP195" s="32"/>
      <c r="BQ195" s="31"/>
      <c r="BR195" s="31"/>
      <c r="BS195" s="54"/>
      <c r="BT195" s="21" t="str">
        <f>IFERROR(VLOOKUP(January[[#This Row],[Drug Name7]],'Data Options'!$R$1:$S$100,2,FALSE), " ")</f>
        <v xml:space="preserve"> </v>
      </c>
      <c r="BU195" s="55"/>
      <c r="BV195" s="32"/>
      <c r="BW195" s="32"/>
      <c r="BX195" s="55"/>
      <c r="BY195" s="32"/>
      <c r="BZ195" s="54"/>
      <c r="CA195" s="21" t="str">
        <f>IFERROR(VLOOKUP(January[[#This Row],[Drug Name8]],'Data Options'!$R$1:$S$100,2,FALSE), " ")</f>
        <v xml:space="preserve"> </v>
      </c>
      <c r="CB195" s="55"/>
      <c r="CC195" s="32"/>
      <c r="CD195" s="32"/>
      <c r="CE195" s="55"/>
      <c r="CF195" s="32"/>
      <c r="CG195" s="54"/>
      <c r="CH195" s="21" t="str">
        <f>IFERROR(VLOOKUP(January[[#This Row],[Drug Name9]],'Data Options'!$R$1:$S$100,2,FALSE), " ")</f>
        <v xml:space="preserve"> </v>
      </c>
      <c r="CI195" s="55"/>
      <c r="CJ195" s="32"/>
      <c r="CK195" s="32"/>
      <c r="CL195" s="55"/>
      <c r="CM195" s="32"/>
    </row>
    <row r="196" spans="1:91">
      <c r="A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1"/>
      <c r="P196" s="31"/>
      <c r="Q196" s="54"/>
      <c r="R196" s="21" t="str">
        <f>IFERROR(VLOOKUP(January[[#This Row],[Drug Name]],'Data Options'!$R$1:$S$100,2,FALSE), " ")</f>
        <v xml:space="preserve"> </v>
      </c>
      <c r="S196" s="55"/>
      <c r="T196" s="32"/>
      <c r="U196" s="32"/>
      <c r="V196" s="55"/>
      <c r="W196" s="32"/>
      <c r="X196" s="54"/>
      <c r="Y196" s="21" t="str">
        <f>IFERROR(VLOOKUP(January[[#This Row],[Drug Name2]],'Data Options'!$R$1:$S$100,2,FALSE), " ")</f>
        <v xml:space="preserve"> </v>
      </c>
      <c r="Z196" s="55"/>
      <c r="AA196" s="32"/>
      <c r="AB196" s="32"/>
      <c r="AC196" s="55"/>
      <c r="AD196" s="32"/>
      <c r="AE196" s="54"/>
      <c r="AF196" s="21" t="str">
        <f>IFERROR(VLOOKUP(January[[#This Row],[Drug Name3]],'Data Options'!$R$1:$S$100,2,FALSE), " ")</f>
        <v xml:space="preserve"> </v>
      </c>
      <c r="AG196" s="55"/>
      <c r="AH196" s="32"/>
      <c r="AI196" s="32"/>
      <c r="AJ196" s="55"/>
      <c r="AK196" s="32"/>
      <c r="AL196" s="32"/>
      <c r="AM196" s="32"/>
      <c r="AN196" s="32"/>
      <c r="AO196" s="32"/>
      <c r="AP196" s="31"/>
      <c r="AQ196" s="31"/>
      <c r="AR196" s="54"/>
      <c r="AS196" s="21" t="str">
        <f>IFERROR(VLOOKUP(January[[#This Row],[Drug Name4]],'Data Options'!$R$1:$S$100,2,FALSE), " ")</f>
        <v xml:space="preserve"> </v>
      </c>
      <c r="AT196" s="55"/>
      <c r="AU196" s="32"/>
      <c r="AV196" s="32"/>
      <c r="AW196" s="55"/>
      <c r="AX196" s="32"/>
      <c r="AY196" s="54"/>
      <c r="AZ196" s="21" t="str">
        <f>IFERROR(VLOOKUP(January[[#This Row],[Drug Name5]],'Data Options'!$R$1:$S$100,2,FALSE), " ")</f>
        <v xml:space="preserve"> </v>
      </c>
      <c r="BA196" s="55"/>
      <c r="BB196" s="32"/>
      <c r="BC196" s="32"/>
      <c r="BD196" s="55"/>
      <c r="BE196" s="32"/>
      <c r="BF196" s="54"/>
      <c r="BG196" s="21" t="str">
        <f>IFERROR(VLOOKUP(January[[#This Row],[Drug Name6]],'Data Options'!$R$1:$S$100,2,FALSE), " ")</f>
        <v xml:space="preserve"> </v>
      </c>
      <c r="BH196" s="55"/>
      <c r="BI196" s="32"/>
      <c r="BJ196" s="32"/>
      <c r="BK196" s="55"/>
      <c r="BL196" s="32"/>
      <c r="BM196" s="32"/>
      <c r="BN196" s="32"/>
      <c r="BO196" s="32"/>
      <c r="BP196" s="32"/>
      <c r="BQ196" s="31"/>
      <c r="BR196" s="31"/>
      <c r="BS196" s="54"/>
      <c r="BT196" s="21" t="str">
        <f>IFERROR(VLOOKUP(January[[#This Row],[Drug Name7]],'Data Options'!$R$1:$S$100,2,FALSE), " ")</f>
        <v xml:space="preserve"> </v>
      </c>
      <c r="BU196" s="55"/>
      <c r="BV196" s="32"/>
      <c r="BW196" s="32"/>
      <c r="BX196" s="55"/>
      <c r="BY196" s="32"/>
      <c r="BZ196" s="54"/>
      <c r="CA196" s="21" t="str">
        <f>IFERROR(VLOOKUP(January[[#This Row],[Drug Name8]],'Data Options'!$R$1:$S$100,2,FALSE), " ")</f>
        <v xml:space="preserve"> </v>
      </c>
      <c r="CB196" s="55"/>
      <c r="CC196" s="32"/>
      <c r="CD196" s="32"/>
      <c r="CE196" s="55"/>
      <c r="CF196" s="32"/>
      <c r="CG196" s="54"/>
      <c r="CH196" s="21" t="str">
        <f>IFERROR(VLOOKUP(January[[#This Row],[Drug Name9]],'Data Options'!$R$1:$S$100,2,FALSE), " ")</f>
        <v xml:space="preserve"> </v>
      </c>
      <c r="CI196" s="55"/>
      <c r="CJ196" s="32"/>
      <c r="CK196" s="32"/>
      <c r="CL196" s="55"/>
      <c r="CM196" s="32"/>
    </row>
    <row r="197" spans="1:91">
      <c r="A197" s="5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1"/>
      <c r="P197" s="31"/>
      <c r="Q197" s="54"/>
      <c r="R197" s="21" t="str">
        <f>IFERROR(VLOOKUP(January[[#This Row],[Drug Name]],'Data Options'!$R$1:$S$100,2,FALSE), " ")</f>
        <v xml:space="preserve"> </v>
      </c>
      <c r="S197" s="55"/>
      <c r="T197" s="32"/>
      <c r="U197" s="32"/>
      <c r="V197" s="55"/>
      <c r="W197" s="32"/>
      <c r="X197" s="54"/>
      <c r="Y197" s="21" t="str">
        <f>IFERROR(VLOOKUP(January[[#This Row],[Drug Name2]],'Data Options'!$R$1:$S$100,2,FALSE), " ")</f>
        <v xml:space="preserve"> </v>
      </c>
      <c r="Z197" s="55"/>
      <c r="AA197" s="32"/>
      <c r="AB197" s="32"/>
      <c r="AC197" s="55"/>
      <c r="AD197" s="32"/>
      <c r="AE197" s="54"/>
      <c r="AF197" s="21" t="str">
        <f>IFERROR(VLOOKUP(January[[#This Row],[Drug Name3]],'Data Options'!$R$1:$S$100,2,FALSE), " ")</f>
        <v xml:space="preserve"> </v>
      </c>
      <c r="AG197" s="55"/>
      <c r="AH197" s="32"/>
      <c r="AI197" s="32"/>
      <c r="AJ197" s="55"/>
      <c r="AK197" s="32"/>
      <c r="AL197" s="32"/>
      <c r="AM197" s="32"/>
      <c r="AN197" s="32"/>
      <c r="AO197" s="32"/>
      <c r="AP197" s="31"/>
      <c r="AQ197" s="31"/>
      <c r="AR197" s="54"/>
      <c r="AS197" s="21" t="str">
        <f>IFERROR(VLOOKUP(January[[#This Row],[Drug Name4]],'Data Options'!$R$1:$S$100,2,FALSE), " ")</f>
        <v xml:space="preserve"> </v>
      </c>
      <c r="AT197" s="55"/>
      <c r="AU197" s="32"/>
      <c r="AV197" s="32"/>
      <c r="AW197" s="55"/>
      <c r="AX197" s="32"/>
      <c r="AY197" s="54"/>
      <c r="AZ197" s="21" t="str">
        <f>IFERROR(VLOOKUP(January[[#This Row],[Drug Name5]],'Data Options'!$R$1:$S$100,2,FALSE), " ")</f>
        <v xml:space="preserve"> </v>
      </c>
      <c r="BA197" s="55"/>
      <c r="BB197" s="32"/>
      <c r="BC197" s="32"/>
      <c r="BD197" s="55"/>
      <c r="BE197" s="32"/>
      <c r="BF197" s="54"/>
      <c r="BG197" s="21" t="str">
        <f>IFERROR(VLOOKUP(January[[#This Row],[Drug Name6]],'Data Options'!$R$1:$S$100,2,FALSE), " ")</f>
        <v xml:space="preserve"> </v>
      </c>
      <c r="BH197" s="55"/>
      <c r="BI197" s="32"/>
      <c r="BJ197" s="32"/>
      <c r="BK197" s="55"/>
      <c r="BL197" s="32"/>
      <c r="BM197" s="32"/>
      <c r="BN197" s="32"/>
      <c r="BO197" s="32"/>
      <c r="BP197" s="32"/>
      <c r="BQ197" s="31"/>
      <c r="BR197" s="31"/>
      <c r="BS197" s="54"/>
      <c r="BT197" s="21" t="str">
        <f>IFERROR(VLOOKUP(January[[#This Row],[Drug Name7]],'Data Options'!$R$1:$S$100,2,FALSE), " ")</f>
        <v xml:space="preserve"> </v>
      </c>
      <c r="BU197" s="55"/>
      <c r="BV197" s="32"/>
      <c r="BW197" s="32"/>
      <c r="BX197" s="55"/>
      <c r="BY197" s="32"/>
      <c r="BZ197" s="54"/>
      <c r="CA197" s="21" t="str">
        <f>IFERROR(VLOOKUP(January[[#This Row],[Drug Name8]],'Data Options'!$R$1:$S$100,2,FALSE), " ")</f>
        <v xml:space="preserve"> </v>
      </c>
      <c r="CB197" s="55"/>
      <c r="CC197" s="32"/>
      <c r="CD197" s="32"/>
      <c r="CE197" s="55"/>
      <c r="CF197" s="32"/>
      <c r="CG197" s="54"/>
      <c r="CH197" s="21" t="str">
        <f>IFERROR(VLOOKUP(January[[#This Row],[Drug Name9]],'Data Options'!$R$1:$S$100,2,FALSE), " ")</f>
        <v xml:space="preserve"> </v>
      </c>
      <c r="CI197" s="55"/>
      <c r="CJ197" s="32"/>
      <c r="CK197" s="32"/>
      <c r="CL197" s="55"/>
      <c r="CM197" s="32"/>
    </row>
    <row r="198" spans="1:91">
      <c r="A198" s="5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1"/>
      <c r="P198" s="31"/>
      <c r="Q198" s="54"/>
      <c r="R198" s="21" t="str">
        <f>IFERROR(VLOOKUP(January[[#This Row],[Drug Name]],'Data Options'!$R$1:$S$100,2,FALSE), " ")</f>
        <v xml:space="preserve"> </v>
      </c>
      <c r="S198" s="55"/>
      <c r="T198" s="32"/>
      <c r="U198" s="32"/>
      <c r="V198" s="55"/>
      <c r="W198" s="32"/>
      <c r="X198" s="54"/>
      <c r="Y198" s="21" t="str">
        <f>IFERROR(VLOOKUP(January[[#This Row],[Drug Name2]],'Data Options'!$R$1:$S$100,2,FALSE), " ")</f>
        <v xml:space="preserve"> </v>
      </c>
      <c r="Z198" s="55"/>
      <c r="AA198" s="32"/>
      <c r="AB198" s="32"/>
      <c r="AC198" s="55"/>
      <c r="AD198" s="32"/>
      <c r="AE198" s="54"/>
      <c r="AF198" s="21" t="str">
        <f>IFERROR(VLOOKUP(January[[#This Row],[Drug Name3]],'Data Options'!$R$1:$S$100,2,FALSE), " ")</f>
        <v xml:space="preserve"> </v>
      </c>
      <c r="AG198" s="55"/>
      <c r="AH198" s="32"/>
      <c r="AI198" s="32"/>
      <c r="AJ198" s="55"/>
      <c r="AK198" s="32"/>
      <c r="AL198" s="32"/>
      <c r="AM198" s="32"/>
      <c r="AN198" s="32"/>
      <c r="AO198" s="32"/>
      <c r="AP198" s="31"/>
      <c r="AQ198" s="31"/>
      <c r="AR198" s="54"/>
      <c r="AS198" s="21" t="str">
        <f>IFERROR(VLOOKUP(January[[#This Row],[Drug Name4]],'Data Options'!$R$1:$S$100,2,FALSE), " ")</f>
        <v xml:space="preserve"> </v>
      </c>
      <c r="AT198" s="55"/>
      <c r="AU198" s="32"/>
      <c r="AV198" s="32"/>
      <c r="AW198" s="55"/>
      <c r="AX198" s="32"/>
      <c r="AY198" s="54"/>
      <c r="AZ198" s="21" t="str">
        <f>IFERROR(VLOOKUP(January[[#This Row],[Drug Name5]],'Data Options'!$R$1:$S$100,2,FALSE), " ")</f>
        <v xml:space="preserve"> </v>
      </c>
      <c r="BA198" s="55"/>
      <c r="BB198" s="32"/>
      <c r="BC198" s="32"/>
      <c r="BD198" s="55"/>
      <c r="BE198" s="32"/>
      <c r="BF198" s="54"/>
      <c r="BG198" s="21" t="str">
        <f>IFERROR(VLOOKUP(January[[#This Row],[Drug Name6]],'Data Options'!$R$1:$S$100,2,FALSE), " ")</f>
        <v xml:space="preserve"> </v>
      </c>
      <c r="BH198" s="55"/>
      <c r="BI198" s="32"/>
      <c r="BJ198" s="32"/>
      <c r="BK198" s="55"/>
      <c r="BL198" s="32"/>
      <c r="BM198" s="32"/>
      <c r="BN198" s="32"/>
      <c r="BO198" s="32"/>
      <c r="BP198" s="32"/>
      <c r="BQ198" s="31"/>
      <c r="BR198" s="31"/>
      <c r="BS198" s="54"/>
      <c r="BT198" s="21" t="str">
        <f>IFERROR(VLOOKUP(January[[#This Row],[Drug Name7]],'Data Options'!$R$1:$S$100,2,FALSE), " ")</f>
        <v xml:space="preserve"> </v>
      </c>
      <c r="BU198" s="55"/>
      <c r="BV198" s="32"/>
      <c r="BW198" s="32"/>
      <c r="BX198" s="55"/>
      <c r="BY198" s="32"/>
      <c r="BZ198" s="54"/>
      <c r="CA198" s="21" t="str">
        <f>IFERROR(VLOOKUP(January[[#This Row],[Drug Name8]],'Data Options'!$R$1:$S$100,2,FALSE), " ")</f>
        <v xml:space="preserve"> </v>
      </c>
      <c r="CB198" s="55"/>
      <c r="CC198" s="32"/>
      <c r="CD198" s="32"/>
      <c r="CE198" s="55"/>
      <c r="CF198" s="32"/>
      <c r="CG198" s="54"/>
      <c r="CH198" s="21" t="str">
        <f>IFERROR(VLOOKUP(January[[#This Row],[Drug Name9]],'Data Options'!$R$1:$S$100,2,FALSE), " ")</f>
        <v xml:space="preserve"> </v>
      </c>
      <c r="CI198" s="55"/>
      <c r="CJ198" s="32"/>
      <c r="CK198" s="32"/>
      <c r="CL198" s="55"/>
      <c r="CM198" s="32"/>
    </row>
    <row r="199" spans="1:91">
      <c r="A199" s="5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1"/>
      <c r="P199" s="31"/>
      <c r="Q199" s="54"/>
      <c r="R199" s="21" t="str">
        <f>IFERROR(VLOOKUP(January[[#This Row],[Drug Name]],'Data Options'!$R$1:$S$100,2,FALSE), " ")</f>
        <v xml:space="preserve"> </v>
      </c>
      <c r="S199" s="55"/>
      <c r="T199" s="32"/>
      <c r="U199" s="32"/>
      <c r="V199" s="55"/>
      <c r="W199" s="32"/>
      <c r="X199" s="54"/>
      <c r="Y199" s="21" t="str">
        <f>IFERROR(VLOOKUP(January[[#This Row],[Drug Name2]],'Data Options'!$R$1:$S$100,2,FALSE), " ")</f>
        <v xml:space="preserve"> </v>
      </c>
      <c r="Z199" s="55"/>
      <c r="AA199" s="32"/>
      <c r="AB199" s="32"/>
      <c r="AC199" s="55"/>
      <c r="AD199" s="32"/>
      <c r="AE199" s="54"/>
      <c r="AF199" s="21" t="str">
        <f>IFERROR(VLOOKUP(January[[#This Row],[Drug Name3]],'Data Options'!$R$1:$S$100,2,FALSE), " ")</f>
        <v xml:space="preserve"> </v>
      </c>
      <c r="AG199" s="55"/>
      <c r="AH199" s="32"/>
      <c r="AI199" s="32"/>
      <c r="AJ199" s="55"/>
      <c r="AK199" s="32"/>
      <c r="AL199" s="32"/>
      <c r="AM199" s="32"/>
      <c r="AN199" s="32"/>
      <c r="AO199" s="32"/>
      <c r="AP199" s="31"/>
      <c r="AQ199" s="31"/>
      <c r="AR199" s="54"/>
      <c r="AS199" s="21" t="str">
        <f>IFERROR(VLOOKUP(January[[#This Row],[Drug Name4]],'Data Options'!$R$1:$S$100,2,FALSE), " ")</f>
        <v xml:space="preserve"> </v>
      </c>
      <c r="AT199" s="55"/>
      <c r="AU199" s="32"/>
      <c r="AV199" s="32"/>
      <c r="AW199" s="55"/>
      <c r="AX199" s="32"/>
      <c r="AY199" s="54"/>
      <c r="AZ199" s="21" t="str">
        <f>IFERROR(VLOOKUP(January[[#This Row],[Drug Name5]],'Data Options'!$R$1:$S$100,2,FALSE), " ")</f>
        <v xml:space="preserve"> </v>
      </c>
      <c r="BA199" s="55"/>
      <c r="BB199" s="32"/>
      <c r="BC199" s="32"/>
      <c r="BD199" s="55"/>
      <c r="BE199" s="32"/>
      <c r="BF199" s="54"/>
      <c r="BG199" s="21" t="str">
        <f>IFERROR(VLOOKUP(January[[#This Row],[Drug Name6]],'Data Options'!$R$1:$S$100,2,FALSE), " ")</f>
        <v xml:space="preserve"> </v>
      </c>
      <c r="BH199" s="55"/>
      <c r="BI199" s="32"/>
      <c r="BJ199" s="32"/>
      <c r="BK199" s="55"/>
      <c r="BL199" s="32"/>
      <c r="BM199" s="32"/>
      <c r="BN199" s="32"/>
      <c r="BO199" s="32"/>
      <c r="BP199" s="32"/>
      <c r="BQ199" s="31"/>
      <c r="BR199" s="31"/>
      <c r="BS199" s="54"/>
      <c r="BT199" s="21" t="str">
        <f>IFERROR(VLOOKUP(January[[#This Row],[Drug Name7]],'Data Options'!$R$1:$S$100,2,FALSE), " ")</f>
        <v xml:space="preserve"> </v>
      </c>
      <c r="BU199" s="55"/>
      <c r="BV199" s="32"/>
      <c r="BW199" s="32"/>
      <c r="BX199" s="55"/>
      <c r="BY199" s="32"/>
      <c r="BZ199" s="54"/>
      <c r="CA199" s="21" t="str">
        <f>IFERROR(VLOOKUP(January[[#This Row],[Drug Name8]],'Data Options'!$R$1:$S$100,2,FALSE), " ")</f>
        <v xml:space="preserve"> </v>
      </c>
      <c r="CB199" s="55"/>
      <c r="CC199" s="32"/>
      <c r="CD199" s="32"/>
      <c r="CE199" s="55"/>
      <c r="CF199" s="32"/>
      <c r="CG199" s="54"/>
      <c r="CH199" s="21" t="str">
        <f>IFERROR(VLOOKUP(January[[#This Row],[Drug Name9]],'Data Options'!$R$1:$S$100,2,FALSE), " ")</f>
        <v xml:space="preserve"> </v>
      </c>
      <c r="CI199" s="55"/>
      <c r="CJ199" s="32"/>
      <c r="CK199" s="32"/>
      <c r="CL199" s="55"/>
      <c r="CM199" s="32"/>
    </row>
    <row r="200" spans="1:91">
      <c r="A200" s="5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1"/>
      <c r="P200" s="31"/>
      <c r="Q200" s="54"/>
      <c r="R200" s="21" t="str">
        <f>IFERROR(VLOOKUP(January[[#This Row],[Drug Name]],'Data Options'!$R$1:$S$100,2,FALSE), " ")</f>
        <v xml:space="preserve"> </v>
      </c>
      <c r="S200" s="55"/>
      <c r="T200" s="32"/>
      <c r="U200" s="32"/>
      <c r="V200" s="55"/>
      <c r="W200" s="32"/>
      <c r="X200" s="54"/>
      <c r="Y200" s="21" t="str">
        <f>IFERROR(VLOOKUP(January[[#This Row],[Drug Name2]],'Data Options'!$R$1:$S$100,2,FALSE), " ")</f>
        <v xml:space="preserve"> </v>
      </c>
      <c r="Z200" s="55"/>
      <c r="AA200" s="32"/>
      <c r="AB200" s="32"/>
      <c r="AC200" s="55"/>
      <c r="AD200" s="32"/>
      <c r="AE200" s="54"/>
      <c r="AF200" s="21" t="str">
        <f>IFERROR(VLOOKUP(January[[#This Row],[Drug Name3]],'Data Options'!$R$1:$S$100,2,FALSE), " ")</f>
        <v xml:space="preserve"> </v>
      </c>
      <c r="AG200" s="55"/>
      <c r="AH200" s="32"/>
      <c r="AI200" s="32"/>
      <c r="AJ200" s="55"/>
      <c r="AK200" s="32"/>
      <c r="AL200" s="32"/>
      <c r="AM200" s="32"/>
      <c r="AN200" s="32"/>
      <c r="AO200" s="32"/>
      <c r="AP200" s="31"/>
      <c r="AQ200" s="31"/>
      <c r="AR200" s="54"/>
      <c r="AS200" s="21" t="str">
        <f>IFERROR(VLOOKUP(January[[#This Row],[Drug Name4]],'Data Options'!$R$1:$S$100,2,FALSE), " ")</f>
        <v xml:space="preserve"> </v>
      </c>
      <c r="AT200" s="55"/>
      <c r="AU200" s="32"/>
      <c r="AV200" s="32"/>
      <c r="AW200" s="55"/>
      <c r="AX200" s="32"/>
      <c r="AY200" s="54"/>
      <c r="AZ200" s="21" t="str">
        <f>IFERROR(VLOOKUP(January[[#This Row],[Drug Name5]],'Data Options'!$R$1:$S$100,2,FALSE), " ")</f>
        <v xml:space="preserve"> </v>
      </c>
      <c r="BA200" s="55"/>
      <c r="BB200" s="32"/>
      <c r="BC200" s="32"/>
      <c r="BD200" s="55"/>
      <c r="BE200" s="32"/>
      <c r="BF200" s="54"/>
      <c r="BG200" s="21" t="str">
        <f>IFERROR(VLOOKUP(January[[#This Row],[Drug Name6]],'Data Options'!$R$1:$S$100,2,FALSE), " ")</f>
        <v xml:space="preserve"> </v>
      </c>
      <c r="BH200" s="55"/>
      <c r="BI200" s="32"/>
      <c r="BJ200" s="32"/>
      <c r="BK200" s="55"/>
      <c r="BL200" s="32"/>
      <c r="BM200" s="32"/>
      <c r="BN200" s="32"/>
      <c r="BO200" s="32"/>
      <c r="BP200" s="32"/>
      <c r="BQ200" s="31"/>
      <c r="BR200" s="31"/>
      <c r="BS200" s="54"/>
      <c r="BT200" s="21" t="str">
        <f>IFERROR(VLOOKUP(January[[#This Row],[Drug Name7]],'Data Options'!$R$1:$S$100,2,FALSE), " ")</f>
        <v xml:space="preserve"> </v>
      </c>
      <c r="BU200" s="55"/>
      <c r="BV200" s="32"/>
      <c r="BW200" s="32"/>
      <c r="BX200" s="55"/>
      <c r="BY200" s="32"/>
      <c r="BZ200" s="54"/>
      <c r="CA200" s="21" t="str">
        <f>IFERROR(VLOOKUP(January[[#This Row],[Drug Name8]],'Data Options'!$R$1:$S$100,2,FALSE), " ")</f>
        <v xml:space="preserve"> </v>
      </c>
      <c r="CB200" s="55"/>
      <c r="CC200" s="32"/>
      <c r="CD200" s="32"/>
      <c r="CE200" s="55"/>
      <c r="CF200" s="32"/>
      <c r="CG200" s="54"/>
      <c r="CH200" s="21" t="str">
        <f>IFERROR(VLOOKUP(January[[#This Row],[Drug Name9]],'Data Options'!$R$1:$S$100,2,FALSE), " ")</f>
        <v xml:space="preserve"> </v>
      </c>
      <c r="CI200" s="55"/>
      <c r="CJ200" s="32"/>
      <c r="CK200" s="32"/>
      <c r="CL200" s="55"/>
      <c r="CM200" s="32"/>
    </row>
    <row r="201" spans="1:91">
      <c r="A201" s="5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1"/>
      <c r="P201" s="31"/>
      <c r="Q201" s="54"/>
      <c r="R201" s="21" t="str">
        <f>IFERROR(VLOOKUP(January[[#This Row],[Drug Name]],'Data Options'!$R$1:$S$100,2,FALSE), " ")</f>
        <v xml:space="preserve"> </v>
      </c>
      <c r="S201" s="55"/>
      <c r="T201" s="32"/>
      <c r="U201" s="32"/>
      <c r="V201" s="55"/>
      <c r="W201" s="32"/>
      <c r="X201" s="54"/>
      <c r="Y201" s="21" t="str">
        <f>IFERROR(VLOOKUP(January[[#This Row],[Drug Name2]],'Data Options'!$R$1:$S$100,2,FALSE), " ")</f>
        <v xml:space="preserve"> </v>
      </c>
      <c r="Z201" s="55"/>
      <c r="AA201" s="32"/>
      <c r="AB201" s="32"/>
      <c r="AC201" s="55"/>
      <c r="AD201" s="32"/>
      <c r="AE201" s="54"/>
      <c r="AF201" s="21" t="str">
        <f>IFERROR(VLOOKUP(January[[#This Row],[Drug Name3]],'Data Options'!$R$1:$S$100,2,FALSE), " ")</f>
        <v xml:space="preserve"> </v>
      </c>
      <c r="AG201" s="55"/>
      <c r="AH201" s="32"/>
      <c r="AI201" s="32"/>
      <c r="AJ201" s="55"/>
      <c r="AK201" s="32"/>
      <c r="AL201" s="32"/>
      <c r="AM201" s="32"/>
      <c r="AN201" s="32"/>
      <c r="AO201" s="32"/>
      <c r="AP201" s="31"/>
      <c r="AQ201" s="31"/>
      <c r="AR201" s="54"/>
      <c r="AS201" s="21" t="str">
        <f>IFERROR(VLOOKUP(January[[#This Row],[Drug Name4]],'Data Options'!$R$1:$S$100,2,FALSE), " ")</f>
        <v xml:space="preserve"> </v>
      </c>
      <c r="AT201" s="55"/>
      <c r="AU201" s="32"/>
      <c r="AV201" s="32"/>
      <c r="AW201" s="55"/>
      <c r="AX201" s="32"/>
      <c r="AY201" s="54"/>
      <c r="AZ201" s="21" t="str">
        <f>IFERROR(VLOOKUP(January[[#This Row],[Drug Name5]],'Data Options'!$R$1:$S$100,2,FALSE), " ")</f>
        <v xml:space="preserve"> </v>
      </c>
      <c r="BA201" s="55"/>
      <c r="BB201" s="32"/>
      <c r="BC201" s="32"/>
      <c r="BD201" s="55"/>
      <c r="BE201" s="32"/>
      <c r="BF201" s="54"/>
      <c r="BG201" s="21" t="str">
        <f>IFERROR(VLOOKUP(January[[#This Row],[Drug Name6]],'Data Options'!$R$1:$S$100,2,FALSE), " ")</f>
        <v xml:space="preserve"> </v>
      </c>
      <c r="BH201" s="55"/>
      <c r="BI201" s="32"/>
      <c r="BJ201" s="32"/>
      <c r="BK201" s="55"/>
      <c r="BL201" s="32"/>
      <c r="BM201" s="32"/>
      <c r="BN201" s="32"/>
      <c r="BO201" s="32"/>
      <c r="BP201" s="32"/>
      <c r="BQ201" s="31"/>
      <c r="BR201" s="31"/>
      <c r="BS201" s="54"/>
      <c r="BT201" s="21" t="str">
        <f>IFERROR(VLOOKUP(January[[#This Row],[Drug Name7]],'Data Options'!$R$1:$S$100,2,FALSE), " ")</f>
        <v xml:space="preserve"> </v>
      </c>
      <c r="BU201" s="55"/>
      <c r="BV201" s="32"/>
      <c r="BW201" s="32"/>
      <c r="BX201" s="55"/>
      <c r="BY201" s="32"/>
      <c r="BZ201" s="54"/>
      <c r="CA201" s="21" t="str">
        <f>IFERROR(VLOOKUP(January[[#This Row],[Drug Name8]],'Data Options'!$R$1:$S$100,2,FALSE), " ")</f>
        <v xml:space="preserve"> </v>
      </c>
      <c r="CB201" s="55"/>
      <c r="CC201" s="32"/>
      <c r="CD201" s="32"/>
      <c r="CE201" s="55"/>
      <c r="CF201" s="32"/>
      <c r="CG201" s="54"/>
      <c r="CH201" s="21" t="str">
        <f>IFERROR(VLOOKUP(January[[#This Row],[Drug Name9]],'Data Options'!$R$1:$S$100,2,FALSE), " ")</f>
        <v xml:space="preserve"> </v>
      </c>
      <c r="CI201" s="55"/>
      <c r="CJ201" s="32"/>
      <c r="CK201" s="32"/>
      <c r="CL201" s="55"/>
      <c r="CM201" s="32"/>
    </row>
    <row r="202" spans="1:91">
      <c r="A202" s="24" t="s">
        <v>239</v>
      </c>
      <c r="X202" s="54"/>
      <c r="Z202" s="32"/>
      <c r="AA202" s="32"/>
      <c r="AB202" s="32"/>
      <c r="AC202" s="32"/>
      <c r="AD202" s="32"/>
      <c r="AE202" s="54"/>
      <c r="AG202" s="32"/>
      <c r="AH202" s="32"/>
      <c r="AI202" s="32"/>
      <c r="AJ202" s="32"/>
      <c r="AK202" s="32"/>
      <c r="AL202" s="32"/>
      <c r="AN202" s="32"/>
      <c r="AO202" s="32"/>
      <c r="AP202" s="31"/>
      <c r="AQ202" s="31"/>
      <c r="AR202" s="54"/>
      <c r="AT202" s="32"/>
      <c r="AU202" s="32"/>
      <c r="AV202" s="32"/>
      <c r="AW202" s="32"/>
      <c r="AX202" s="32"/>
      <c r="AY202" s="54"/>
      <c r="BA202" s="32"/>
      <c r="BB202" s="32"/>
      <c r="BC202" s="32"/>
      <c r="BD202" s="32"/>
      <c r="BE202" s="32"/>
      <c r="BF202" s="54"/>
      <c r="BH202" s="32"/>
      <c r="BI202" s="32"/>
      <c r="BJ202" s="32"/>
      <c r="BK202" s="32"/>
      <c r="BL202" s="32"/>
      <c r="BM202" s="32"/>
      <c r="BO202" s="32"/>
      <c r="BP202" s="32"/>
      <c r="BQ202" s="31"/>
      <c r="BR202" s="31"/>
      <c r="BS202" s="54"/>
      <c r="BU202" s="32"/>
      <c r="BV202" s="32"/>
      <c r="BW202" s="32"/>
      <c r="BX202" s="32"/>
      <c r="BY202" s="32"/>
      <c r="BZ202" s="54"/>
      <c r="CB202" s="32"/>
      <c r="CC202" s="32"/>
      <c r="CD202" s="32"/>
      <c r="CE202" s="32"/>
      <c r="CF202" s="32"/>
      <c r="CG202" s="54"/>
      <c r="CI202" s="32"/>
      <c r="CJ202" s="32"/>
      <c r="CK202" s="32"/>
      <c r="CL202" s="32"/>
      <c r="CM202" s="40">
        <f>SUBTOTAL(103,January[Location Filled9])</f>
        <v>0</v>
      </c>
    </row>
  </sheetData>
  <sheetProtection algorithmName="SHA-512" hashValue="u4xvLBKDxli09Q4JYBxFuvtzQqS+xchjrxBNnWOiq8LXRUyAtGLL2LD4WeBm6TA/TLQ5CK1lvzBU0GyUxzO6Fw==" saltValue="HfsDSfX0u6x3UOH/A8wYQg==" spinCount="100000" sheet="1" objects="1" scenarios="1"/>
  <mergeCells count="13">
    <mergeCell ref="AR2:AX2"/>
    <mergeCell ref="BS2:BY2"/>
    <mergeCell ref="BZ2:CF2"/>
    <mergeCell ref="CG2:CM2"/>
    <mergeCell ref="AL1:AQ2"/>
    <mergeCell ref="BM1:BR2"/>
    <mergeCell ref="BF2:BL2"/>
    <mergeCell ref="A1:J2"/>
    <mergeCell ref="K1:AF1"/>
    <mergeCell ref="K2:P2"/>
    <mergeCell ref="Q2:V2"/>
    <mergeCell ref="X2:AD2"/>
    <mergeCell ref="AE2:AK2"/>
  </mergeCells>
  <dataValidations count="19">
    <dataValidation type="list" allowBlank="1" showInputMessage="1" showErrorMessage="1" sqref="D4:D201">
      <formula1>INDIRECT("Species")</formula1>
    </dataValidation>
    <dataValidation type="list" allowBlank="1" showInputMessage="1" showErrorMessage="1" sqref="E4:E201">
      <formula1>INDIRECT("Sex")</formula1>
    </dataValidation>
    <dataValidation type="list" allowBlank="1" showInputMessage="1" showErrorMessage="1" sqref="F4:F201">
      <formula1>INDIRECT("Age")</formula1>
    </dataValidation>
    <dataValidation type="list" allowBlank="1" showInputMessage="1" showErrorMessage="1" sqref="G4:G201">
      <formula1>INDIRECT("Visit_Reason")</formula1>
    </dataValidation>
    <dataValidation type="list" allowBlank="1" showInputMessage="1" showErrorMessage="1" sqref="I4:I201">
      <formula1>INDIRECT("ABX_YN")</formula1>
    </dataValidation>
    <dataValidation type="list" allowBlank="1" showInputMessage="1" showErrorMessage="1" sqref="K4:K201 AL4:AL201 BM4:BM201">
      <formula1>INDIRECT("Disease_Type")</formula1>
    </dataValidation>
    <dataValidation type="list" allowBlank="1" showInputMessage="1" showErrorMessage="1" sqref="M4:M201 AN4:AN201 BO4:BO201">
      <formula1>INDIRECT("Disease_Descrip")</formula1>
    </dataValidation>
    <dataValidation type="list" allowBlank="1" showInputMessage="1" showErrorMessage="1" sqref="N4:N201 AO4:AO201 BP4:BP201">
      <formula1>INDIRECT("Dz_Abx_Num")</formula1>
    </dataValidation>
    <dataValidation type="list" allowBlank="1" showInputMessage="1" showErrorMessage="1" sqref="O4:O201 AP4:AP201 BQ4:BQ201">
      <formula1>INDIRECT("Diagnostics_Offer_YN")</formula1>
    </dataValidation>
    <dataValidation type="list" allowBlank="1" showInputMessage="1" showErrorMessage="1" sqref="P4:P201 AQ4:AQ201 BR4:BR201">
      <formula1>INDIRECT("Diagnostics_Performed_YN")</formula1>
    </dataValidation>
    <dataValidation type="list" allowBlank="1" showInputMessage="1" showErrorMessage="1" sqref="Q4:Q201 X4:X201 AE4:AE201 AR4:AR201 AY4:AY201 BF4:BF201 BS4:BS201 BZ4:BZ201 CG4:CG201">
      <formula1>INDIRECT("Drug_Name")</formula1>
    </dataValidation>
    <dataValidation type="list" allowBlank="1" showInputMessage="1" showErrorMessage="1" sqref="T4:T201 AA4:AA201 AH4:AH201 AU4:AU201 BB4:BB201 BI4:BI201 BV4:BV201 CC4:CC201 CJ4:CJ201">
      <formula1>INDIRECT("Abx_Freq")</formula1>
    </dataValidation>
    <dataValidation type="list" allowBlank="1" showInputMessage="1" showErrorMessage="1" sqref="U4:U201 AB4:AB201 AI4:AI201 AV4:AV201 BC4:BC201 BJ4:BJ201 BW4:BW201 CD4:CD201 CK4:CK201">
      <formula1>INDIRECT("Abx_Route")</formula1>
    </dataValidation>
    <dataValidation type="list" allowBlank="1" showInputMessage="1" showErrorMessage="1" sqref="W4:W201 AD4:AD201 AK4:AK201 AX4:AX201 BE4:BE201 BL4:BL201 BY4:BY201 CF4:CF201 CM4:CM201">
      <formula1>INDIRECT("Prescription_Type")</formula1>
    </dataValidation>
    <dataValidation allowBlank="1" showInputMessage="1" showErrorMessage="1" prompt="Only type here IF Reason for Visit is Other " sqref="H5:H201"/>
    <dataValidation type="whole" allowBlank="1" showInputMessage="1" showErrorMessage="1" promptTitle="Total Number of Antibiotics" prompt="This should include ALL antibiotics prescribed to this patient during this visit for ALL conditions. " sqref="J4:J201">
      <formula1>0</formula1>
      <formula2>9</formula2>
    </dataValidation>
    <dataValidation allowBlank="1" showInputMessage="1" showErrorMessage="1" prompt="Only type in this column IF Disease/Infection Type is Other" sqref="L4:L201 AM4:AM201 BN4:BN201"/>
    <dataValidation allowBlank="1" showInputMessage="1" showErrorMessage="1" prompt="Only type in this column IF Reason for Visit is Other " sqref="H4"/>
    <dataValidation type="decimal" allowBlank="1" showInputMessage="1" showErrorMessage="1" sqref="CL4:CL201 Z4:Z201 V4:V201 AC4:AC201 AG4:AG201 AJ4:AJ201 AT4:AT201 AW4:AW201 BD4:BD201 BA4:BA201 BH4:BH201 BK4:BK201 BU4:BU201 BX4:BX201 CB4:CB201 CE4:CE201 CI4:CI201 S4:S201">
      <formula1>0</formula1>
      <formula2>5000</formula2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02"/>
  <sheetViews>
    <sheetView workbookViewId="0">
      <pane ySplit="3" topLeftCell="A4" activePane="bottomLeft" state="frozen"/>
      <selection pane="bottomLeft" activeCell="A4" sqref="A4"/>
    </sheetView>
  </sheetViews>
  <sheetFormatPr defaultColWidth="10.83203125" defaultRowHeight="15.5"/>
  <cols>
    <col min="1" max="16384" width="10.83203125" style="24"/>
  </cols>
  <sheetData>
    <row r="1" spans="1:91" ht="21">
      <c r="A1" s="60" t="s">
        <v>103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43"/>
      <c r="AH1" s="43"/>
      <c r="AI1" s="43"/>
      <c r="AJ1" s="43"/>
      <c r="AK1" s="43"/>
      <c r="AL1" s="70" t="s">
        <v>154</v>
      </c>
      <c r="AM1" s="70"/>
      <c r="AN1" s="70"/>
      <c r="AO1" s="70"/>
      <c r="AP1" s="70"/>
      <c r="AQ1" s="70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5"/>
      <c r="BI1" s="45"/>
      <c r="BJ1" s="45"/>
      <c r="BK1" s="45"/>
      <c r="BL1" s="45"/>
      <c r="BM1" s="71" t="s">
        <v>156</v>
      </c>
      <c r="BN1" s="71"/>
      <c r="BO1" s="71"/>
      <c r="BP1" s="71"/>
      <c r="BQ1" s="71"/>
      <c r="BR1" s="71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7"/>
      <c r="CJ1" s="47"/>
      <c r="CK1" s="47"/>
      <c r="CL1" s="47"/>
      <c r="CM1" s="47"/>
    </row>
    <row r="2" spans="1:91" ht="21">
      <c r="A2" s="60"/>
      <c r="B2" s="60"/>
      <c r="C2" s="60"/>
      <c r="D2" s="60"/>
      <c r="E2" s="60"/>
      <c r="F2" s="60"/>
      <c r="G2" s="60"/>
      <c r="H2" s="60"/>
      <c r="I2" s="60"/>
      <c r="J2" s="60"/>
      <c r="K2" s="62" t="s">
        <v>153</v>
      </c>
      <c r="L2" s="62"/>
      <c r="M2" s="62"/>
      <c r="N2" s="62"/>
      <c r="O2" s="62"/>
      <c r="P2" s="62"/>
      <c r="Q2" s="63" t="s">
        <v>104</v>
      </c>
      <c r="R2" s="63"/>
      <c r="S2" s="63"/>
      <c r="T2" s="63"/>
      <c r="U2" s="63"/>
      <c r="V2" s="63"/>
      <c r="W2" s="48"/>
      <c r="X2" s="64" t="s">
        <v>105</v>
      </c>
      <c r="Y2" s="64"/>
      <c r="Z2" s="64"/>
      <c r="AA2" s="64"/>
      <c r="AB2" s="64"/>
      <c r="AC2" s="64"/>
      <c r="AD2" s="64"/>
      <c r="AE2" s="65" t="s">
        <v>106</v>
      </c>
      <c r="AF2" s="65"/>
      <c r="AG2" s="65"/>
      <c r="AH2" s="65"/>
      <c r="AI2" s="65"/>
      <c r="AJ2" s="65"/>
      <c r="AK2" s="65"/>
      <c r="AL2" s="70"/>
      <c r="AM2" s="70"/>
      <c r="AN2" s="70"/>
      <c r="AO2" s="70"/>
      <c r="AP2" s="70"/>
      <c r="AQ2" s="70"/>
      <c r="AR2" s="66" t="s">
        <v>107</v>
      </c>
      <c r="AS2" s="66"/>
      <c r="AT2" s="66"/>
      <c r="AU2" s="66"/>
      <c r="AV2" s="66"/>
      <c r="AW2" s="66"/>
      <c r="AX2" s="66"/>
      <c r="AY2" s="49" t="s">
        <v>216</v>
      </c>
      <c r="AZ2" s="49"/>
      <c r="BA2" s="49"/>
      <c r="BB2" s="49"/>
      <c r="BC2" s="49"/>
      <c r="BD2" s="49"/>
      <c r="BE2" s="49"/>
      <c r="BF2" s="69" t="s">
        <v>155</v>
      </c>
      <c r="BG2" s="69"/>
      <c r="BH2" s="69"/>
      <c r="BI2" s="69"/>
      <c r="BJ2" s="69"/>
      <c r="BK2" s="69"/>
      <c r="BL2" s="69"/>
      <c r="BM2" s="71"/>
      <c r="BN2" s="71"/>
      <c r="BO2" s="71"/>
      <c r="BP2" s="71"/>
      <c r="BQ2" s="71"/>
      <c r="BR2" s="71"/>
      <c r="BS2" s="67" t="s">
        <v>109</v>
      </c>
      <c r="BT2" s="67"/>
      <c r="BU2" s="67"/>
      <c r="BV2" s="67"/>
      <c r="BW2" s="67"/>
      <c r="BX2" s="67"/>
      <c r="BY2" s="67"/>
      <c r="BZ2" s="68" t="s">
        <v>110</v>
      </c>
      <c r="CA2" s="68"/>
      <c r="CB2" s="68"/>
      <c r="CC2" s="68"/>
      <c r="CD2" s="68"/>
      <c r="CE2" s="68"/>
      <c r="CF2" s="68"/>
      <c r="CG2" s="69" t="s">
        <v>108</v>
      </c>
      <c r="CH2" s="69"/>
      <c r="CI2" s="69"/>
      <c r="CJ2" s="69"/>
      <c r="CK2" s="69"/>
      <c r="CL2" s="69"/>
      <c r="CM2" s="69"/>
    </row>
    <row r="3" spans="1:91" ht="93.5" thickBot="1">
      <c r="A3" s="50" t="s">
        <v>4</v>
      </c>
      <c r="B3" s="50" t="s">
        <v>217</v>
      </c>
      <c r="C3" s="50" t="s">
        <v>5</v>
      </c>
      <c r="D3" s="50" t="s">
        <v>6</v>
      </c>
      <c r="E3" s="50" t="s">
        <v>0</v>
      </c>
      <c r="F3" s="50" t="s">
        <v>111</v>
      </c>
      <c r="G3" s="50" t="s">
        <v>1</v>
      </c>
      <c r="H3" s="50" t="s">
        <v>150</v>
      </c>
      <c r="I3" s="50" t="s">
        <v>218</v>
      </c>
      <c r="J3" s="50" t="s">
        <v>214</v>
      </c>
      <c r="K3" s="50" t="s">
        <v>82</v>
      </c>
      <c r="L3" s="50" t="s">
        <v>215</v>
      </c>
      <c r="M3" s="50" t="s">
        <v>83</v>
      </c>
      <c r="N3" s="50" t="s">
        <v>211</v>
      </c>
      <c r="O3" s="50" t="s">
        <v>212</v>
      </c>
      <c r="P3" s="50" t="s">
        <v>213</v>
      </c>
      <c r="Q3" s="51" t="s">
        <v>8</v>
      </c>
      <c r="R3" s="51" t="s">
        <v>3</v>
      </c>
      <c r="S3" s="50" t="s">
        <v>84</v>
      </c>
      <c r="T3" s="50" t="s">
        <v>65</v>
      </c>
      <c r="U3" s="50" t="s">
        <v>85</v>
      </c>
      <c r="V3" s="50" t="s">
        <v>9</v>
      </c>
      <c r="W3" s="50" t="s">
        <v>219</v>
      </c>
      <c r="X3" s="51" t="s">
        <v>157</v>
      </c>
      <c r="Y3" s="51" t="s">
        <v>164</v>
      </c>
      <c r="Z3" s="50" t="s">
        <v>163</v>
      </c>
      <c r="AA3" s="50" t="s">
        <v>166</v>
      </c>
      <c r="AB3" s="50" t="s">
        <v>167</v>
      </c>
      <c r="AC3" s="50" t="s">
        <v>171</v>
      </c>
      <c r="AD3" s="50" t="s">
        <v>220</v>
      </c>
      <c r="AE3" s="51" t="s">
        <v>168</v>
      </c>
      <c r="AF3" s="51" t="s">
        <v>158</v>
      </c>
      <c r="AG3" s="50" t="s">
        <v>169</v>
      </c>
      <c r="AH3" s="50" t="s">
        <v>165</v>
      </c>
      <c r="AI3" s="50" t="s">
        <v>170</v>
      </c>
      <c r="AJ3" s="50" t="s">
        <v>172</v>
      </c>
      <c r="AK3" s="50" t="s">
        <v>221</v>
      </c>
      <c r="AL3" s="50" t="s">
        <v>173</v>
      </c>
      <c r="AM3" s="50" t="s">
        <v>222</v>
      </c>
      <c r="AN3" s="50" t="s">
        <v>174</v>
      </c>
      <c r="AO3" s="50" t="s">
        <v>175</v>
      </c>
      <c r="AP3" s="50" t="s">
        <v>223</v>
      </c>
      <c r="AQ3" s="50" t="s">
        <v>224</v>
      </c>
      <c r="AR3" s="51" t="s">
        <v>176</v>
      </c>
      <c r="AS3" s="51" t="s">
        <v>177</v>
      </c>
      <c r="AT3" s="50" t="s">
        <v>159</v>
      </c>
      <c r="AU3" s="50" t="s">
        <v>178</v>
      </c>
      <c r="AV3" s="50" t="s">
        <v>179</v>
      </c>
      <c r="AW3" s="50" t="s">
        <v>180</v>
      </c>
      <c r="AX3" s="50" t="s">
        <v>225</v>
      </c>
      <c r="AY3" s="51" t="s">
        <v>181</v>
      </c>
      <c r="AZ3" s="51" t="s">
        <v>182</v>
      </c>
      <c r="BA3" s="50" t="s">
        <v>183</v>
      </c>
      <c r="BB3" s="50" t="s">
        <v>160</v>
      </c>
      <c r="BC3" s="50" t="s">
        <v>184</v>
      </c>
      <c r="BD3" s="50" t="s">
        <v>185</v>
      </c>
      <c r="BE3" s="50" t="s">
        <v>226</v>
      </c>
      <c r="BF3" s="51" t="s">
        <v>186</v>
      </c>
      <c r="BG3" s="51" t="s">
        <v>187</v>
      </c>
      <c r="BH3" s="50" t="s">
        <v>188</v>
      </c>
      <c r="BI3" s="50" t="s">
        <v>189</v>
      </c>
      <c r="BJ3" s="50" t="s">
        <v>161</v>
      </c>
      <c r="BK3" s="50" t="s">
        <v>190</v>
      </c>
      <c r="BL3" s="50" t="s">
        <v>227</v>
      </c>
      <c r="BM3" s="50" t="s">
        <v>191</v>
      </c>
      <c r="BN3" s="50" t="s">
        <v>233</v>
      </c>
      <c r="BO3" s="50" t="s">
        <v>192</v>
      </c>
      <c r="BP3" s="50" t="s">
        <v>193</v>
      </c>
      <c r="BQ3" s="50" t="s">
        <v>228</v>
      </c>
      <c r="BR3" s="50" t="s">
        <v>229</v>
      </c>
      <c r="BS3" s="50" t="s">
        <v>194</v>
      </c>
      <c r="BT3" s="50" t="s">
        <v>195</v>
      </c>
      <c r="BU3" s="50" t="s">
        <v>196</v>
      </c>
      <c r="BV3" s="50" t="s">
        <v>197</v>
      </c>
      <c r="BW3" s="50" t="s">
        <v>198</v>
      </c>
      <c r="BX3" s="50" t="s">
        <v>162</v>
      </c>
      <c r="BY3" s="50" t="s">
        <v>230</v>
      </c>
      <c r="BZ3" s="50" t="s">
        <v>199</v>
      </c>
      <c r="CA3" s="50" t="s">
        <v>200</v>
      </c>
      <c r="CB3" s="50" t="s">
        <v>201</v>
      </c>
      <c r="CC3" s="50" t="s">
        <v>202</v>
      </c>
      <c r="CD3" s="50" t="s">
        <v>203</v>
      </c>
      <c r="CE3" s="50" t="s">
        <v>204</v>
      </c>
      <c r="CF3" s="50" t="s">
        <v>231</v>
      </c>
      <c r="CG3" s="50" t="s">
        <v>205</v>
      </c>
      <c r="CH3" s="50" t="s">
        <v>206</v>
      </c>
      <c r="CI3" s="50" t="s">
        <v>207</v>
      </c>
      <c r="CJ3" s="50" t="s">
        <v>208</v>
      </c>
      <c r="CK3" s="50" t="s">
        <v>209</v>
      </c>
      <c r="CL3" s="50" t="s">
        <v>210</v>
      </c>
      <c r="CM3" s="50" t="s">
        <v>232</v>
      </c>
    </row>
    <row r="4" spans="1:91">
      <c r="A4" s="52"/>
      <c r="B4" s="5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1"/>
      <c r="P4" s="31"/>
      <c r="Q4" s="54"/>
      <c r="R4" s="21" t="str">
        <f>IFERROR(VLOOKUP(February[[#This Row],[Drug Name]],'Data Options'!$R$1:$S$100,2,FALSE), " ")</f>
        <v xml:space="preserve"> </v>
      </c>
      <c r="S4" s="55"/>
      <c r="T4" s="32"/>
      <c r="U4" s="32"/>
      <c r="V4" s="55"/>
      <c r="W4" s="32"/>
      <c r="X4" s="54"/>
      <c r="Y4" s="21" t="str">
        <f>IFERROR(VLOOKUP(February[[#This Row],[Drug Name2]],'Data Options'!$R$1:$S$100,2,FALSE), " ")</f>
        <v xml:space="preserve"> </v>
      </c>
      <c r="Z4" s="55"/>
      <c r="AA4" s="32"/>
      <c r="AB4" s="32"/>
      <c r="AC4" s="55"/>
      <c r="AD4" s="32"/>
      <c r="AE4" s="54"/>
      <c r="AF4" s="21" t="str">
        <f>IFERROR(VLOOKUP(February[[#This Row],[Drug Name3]],'Data Options'!$R$1:$S$100,2,FALSE), " ")</f>
        <v xml:space="preserve"> </v>
      </c>
      <c r="AG4" s="55"/>
      <c r="AH4" s="32"/>
      <c r="AI4" s="32"/>
      <c r="AJ4" s="55"/>
      <c r="AK4" s="32"/>
      <c r="AL4" s="32"/>
      <c r="AM4" s="32"/>
      <c r="AN4" s="32"/>
      <c r="AO4" s="32"/>
      <c r="AP4" s="31"/>
      <c r="AQ4" s="31"/>
      <c r="AR4" s="54"/>
      <c r="AS4" s="21" t="str">
        <f>IFERROR(VLOOKUP(February[[#This Row],[Drug Name4]],'Data Options'!$R$1:$S$100,2,FALSE), " ")</f>
        <v xml:space="preserve"> </v>
      </c>
      <c r="AT4" s="55"/>
      <c r="AU4" s="32"/>
      <c r="AV4" s="32"/>
      <c r="AW4" s="55"/>
      <c r="AX4" s="32"/>
      <c r="AY4" s="54"/>
      <c r="AZ4" s="21" t="str">
        <f>IFERROR(VLOOKUP(February[[#This Row],[Drug Name5]],'Data Options'!$R$1:$S$100,2,FALSE), " ")</f>
        <v xml:space="preserve"> </v>
      </c>
      <c r="BA4" s="55"/>
      <c r="BB4" s="32"/>
      <c r="BC4" s="32"/>
      <c r="BD4" s="55"/>
      <c r="BE4" s="32"/>
      <c r="BF4" s="54"/>
      <c r="BG4" s="21" t="str">
        <f>IFERROR(VLOOKUP(February[[#This Row],[Drug Name6]],'Data Options'!$R$1:$S$100,2,FALSE), " ")</f>
        <v xml:space="preserve"> </v>
      </c>
      <c r="BH4" s="55"/>
      <c r="BI4" s="32"/>
      <c r="BJ4" s="32"/>
      <c r="BK4" s="55"/>
      <c r="BL4" s="32"/>
      <c r="BM4" s="32"/>
      <c r="BN4" s="32"/>
      <c r="BO4" s="32"/>
      <c r="BP4" s="32"/>
      <c r="BQ4" s="31"/>
      <c r="BR4" s="31"/>
      <c r="BS4" s="54"/>
      <c r="BT4" s="21" t="str">
        <f>IFERROR(VLOOKUP(February[[#This Row],[Drug Name7]],'Data Options'!$R$1:$S$100,2,FALSE), " ")</f>
        <v xml:space="preserve"> </v>
      </c>
      <c r="BU4" s="55"/>
      <c r="BV4" s="32"/>
      <c r="BW4" s="32"/>
      <c r="BX4" s="55"/>
      <c r="BY4" s="32"/>
      <c r="BZ4" s="54"/>
      <c r="CA4" s="21" t="str">
        <f>IFERROR(VLOOKUP(February[[#This Row],[Drug Name8]],'Data Options'!$R$1:$S$100,2,FALSE), " ")</f>
        <v xml:space="preserve"> </v>
      </c>
      <c r="CB4" s="55"/>
      <c r="CC4" s="32"/>
      <c r="CD4" s="32"/>
      <c r="CE4" s="55"/>
      <c r="CF4" s="32"/>
      <c r="CG4" s="54"/>
      <c r="CH4" s="21" t="str">
        <f>IFERROR(VLOOKUP(February[[#This Row],[Drug Name9]],'Data Options'!$R$1:$S$100,2,FALSE), " ")</f>
        <v xml:space="preserve"> </v>
      </c>
      <c r="CI4" s="55"/>
      <c r="CJ4" s="32"/>
      <c r="CK4" s="32"/>
      <c r="CL4" s="55"/>
      <c r="CM4" s="32"/>
    </row>
    <row r="5" spans="1:91">
      <c r="A5" s="52"/>
      <c r="B5" s="53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1"/>
      <c r="P5" s="31"/>
      <c r="Q5" s="54"/>
      <c r="R5" s="21" t="str">
        <f>IFERROR(VLOOKUP(February[[#This Row],[Drug Name]],'Data Options'!$R$1:$S$100,2,FALSE), " ")</f>
        <v xml:space="preserve"> </v>
      </c>
      <c r="S5" s="55"/>
      <c r="T5" s="32"/>
      <c r="U5" s="32"/>
      <c r="V5" s="55"/>
      <c r="W5" s="32"/>
      <c r="X5" s="54"/>
      <c r="Y5" s="21" t="str">
        <f>IFERROR(VLOOKUP(February[[#This Row],[Drug Name2]],'Data Options'!$R$1:$S$100,2,FALSE), " ")</f>
        <v xml:space="preserve"> </v>
      </c>
      <c r="Z5" s="55"/>
      <c r="AA5" s="32"/>
      <c r="AB5" s="32"/>
      <c r="AC5" s="55"/>
      <c r="AD5" s="32"/>
      <c r="AE5" s="54"/>
      <c r="AF5" s="21" t="str">
        <f>IFERROR(VLOOKUP(February[[#This Row],[Drug Name3]],'Data Options'!$R$1:$S$100,2,FALSE), " ")</f>
        <v xml:space="preserve"> </v>
      </c>
      <c r="AG5" s="55"/>
      <c r="AH5" s="32"/>
      <c r="AI5" s="32"/>
      <c r="AJ5" s="55"/>
      <c r="AK5" s="32"/>
      <c r="AL5" s="32"/>
      <c r="AM5" s="32"/>
      <c r="AN5" s="32"/>
      <c r="AO5" s="32"/>
      <c r="AP5" s="31"/>
      <c r="AQ5" s="31"/>
      <c r="AR5" s="54"/>
      <c r="AS5" s="21" t="str">
        <f>IFERROR(VLOOKUP(February[[#This Row],[Drug Name4]],'Data Options'!$R$1:$S$100,2,FALSE), " ")</f>
        <v xml:space="preserve"> </v>
      </c>
      <c r="AT5" s="55"/>
      <c r="AU5" s="32"/>
      <c r="AV5" s="32"/>
      <c r="AW5" s="55"/>
      <c r="AX5" s="32"/>
      <c r="AY5" s="54"/>
      <c r="AZ5" s="21" t="str">
        <f>IFERROR(VLOOKUP(February[[#This Row],[Drug Name5]],'Data Options'!$R$1:$S$100,2,FALSE), " ")</f>
        <v xml:space="preserve"> </v>
      </c>
      <c r="BA5" s="55"/>
      <c r="BB5" s="32"/>
      <c r="BC5" s="32"/>
      <c r="BD5" s="55"/>
      <c r="BE5" s="32"/>
      <c r="BF5" s="54"/>
      <c r="BG5" s="21" t="str">
        <f>IFERROR(VLOOKUP(February[[#This Row],[Drug Name6]],'Data Options'!$R$1:$S$100,2,FALSE), " ")</f>
        <v xml:space="preserve"> </v>
      </c>
      <c r="BH5" s="55"/>
      <c r="BI5" s="32"/>
      <c r="BJ5" s="32"/>
      <c r="BK5" s="55"/>
      <c r="BL5" s="32"/>
      <c r="BM5" s="32"/>
      <c r="BN5" s="32"/>
      <c r="BO5" s="32"/>
      <c r="BP5" s="32"/>
      <c r="BQ5" s="31"/>
      <c r="BR5" s="31"/>
      <c r="BS5" s="54"/>
      <c r="BT5" s="21" t="str">
        <f>IFERROR(VLOOKUP(February[[#This Row],[Drug Name7]],'Data Options'!$R$1:$S$100,2,FALSE), " ")</f>
        <v xml:space="preserve"> </v>
      </c>
      <c r="BU5" s="55"/>
      <c r="BV5" s="32"/>
      <c r="BW5" s="32"/>
      <c r="BX5" s="55"/>
      <c r="BY5" s="32"/>
      <c r="BZ5" s="54"/>
      <c r="CA5" s="21" t="str">
        <f>IFERROR(VLOOKUP(February[[#This Row],[Drug Name8]],'Data Options'!$R$1:$S$100,2,FALSE), " ")</f>
        <v xml:space="preserve"> </v>
      </c>
      <c r="CB5" s="55"/>
      <c r="CC5" s="32"/>
      <c r="CD5" s="32"/>
      <c r="CE5" s="55"/>
      <c r="CF5" s="32"/>
      <c r="CG5" s="54"/>
      <c r="CH5" s="21" t="str">
        <f>IFERROR(VLOOKUP(February[[#This Row],[Drug Name9]],'Data Options'!$R$1:$S$100,2,FALSE), " ")</f>
        <v xml:space="preserve"> </v>
      </c>
      <c r="CI5" s="55"/>
      <c r="CJ5" s="32"/>
      <c r="CK5" s="32"/>
      <c r="CL5" s="55"/>
      <c r="CM5" s="32"/>
    </row>
    <row r="6" spans="1:91">
      <c r="A6" s="52"/>
      <c r="B6" s="53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1"/>
      <c r="P6" s="31"/>
      <c r="Q6" s="54"/>
      <c r="R6" s="21" t="str">
        <f>IFERROR(VLOOKUP(February[[#This Row],[Drug Name]],'Data Options'!$R$1:$S$100,2,FALSE), " ")</f>
        <v xml:space="preserve"> </v>
      </c>
      <c r="S6" s="55"/>
      <c r="T6" s="32"/>
      <c r="U6" s="32"/>
      <c r="V6" s="55"/>
      <c r="W6" s="32"/>
      <c r="X6" s="54"/>
      <c r="Y6" s="21" t="str">
        <f>IFERROR(VLOOKUP(February[[#This Row],[Drug Name2]],'Data Options'!$R$1:$S$100,2,FALSE), " ")</f>
        <v xml:space="preserve"> </v>
      </c>
      <c r="Z6" s="55"/>
      <c r="AA6" s="32"/>
      <c r="AB6" s="32"/>
      <c r="AC6" s="55"/>
      <c r="AD6" s="32"/>
      <c r="AE6" s="54"/>
      <c r="AF6" s="21" t="str">
        <f>IFERROR(VLOOKUP(February[[#This Row],[Drug Name3]],'Data Options'!$R$1:$S$100,2,FALSE), " ")</f>
        <v xml:space="preserve"> </v>
      </c>
      <c r="AG6" s="55"/>
      <c r="AH6" s="32"/>
      <c r="AI6" s="32"/>
      <c r="AJ6" s="55"/>
      <c r="AK6" s="32"/>
      <c r="AL6" s="32"/>
      <c r="AM6" s="32"/>
      <c r="AN6" s="32"/>
      <c r="AO6" s="32"/>
      <c r="AP6" s="31"/>
      <c r="AQ6" s="31"/>
      <c r="AR6" s="54"/>
      <c r="AS6" s="21" t="str">
        <f>IFERROR(VLOOKUP(February[[#This Row],[Drug Name4]],'Data Options'!$R$1:$S$100,2,FALSE), " ")</f>
        <v xml:space="preserve"> </v>
      </c>
      <c r="AT6" s="55"/>
      <c r="AU6" s="32"/>
      <c r="AV6" s="32"/>
      <c r="AW6" s="55"/>
      <c r="AX6" s="32"/>
      <c r="AY6" s="54"/>
      <c r="AZ6" s="21" t="str">
        <f>IFERROR(VLOOKUP(February[[#This Row],[Drug Name5]],'Data Options'!$R$1:$S$100,2,FALSE), " ")</f>
        <v xml:space="preserve"> </v>
      </c>
      <c r="BA6" s="55"/>
      <c r="BB6" s="32"/>
      <c r="BC6" s="32"/>
      <c r="BD6" s="55"/>
      <c r="BE6" s="32"/>
      <c r="BF6" s="54"/>
      <c r="BG6" s="21" t="str">
        <f>IFERROR(VLOOKUP(February[[#This Row],[Drug Name6]],'Data Options'!$R$1:$S$100,2,FALSE), " ")</f>
        <v xml:space="preserve"> </v>
      </c>
      <c r="BH6" s="55"/>
      <c r="BI6" s="32"/>
      <c r="BJ6" s="32"/>
      <c r="BK6" s="55"/>
      <c r="BL6" s="32"/>
      <c r="BM6" s="32"/>
      <c r="BN6" s="32"/>
      <c r="BO6" s="32"/>
      <c r="BP6" s="32"/>
      <c r="BQ6" s="31"/>
      <c r="BR6" s="31"/>
      <c r="BS6" s="54"/>
      <c r="BT6" s="21" t="str">
        <f>IFERROR(VLOOKUP(February[[#This Row],[Drug Name7]],'Data Options'!$R$1:$S$100,2,FALSE), " ")</f>
        <v xml:space="preserve"> </v>
      </c>
      <c r="BU6" s="55"/>
      <c r="BV6" s="32"/>
      <c r="BW6" s="32"/>
      <c r="BX6" s="55"/>
      <c r="BY6" s="32"/>
      <c r="BZ6" s="54"/>
      <c r="CA6" s="21" t="str">
        <f>IFERROR(VLOOKUP(February[[#This Row],[Drug Name8]],'Data Options'!$R$1:$S$100,2,FALSE), " ")</f>
        <v xml:space="preserve"> </v>
      </c>
      <c r="CB6" s="55"/>
      <c r="CC6" s="32"/>
      <c r="CD6" s="32"/>
      <c r="CE6" s="55"/>
      <c r="CF6" s="32"/>
      <c r="CG6" s="54"/>
      <c r="CH6" s="21" t="str">
        <f>IFERROR(VLOOKUP(February[[#This Row],[Drug Name9]],'Data Options'!$R$1:$S$100,2,FALSE), " ")</f>
        <v xml:space="preserve"> </v>
      </c>
      <c r="CI6" s="55"/>
      <c r="CJ6" s="32"/>
      <c r="CK6" s="32"/>
      <c r="CL6" s="55"/>
      <c r="CM6" s="32"/>
    </row>
    <row r="7" spans="1:91">
      <c r="A7" s="52"/>
      <c r="B7" s="53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1"/>
      <c r="P7" s="31"/>
      <c r="Q7" s="54"/>
      <c r="R7" s="21" t="str">
        <f>IFERROR(VLOOKUP(February[[#This Row],[Drug Name]],'Data Options'!$R$1:$S$100,2,FALSE), " ")</f>
        <v xml:space="preserve"> </v>
      </c>
      <c r="S7" s="55"/>
      <c r="T7" s="32"/>
      <c r="U7" s="32"/>
      <c r="V7" s="55"/>
      <c r="W7" s="32"/>
      <c r="X7" s="54"/>
      <c r="Y7" s="21" t="str">
        <f>IFERROR(VLOOKUP(February[[#This Row],[Drug Name2]],'Data Options'!$R$1:$S$100,2,FALSE), " ")</f>
        <v xml:space="preserve"> </v>
      </c>
      <c r="Z7" s="55"/>
      <c r="AA7" s="32"/>
      <c r="AB7" s="32"/>
      <c r="AC7" s="55"/>
      <c r="AD7" s="32"/>
      <c r="AE7" s="54"/>
      <c r="AF7" s="21" t="str">
        <f>IFERROR(VLOOKUP(February[[#This Row],[Drug Name3]],'Data Options'!$R$1:$S$100,2,FALSE), " ")</f>
        <v xml:space="preserve"> </v>
      </c>
      <c r="AG7" s="55"/>
      <c r="AH7" s="32"/>
      <c r="AI7" s="32"/>
      <c r="AJ7" s="55"/>
      <c r="AK7" s="32"/>
      <c r="AL7" s="32"/>
      <c r="AM7" s="32"/>
      <c r="AN7" s="32"/>
      <c r="AO7" s="32"/>
      <c r="AP7" s="31"/>
      <c r="AQ7" s="31"/>
      <c r="AR7" s="54"/>
      <c r="AS7" s="21" t="str">
        <f>IFERROR(VLOOKUP(February[[#This Row],[Drug Name4]],'Data Options'!$R$1:$S$100,2,FALSE), " ")</f>
        <v xml:space="preserve"> </v>
      </c>
      <c r="AT7" s="55"/>
      <c r="AU7" s="32"/>
      <c r="AV7" s="32"/>
      <c r="AW7" s="55"/>
      <c r="AX7" s="32"/>
      <c r="AY7" s="54"/>
      <c r="AZ7" s="21" t="str">
        <f>IFERROR(VLOOKUP(February[[#This Row],[Drug Name5]],'Data Options'!$R$1:$S$100,2,FALSE), " ")</f>
        <v xml:space="preserve"> </v>
      </c>
      <c r="BA7" s="55"/>
      <c r="BB7" s="32"/>
      <c r="BC7" s="32"/>
      <c r="BD7" s="55"/>
      <c r="BE7" s="32"/>
      <c r="BF7" s="54"/>
      <c r="BG7" s="21" t="str">
        <f>IFERROR(VLOOKUP(February[[#This Row],[Drug Name6]],'Data Options'!$R$1:$S$100,2,FALSE), " ")</f>
        <v xml:space="preserve"> </v>
      </c>
      <c r="BH7" s="55"/>
      <c r="BI7" s="32"/>
      <c r="BJ7" s="32"/>
      <c r="BK7" s="55"/>
      <c r="BL7" s="32"/>
      <c r="BM7" s="32"/>
      <c r="BN7" s="32"/>
      <c r="BO7" s="32"/>
      <c r="BP7" s="32"/>
      <c r="BQ7" s="31"/>
      <c r="BR7" s="31"/>
      <c r="BS7" s="54"/>
      <c r="BT7" s="21" t="str">
        <f>IFERROR(VLOOKUP(February[[#This Row],[Drug Name7]],'Data Options'!$R$1:$S$100,2,FALSE), " ")</f>
        <v xml:space="preserve"> </v>
      </c>
      <c r="BU7" s="55"/>
      <c r="BV7" s="32"/>
      <c r="BW7" s="32"/>
      <c r="BX7" s="55"/>
      <c r="BY7" s="32"/>
      <c r="BZ7" s="54"/>
      <c r="CA7" s="21" t="str">
        <f>IFERROR(VLOOKUP(February[[#This Row],[Drug Name8]],'Data Options'!$R$1:$S$100,2,FALSE), " ")</f>
        <v xml:space="preserve"> </v>
      </c>
      <c r="CB7" s="55"/>
      <c r="CC7" s="32"/>
      <c r="CD7" s="32"/>
      <c r="CE7" s="55"/>
      <c r="CF7" s="32"/>
      <c r="CG7" s="54"/>
      <c r="CH7" s="21" t="str">
        <f>IFERROR(VLOOKUP(February[[#This Row],[Drug Name9]],'Data Options'!$R$1:$S$100,2,FALSE), " ")</f>
        <v xml:space="preserve"> </v>
      </c>
      <c r="CI7" s="55"/>
      <c r="CJ7" s="32"/>
      <c r="CK7" s="32"/>
      <c r="CL7" s="55"/>
      <c r="CM7" s="32"/>
    </row>
    <row r="8" spans="1:91">
      <c r="A8" s="52"/>
      <c r="B8" s="53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1"/>
      <c r="P8" s="31"/>
      <c r="Q8" s="54"/>
      <c r="R8" s="21" t="str">
        <f>IFERROR(VLOOKUP(February[[#This Row],[Drug Name]],'Data Options'!$R$1:$S$100,2,FALSE), " ")</f>
        <v xml:space="preserve"> </v>
      </c>
      <c r="S8" s="55"/>
      <c r="T8" s="32"/>
      <c r="U8" s="32"/>
      <c r="V8" s="55"/>
      <c r="W8" s="32"/>
      <c r="X8" s="54"/>
      <c r="Y8" s="21" t="str">
        <f>IFERROR(VLOOKUP(February[[#This Row],[Drug Name2]],'Data Options'!$R$1:$S$100,2,FALSE), " ")</f>
        <v xml:space="preserve"> </v>
      </c>
      <c r="Z8" s="55"/>
      <c r="AA8" s="32"/>
      <c r="AB8" s="32"/>
      <c r="AC8" s="55"/>
      <c r="AD8" s="32"/>
      <c r="AE8" s="54"/>
      <c r="AF8" s="21" t="str">
        <f>IFERROR(VLOOKUP(February[[#This Row],[Drug Name3]],'Data Options'!$R$1:$S$100,2,FALSE), " ")</f>
        <v xml:space="preserve"> </v>
      </c>
      <c r="AG8" s="55"/>
      <c r="AH8" s="32"/>
      <c r="AI8" s="32"/>
      <c r="AJ8" s="55"/>
      <c r="AK8" s="32"/>
      <c r="AL8" s="32"/>
      <c r="AM8" s="32"/>
      <c r="AN8" s="32"/>
      <c r="AO8" s="32"/>
      <c r="AP8" s="31"/>
      <c r="AQ8" s="31"/>
      <c r="AR8" s="54"/>
      <c r="AS8" s="21" t="str">
        <f>IFERROR(VLOOKUP(February[[#This Row],[Drug Name4]],'Data Options'!$R$1:$S$100,2,FALSE), " ")</f>
        <v xml:space="preserve"> </v>
      </c>
      <c r="AT8" s="55"/>
      <c r="AU8" s="32"/>
      <c r="AV8" s="32"/>
      <c r="AW8" s="55"/>
      <c r="AX8" s="32"/>
      <c r="AY8" s="54"/>
      <c r="AZ8" s="21" t="str">
        <f>IFERROR(VLOOKUP(February[[#This Row],[Drug Name5]],'Data Options'!$R$1:$S$100,2,FALSE), " ")</f>
        <v xml:space="preserve"> </v>
      </c>
      <c r="BA8" s="55"/>
      <c r="BB8" s="32"/>
      <c r="BC8" s="32"/>
      <c r="BD8" s="55"/>
      <c r="BE8" s="32"/>
      <c r="BF8" s="54"/>
      <c r="BG8" s="21" t="str">
        <f>IFERROR(VLOOKUP(February[[#This Row],[Drug Name6]],'Data Options'!$R$1:$S$100,2,FALSE), " ")</f>
        <v xml:space="preserve"> </v>
      </c>
      <c r="BH8" s="55"/>
      <c r="BI8" s="32"/>
      <c r="BJ8" s="32"/>
      <c r="BK8" s="55"/>
      <c r="BL8" s="32"/>
      <c r="BM8" s="32"/>
      <c r="BN8" s="32"/>
      <c r="BO8" s="32"/>
      <c r="BP8" s="32"/>
      <c r="BQ8" s="31"/>
      <c r="BR8" s="31"/>
      <c r="BS8" s="54"/>
      <c r="BT8" s="21" t="str">
        <f>IFERROR(VLOOKUP(February[[#This Row],[Drug Name7]],'Data Options'!$R$1:$S$100,2,FALSE), " ")</f>
        <v xml:space="preserve"> </v>
      </c>
      <c r="BU8" s="55"/>
      <c r="BV8" s="32"/>
      <c r="BW8" s="32"/>
      <c r="BX8" s="55"/>
      <c r="BY8" s="32"/>
      <c r="BZ8" s="54"/>
      <c r="CA8" s="21" t="str">
        <f>IFERROR(VLOOKUP(February[[#This Row],[Drug Name8]],'Data Options'!$R$1:$S$100,2,FALSE), " ")</f>
        <v xml:space="preserve"> </v>
      </c>
      <c r="CB8" s="55"/>
      <c r="CC8" s="32"/>
      <c r="CD8" s="32"/>
      <c r="CE8" s="55"/>
      <c r="CF8" s="32"/>
      <c r="CG8" s="54"/>
      <c r="CH8" s="21" t="str">
        <f>IFERROR(VLOOKUP(February[[#This Row],[Drug Name9]],'Data Options'!$R$1:$S$100,2,FALSE), " ")</f>
        <v xml:space="preserve"> </v>
      </c>
      <c r="CI8" s="55"/>
      <c r="CJ8" s="32"/>
      <c r="CK8" s="32"/>
      <c r="CL8" s="55"/>
      <c r="CM8" s="32"/>
    </row>
    <row r="9" spans="1:91">
      <c r="A9" s="52"/>
      <c r="B9" s="53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1"/>
      <c r="P9" s="31"/>
      <c r="Q9" s="54"/>
      <c r="R9" s="21" t="str">
        <f>IFERROR(VLOOKUP(February[[#This Row],[Drug Name]],'Data Options'!$R$1:$S$100,2,FALSE), " ")</f>
        <v xml:space="preserve"> </v>
      </c>
      <c r="S9" s="55"/>
      <c r="T9" s="32"/>
      <c r="U9" s="32"/>
      <c r="V9" s="55"/>
      <c r="W9" s="32"/>
      <c r="X9" s="54"/>
      <c r="Y9" s="21" t="str">
        <f>IFERROR(VLOOKUP(February[[#This Row],[Drug Name2]],'Data Options'!$R$1:$S$100,2,FALSE), " ")</f>
        <v xml:space="preserve"> </v>
      </c>
      <c r="Z9" s="55"/>
      <c r="AA9" s="32"/>
      <c r="AB9" s="32"/>
      <c r="AC9" s="55"/>
      <c r="AD9" s="32"/>
      <c r="AE9" s="54"/>
      <c r="AF9" s="21" t="str">
        <f>IFERROR(VLOOKUP(February[[#This Row],[Drug Name3]],'Data Options'!$R$1:$S$100,2,FALSE), " ")</f>
        <v xml:space="preserve"> </v>
      </c>
      <c r="AG9" s="55"/>
      <c r="AH9" s="32"/>
      <c r="AI9" s="32"/>
      <c r="AJ9" s="55"/>
      <c r="AK9" s="32"/>
      <c r="AL9" s="32"/>
      <c r="AM9" s="32"/>
      <c r="AN9" s="32"/>
      <c r="AO9" s="32"/>
      <c r="AP9" s="31"/>
      <c r="AQ9" s="31"/>
      <c r="AR9" s="54"/>
      <c r="AS9" s="21" t="str">
        <f>IFERROR(VLOOKUP(February[[#This Row],[Drug Name4]],'Data Options'!$R$1:$S$100,2,FALSE), " ")</f>
        <v xml:space="preserve"> </v>
      </c>
      <c r="AT9" s="55"/>
      <c r="AU9" s="32"/>
      <c r="AV9" s="32"/>
      <c r="AW9" s="55"/>
      <c r="AX9" s="32"/>
      <c r="AY9" s="54"/>
      <c r="AZ9" s="21" t="str">
        <f>IFERROR(VLOOKUP(February[[#This Row],[Drug Name5]],'Data Options'!$R$1:$S$100,2,FALSE), " ")</f>
        <v xml:space="preserve"> </v>
      </c>
      <c r="BA9" s="55"/>
      <c r="BB9" s="32"/>
      <c r="BC9" s="32"/>
      <c r="BD9" s="55"/>
      <c r="BE9" s="32"/>
      <c r="BF9" s="54"/>
      <c r="BG9" s="21" t="str">
        <f>IFERROR(VLOOKUP(February[[#This Row],[Drug Name6]],'Data Options'!$R$1:$S$100,2,FALSE), " ")</f>
        <v xml:space="preserve"> </v>
      </c>
      <c r="BH9" s="55"/>
      <c r="BI9" s="32"/>
      <c r="BJ9" s="32"/>
      <c r="BK9" s="55"/>
      <c r="BL9" s="32"/>
      <c r="BM9" s="32"/>
      <c r="BN9" s="32"/>
      <c r="BO9" s="32"/>
      <c r="BP9" s="32"/>
      <c r="BQ9" s="31"/>
      <c r="BR9" s="31"/>
      <c r="BS9" s="54"/>
      <c r="BT9" s="21" t="str">
        <f>IFERROR(VLOOKUP(February[[#This Row],[Drug Name7]],'Data Options'!$R$1:$S$100,2,FALSE), " ")</f>
        <v xml:space="preserve"> </v>
      </c>
      <c r="BU9" s="55"/>
      <c r="BV9" s="32"/>
      <c r="BW9" s="32"/>
      <c r="BX9" s="55"/>
      <c r="BY9" s="32"/>
      <c r="BZ9" s="54"/>
      <c r="CA9" s="21" t="str">
        <f>IFERROR(VLOOKUP(February[[#This Row],[Drug Name8]],'Data Options'!$R$1:$S$100,2,FALSE), " ")</f>
        <v xml:space="preserve"> </v>
      </c>
      <c r="CB9" s="55"/>
      <c r="CC9" s="32"/>
      <c r="CD9" s="32"/>
      <c r="CE9" s="55"/>
      <c r="CF9" s="32"/>
      <c r="CG9" s="54"/>
      <c r="CH9" s="21" t="str">
        <f>IFERROR(VLOOKUP(February[[#This Row],[Drug Name9]],'Data Options'!$R$1:$S$100,2,FALSE), " ")</f>
        <v xml:space="preserve"> </v>
      </c>
      <c r="CI9" s="55"/>
      <c r="CJ9" s="32"/>
      <c r="CK9" s="32"/>
      <c r="CL9" s="55"/>
      <c r="CM9" s="32"/>
    </row>
    <row r="10" spans="1:91">
      <c r="A10" s="52"/>
      <c r="B10" s="53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1"/>
      <c r="P10" s="31"/>
      <c r="Q10" s="54"/>
      <c r="R10" s="21" t="str">
        <f>IFERROR(VLOOKUP(February[[#This Row],[Drug Name]],'Data Options'!$R$1:$S$100,2,FALSE), " ")</f>
        <v xml:space="preserve"> </v>
      </c>
      <c r="S10" s="55"/>
      <c r="T10" s="32"/>
      <c r="U10" s="32"/>
      <c r="V10" s="55"/>
      <c r="W10" s="32"/>
      <c r="X10" s="54"/>
      <c r="Y10" s="21" t="str">
        <f>IFERROR(VLOOKUP(February[[#This Row],[Drug Name2]],'Data Options'!$R$1:$S$100,2,FALSE), " ")</f>
        <v xml:space="preserve"> </v>
      </c>
      <c r="Z10" s="55"/>
      <c r="AA10" s="32"/>
      <c r="AB10" s="32"/>
      <c r="AC10" s="55"/>
      <c r="AD10" s="32"/>
      <c r="AE10" s="54"/>
      <c r="AF10" s="21" t="str">
        <f>IFERROR(VLOOKUP(February[[#This Row],[Drug Name3]],'Data Options'!$R$1:$S$100,2,FALSE), " ")</f>
        <v xml:space="preserve"> </v>
      </c>
      <c r="AG10" s="55"/>
      <c r="AH10" s="32"/>
      <c r="AI10" s="32"/>
      <c r="AJ10" s="55"/>
      <c r="AK10" s="32"/>
      <c r="AL10" s="32"/>
      <c r="AM10" s="32"/>
      <c r="AN10" s="32"/>
      <c r="AO10" s="32"/>
      <c r="AP10" s="31"/>
      <c r="AQ10" s="31"/>
      <c r="AR10" s="54"/>
      <c r="AS10" s="21" t="str">
        <f>IFERROR(VLOOKUP(February[[#This Row],[Drug Name4]],'Data Options'!$R$1:$S$100,2,FALSE), " ")</f>
        <v xml:space="preserve"> </v>
      </c>
      <c r="AT10" s="55"/>
      <c r="AU10" s="32"/>
      <c r="AV10" s="32"/>
      <c r="AW10" s="55"/>
      <c r="AX10" s="32"/>
      <c r="AY10" s="54"/>
      <c r="AZ10" s="21" t="str">
        <f>IFERROR(VLOOKUP(February[[#This Row],[Drug Name5]],'Data Options'!$R$1:$S$100,2,FALSE), " ")</f>
        <v xml:space="preserve"> </v>
      </c>
      <c r="BA10" s="55"/>
      <c r="BB10" s="32"/>
      <c r="BC10" s="32"/>
      <c r="BD10" s="55"/>
      <c r="BE10" s="32"/>
      <c r="BF10" s="54"/>
      <c r="BG10" s="21" t="str">
        <f>IFERROR(VLOOKUP(February[[#This Row],[Drug Name6]],'Data Options'!$R$1:$S$100,2,FALSE), " ")</f>
        <v xml:space="preserve"> </v>
      </c>
      <c r="BH10" s="55"/>
      <c r="BI10" s="32"/>
      <c r="BJ10" s="32"/>
      <c r="BK10" s="55"/>
      <c r="BL10" s="32"/>
      <c r="BM10" s="32"/>
      <c r="BN10" s="32"/>
      <c r="BO10" s="32"/>
      <c r="BP10" s="32"/>
      <c r="BQ10" s="31"/>
      <c r="BR10" s="31"/>
      <c r="BS10" s="54"/>
      <c r="BT10" s="21" t="str">
        <f>IFERROR(VLOOKUP(February[[#This Row],[Drug Name7]],'Data Options'!$R$1:$S$100,2,FALSE), " ")</f>
        <v xml:space="preserve"> </v>
      </c>
      <c r="BU10" s="55"/>
      <c r="BV10" s="32"/>
      <c r="BW10" s="32"/>
      <c r="BX10" s="55"/>
      <c r="BY10" s="32"/>
      <c r="BZ10" s="54"/>
      <c r="CA10" s="21" t="str">
        <f>IFERROR(VLOOKUP(February[[#This Row],[Drug Name8]],'Data Options'!$R$1:$S$100,2,FALSE), " ")</f>
        <v xml:space="preserve"> </v>
      </c>
      <c r="CB10" s="55"/>
      <c r="CC10" s="32"/>
      <c r="CD10" s="32"/>
      <c r="CE10" s="55"/>
      <c r="CF10" s="32"/>
      <c r="CG10" s="54"/>
      <c r="CH10" s="21" t="str">
        <f>IFERROR(VLOOKUP(February[[#This Row],[Drug Name9]],'Data Options'!$R$1:$S$100,2,FALSE), " ")</f>
        <v xml:space="preserve"> </v>
      </c>
      <c r="CI10" s="55"/>
      <c r="CJ10" s="32"/>
      <c r="CK10" s="32"/>
      <c r="CL10" s="55"/>
      <c r="CM10" s="32"/>
    </row>
    <row r="11" spans="1:91">
      <c r="A11" s="52"/>
      <c r="B11" s="5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1"/>
      <c r="P11" s="31"/>
      <c r="Q11" s="54"/>
      <c r="R11" s="21" t="str">
        <f>IFERROR(VLOOKUP(February[[#This Row],[Drug Name]],'Data Options'!$R$1:$S$100,2,FALSE), " ")</f>
        <v xml:space="preserve"> </v>
      </c>
      <c r="S11" s="55"/>
      <c r="T11" s="32"/>
      <c r="U11" s="32"/>
      <c r="V11" s="55"/>
      <c r="W11" s="32"/>
      <c r="X11" s="54"/>
      <c r="Y11" s="21" t="str">
        <f>IFERROR(VLOOKUP(February[[#This Row],[Drug Name2]],'Data Options'!$R$1:$S$100,2,FALSE), " ")</f>
        <v xml:space="preserve"> </v>
      </c>
      <c r="Z11" s="55"/>
      <c r="AA11" s="32"/>
      <c r="AB11" s="32"/>
      <c r="AC11" s="55"/>
      <c r="AD11" s="32"/>
      <c r="AE11" s="54"/>
      <c r="AF11" s="21" t="str">
        <f>IFERROR(VLOOKUP(February[[#This Row],[Drug Name3]],'Data Options'!$R$1:$S$100,2,FALSE), " ")</f>
        <v xml:space="preserve"> </v>
      </c>
      <c r="AG11" s="55"/>
      <c r="AH11" s="32"/>
      <c r="AI11" s="32"/>
      <c r="AJ11" s="55"/>
      <c r="AK11" s="32"/>
      <c r="AL11" s="32"/>
      <c r="AM11" s="32"/>
      <c r="AN11" s="32"/>
      <c r="AO11" s="32"/>
      <c r="AP11" s="31"/>
      <c r="AQ11" s="31"/>
      <c r="AR11" s="54"/>
      <c r="AS11" s="21" t="str">
        <f>IFERROR(VLOOKUP(February[[#This Row],[Drug Name4]],'Data Options'!$R$1:$S$100,2,FALSE), " ")</f>
        <v xml:space="preserve"> </v>
      </c>
      <c r="AT11" s="55"/>
      <c r="AU11" s="32"/>
      <c r="AV11" s="32"/>
      <c r="AW11" s="55"/>
      <c r="AX11" s="32"/>
      <c r="AY11" s="54"/>
      <c r="AZ11" s="21" t="str">
        <f>IFERROR(VLOOKUP(February[[#This Row],[Drug Name5]],'Data Options'!$R$1:$S$100,2,FALSE), " ")</f>
        <v xml:space="preserve"> </v>
      </c>
      <c r="BA11" s="55"/>
      <c r="BB11" s="32"/>
      <c r="BC11" s="32"/>
      <c r="BD11" s="55"/>
      <c r="BE11" s="32"/>
      <c r="BF11" s="54"/>
      <c r="BG11" s="21" t="str">
        <f>IFERROR(VLOOKUP(February[[#This Row],[Drug Name6]],'Data Options'!$R$1:$S$100,2,FALSE), " ")</f>
        <v xml:space="preserve"> </v>
      </c>
      <c r="BH11" s="55"/>
      <c r="BI11" s="32"/>
      <c r="BJ11" s="32"/>
      <c r="BK11" s="55"/>
      <c r="BL11" s="32"/>
      <c r="BM11" s="32"/>
      <c r="BN11" s="32"/>
      <c r="BO11" s="32"/>
      <c r="BP11" s="32"/>
      <c r="BQ11" s="31"/>
      <c r="BR11" s="31"/>
      <c r="BS11" s="54"/>
      <c r="BT11" s="21" t="str">
        <f>IFERROR(VLOOKUP(February[[#This Row],[Drug Name7]],'Data Options'!$R$1:$S$100,2,FALSE), " ")</f>
        <v xml:space="preserve"> </v>
      </c>
      <c r="BU11" s="55"/>
      <c r="BV11" s="32"/>
      <c r="BW11" s="32"/>
      <c r="BX11" s="55"/>
      <c r="BY11" s="32"/>
      <c r="BZ11" s="54"/>
      <c r="CA11" s="21" t="str">
        <f>IFERROR(VLOOKUP(February[[#This Row],[Drug Name8]],'Data Options'!$R$1:$S$100,2,FALSE), " ")</f>
        <v xml:space="preserve"> </v>
      </c>
      <c r="CB11" s="55"/>
      <c r="CC11" s="32"/>
      <c r="CD11" s="32"/>
      <c r="CE11" s="55"/>
      <c r="CF11" s="32"/>
      <c r="CG11" s="54"/>
      <c r="CH11" s="21" t="str">
        <f>IFERROR(VLOOKUP(February[[#This Row],[Drug Name9]],'Data Options'!$R$1:$S$100,2,FALSE), " ")</f>
        <v xml:space="preserve"> </v>
      </c>
      <c r="CI11" s="55"/>
      <c r="CJ11" s="32"/>
      <c r="CK11" s="32"/>
      <c r="CL11" s="55"/>
      <c r="CM11" s="32"/>
    </row>
    <row r="12" spans="1:91">
      <c r="A12" s="52"/>
      <c r="B12" s="5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1"/>
      <c r="P12" s="31"/>
      <c r="Q12" s="54"/>
      <c r="R12" s="21" t="str">
        <f>IFERROR(VLOOKUP(February[[#This Row],[Drug Name]],'Data Options'!$R$1:$S$100,2,FALSE), " ")</f>
        <v xml:space="preserve"> </v>
      </c>
      <c r="S12" s="55"/>
      <c r="T12" s="32"/>
      <c r="U12" s="32"/>
      <c r="V12" s="55"/>
      <c r="W12" s="32"/>
      <c r="X12" s="54"/>
      <c r="Y12" s="21" t="str">
        <f>IFERROR(VLOOKUP(February[[#This Row],[Drug Name2]],'Data Options'!$R$1:$S$100,2,FALSE), " ")</f>
        <v xml:space="preserve"> </v>
      </c>
      <c r="Z12" s="55"/>
      <c r="AA12" s="32"/>
      <c r="AB12" s="32"/>
      <c r="AC12" s="55"/>
      <c r="AD12" s="32"/>
      <c r="AE12" s="54"/>
      <c r="AF12" s="21" t="str">
        <f>IFERROR(VLOOKUP(February[[#This Row],[Drug Name3]],'Data Options'!$R$1:$S$100,2,FALSE), " ")</f>
        <v xml:space="preserve"> </v>
      </c>
      <c r="AG12" s="55"/>
      <c r="AH12" s="32"/>
      <c r="AI12" s="32"/>
      <c r="AJ12" s="55"/>
      <c r="AK12" s="32"/>
      <c r="AL12" s="32"/>
      <c r="AM12" s="32"/>
      <c r="AN12" s="32"/>
      <c r="AO12" s="32"/>
      <c r="AP12" s="31"/>
      <c r="AQ12" s="31"/>
      <c r="AR12" s="54"/>
      <c r="AS12" s="21" t="str">
        <f>IFERROR(VLOOKUP(February[[#This Row],[Drug Name4]],'Data Options'!$R$1:$S$100,2,FALSE), " ")</f>
        <v xml:space="preserve"> </v>
      </c>
      <c r="AT12" s="55"/>
      <c r="AU12" s="32"/>
      <c r="AV12" s="32"/>
      <c r="AW12" s="55"/>
      <c r="AX12" s="32"/>
      <c r="AY12" s="54"/>
      <c r="AZ12" s="21" t="str">
        <f>IFERROR(VLOOKUP(February[[#This Row],[Drug Name5]],'Data Options'!$R$1:$S$100,2,FALSE), " ")</f>
        <v xml:space="preserve"> </v>
      </c>
      <c r="BA12" s="55"/>
      <c r="BB12" s="32"/>
      <c r="BC12" s="32"/>
      <c r="BD12" s="55"/>
      <c r="BE12" s="32"/>
      <c r="BF12" s="54"/>
      <c r="BG12" s="21" t="str">
        <f>IFERROR(VLOOKUP(February[[#This Row],[Drug Name6]],'Data Options'!$R$1:$S$100,2,FALSE), " ")</f>
        <v xml:space="preserve"> </v>
      </c>
      <c r="BH12" s="55"/>
      <c r="BI12" s="32"/>
      <c r="BJ12" s="32"/>
      <c r="BK12" s="55"/>
      <c r="BL12" s="32"/>
      <c r="BM12" s="32"/>
      <c r="BN12" s="32"/>
      <c r="BO12" s="32"/>
      <c r="BP12" s="32"/>
      <c r="BQ12" s="31"/>
      <c r="BR12" s="31"/>
      <c r="BS12" s="54"/>
      <c r="BT12" s="21" t="str">
        <f>IFERROR(VLOOKUP(February[[#This Row],[Drug Name7]],'Data Options'!$R$1:$S$100,2,FALSE), " ")</f>
        <v xml:space="preserve"> </v>
      </c>
      <c r="BU12" s="55"/>
      <c r="BV12" s="32"/>
      <c r="BW12" s="32"/>
      <c r="BX12" s="55"/>
      <c r="BY12" s="32"/>
      <c r="BZ12" s="54"/>
      <c r="CA12" s="21" t="str">
        <f>IFERROR(VLOOKUP(February[[#This Row],[Drug Name8]],'Data Options'!$R$1:$S$100,2,FALSE), " ")</f>
        <v xml:space="preserve"> </v>
      </c>
      <c r="CB12" s="55"/>
      <c r="CC12" s="32"/>
      <c r="CD12" s="32"/>
      <c r="CE12" s="55"/>
      <c r="CF12" s="32"/>
      <c r="CG12" s="54"/>
      <c r="CH12" s="21" t="str">
        <f>IFERROR(VLOOKUP(February[[#This Row],[Drug Name9]],'Data Options'!$R$1:$S$100,2,FALSE), " ")</f>
        <v xml:space="preserve"> </v>
      </c>
      <c r="CI12" s="55"/>
      <c r="CJ12" s="32"/>
      <c r="CK12" s="32"/>
      <c r="CL12" s="55"/>
      <c r="CM12" s="32"/>
    </row>
    <row r="13" spans="1:91">
      <c r="A13" s="52"/>
      <c r="B13" s="53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1"/>
      <c r="P13" s="31"/>
      <c r="Q13" s="54"/>
      <c r="R13" s="21" t="str">
        <f>IFERROR(VLOOKUP(February[[#This Row],[Drug Name]],'Data Options'!$R$1:$S$100,2,FALSE), " ")</f>
        <v xml:space="preserve"> </v>
      </c>
      <c r="S13" s="55"/>
      <c r="T13" s="32"/>
      <c r="U13" s="32"/>
      <c r="V13" s="55"/>
      <c r="W13" s="32"/>
      <c r="X13" s="54"/>
      <c r="Y13" s="21" t="str">
        <f>IFERROR(VLOOKUP(February[[#This Row],[Drug Name2]],'Data Options'!$R$1:$S$100,2,FALSE), " ")</f>
        <v xml:space="preserve"> </v>
      </c>
      <c r="Z13" s="55"/>
      <c r="AA13" s="32"/>
      <c r="AB13" s="32"/>
      <c r="AC13" s="55"/>
      <c r="AD13" s="32"/>
      <c r="AE13" s="54"/>
      <c r="AF13" s="21" t="str">
        <f>IFERROR(VLOOKUP(February[[#This Row],[Drug Name3]],'Data Options'!$R$1:$S$100,2,FALSE), " ")</f>
        <v xml:space="preserve"> </v>
      </c>
      <c r="AG13" s="55"/>
      <c r="AH13" s="32"/>
      <c r="AI13" s="32"/>
      <c r="AJ13" s="55"/>
      <c r="AK13" s="32"/>
      <c r="AL13" s="32"/>
      <c r="AM13" s="32"/>
      <c r="AN13" s="32"/>
      <c r="AO13" s="32"/>
      <c r="AP13" s="31"/>
      <c r="AQ13" s="31"/>
      <c r="AR13" s="54"/>
      <c r="AS13" s="21" t="str">
        <f>IFERROR(VLOOKUP(February[[#This Row],[Drug Name4]],'Data Options'!$R$1:$S$100,2,FALSE), " ")</f>
        <v xml:space="preserve"> </v>
      </c>
      <c r="AT13" s="55"/>
      <c r="AU13" s="32"/>
      <c r="AV13" s="32"/>
      <c r="AW13" s="55"/>
      <c r="AX13" s="32"/>
      <c r="AY13" s="54"/>
      <c r="AZ13" s="21" t="str">
        <f>IFERROR(VLOOKUP(February[[#This Row],[Drug Name5]],'Data Options'!$R$1:$S$100,2,FALSE), " ")</f>
        <v xml:space="preserve"> </v>
      </c>
      <c r="BA13" s="55"/>
      <c r="BB13" s="32"/>
      <c r="BC13" s="32"/>
      <c r="BD13" s="55"/>
      <c r="BE13" s="32"/>
      <c r="BF13" s="54"/>
      <c r="BG13" s="21" t="str">
        <f>IFERROR(VLOOKUP(February[[#This Row],[Drug Name6]],'Data Options'!$R$1:$S$100,2,FALSE), " ")</f>
        <v xml:space="preserve"> </v>
      </c>
      <c r="BH13" s="55"/>
      <c r="BI13" s="32"/>
      <c r="BJ13" s="32"/>
      <c r="BK13" s="55"/>
      <c r="BL13" s="32"/>
      <c r="BM13" s="32"/>
      <c r="BN13" s="32"/>
      <c r="BO13" s="32"/>
      <c r="BP13" s="32"/>
      <c r="BQ13" s="31"/>
      <c r="BR13" s="31"/>
      <c r="BS13" s="54"/>
      <c r="BT13" s="21" t="str">
        <f>IFERROR(VLOOKUP(February[[#This Row],[Drug Name7]],'Data Options'!$R$1:$S$100,2,FALSE), " ")</f>
        <v xml:space="preserve"> </v>
      </c>
      <c r="BU13" s="55"/>
      <c r="BV13" s="32"/>
      <c r="BW13" s="32"/>
      <c r="BX13" s="55"/>
      <c r="BY13" s="32"/>
      <c r="BZ13" s="54"/>
      <c r="CA13" s="21" t="str">
        <f>IFERROR(VLOOKUP(February[[#This Row],[Drug Name8]],'Data Options'!$R$1:$S$100,2,FALSE), " ")</f>
        <v xml:space="preserve"> </v>
      </c>
      <c r="CB13" s="55"/>
      <c r="CC13" s="32"/>
      <c r="CD13" s="32"/>
      <c r="CE13" s="55"/>
      <c r="CF13" s="32"/>
      <c r="CG13" s="54"/>
      <c r="CH13" s="21" t="str">
        <f>IFERROR(VLOOKUP(February[[#This Row],[Drug Name9]],'Data Options'!$R$1:$S$100,2,FALSE), " ")</f>
        <v xml:space="preserve"> </v>
      </c>
      <c r="CI13" s="55"/>
      <c r="CJ13" s="32"/>
      <c r="CK13" s="32"/>
      <c r="CL13" s="55"/>
      <c r="CM13" s="32"/>
    </row>
    <row r="14" spans="1:91">
      <c r="A14" s="5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54"/>
      <c r="R14" s="21" t="str">
        <f>IFERROR(VLOOKUP(February[[#This Row],[Drug Name]],'Data Options'!$R$1:$S$100,2,FALSE), " ")</f>
        <v xml:space="preserve"> </v>
      </c>
      <c r="S14" s="55"/>
      <c r="T14" s="32"/>
      <c r="U14" s="32"/>
      <c r="V14" s="55"/>
      <c r="W14" s="32"/>
      <c r="X14" s="54"/>
      <c r="Y14" s="21" t="str">
        <f>IFERROR(VLOOKUP(February[[#This Row],[Drug Name2]],'Data Options'!$R$1:$S$100,2,FALSE), " ")</f>
        <v xml:space="preserve"> </v>
      </c>
      <c r="Z14" s="55"/>
      <c r="AA14" s="32"/>
      <c r="AB14" s="32"/>
      <c r="AC14" s="55"/>
      <c r="AD14" s="32"/>
      <c r="AE14" s="54"/>
      <c r="AF14" s="21" t="str">
        <f>IFERROR(VLOOKUP(February[[#This Row],[Drug Name3]],'Data Options'!$R$1:$S$100,2,FALSE), " ")</f>
        <v xml:space="preserve"> </v>
      </c>
      <c r="AG14" s="55"/>
      <c r="AH14" s="32"/>
      <c r="AI14" s="32"/>
      <c r="AJ14" s="55"/>
      <c r="AK14" s="32"/>
      <c r="AL14" s="32"/>
      <c r="AM14" s="32"/>
      <c r="AN14" s="32"/>
      <c r="AO14" s="32"/>
      <c r="AP14" s="31"/>
      <c r="AQ14" s="31"/>
      <c r="AR14" s="54"/>
      <c r="AS14" s="21" t="str">
        <f>IFERROR(VLOOKUP(February[[#This Row],[Drug Name4]],'Data Options'!$R$1:$S$100,2,FALSE), " ")</f>
        <v xml:space="preserve"> </v>
      </c>
      <c r="AT14" s="55"/>
      <c r="AU14" s="32"/>
      <c r="AV14" s="32"/>
      <c r="AW14" s="55"/>
      <c r="AX14" s="32"/>
      <c r="AY14" s="54"/>
      <c r="AZ14" s="21" t="str">
        <f>IFERROR(VLOOKUP(February[[#This Row],[Drug Name5]],'Data Options'!$R$1:$S$100,2,FALSE), " ")</f>
        <v xml:space="preserve"> </v>
      </c>
      <c r="BA14" s="55"/>
      <c r="BB14" s="32"/>
      <c r="BC14" s="32"/>
      <c r="BD14" s="55"/>
      <c r="BE14" s="32"/>
      <c r="BF14" s="54"/>
      <c r="BG14" s="21" t="str">
        <f>IFERROR(VLOOKUP(February[[#This Row],[Drug Name6]],'Data Options'!$R$1:$S$100,2,FALSE), " ")</f>
        <v xml:space="preserve"> </v>
      </c>
      <c r="BH14" s="55"/>
      <c r="BI14" s="32"/>
      <c r="BJ14" s="32"/>
      <c r="BK14" s="55"/>
      <c r="BL14" s="32"/>
      <c r="BM14" s="32"/>
      <c r="BN14" s="32"/>
      <c r="BO14" s="32"/>
      <c r="BP14" s="32"/>
      <c r="BQ14" s="31"/>
      <c r="BR14" s="31"/>
      <c r="BS14" s="54"/>
      <c r="BT14" s="21" t="str">
        <f>IFERROR(VLOOKUP(February[[#This Row],[Drug Name7]],'Data Options'!$R$1:$S$100,2,FALSE), " ")</f>
        <v xml:space="preserve"> </v>
      </c>
      <c r="BU14" s="55"/>
      <c r="BV14" s="32"/>
      <c r="BW14" s="32"/>
      <c r="BX14" s="55"/>
      <c r="BY14" s="32"/>
      <c r="BZ14" s="54"/>
      <c r="CA14" s="21" t="str">
        <f>IFERROR(VLOOKUP(February[[#This Row],[Drug Name8]],'Data Options'!$R$1:$S$100,2,FALSE), " ")</f>
        <v xml:space="preserve"> </v>
      </c>
      <c r="CB14" s="55"/>
      <c r="CC14" s="32"/>
      <c r="CD14" s="32"/>
      <c r="CE14" s="55"/>
      <c r="CF14" s="32"/>
      <c r="CG14" s="54"/>
      <c r="CH14" s="21" t="str">
        <f>IFERROR(VLOOKUP(February[[#This Row],[Drug Name9]],'Data Options'!$R$1:$S$100,2,FALSE), " ")</f>
        <v xml:space="preserve"> </v>
      </c>
      <c r="CI14" s="55"/>
      <c r="CJ14" s="32"/>
      <c r="CK14" s="32"/>
      <c r="CL14" s="55"/>
      <c r="CM14" s="32"/>
    </row>
    <row r="15" spans="1:91">
      <c r="A15" s="5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54"/>
      <c r="R15" s="21" t="str">
        <f>IFERROR(VLOOKUP(February[[#This Row],[Drug Name]],'Data Options'!$R$1:$S$100,2,FALSE), " ")</f>
        <v xml:space="preserve"> </v>
      </c>
      <c r="S15" s="55"/>
      <c r="T15" s="32"/>
      <c r="U15" s="32"/>
      <c r="V15" s="55"/>
      <c r="W15" s="32"/>
      <c r="X15" s="54"/>
      <c r="Y15" s="21" t="str">
        <f>IFERROR(VLOOKUP(February[[#This Row],[Drug Name2]],'Data Options'!$R$1:$S$100,2,FALSE), " ")</f>
        <v xml:space="preserve"> </v>
      </c>
      <c r="Z15" s="55"/>
      <c r="AA15" s="32"/>
      <c r="AB15" s="32"/>
      <c r="AC15" s="55"/>
      <c r="AD15" s="32"/>
      <c r="AE15" s="54"/>
      <c r="AF15" s="21" t="str">
        <f>IFERROR(VLOOKUP(February[[#This Row],[Drug Name3]],'Data Options'!$R$1:$S$100,2,FALSE), " ")</f>
        <v xml:space="preserve"> </v>
      </c>
      <c r="AG15" s="55"/>
      <c r="AH15" s="32"/>
      <c r="AI15" s="32"/>
      <c r="AJ15" s="55"/>
      <c r="AK15" s="32"/>
      <c r="AL15" s="32"/>
      <c r="AM15" s="32"/>
      <c r="AN15" s="32"/>
      <c r="AO15" s="32"/>
      <c r="AP15" s="31"/>
      <c r="AQ15" s="31"/>
      <c r="AR15" s="54"/>
      <c r="AS15" s="21" t="str">
        <f>IFERROR(VLOOKUP(February[[#This Row],[Drug Name4]],'Data Options'!$R$1:$S$100,2,FALSE), " ")</f>
        <v xml:space="preserve"> </v>
      </c>
      <c r="AT15" s="55"/>
      <c r="AU15" s="32"/>
      <c r="AV15" s="32"/>
      <c r="AW15" s="55"/>
      <c r="AX15" s="32"/>
      <c r="AY15" s="54"/>
      <c r="AZ15" s="21" t="str">
        <f>IFERROR(VLOOKUP(February[[#This Row],[Drug Name5]],'Data Options'!$R$1:$S$100,2,FALSE), " ")</f>
        <v xml:space="preserve"> </v>
      </c>
      <c r="BA15" s="55"/>
      <c r="BB15" s="32"/>
      <c r="BC15" s="32"/>
      <c r="BD15" s="55"/>
      <c r="BE15" s="32"/>
      <c r="BF15" s="54"/>
      <c r="BG15" s="21" t="str">
        <f>IFERROR(VLOOKUP(February[[#This Row],[Drug Name6]],'Data Options'!$R$1:$S$100,2,FALSE), " ")</f>
        <v xml:space="preserve"> </v>
      </c>
      <c r="BH15" s="55"/>
      <c r="BI15" s="32"/>
      <c r="BJ15" s="32"/>
      <c r="BK15" s="55"/>
      <c r="BL15" s="32"/>
      <c r="BM15" s="32"/>
      <c r="BN15" s="32"/>
      <c r="BO15" s="32"/>
      <c r="BP15" s="32"/>
      <c r="BQ15" s="31"/>
      <c r="BR15" s="31"/>
      <c r="BS15" s="54"/>
      <c r="BT15" s="21" t="str">
        <f>IFERROR(VLOOKUP(February[[#This Row],[Drug Name7]],'Data Options'!$R$1:$S$100,2,FALSE), " ")</f>
        <v xml:space="preserve"> </v>
      </c>
      <c r="BU15" s="55"/>
      <c r="BV15" s="32"/>
      <c r="BW15" s="32"/>
      <c r="BX15" s="55"/>
      <c r="BY15" s="32"/>
      <c r="BZ15" s="54"/>
      <c r="CA15" s="21" t="str">
        <f>IFERROR(VLOOKUP(February[[#This Row],[Drug Name8]],'Data Options'!$R$1:$S$100,2,FALSE), " ")</f>
        <v xml:space="preserve"> </v>
      </c>
      <c r="CB15" s="55"/>
      <c r="CC15" s="32"/>
      <c r="CD15" s="32"/>
      <c r="CE15" s="55"/>
      <c r="CF15" s="32"/>
      <c r="CG15" s="54"/>
      <c r="CH15" s="21" t="str">
        <f>IFERROR(VLOOKUP(February[[#This Row],[Drug Name9]],'Data Options'!$R$1:$S$100,2,FALSE), " ")</f>
        <v xml:space="preserve"> </v>
      </c>
      <c r="CI15" s="55"/>
      <c r="CJ15" s="32"/>
      <c r="CK15" s="32"/>
      <c r="CL15" s="55"/>
      <c r="CM15" s="32"/>
    </row>
    <row r="16" spans="1:91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1"/>
      <c r="Q16" s="54"/>
      <c r="R16" s="21" t="str">
        <f>IFERROR(VLOOKUP(February[[#This Row],[Drug Name]],'Data Options'!$R$1:$S$100,2,FALSE), " ")</f>
        <v xml:space="preserve"> </v>
      </c>
      <c r="S16" s="55"/>
      <c r="T16" s="32"/>
      <c r="U16" s="32"/>
      <c r="V16" s="55"/>
      <c r="W16" s="32"/>
      <c r="X16" s="54"/>
      <c r="Y16" s="21" t="str">
        <f>IFERROR(VLOOKUP(February[[#This Row],[Drug Name2]],'Data Options'!$R$1:$S$100,2,FALSE), " ")</f>
        <v xml:space="preserve"> </v>
      </c>
      <c r="Z16" s="55"/>
      <c r="AA16" s="32"/>
      <c r="AB16" s="32"/>
      <c r="AC16" s="55"/>
      <c r="AD16" s="32"/>
      <c r="AE16" s="54"/>
      <c r="AF16" s="21" t="str">
        <f>IFERROR(VLOOKUP(February[[#This Row],[Drug Name3]],'Data Options'!$R$1:$S$100,2,FALSE), " ")</f>
        <v xml:space="preserve"> </v>
      </c>
      <c r="AG16" s="55"/>
      <c r="AH16" s="32"/>
      <c r="AI16" s="32"/>
      <c r="AJ16" s="55"/>
      <c r="AK16" s="32"/>
      <c r="AL16" s="32"/>
      <c r="AM16" s="32"/>
      <c r="AN16" s="32"/>
      <c r="AO16" s="32"/>
      <c r="AP16" s="31"/>
      <c r="AQ16" s="31"/>
      <c r="AR16" s="54"/>
      <c r="AS16" s="21" t="str">
        <f>IFERROR(VLOOKUP(February[[#This Row],[Drug Name4]],'Data Options'!$R$1:$S$100,2,FALSE), " ")</f>
        <v xml:space="preserve"> </v>
      </c>
      <c r="AT16" s="55"/>
      <c r="AU16" s="32"/>
      <c r="AV16" s="32"/>
      <c r="AW16" s="55"/>
      <c r="AX16" s="32"/>
      <c r="AY16" s="54"/>
      <c r="AZ16" s="21" t="str">
        <f>IFERROR(VLOOKUP(February[[#This Row],[Drug Name5]],'Data Options'!$R$1:$S$100,2,FALSE), " ")</f>
        <v xml:space="preserve"> </v>
      </c>
      <c r="BA16" s="55"/>
      <c r="BB16" s="32"/>
      <c r="BC16" s="32"/>
      <c r="BD16" s="55"/>
      <c r="BE16" s="32"/>
      <c r="BF16" s="54"/>
      <c r="BG16" s="21" t="str">
        <f>IFERROR(VLOOKUP(February[[#This Row],[Drug Name6]],'Data Options'!$R$1:$S$100,2,FALSE), " ")</f>
        <v xml:space="preserve"> </v>
      </c>
      <c r="BH16" s="55"/>
      <c r="BI16" s="32"/>
      <c r="BJ16" s="32"/>
      <c r="BK16" s="55"/>
      <c r="BL16" s="32"/>
      <c r="BM16" s="32"/>
      <c r="BN16" s="32"/>
      <c r="BO16" s="32"/>
      <c r="BP16" s="32"/>
      <c r="BQ16" s="31"/>
      <c r="BR16" s="31"/>
      <c r="BS16" s="54"/>
      <c r="BT16" s="21" t="str">
        <f>IFERROR(VLOOKUP(February[[#This Row],[Drug Name7]],'Data Options'!$R$1:$S$100,2,FALSE), " ")</f>
        <v xml:space="preserve"> </v>
      </c>
      <c r="BU16" s="55"/>
      <c r="BV16" s="32"/>
      <c r="BW16" s="32"/>
      <c r="BX16" s="55"/>
      <c r="BY16" s="32"/>
      <c r="BZ16" s="54"/>
      <c r="CA16" s="21" t="str">
        <f>IFERROR(VLOOKUP(February[[#This Row],[Drug Name8]],'Data Options'!$R$1:$S$100,2,FALSE), " ")</f>
        <v xml:space="preserve"> </v>
      </c>
      <c r="CB16" s="55"/>
      <c r="CC16" s="32"/>
      <c r="CD16" s="32"/>
      <c r="CE16" s="55"/>
      <c r="CF16" s="32"/>
      <c r="CG16" s="54"/>
      <c r="CH16" s="21" t="str">
        <f>IFERROR(VLOOKUP(February[[#This Row],[Drug Name9]],'Data Options'!$R$1:$S$100,2,FALSE), " ")</f>
        <v xml:space="preserve"> </v>
      </c>
      <c r="CI16" s="55"/>
      <c r="CJ16" s="32"/>
      <c r="CK16" s="32"/>
      <c r="CL16" s="55"/>
      <c r="CM16" s="32"/>
    </row>
    <row r="17" spans="1:91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1"/>
      <c r="Q17" s="54"/>
      <c r="R17" s="21" t="str">
        <f>IFERROR(VLOOKUP(February[[#This Row],[Drug Name]],'Data Options'!$R$1:$S$100,2,FALSE), " ")</f>
        <v xml:space="preserve"> </v>
      </c>
      <c r="S17" s="55"/>
      <c r="T17" s="32"/>
      <c r="U17" s="32"/>
      <c r="V17" s="55"/>
      <c r="W17" s="32"/>
      <c r="X17" s="54"/>
      <c r="Y17" s="21" t="str">
        <f>IFERROR(VLOOKUP(February[[#This Row],[Drug Name2]],'Data Options'!$R$1:$S$100,2,FALSE), " ")</f>
        <v xml:space="preserve"> </v>
      </c>
      <c r="Z17" s="55"/>
      <c r="AA17" s="32"/>
      <c r="AB17" s="32"/>
      <c r="AC17" s="55"/>
      <c r="AD17" s="32"/>
      <c r="AE17" s="54"/>
      <c r="AF17" s="21" t="str">
        <f>IFERROR(VLOOKUP(February[[#This Row],[Drug Name3]],'Data Options'!$R$1:$S$100,2,FALSE), " ")</f>
        <v xml:space="preserve"> </v>
      </c>
      <c r="AG17" s="55"/>
      <c r="AH17" s="32"/>
      <c r="AI17" s="32"/>
      <c r="AJ17" s="55"/>
      <c r="AK17" s="32"/>
      <c r="AL17" s="32"/>
      <c r="AM17" s="32"/>
      <c r="AN17" s="32"/>
      <c r="AO17" s="32"/>
      <c r="AP17" s="31"/>
      <c r="AQ17" s="31"/>
      <c r="AR17" s="54"/>
      <c r="AS17" s="21" t="str">
        <f>IFERROR(VLOOKUP(February[[#This Row],[Drug Name4]],'Data Options'!$R$1:$S$100,2,FALSE), " ")</f>
        <v xml:space="preserve"> </v>
      </c>
      <c r="AT17" s="55"/>
      <c r="AU17" s="32"/>
      <c r="AV17" s="32"/>
      <c r="AW17" s="55"/>
      <c r="AX17" s="32"/>
      <c r="AY17" s="54"/>
      <c r="AZ17" s="21" t="str">
        <f>IFERROR(VLOOKUP(February[[#This Row],[Drug Name5]],'Data Options'!$R$1:$S$100,2,FALSE), " ")</f>
        <v xml:space="preserve"> </v>
      </c>
      <c r="BA17" s="55"/>
      <c r="BB17" s="32"/>
      <c r="BC17" s="32"/>
      <c r="BD17" s="55"/>
      <c r="BE17" s="32"/>
      <c r="BF17" s="54"/>
      <c r="BG17" s="21" t="str">
        <f>IFERROR(VLOOKUP(February[[#This Row],[Drug Name6]],'Data Options'!$R$1:$S$100,2,FALSE), " ")</f>
        <v xml:space="preserve"> </v>
      </c>
      <c r="BH17" s="55"/>
      <c r="BI17" s="32"/>
      <c r="BJ17" s="32"/>
      <c r="BK17" s="55"/>
      <c r="BL17" s="32"/>
      <c r="BM17" s="32"/>
      <c r="BN17" s="32"/>
      <c r="BO17" s="32"/>
      <c r="BP17" s="32"/>
      <c r="BQ17" s="31"/>
      <c r="BR17" s="31"/>
      <c r="BS17" s="54"/>
      <c r="BT17" s="21" t="str">
        <f>IFERROR(VLOOKUP(February[[#This Row],[Drug Name7]],'Data Options'!$R$1:$S$100,2,FALSE), " ")</f>
        <v xml:space="preserve"> </v>
      </c>
      <c r="BU17" s="55"/>
      <c r="BV17" s="32"/>
      <c r="BW17" s="32"/>
      <c r="BX17" s="55"/>
      <c r="BY17" s="32"/>
      <c r="BZ17" s="54"/>
      <c r="CA17" s="21" t="str">
        <f>IFERROR(VLOOKUP(February[[#This Row],[Drug Name8]],'Data Options'!$R$1:$S$100,2,FALSE), " ")</f>
        <v xml:space="preserve"> </v>
      </c>
      <c r="CB17" s="55"/>
      <c r="CC17" s="32"/>
      <c r="CD17" s="32"/>
      <c r="CE17" s="55"/>
      <c r="CF17" s="32"/>
      <c r="CG17" s="54"/>
      <c r="CH17" s="21" t="str">
        <f>IFERROR(VLOOKUP(February[[#This Row],[Drug Name9]],'Data Options'!$R$1:$S$100,2,FALSE), " ")</f>
        <v xml:space="preserve"> </v>
      </c>
      <c r="CI17" s="55"/>
      <c r="CJ17" s="32"/>
      <c r="CK17" s="32"/>
      <c r="CL17" s="55"/>
      <c r="CM17" s="32"/>
    </row>
    <row r="18" spans="1:9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1"/>
      <c r="Q18" s="54"/>
      <c r="R18" s="21" t="str">
        <f>IFERROR(VLOOKUP(February[[#This Row],[Drug Name]],'Data Options'!$R$1:$S$100,2,FALSE), " ")</f>
        <v xml:space="preserve"> </v>
      </c>
      <c r="S18" s="55"/>
      <c r="T18" s="32"/>
      <c r="U18" s="32"/>
      <c r="V18" s="55"/>
      <c r="W18" s="32"/>
      <c r="X18" s="54"/>
      <c r="Y18" s="21" t="str">
        <f>IFERROR(VLOOKUP(February[[#This Row],[Drug Name2]],'Data Options'!$R$1:$S$100,2,FALSE), " ")</f>
        <v xml:space="preserve"> </v>
      </c>
      <c r="Z18" s="55"/>
      <c r="AA18" s="32"/>
      <c r="AB18" s="32"/>
      <c r="AC18" s="55"/>
      <c r="AD18" s="32"/>
      <c r="AE18" s="54"/>
      <c r="AF18" s="21" t="str">
        <f>IFERROR(VLOOKUP(February[[#This Row],[Drug Name3]],'Data Options'!$R$1:$S$100,2,FALSE), " ")</f>
        <v xml:space="preserve"> </v>
      </c>
      <c r="AG18" s="55"/>
      <c r="AH18" s="32"/>
      <c r="AI18" s="32"/>
      <c r="AJ18" s="55"/>
      <c r="AK18" s="32"/>
      <c r="AL18" s="32"/>
      <c r="AM18" s="32"/>
      <c r="AN18" s="32"/>
      <c r="AO18" s="32"/>
      <c r="AP18" s="31"/>
      <c r="AQ18" s="31"/>
      <c r="AR18" s="54"/>
      <c r="AS18" s="21" t="str">
        <f>IFERROR(VLOOKUP(February[[#This Row],[Drug Name4]],'Data Options'!$R$1:$S$100,2,FALSE), " ")</f>
        <v xml:space="preserve"> </v>
      </c>
      <c r="AT18" s="55"/>
      <c r="AU18" s="32"/>
      <c r="AV18" s="32"/>
      <c r="AW18" s="55"/>
      <c r="AX18" s="32"/>
      <c r="AY18" s="54"/>
      <c r="AZ18" s="21" t="str">
        <f>IFERROR(VLOOKUP(February[[#This Row],[Drug Name5]],'Data Options'!$R$1:$S$100,2,FALSE), " ")</f>
        <v xml:space="preserve"> </v>
      </c>
      <c r="BA18" s="55"/>
      <c r="BB18" s="32"/>
      <c r="BC18" s="32"/>
      <c r="BD18" s="55"/>
      <c r="BE18" s="32"/>
      <c r="BF18" s="54"/>
      <c r="BG18" s="21" t="str">
        <f>IFERROR(VLOOKUP(February[[#This Row],[Drug Name6]],'Data Options'!$R$1:$S$100,2,FALSE), " ")</f>
        <v xml:space="preserve"> </v>
      </c>
      <c r="BH18" s="55"/>
      <c r="BI18" s="32"/>
      <c r="BJ18" s="32"/>
      <c r="BK18" s="55"/>
      <c r="BL18" s="32"/>
      <c r="BM18" s="32"/>
      <c r="BN18" s="32"/>
      <c r="BO18" s="32"/>
      <c r="BP18" s="32"/>
      <c r="BQ18" s="31"/>
      <c r="BR18" s="31"/>
      <c r="BS18" s="54"/>
      <c r="BT18" s="21" t="str">
        <f>IFERROR(VLOOKUP(February[[#This Row],[Drug Name7]],'Data Options'!$R$1:$S$100,2,FALSE), " ")</f>
        <v xml:space="preserve"> </v>
      </c>
      <c r="BU18" s="55"/>
      <c r="BV18" s="32"/>
      <c r="BW18" s="32"/>
      <c r="BX18" s="55"/>
      <c r="BY18" s="32"/>
      <c r="BZ18" s="54"/>
      <c r="CA18" s="21" t="str">
        <f>IFERROR(VLOOKUP(February[[#This Row],[Drug Name8]],'Data Options'!$R$1:$S$100,2,FALSE), " ")</f>
        <v xml:space="preserve"> </v>
      </c>
      <c r="CB18" s="55"/>
      <c r="CC18" s="32"/>
      <c r="CD18" s="32"/>
      <c r="CE18" s="55"/>
      <c r="CF18" s="32"/>
      <c r="CG18" s="54"/>
      <c r="CH18" s="21" t="str">
        <f>IFERROR(VLOOKUP(February[[#This Row],[Drug Name9]],'Data Options'!$R$1:$S$100,2,FALSE), " ")</f>
        <v xml:space="preserve"> </v>
      </c>
      <c r="CI18" s="55"/>
      <c r="CJ18" s="32"/>
      <c r="CK18" s="32"/>
      <c r="CL18" s="55"/>
      <c r="CM18" s="32"/>
    </row>
    <row r="19" spans="1:9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54"/>
      <c r="R19" s="21" t="str">
        <f>IFERROR(VLOOKUP(February[[#This Row],[Drug Name]],'Data Options'!$R$1:$S$100,2,FALSE), " ")</f>
        <v xml:space="preserve"> </v>
      </c>
      <c r="S19" s="55"/>
      <c r="T19" s="32"/>
      <c r="U19" s="32"/>
      <c r="V19" s="55"/>
      <c r="W19" s="32"/>
      <c r="X19" s="54"/>
      <c r="Y19" s="21" t="str">
        <f>IFERROR(VLOOKUP(February[[#This Row],[Drug Name2]],'Data Options'!$R$1:$S$100,2,FALSE), " ")</f>
        <v xml:space="preserve"> </v>
      </c>
      <c r="Z19" s="55"/>
      <c r="AA19" s="32"/>
      <c r="AB19" s="32"/>
      <c r="AC19" s="55"/>
      <c r="AD19" s="32"/>
      <c r="AE19" s="54"/>
      <c r="AF19" s="21" t="str">
        <f>IFERROR(VLOOKUP(February[[#This Row],[Drug Name3]],'Data Options'!$R$1:$S$100,2,FALSE), " ")</f>
        <v xml:space="preserve"> </v>
      </c>
      <c r="AG19" s="55"/>
      <c r="AH19" s="32"/>
      <c r="AI19" s="32"/>
      <c r="AJ19" s="55"/>
      <c r="AK19" s="32"/>
      <c r="AL19" s="32"/>
      <c r="AM19" s="32"/>
      <c r="AN19" s="32"/>
      <c r="AO19" s="32"/>
      <c r="AP19" s="31"/>
      <c r="AQ19" s="31"/>
      <c r="AR19" s="54"/>
      <c r="AS19" s="21" t="str">
        <f>IFERROR(VLOOKUP(February[[#This Row],[Drug Name4]],'Data Options'!$R$1:$S$100,2,FALSE), " ")</f>
        <v xml:space="preserve"> </v>
      </c>
      <c r="AT19" s="55"/>
      <c r="AU19" s="32"/>
      <c r="AV19" s="32"/>
      <c r="AW19" s="55"/>
      <c r="AX19" s="32"/>
      <c r="AY19" s="54"/>
      <c r="AZ19" s="21" t="str">
        <f>IFERROR(VLOOKUP(February[[#This Row],[Drug Name5]],'Data Options'!$R$1:$S$100,2,FALSE), " ")</f>
        <v xml:space="preserve"> </v>
      </c>
      <c r="BA19" s="55"/>
      <c r="BB19" s="32"/>
      <c r="BC19" s="32"/>
      <c r="BD19" s="55"/>
      <c r="BE19" s="32"/>
      <c r="BF19" s="54"/>
      <c r="BG19" s="21" t="str">
        <f>IFERROR(VLOOKUP(February[[#This Row],[Drug Name6]],'Data Options'!$R$1:$S$100,2,FALSE), " ")</f>
        <v xml:space="preserve"> </v>
      </c>
      <c r="BH19" s="55"/>
      <c r="BI19" s="32"/>
      <c r="BJ19" s="32"/>
      <c r="BK19" s="55"/>
      <c r="BL19" s="32"/>
      <c r="BM19" s="32"/>
      <c r="BN19" s="32"/>
      <c r="BO19" s="32"/>
      <c r="BP19" s="32"/>
      <c r="BQ19" s="31"/>
      <c r="BR19" s="31"/>
      <c r="BS19" s="54"/>
      <c r="BT19" s="21" t="str">
        <f>IFERROR(VLOOKUP(February[[#This Row],[Drug Name7]],'Data Options'!$R$1:$S$100,2,FALSE), " ")</f>
        <v xml:space="preserve"> </v>
      </c>
      <c r="BU19" s="55"/>
      <c r="BV19" s="32"/>
      <c r="BW19" s="32"/>
      <c r="BX19" s="55"/>
      <c r="BY19" s="32"/>
      <c r="BZ19" s="54"/>
      <c r="CA19" s="21" t="str">
        <f>IFERROR(VLOOKUP(February[[#This Row],[Drug Name8]],'Data Options'!$R$1:$S$100,2,FALSE), " ")</f>
        <v xml:space="preserve"> </v>
      </c>
      <c r="CB19" s="55"/>
      <c r="CC19" s="32"/>
      <c r="CD19" s="32"/>
      <c r="CE19" s="55"/>
      <c r="CF19" s="32"/>
      <c r="CG19" s="54"/>
      <c r="CH19" s="21" t="str">
        <f>IFERROR(VLOOKUP(February[[#This Row],[Drug Name9]],'Data Options'!$R$1:$S$100,2,FALSE), " ")</f>
        <v xml:space="preserve"> </v>
      </c>
      <c r="CI19" s="55"/>
      <c r="CJ19" s="32"/>
      <c r="CK19" s="32"/>
      <c r="CL19" s="55"/>
      <c r="CM19" s="32"/>
    </row>
    <row r="20" spans="1:9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1"/>
      <c r="Q20" s="54"/>
      <c r="R20" s="21" t="str">
        <f>IFERROR(VLOOKUP(February[[#This Row],[Drug Name]],'Data Options'!$R$1:$S$100,2,FALSE), " ")</f>
        <v xml:space="preserve"> </v>
      </c>
      <c r="S20" s="55"/>
      <c r="T20" s="32"/>
      <c r="U20" s="32"/>
      <c r="V20" s="55"/>
      <c r="W20" s="32"/>
      <c r="X20" s="54"/>
      <c r="Y20" s="21" t="str">
        <f>IFERROR(VLOOKUP(February[[#This Row],[Drug Name2]],'Data Options'!$R$1:$S$100,2,FALSE), " ")</f>
        <v xml:space="preserve"> </v>
      </c>
      <c r="Z20" s="55"/>
      <c r="AA20" s="32"/>
      <c r="AB20" s="32"/>
      <c r="AC20" s="55"/>
      <c r="AD20" s="32"/>
      <c r="AE20" s="54"/>
      <c r="AF20" s="21" t="str">
        <f>IFERROR(VLOOKUP(February[[#This Row],[Drug Name3]],'Data Options'!$R$1:$S$100,2,FALSE), " ")</f>
        <v xml:space="preserve"> </v>
      </c>
      <c r="AG20" s="55"/>
      <c r="AH20" s="32"/>
      <c r="AI20" s="32"/>
      <c r="AJ20" s="55"/>
      <c r="AK20" s="32"/>
      <c r="AL20" s="32"/>
      <c r="AM20" s="32"/>
      <c r="AN20" s="32"/>
      <c r="AO20" s="32"/>
      <c r="AP20" s="31"/>
      <c r="AQ20" s="31"/>
      <c r="AR20" s="54"/>
      <c r="AS20" s="21" t="str">
        <f>IFERROR(VLOOKUP(February[[#This Row],[Drug Name4]],'Data Options'!$R$1:$S$100,2,FALSE), " ")</f>
        <v xml:space="preserve"> </v>
      </c>
      <c r="AT20" s="55"/>
      <c r="AU20" s="32"/>
      <c r="AV20" s="32"/>
      <c r="AW20" s="55"/>
      <c r="AX20" s="32"/>
      <c r="AY20" s="54"/>
      <c r="AZ20" s="21" t="str">
        <f>IFERROR(VLOOKUP(February[[#This Row],[Drug Name5]],'Data Options'!$R$1:$S$100,2,FALSE), " ")</f>
        <v xml:space="preserve"> </v>
      </c>
      <c r="BA20" s="55"/>
      <c r="BB20" s="32"/>
      <c r="BC20" s="32"/>
      <c r="BD20" s="55"/>
      <c r="BE20" s="32"/>
      <c r="BF20" s="54"/>
      <c r="BG20" s="21" t="str">
        <f>IFERROR(VLOOKUP(February[[#This Row],[Drug Name6]],'Data Options'!$R$1:$S$100,2,FALSE), " ")</f>
        <v xml:space="preserve"> </v>
      </c>
      <c r="BH20" s="55"/>
      <c r="BI20" s="32"/>
      <c r="BJ20" s="32"/>
      <c r="BK20" s="55"/>
      <c r="BL20" s="32"/>
      <c r="BM20" s="32"/>
      <c r="BN20" s="32"/>
      <c r="BO20" s="32"/>
      <c r="BP20" s="32"/>
      <c r="BQ20" s="31"/>
      <c r="BR20" s="31"/>
      <c r="BS20" s="54"/>
      <c r="BT20" s="21" t="str">
        <f>IFERROR(VLOOKUP(February[[#This Row],[Drug Name7]],'Data Options'!$R$1:$S$100,2,FALSE), " ")</f>
        <v xml:space="preserve"> </v>
      </c>
      <c r="BU20" s="55"/>
      <c r="BV20" s="32"/>
      <c r="BW20" s="32"/>
      <c r="BX20" s="55"/>
      <c r="BY20" s="32"/>
      <c r="BZ20" s="54"/>
      <c r="CA20" s="21" t="str">
        <f>IFERROR(VLOOKUP(February[[#This Row],[Drug Name8]],'Data Options'!$R$1:$S$100,2,FALSE), " ")</f>
        <v xml:space="preserve"> </v>
      </c>
      <c r="CB20" s="55"/>
      <c r="CC20" s="32"/>
      <c r="CD20" s="32"/>
      <c r="CE20" s="55"/>
      <c r="CF20" s="32"/>
      <c r="CG20" s="54"/>
      <c r="CH20" s="21" t="str">
        <f>IFERROR(VLOOKUP(February[[#This Row],[Drug Name9]],'Data Options'!$R$1:$S$100,2,FALSE), " ")</f>
        <v xml:space="preserve"> </v>
      </c>
      <c r="CI20" s="55"/>
      <c r="CJ20" s="32"/>
      <c r="CK20" s="32"/>
      <c r="CL20" s="55"/>
      <c r="CM20" s="32"/>
    </row>
    <row r="21" spans="1:91">
      <c r="A21" s="5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1"/>
      <c r="Q21" s="54"/>
      <c r="R21" s="21" t="str">
        <f>IFERROR(VLOOKUP(February[[#This Row],[Drug Name]],'Data Options'!$R$1:$S$100,2,FALSE), " ")</f>
        <v xml:space="preserve"> </v>
      </c>
      <c r="S21" s="55"/>
      <c r="T21" s="32"/>
      <c r="U21" s="32"/>
      <c r="V21" s="55"/>
      <c r="W21" s="32"/>
      <c r="X21" s="54"/>
      <c r="Y21" s="21" t="str">
        <f>IFERROR(VLOOKUP(February[[#This Row],[Drug Name2]],'Data Options'!$R$1:$S$100,2,FALSE), " ")</f>
        <v xml:space="preserve"> </v>
      </c>
      <c r="Z21" s="55"/>
      <c r="AA21" s="32"/>
      <c r="AB21" s="32"/>
      <c r="AC21" s="55"/>
      <c r="AD21" s="32"/>
      <c r="AE21" s="54"/>
      <c r="AF21" s="21" t="str">
        <f>IFERROR(VLOOKUP(February[[#This Row],[Drug Name3]],'Data Options'!$R$1:$S$100,2,FALSE), " ")</f>
        <v xml:space="preserve"> </v>
      </c>
      <c r="AG21" s="55"/>
      <c r="AH21" s="32"/>
      <c r="AI21" s="32"/>
      <c r="AJ21" s="55"/>
      <c r="AK21" s="32"/>
      <c r="AL21" s="32"/>
      <c r="AM21" s="32"/>
      <c r="AN21" s="32"/>
      <c r="AO21" s="32"/>
      <c r="AP21" s="31"/>
      <c r="AQ21" s="31"/>
      <c r="AR21" s="54"/>
      <c r="AS21" s="21" t="str">
        <f>IFERROR(VLOOKUP(February[[#This Row],[Drug Name4]],'Data Options'!$R$1:$S$100,2,FALSE), " ")</f>
        <v xml:space="preserve"> </v>
      </c>
      <c r="AT21" s="55"/>
      <c r="AU21" s="32"/>
      <c r="AV21" s="32"/>
      <c r="AW21" s="55"/>
      <c r="AX21" s="32"/>
      <c r="AY21" s="54"/>
      <c r="AZ21" s="21" t="str">
        <f>IFERROR(VLOOKUP(February[[#This Row],[Drug Name5]],'Data Options'!$R$1:$S$100,2,FALSE), " ")</f>
        <v xml:space="preserve"> </v>
      </c>
      <c r="BA21" s="55"/>
      <c r="BB21" s="32"/>
      <c r="BC21" s="32"/>
      <c r="BD21" s="55"/>
      <c r="BE21" s="32"/>
      <c r="BF21" s="54"/>
      <c r="BG21" s="21" t="str">
        <f>IFERROR(VLOOKUP(February[[#This Row],[Drug Name6]],'Data Options'!$R$1:$S$100,2,FALSE), " ")</f>
        <v xml:space="preserve"> </v>
      </c>
      <c r="BH21" s="55"/>
      <c r="BI21" s="32"/>
      <c r="BJ21" s="32"/>
      <c r="BK21" s="55"/>
      <c r="BL21" s="32"/>
      <c r="BM21" s="32"/>
      <c r="BN21" s="32"/>
      <c r="BO21" s="32"/>
      <c r="BP21" s="32"/>
      <c r="BQ21" s="31"/>
      <c r="BR21" s="31"/>
      <c r="BS21" s="54"/>
      <c r="BT21" s="21" t="str">
        <f>IFERROR(VLOOKUP(February[[#This Row],[Drug Name7]],'Data Options'!$R$1:$S$100,2,FALSE), " ")</f>
        <v xml:space="preserve"> </v>
      </c>
      <c r="BU21" s="55"/>
      <c r="BV21" s="32"/>
      <c r="BW21" s="32"/>
      <c r="BX21" s="55"/>
      <c r="BY21" s="32"/>
      <c r="BZ21" s="54"/>
      <c r="CA21" s="21" t="str">
        <f>IFERROR(VLOOKUP(February[[#This Row],[Drug Name8]],'Data Options'!$R$1:$S$100,2,FALSE), " ")</f>
        <v xml:space="preserve"> </v>
      </c>
      <c r="CB21" s="55"/>
      <c r="CC21" s="32"/>
      <c r="CD21" s="32"/>
      <c r="CE21" s="55"/>
      <c r="CF21" s="32"/>
      <c r="CG21" s="54"/>
      <c r="CH21" s="21" t="str">
        <f>IFERROR(VLOOKUP(February[[#This Row],[Drug Name9]],'Data Options'!$R$1:$S$100,2,FALSE), " ")</f>
        <v xml:space="preserve"> </v>
      </c>
      <c r="CI21" s="55"/>
      <c r="CJ21" s="32"/>
      <c r="CK21" s="32"/>
      <c r="CL21" s="55"/>
      <c r="CM21" s="32"/>
    </row>
    <row r="22" spans="1:91">
      <c r="A22" s="5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1"/>
      <c r="Q22" s="54"/>
      <c r="R22" s="21" t="str">
        <f>IFERROR(VLOOKUP(February[[#This Row],[Drug Name]],'Data Options'!$R$1:$S$100,2,FALSE), " ")</f>
        <v xml:space="preserve"> </v>
      </c>
      <c r="S22" s="55"/>
      <c r="T22" s="32"/>
      <c r="U22" s="32"/>
      <c r="V22" s="55"/>
      <c r="W22" s="32"/>
      <c r="X22" s="54"/>
      <c r="Y22" s="21" t="str">
        <f>IFERROR(VLOOKUP(February[[#This Row],[Drug Name2]],'Data Options'!$R$1:$S$100,2,FALSE), " ")</f>
        <v xml:space="preserve"> </v>
      </c>
      <c r="Z22" s="55"/>
      <c r="AA22" s="32"/>
      <c r="AB22" s="32"/>
      <c r="AC22" s="55"/>
      <c r="AD22" s="32"/>
      <c r="AE22" s="54"/>
      <c r="AF22" s="21" t="str">
        <f>IFERROR(VLOOKUP(February[[#This Row],[Drug Name3]],'Data Options'!$R$1:$S$100,2,FALSE), " ")</f>
        <v xml:space="preserve"> </v>
      </c>
      <c r="AG22" s="55"/>
      <c r="AH22" s="32"/>
      <c r="AI22" s="32"/>
      <c r="AJ22" s="55"/>
      <c r="AK22" s="32"/>
      <c r="AL22" s="32"/>
      <c r="AM22" s="32"/>
      <c r="AN22" s="32"/>
      <c r="AO22" s="32"/>
      <c r="AP22" s="31"/>
      <c r="AQ22" s="31"/>
      <c r="AR22" s="54"/>
      <c r="AS22" s="21" t="str">
        <f>IFERROR(VLOOKUP(February[[#This Row],[Drug Name4]],'Data Options'!$R$1:$S$100,2,FALSE), " ")</f>
        <v xml:space="preserve"> </v>
      </c>
      <c r="AT22" s="55"/>
      <c r="AU22" s="32"/>
      <c r="AV22" s="32"/>
      <c r="AW22" s="55"/>
      <c r="AX22" s="32"/>
      <c r="AY22" s="54"/>
      <c r="AZ22" s="21" t="str">
        <f>IFERROR(VLOOKUP(February[[#This Row],[Drug Name5]],'Data Options'!$R$1:$S$100,2,FALSE), " ")</f>
        <v xml:space="preserve"> </v>
      </c>
      <c r="BA22" s="55"/>
      <c r="BB22" s="32"/>
      <c r="BC22" s="32"/>
      <c r="BD22" s="55"/>
      <c r="BE22" s="32"/>
      <c r="BF22" s="54"/>
      <c r="BG22" s="21" t="str">
        <f>IFERROR(VLOOKUP(February[[#This Row],[Drug Name6]],'Data Options'!$R$1:$S$100,2,FALSE), " ")</f>
        <v xml:space="preserve"> </v>
      </c>
      <c r="BH22" s="55"/>
      <c r="BI22" s="32"/>
      <c r="BJ22" s="32"/>
      <c r="BK22" s="55"/>
      <c r="BL22" s="32"/>
      <c r="BM22" s="32"/>
      <c r="BN22" s="32"/>
      <c r="BO22" s="32"/>
      <c r="BP22" s="32"/>
      <c r="BQ22" s="31"/>
      <c r="BR22" s="31"/>
      <c r="BS22" s="54"/>
      <c r="BT22" s="21" t="str">
        <f>IFERROR(VLOOKUP(February[[#This Row],[Drug Name7]],'Data Options'!$R$1:$S$100,2,FALSE), " ")</f>
        <v xml:space="preserve"> </v>
      </c>
      <c r="BU22" s="55"/>
      <c r="BV22" s="32"/>
      <c r="BW22" s="32"/>
      <c r="BX22" s="55"/>
      <c r="BY22" s="32"/>
      <c r="BZ22" s="54"/>
      <c r="CA22" s="21" t="str">
        <f>IFERROR(VLOOKUP(February[[#This Row],[Drug Name8]],'Data Options'!$R$1:$S$100,2,FALSE), " ")</f>
        <v xml:space="preserve"> </v>
      </c>
      <c r="CB22" s="55"/>
      <c r="CC22" s="32"/>
      <c r="CD22" s="32"/>
      <c r="CE22" s="55"/>
      <c r="CF22" s="32"/>
      <c r="CG22" s="54"/>
      <c r="CH22" s="21" t="str">
        <f>IFERROR(VLOOKUP(February[[#This Row],[Drug Name9]],'Data Options'!$R$1:$S$100,2,FALSE), " ")</f>
        <v xml:space="preserve"> </v>
      </c>
      <c r="CI22" s="55"/>
      <c r="CJ22" s="32"/>
      <c r="CK22" s="32"/>
      <c r="CL22" s="55"/>
      <c r="CM22" s="32"/>
    </row>
    <row r="23" spans="1:9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54"/>
      <c r="R23" s="21" t="str">
        <f>IFERROR(VLOOKUP(February[[#This Row],[Drug Name]],'Data Options'!$R$1:$S$100,2,FALSE), " ")</f>
        <v xml:space="preserve"> </v>
      </c>
      <c r="S23" s="55"/>
      <c r="T23" s="32"/>
      <c r="U23" s="32"/>
      <c r="V23" s="55"/>
      <c r="W23" s="32"/>
      <c r="X23" s="54"/>
      <c r="Y23" s="21" t="str">
        <f>IFERROR(VLOOKUP(February[[#This Row],[Drug Name2]],'Data Options'!$R$1:$S$100,2,FALSE), " ")</f>
        <v xml:space="preserve"> </v>
      </c>
      <c r="Z23" s="55"/>
      <c r="AA23" s="32"/>
      <c r="AB23" s="32"/>
      <c r="AC23" s="55"/>
      <c r="AD23" s="32"/>
      <c r="AE23" s="54"/>
      <c r="AF23" s="21" t="str">
        <f>IFERROR(VLOOKUP(February[[#This Row],[Drug Name3]],'Data Options'!$R$1:$S$100,2,FALSE), " ")</f>
        <v xml:space="preserve"> </v>
      </c>
      <c r="AG23" s="55"/>
      <c r="AH23" s="32"/>
      <c r="AI23" s="32"/>
      <c r="AJ23" s="55"/>
      <c r="AK23" s="32"/>
      <c r="AL23" s="32"/>
      <c r="AM23" s="32"/>
      <c r="AN23" s="32"/>
      <c r="AO23" s="32"/>
      <c r="AP23" s="31"/>
      <c r="AQ23" s="31"/>
      <c r="AR23" s="54"/>
      <c r="AS23" s="21" t="str">
        <f>IFERROR(VLOOKUP(February[[#This Row],[Drug Name4]],'Data Options'!$R$1:$S$100,2,FALSE), " ")</f>
        <v xml:space="preserve"> </v>
      </c>
      <c r="AT23" s="55"/>
      <c r="AU23" s="32"/>
      <c r="AV23" s="32"/>
      <c r="AW23" s="55"/>
      <c r="AX23" s="32"/>
      <c r="AY23" s="54"/>
      <c r="AZ23" s="21" t="str">
        <f>IFERROR(VLOOKUP(February[[#This Row],[Drug Name5]],'Data Options'!$R$1:$S$100,2,FALSE), " ")</f>
        <v xml:space="preserve"> </v>
      </c>
      <c r="BA23" s="55"/>
      <c r="BB23" s="32"/>
      <c r="BC23" s="32"/>
      <c r="BD23" s="55"/>
      <c r="BE23" s="32"/>
      <c r="BF23" s="54"/>
      <c r="BG23" s="21" t="str">
        <f>IFERROR(VLOOKUP(February[[#This Row],[Drug Name6]],'Data Options'!$R$1:$S$100,2,FALSE), " ")</f>
        <v xml:space="preserve"> </v>
      </c>
      <c r="BH23" s="55"/>
      <c r="BI23" s="32"/>
      <c r="BJ23" s="32"/>
      <c r="BK23" s="55"/>
      <c r="BL23" s="32"/>
      <c r="BM23" s="32"/>
      <c r="BN23" s="32"/>
      <c r="BO23" s="32"/>
      <c r="BP23" s="32"/>
      <c r="BQ23" s="31"/>
      <c r="BR23" s="31"/>
      <c r="BS23" s="54"/>
      <c r="BT23" s="21" t="str">
        <f>IFERROR(VLOOKUP(February[[#This Row],[Drug Name7]],'Data Options'!$R$1:$S$100,2,FALSE), " ")</f>
        <v xml:space="preserve"> </v>
      </c>
      <c r="BU23" s="55"/>
      <c r="BV23" s="32"/>
      <c r="BW23" s="32"/>
      <c r="BX23" s="55"/>
      <c r="BY23" s="32"/>
      <c r="BZ23" s="54"/>
      <c r="CA23" s="21" t="str">
        <f>IFERROR(VLOOKUP(February[[#This Row],[Drug Name8]],'Data Options'!$R$1:$S$100,2,FALSE), " ")</f>
        <v xml:space="preserve"> </v>
      </c>
      <c r="CB23" s="55"/>
      <c r="CC23" s="32"/>
      <c r="CD23" s="32"/>
      <c r="CE23" s="55"/>
      <c r="CF23" s="32"/>
      <c r="CG23" s="54"/>
      <c r="CH23" s="21" t="str">
        <f>IFERROR(VLOOKUP(February[[#This Row],[Drug Name9]],'Data Options'!$R$1:$S$100,2,FALSE), " ")</f>
        <v xml:space="preserve"> </v>
      </c>
      <c r="CI23" s="55"/>
      <c r="CJ23" s="32"/>
      <c r="CK23" s="32"/>
      <c r="CL23" s="55"/>
      <c r="CM23" s="32"/>
    </row>
    <row r="24" spans="1:91">
      <c r="A24" s="5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54"/>
      <c r="R24" s="21" t="str">
        <f>IFERROR(VLOOKUP(February[[#This Row],[Drug Name]],'Data Options'!$R$1:$S$100,2,FALSE), " ")</f>
        <v xml:space="preserve"> </v>
      </c>
      <c r="S24" s="55"/>
      <c r="T24" s="32"/>
      <c r="U24" s="32"/>
      <c r="V24" s="55"/>
      <c r="W24" s="32"/>
      <c r="X24" s="54"/>
      <c r="Y24" s="21" t="str">
        <f>IFERROR(VLOOKUP(February[[#This Row],[Drug Name2]],'Data Options'!$R$1:$S$100,2,FALSE), " ")</f>
        <v xml:space="preserve"> </v>
      </c>
      <c r="Z24" s="55"/>
      <c r="AA24" s="32"/>
      <c r="AB24" s="32"/>
      <c r="AC24" s="55"/>
      <c r="AD24" s="32"/>
      <c r="AE24" s="54"/>
      <c r="AF24" s="21" t="str">
        <f>IFERROR(VLOOKUP(February[[#This Row],[Drug Name3]],'Data Options'!$R$1:$S$100,2,FALSE), " ")</f>
        <v xml:space="preserve"> </v>
      </c>
      <c r="AG24" s="55"/>
      <c r="AH24" s="32"/>
      <c r="AI24" s="32"/>
      <c r="AJ24" s="55"/>
      <c r="AK24" s="32"/>
      <c r="AL24" s="32"/>
      <c r="AM24" s="32"/>
      <c r="AN24" s="32"/>
      <c r="AO24" s="32"/>
      <c r="AP24" s="31"/>
      <c r="AQ24" s="31"/>
      <c r="AR24" s="54"/>
      <c r="AS24" s="21" t="str">
        <f>IFERROR(VLOOKUP(February[[#This Row],[Drug Name4]],'Data Options'!$R$1:$S$100,2,FALSE), " ")</f>
        <v xml:space="preserve"> </v>
      </c>
      <c r="AT24" s="55"/>
      <c r="AU24" s="32"/>
      <c r="AV24" s="32"/>
      <c r="AW24" s="55"/>
      <c r="AX24" s="32"/>
      <c r="AY24" s="54"/>
      <c r="AZ24" s="21" t="str">
        <f>IFERROR(VLOOKUP(February[[#This Row],[Drug Name5]],'Data Options'!$R$1:$S$100,2,FALSE), " ")</f>
        <v xml:space="preserve"> </v>
      </c>
      <c r="BA24" s="55"/>
      <c r="BB24" s="32"/>
      <c r="BC24" s="32"/>
      <c r="BD24" s="55"/>
      <c r="BE24" s="32"/>
      <c r="BF24" s="54"/>
      <c r="BG24" s="21" t="str">
        <f>IFERROR(VLOOKUP(February[[#This Row],[Drug Name6]],'Data Options'!$R$1:$S$100,2,FALSE), " ")</f>
        <v xml:space="preserve"> </v>
      </c>
      <c r="BH24" s="55"/>
      <c r="BI24" s="32"/>
      <c r="BJ24" s="32"/>
      <c r="BK24" s="55"/>
      <c r="BL24" s="32"/>
      <c r="BM24" s="32"/>
      <c r="BN24" s="32"/>
      <c r="BO24" s="32"/>
      <c r="BP24" s="32"/>
      <c r="BQ24" s="31"/>
      <c r="BR24" s="31"/>
      <c r="BS24" s="54"/>
      <c r="BT24" s="21" t="str">
        <f>IFERROR(VLOOKUP(February[[#This Row],[Drug Name7]],'Data Options'!$R$1:$S$100,2,FALSE), " ")</f>
        <v xml:space="preserve"> </v>
      </c>
      <c r="BU24" s="55"/>
      <c r="BV24" s="32"/>
      <c r="BW24" s="32"/>
      <c r="BX24" s="55"/>
      <c r="BY24" s="32"/>
      <c r="BZ24" s="54"/>
      <c r="CA24" s="21" t="str">
        <f>IFERROR(VLOOKUP(February[[#This Row],[Drug Name8]],'Data Options'!$R$1:$S$100,2,FALSE), " ")</f>
        <v xml:space="preserve"> </v>
      </c>
      <c r="CB24" s="55"/>
      <c r="CC24" s="32"/>
      <c r="CD24" s="32"/>
      <c r="CE24" s="55"/>
      <c r="CF24" s="32"/>
      <c r="CG24" s="54"/>
      <c r="CH24" s="21" t="str">
        <f>IFERROR(VLOOKUP(February[[#This Row],[Drug Name9]],'Data Options'!$R$1:$S$100,2,FALSE), " ")</f>
        <v xml:space="preserve"> </v>
      </c>
      <c r="CI24" s="55"/>
      <c r="CJ24" s="32"/>
      <c r="CK24" s="32"/>
      <c r="CL24" s="55"/>
      <c r="CM24" s="32"/>
    </row>
    <row r="25" spans="1:9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54"/>
      <c r="R25" s="21" t="str">
        <f>IFERROR(VLOOKUP(February[[#This Row],[Drug Name]],'Data Options'!$R$1:$S$100,2,FALSE), " ")</f>
        <v xml:space="preserve"> </v>
      </c>
      <c r="S25" s="55"/>
      <c r="T25" s="32"/>
      <c r="U25" s="32"/>
      <c r="V25" s="55"/>
      <c r="W25" s="32"/>
      <c r="X25" s="54"/>
      <c r="Y25" s="21" t="str">
        <f>IFERROR(VLOOKUP(February[[#This Row],[Drug Name2]],'Data Options'!$R$1:$S$100,2,FALSE), " ")</f>
        <v xml:space="preserve"> </v>
      </c>
      <c r="Z25" s="55"/>
      <c r="AA25" s="32"/>
      <c r="AB25" s="32"/>
      <c r="AC25" s="55"/>
      <c r="AD25" s="32"/>
      <c r="AE25" s="54"/>
      <c r="AF25" s="21" t="str">
        <f>IFERROR(VLOOKUP(February[[#This Row],[Drug Name3]],'Data Options'!$R$1:$S$100,2,FALSE), " ")</f>
        <v xml:space="preserve"> </v>
      </c>
      <c r="AG25" s="55"/>
      <c r="AH25" s="32"/>
      <c r="AI25" s="32"/>
      <c r="AJ25" s="55"/>
      <c r="AK25" s="32"/>
      <c r="AL25" s="32"/>
      <c r="AM25" s="32"/>
      <c r="AN25" s="32"/>
      <c r="AO25" s="32"/>
      <c r="AP25" s="31"/>
      <c r="AQ25" s="31"/>
      <c r="AR25" s="54"/>
      <c r="AS25" s="21" t="str">
        <f>IFERROR(VLOOKUP(February[[#This Row],[Drug Name4]],'Data Options'!$R$1:$S$100,2,FALSE), " ")</f>
        <v xml:space="preserve"> </v>
      </c>
      <c r="AT25" s="55"/>
      <c r="AU25" s="32"/>
      <c r="AV25" s="32"/>
      <c r="AW25" s="55"/>
      <c r="AX25" s="32"/>
      <c r="AY25" s="54"/>
      <c r="AZ25" s="21" t="str">
        <f>IFERROR(VLOOKUP(February[[#This Row],[Drug Name5]],'Data Options'!$R$1:$S$100,2,FALSE), " ")</f>
        <v xml:space="preserve"> </v>
      </c>
      <c r="BA25" s="55"/>
      <c r="BB25" s="32"/>
      <c r="BC25" s="32"/>
      <c r="BD25" s="55"/>
      <c r="BE25" s="32"/>
      <c r="BF25" s="54"/>
      <c r="BG25" s="21" t="str">
        <f>IFERROR(VLOOKUP(February[[#This Row],[Drug Name6]],'Data Options'!$R$1:$S$100,2,FALSE), " ")</f>
        <v xml:space="preserve"> </v>
      </c>
      <c r="BH25" s="55"/>
      <c r="BI25" s="32"/>
      <c r="BJ25" s="32"/>
      <c r="BK25" s="55"/>
      <c r="BL25" s="32"/>
      <c r="BM25" s="32"/>
      <c r="BN25" s="32"/>
      <c r="BO25" s="32"/>
      <c r="BP25" s="32"/>
      <c r="BQ25" s="31"/>
      <c r="BR25" s="31"/>
      <c r="BS25" s="54"/>
      <c r="BT25" s="21" t="str">
        <f>IFERROR(VLOOKUP(February[[#This Row],[Drug Name7]],'Data Options'!$R$1:$S$100,2,FALSE), " ")</f>
        <v xml:space="preserve"> </v>
      </c>
      <c r="BU25" s="55"/>
      <c r="BV25" s="32"/>
      <c r="BW25" s="32"/>
      <c r="BX25" s="55"/>
      <c r="BY25" s="32"/>
      <c r="BZ25" s="54"/>
      <c r="CA25" s="21" t="str">
        <f>IFERROR(VLOOKUP(February[[#This Row],[Drug Name8]],'Data Options'!$R$1:$S$100,2,FALSE), " ")</f>
        <v xml:space="preserve"> </v>
      </c>
      <c r="CB25" s="55"/>
      <c r="CC25" s="32"/>
      <c r="CD25" s="32"/>
      <c r="CE25" s="55"/>
      <c r="CF25" s="32"/>
      <c r="CG25" s="54"/>
      <c r="CH25" s="21" t="str">
        <f>IFERROR(VLOOKUP(February[[#This Row],[Drug Name9]],'Data Options'!$R$1:$S$100,2,FALSE), " ")</f>
        <v xml:space="preserve"> </v>
      </c>
      <c r="CI25" s="55"/>
      <c r="CJ25" s="32"/>
      <c r="CK25" s="32"/>
      <c r="CL25" s="55"/>
      <c r="CM25" s="32"/>
    </row>
    <row r="26" spans="1:91">
      <c r="A26" s="5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54"/>
      <c r="R26" s="21" t="str">
        <f>IFERROR(VLOOKUP(February[[#This Row],[Drug Name]],'Data Options'!$R$1:$S$100,2,FALSE), " ")</f>
        <v xml:space="preserve"> </v>
      </c>
      <c r="S26" s="55"/>
      <c r="T26" s="32"/>
      <c r="U26" s="32"/>
      <c r="V26" s="55"/>
      <c r="W26" s="32"/>
      <c r="X26" s="54"/>
      <c r="Y26" s="21" t="str">
        <f>IFERROR(VLOOKUP(February[[#This Row],[Drug Name2]],'Data Options'!$R$1:$S$100,2,FALSE), " ")</f>
        <v xml:space="preserve"> </v>
      </c>
      <c r="Z26" s="55"/>
      <c r="AA26" s="32"/>
      <c r="AB26" s="32"/>
      <c r="AC26" s="55"/>
      <c r="AD26" s="32"/>
      <c r="AE26" s="54"/>
      <c r="AF26" s="21" t="str">
        <f>IFERROR(VLOOKUP(February[[#This Row],[Drug Name3]],'Data Options'!$R$1:$S$100,2,FALSE), " ")</f>
        <v xml:space="preserve"> </v>
      </c>
      <c r="AG26" s="55"/>
      <c r="AH26" s="32"/>
      <c r="AI26" s="32"/>
      <c r="AJ26" s="55"/>
      <c r="AK26" s="32"/>
      <c r="AL26" s="32"/>
      <c r="AM26" s="32"/>
      <c r="AN26" s="32"/>
      <c r="AO26" s="32"/>
      <c r="AP26" s="31"/>
      <c r="AQ26" s="31"/>
      <c r="AR26" s="54"/>
      <c r="AS26" s="21" t="str">
        <f>IFERROR(VLOOKUP(February[[#This Row],[Drug Name4]],'Data Options'!$R$1:$S$100,2,FALSE), " ")</f>
        <v xml:space="preserve"> </v>
      </c>
      <c r="AT26" s="55"/>
      <c r="AU26" s="32"/>
      <c r="AV26" s="32"/>
      <c r="AW26" s="55"/>
      <c r="AX26" s="32"/>
      <c r="AY26" s="54"/>
      <c r="AZ26" s="21" t="str">
        <f>IFERROR(VLOOKUP(February[[#This Row],[Drug Name5]],'Data Options'!$R$1:$S$100,2,FALSE), " ")</f>
        <v xml:space="preserve"> </v>
      </c>
      <c r="BA26" s="55"/>
      <c r="BB26" s="32"/>
      <c r="BC26" s="32"/>
      <c r="BD26" s="55"/>
      <c r="BE26" s="32"/>
      <c r="BF26" s="54"/>
      <c r="BG26" s="21" t="str">
        <f>IFERROR(VLOOKUP(February[[#This Row],[Drug Name6]],'Data Options'!$R$1:$S$100,2,FALSE), " ")</f>
        <v xml:space="preserve"> </v>
      </c>
      <c r="BH26" s="55"/>
      <c r="BI26" s="32"/>
      <c r="BJ26" s="32"/>
      <c r="BK26" s="55"/>
      <c r="BL26" s="32"/>
      <c r="BM26" s="32"/>
      <c r="BN26" s="32"/>
      <c r="BO26" s="32"/>
      <c r="BP26" s="32"/>
      <c r="BQ26" s="31"/>
      <c r="BR26" s="31"/>
      <c r="BS26" s="54"/>
      <c r="BT26" s="21" t="str">
        <f>IFERROR(VLOOKUP(February[[#This Row],[Drug Name7]],'Data Options'!$R$1:$S$100,2,FALSE), " ")</f>
        <v xml:space="preserve"> </v>
      </c>
      <c r="BU26" s="55"/>
      <c r="BV26" s="32"/>
      <c r="BW26" s="32"/>
      <c r="BX26" s="55"/>
      <c r="BY26" s="32"/>
      <c r="BZ26" s="54"/>
      <c r="CA26" s="21" t="str">
        <f>IFERROR(VLOOKUP(February[[#This Row],[Drug Name8]],'Data Options'!$R$1:$S$100,2,FALSE), " ")</f>
        <v xml:space="preserve"> </v>
      </c>
      <c r="CB26" s="55"/>
      <c r="CC26" s="32"/>
      <c r="CD26" s="32"/>
      <c r="CE26" s="55"/>
      <c r="CF26" s="32"/>
      <c r="CG26" s="54"/>
      <c r="CH26" s="21" t="str">
        <f>IFERROR(VLOOKUP(February[[#This Row],[Drug Name9]],'Data Options'!$R$1:$S$100,2,FALSE), " ")</f>
        <v xml:space="preserve"> </v>
      </c>
      <c r="CI26" s="55"/>
      <c r="CJ26" s="32"/>
      <c r="CK26" s="32"/>
      <c r="CL26" s="55"/>
      <c r="CM26" s="32"/>
    </row>
    <row r="27" spans="1:91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54"/>
      <c r="R27" s="21" t="str">
        <f>IFERROR(VLOOKUP(February[[#This Row],[Drug Name]],'Data Options'!$R$1:$S$100,2,FALSE), " ")</f>
        <v xml:space="preserve"> </v>
      </c>
      <c r="S27" s="55"/>
      <c r="T27" s="32"/>
      <c r="U27" s="32"/>
      <c r="V27" s="55"/>
      <c r="W27" s="32"/>
      <c r="X27" s="54"/>
      <c r="Y27" s="21" t="str">
        <f>IFERROR(VLOOKUP(February[[#This Row],[Drug Name2]],'Data Options'!$R$1:$S$100,2,FALSE), " ")</f>
        <v xml:space="preserve"> </v>
      </c>
      <c r="Z27" s="55"/>
      <c r="AA27" s="32"/>
      <c r="AB27" s="32"/>
      <c r="AC27" s="55"/>
      <c r="AD27" s="32"/>
      <c r="AE27" s="54"/>
      <c r="AF27" s="21" t="str">
        <f>IFERROR(VLOOKUP(February[[#This Row],[Drug Name3]],'Data Options'!$R$1:$S$100,2,FALSE), " ")</f>
        <v xml:space="preserve"> </v>
      </c>
      <c r="AG27" s="55"/>
      <c r="AH27" s="32"/>
      <c r="AI27" s="32"/>
      <c r="AJ27" s="55"/>
      <c r="AK27" s="32"/>
      <c r="AL27" s="32"/>
      <c r="AM27" s="32"/>
      <c r="AN27" s="32"/>
      <c r="AO27" s="32"/>
      <c r="AP27" s="31"/>
      <c r="AQ27" s="31"/>
      <c r="AR27" s="54"/>
      <c r="AS27" s="21" t="str">
        <f>IFERROR(VLOOKUP(February[[#This Row],[Drug Name4]],'Data Options'!$R$1:$S$100,2,FALSE), " ")</f>
        <v xml:space="preserve"> </v>
      </c>
      <c r="AT27" s="55"/>
      <c r="AU27" s="32"/>
      <c r="AV27" s="32"/>
      <c r="AW27" s="55"/>
      <c r="AX27" s="32"/>
      <c r="AY27" s="54"/>
      <c r="AZ27" s="21" t="str">
        <f>IFERROR(VLOOKUP(February[[#This Row],[Drug Name5]],'Data Options'!$R$1:$S$100,2,FALSE), " ")</f>
        <v xml:space="preserve"> </v>
      </c>
      <c r="BA27" s="55"/>
      <c r="BB27" s="32"/>
      <c r="BC27" s="32"/>
      <c r="BD27" s="55"/>
      <c r="BE27" s="32"/>
      <c r="BF27" s="54"/>
      <c r="BG27" s="21" t="str">
        <f>IFERROR(VLOOKUP(February[[#This Row],[Drug Name6]],'Data Options'!$R$1:$S$100,2,FALSE), " ")</f>
        <v xml:space="preserve"> </v>
      </c>
      <c r="BH27" s="55"/>
      <c r="BI27" s="32"/>
      <c r="BJ27" s="32"/>
      <c r="BK27" s="55"/>
      <c r="BL27" s="32"/>
      <c r="BM27" s="32"/>
      <c r="BN27" s="32"/>
      <c r="BO27" s="32"/>
      <c r="BP27" s="32"/>
      <c r="BQ27" s="31"/>
      <c r="BR27" s="31"/>
      <c r="BS27" s="54"/>
      <c r="BT27" s="21" t="str">
        <f>IFERROR(VLOOKUP(February[[#This Row],[Drug Name7]],'Data Options'!$R$1:$S$100,2,FALSE), " ")</f>
        <v xml:space="preserve"> </v>
      </c>
      <c r="BU27" s="55"/>
      <c r="BV27" s="32"/>
      <c r="BW27" s="32"/>
      <c r="BX27" s="55"/>
      <c r="BY27" s="32"/>
      <c r="BZ27" s="54"/>
      <c r="CA27" s="21" t="str">
        <f>IFERROR(VLOOKUP(February[[#This Row],[Drug Name8]],'Data Options'!$R$1:$S$100,2,FALSE), " ")</f>
        <v xml:space="preserve"> </v>
      </c>
      <c r="CB27" s="55"/>
      <c r="CC27" s="32"/>
      <c r="CD27" s="32"/>
      <c r="CE27" s="55"/>
      <c r="CF27" s="32"/>
      <c r="CG27" s="54"/>
      <c r="CH27" s="21" t="str">
        <f>IFERROR(VLOOKUP(February[[#This Row],[Drug Name9]],'Data Options'!$R$1:$S$100,2,FALSE), " ")</f>
        <v xml:space="preserve"> </v>
      </c>
      <c r="CI27" s="55"/>
      <c r="CJ27" s="32"/>
      <c r="CK27" s="32"/>
      <c r="CL27" s="55"/>
      <c r="CM27" s="32"/>
    </row>
    <row r="28" spans="1:91">
      <c r="A28" s="5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54"/>
      <c r="R28" s="21" t="str">
        <f>IFERROR(VLOOKUP(February[[#This Row],[Drug Name]],'Data Options'!$R$1:$S$100,2,FALSE), " ")</f>
        <v xml:space="preserve"> </v>
      </c>
      <c r="S28" s="55"/>
      <c r="T28" s="32"/>
      <c r="U28" s="32"/>
      <c r="V28" s="55"/>
      <c r="W28" s="32"/>
      <c r="X28" s="54"/>
      <c r="Y28" s="21" t="str">
        <f>IFERROR(VLOOKUP(February[[#This Row],[Drug Name2]],'Data Options'!$R$1:$S$100,2,FALSE), " ")</f>
        <v xml:space="preserve"> </v>
      </c>
      <c r="Z28" s="55"/>
      <c r="AA28" s="32"/>
      <c r="AB28" s="32"/>
      <c r="AC28" s="55"/>
      <c r="AD28" s="32"/>
      <c r="AE28" s="54"/>
      <c r="AF28" s="21" t="str">
        <f>IFERROR(VLOOKUP(February[[#This Row],[Drug Name3]],'Data Options'!$R$1:$S$100,2,FALSE), " ")</f>
        <v xml:space="preserve"> </v>
      </c>
      <c r="AG28" s="55"/>
      <c r="AH28" s="32"/>
      <c r="AI28" s="32"/>
      <c r="AJ28" s="55"/>
      <c r="AK28" s="32"/>
      <c r="AL28" s="32"/>
      <c r="AM28" s="32"/>
      <c r="AN28" s="32"/>
      <c r="AO28" s="32"/>
      <c r="AP28" s="31"/>
      <c r="AQ28" s="31"/>
      <c r="AR28" s="54"/>
      <c r="AS28" s="21" t="str">
        <f>IFERROR(VLOOKUP(February[[#This Row],[Drug Name4]],'Data Options'!$R$1:$S$100,2,FALSE), " ")</f>
        <v xml:space="preserve"> </v>
      </c>
      <c r="AT28" s="55"/>
      <c r="AU28" s="32"/>
      <c r="AV28" s="32"/>
      <c r="AW28" s="55"/>
      <c r="AX28" s="32"/>
      <c r="AY28" s="54"/>
      <c r="AZ28" s="21" t="str">
        <f>IFERROR(VLOOKUP(February[[#This Row],[Drug Name5]],'Data Options'!$R$1:$S$100,2,FALSE), " ")</f>
        <v xml:space="preserve"> </v>
      </c>
      <c r="BA28" s="55"/>
      <c r="BB28" s="32"/>
      <c r="BC28" s="32"/>
      <c r="BD28" s="55"/>
      <c r="BE28" s="32"/>
      <c r="BF28" s="54"/>
      <c r="BG28" s="21" t="str">
        <f>IFERROR(VLOOKUP(February[[#This Row],[Drug Name6]],'Data Options'!$R$1:$S$100,2,FALSE), " ")</f>
        <v xml:space="preserve"> </v>
      </c>
      <c r="BH28" s="55"/>
      <c r="BI28" s="32"/>
      <c r="BJ28" s="32"/>
      <c r="BK28" s="55"/>
      <c r="BL28" s="32"/>
      <c r="BM28" s="32"/>
      <c r="BN28" s="32"/>
      <c r="BO28" s="32"/>
      <c r="BP28" s="32"/>
      <c r="BQ28" s="31"/>
      <c r="BR28" s="31"/>
      <c r="BS28" s="54"/>
      <c r="BT28" s="21" t="str">
        <f>IFERROR(VLOOKUP(February[[#This Row],[Drug Name7]],'Data Options'!$R$1:$S$100,2,FALSE), " ")</f>
        <v xml:space="preserve"> </v>
      </c>
      <c r="BU28" s="55"/>
      <c r="BV28" s="32"/>
      <c r="BW28" s="32"/>
      <c r="BX28" s="55"/>
      <c r="BY28" s="32"/>
      <c r="BZ28" s="54"/>
      <c r="CA28" s="21" t="str">
        <f>IFERROR(VLOOKUP(February[[#This Row],[Drug Name8]],'Data Options'!$R$1:$S$100,2,FALSE), " ")</f>
        <v xml:space="preserve"> </v>
      </c>
      <c r="CB28" s="55"/>
      <c r="CC28" s="32"/>
      <c r="CD28" s="32"/>
      <c r="CE28" s="55"/>
      <c r="CF28" s="32"/>
      <c r="CG28" s="54"/>
      <c r="CH28" s="21" t="str">
        <f>IFERROR(VLOOKUP(February[[#This Row],[Drug Name9]],'Data Options'!$R$1:$S$100,2,FALSE), " ")</f>
        <v xml:space="preserve"> </v>
      </c>
      <c r="CI28" s="55"/>
      <c r="CJ28" s="32"/>
      <c r="CK28" s="32"/>
      <c r="CL28" s="55"/>
      <c r="CM28" s="32"/>
    </row>
    <row r="29" spans="1:91">
      <c r="A29" s="5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54"/>
      <c r="R29" s="21" t="str">
        <f>IFERROR(VLOOKUP(February[[#This Row],[Drug Name]],'Data Options'!$R$1:$S$100,2,FALSE), " ")</f>
        <v xml:space="preserve"> </v>
      </c>
      <c r="S29" s="55"/>
      <c r="T29" s="32"/>
      <c r="U29" s="32"/>
      <c r="V29" s="55"/>
      <c r="W29" s="32"/>
      <c r="X29" s="54"/>
      <c r="Y29" s="21" t="str">
        <f>IFERROR(VLOOKUP(February[[#This Row],[Drug Name2]],'Data Options'!$R$1:$S$100,2,FALSE), " ")</f>
        <v xml:space="preserve"> </v>
      </c>
      <c r="Z29" s="55"/>
      <c r="AA29" s="32"/>
      <c r="AB29" s="32"/>
      <c r="AC29" s="55"/>
      <c r="AD29" s="32"/>
      <c r="AE29" s="54"/>
      <c r="AF29" s="21" t="str">
        <f>IFERROR(VLOOKUP(February[[#This Row],[Drug Name3]],'Data Options'!$R$1:$S$100,2,FALSE), " ")</f>
        <v xml:space="preserve"> </v>
      </c>
      <c r="AG29" s="55"/>
      <c r="AH29" s="32"/>
      <c r="AI29" s="32"/>
      <c r="AJ29" s="55"/>
      <c r="AK29" s="32"/>
      <c r="AL29" s="32"/>
      <c r="AM29" s="32"/>
      <c r="AN29" s="32"/>
      <c r="AO29" s="32"/>
      <c r="AP29" s="31"/>
      <c r="AQ29" s="31"/>
      <c r="AR29" s="54"/>
      <c r="AS29" s="21" t="str">
        <f>IFERROR(VLOOKUP(February[[#This Row],[Drug Name4]],'Data Options'!$R$1:$S$100,2,FALSE), " ")</f>
        <v xml:space="preserve"> </v>
      </c>
      <c r="AT29" s="55"/>
      <c r="AU29" s="32"/>
      <c r="AV29" s="32"/>
      <c r="AW29" s="55"/>
      <c r="AX29" s="32"/>
      <c r="AY29" s="54"/>
      <c r="AZ29" s="21" t="str">
        <f>IFERROR(VLOOKUP(February[[#This Row],[Drug Name5]],'Data Options'!$R$1:$S$100,2,FALSE), " ")</f>
        <v xml:space="preserve"> </v>
      </c>
      <c r="BA29" s="55"/>
      <c r="BB29" s="32"/>
      <c r="BC29" s="32"/>
      <c r="BD29" s="55"/>
      <c r="BE29" s="32"/>
      <c r="BF29" s="54"/>
      <c r="BG29" s="21" t="str">
        <f>IFERROR(VLOOKUP(February[[#This Row],[Drug Name6]],'Data Options'!$R$1:$S$100,2,FALSE), " ")</f>
        <v xml:space="preserve"> </v>
      </c>
      <c r="BH29" s="55"/>
      <c r="BI29" s="32"/>
      <c r="BJ29" s="32"/>
      <c r="BK29" s="55"/>
      <c r="BL29" s="32"/>
      <c r="BM29" s="32"/>
      <c r="BN29" s="32"/>
      <c r="BO29" s="32"/>
      <c r="BP29" s="32"/>
      <c r="BQ29" s="31"/>
      <c r="BR29" s="31"/>
      <c r="BS29" s="54"/>
      <c r="BT29" s="21" t="str">
        <f>IFERROR(VLOOKUP(February[[#This Row],[Drug Name7]],'Data Options'!$R$1:$S$100,2,FALSE), " ")</f>
        <v xml:space="preserve"> </v>
      </c>
      <c r="BU29" s="55"/>
      <c r="BV29" s="32"/>
      <c r="BW29" s="32"/>
      <c r="BX29" s="55"/>
      <c r="BY29" s="32"/>
      <c r="BZ29" s="54"/>
      <c r="CA29" s="21" t="str">
        <f>IFERROR(VLOOKUP(February[[#This Row],[Drug Name8]],'Data Options'!$R$1:$S$100,2,FALSE), " ")</f>
        <v xml:space="preserve"> </v>
      </c>
      <c r="CB29" s="55"/>
      <c r="CC29" s="32"/>
      <c r="CD29" s="32"/>
      <c r="CE29" s="55"/>
      <c r="CF29" s="32"/>
      <c r="CG29" s="54"/>
      <c r="CH29" s="21" t="str">
        <f>IFERROR(VLOOKUP(February[[#This Row],[Drug Name9]],'Data Options'!$R$1:$S$100,2,FALSE), " ")</f>
        <v xml:space="preserve"> </v>
      </c>
      <c r="CI29" s="55"/>
      <c r="CJ29" s="32"/>
      <c r="CK29" s="32"/>
      <c r="CL29" s="55"/>
      <c r="CM29" s="32"/>
    </row>
    <row r="30" spans="1:91">
      <c r="A30" s="5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54"/>
      <c r="R30" s="21" t="str">
        <f>IFERROR(VLOOKUP(February[[#This Row],[Drug Name]],'Data Options'!$R$1:$S$100,2,FALSE), " ")</f>
        <v xml:space="preserve"> </v>
      </c>
      <c r="S30" s="55"/>
      <c r="T30" s="32"/>
      <c r="U30" s="32"/>
      <c r="V30" s="55"/>
      <c r="W30" s="32"/>
      <c r="X30" s="54"/>
      <c r="Y30" s="21" t="str">
        <f>IFERROR(VLOOKUP(February[[#This Row],[Drug Name2]],'Data Options'!$R$1:$S$100,2,FALSE), " ")</f>
        <v xml:space="preserve"> </v>
      </c>
      <c r="Z30" s="55"/>
      <c r="AA30" s="32"/>
      <c r="AB30" s="32"/>
      <c r="AC30" s="55"/>
      <c r="AD30" s="32"/>
      <c r="AE30" s="54"/>
      <c r="AF30" s="21" t="str">
        <f>IFERROR(VLOOKUP(February[[#This Row],[Drug Name3]],'Data Options'!$R$1:$S$100,2,FALSE), " ")</f>
        <v xml:space="preserve"> </v>
      </c>
      <c r="AG30" s="55"/>
      <c r="AH30" s="32"/>
      <c r="AI30" s="32"/>
      <c r="AJ30" s="55"/>
      <c r="AK30" s="32"/>
      <c r="AL30" s="32"/>
      <c r="AM30" s="32"/>
      <c r="AN30" s="32"/>
      <c r="AO30" s="32"/>
      <c r="AP30" s="31"/>
      <c r="AQ30" s="31"/>
      <c r="AR30" s="54"/>
      <c r="AS30" s="21" t="str">
        <f>IFERROR(VLOOKUP(February[[#This Row],[Drug Name4]],'Data Options'!$R$1:$S$100,2,FALSE), " ")</f>
        <v xml:space="preserve"> </v>
      </c>
      <c r="AT30" s="55"/>
      <c r="AU30" s="32"/>
      <c r="AV30" s="32"/>
      <c r="AW30" s="55"/>
      <c r="AX30" s="32"/>
      <c r="AY30" s="54"/>
      <c r="AZ30" s="21" t="str">
        <f>IFERROR(VLOOKUP(February[[#This Row],[Drug Name5]],'Data Options'!$R$1:$S$100,2,FALSE), " ")</f>
        <v xml:space="preserve"> </v>
      </c>
      <c r="BA30" s="55"/>
      <c r="BB30" s="32"/>
      <c r="BC30" s="32"/>
      <c r="BD30" s="55"/>
      <c r="BE30" s="32"/>
      <c r="BF30" s="54"/>
      <c r="BG30" s="21" t="str">
        <f>IFERROR(VLOOKUP(February[[#This Row],[Drug Name6]],'Data Options'!$R$1:$S$100,2,FALSE), " ")</f>
        <v xml:space="preserve"> </v>
      </c>
      <c r="BH30" s="55"/>
      <c r="BI30" s="32"/>
      <c r="BJ30" s="32"/>
      <c r="BK30" s="55"/>
      <c r="BL30" s="32"/>
      <c r="BM30" s="32"/>
      <c r="BN30" s="32"/>
      <c r="BO30" s="32"/>
      <c r="BP30" s="32"/>
      <c r="BQ30" s="31"/>
      <c r="BR30" s="31"/>
      <c r="BS30" s="54"/>
      <c r="BT30" s="21" t="str">
        <f>IFERROR(VLOOKUP(February[[#This Row],[Drug Name7]],'Data Options'!$R$1:$S$100,2,FALSE), " ")</f>
        <v xml:space="preserve"> </v>
      </c>
      <c r="BU30" s="55"/>
      <c r="BV30" s="32"/>
      <c r="BW30" s="32"/>
      <c r="BX30" s="55"/>
      <c r="BY30" s="32"/>
      <c r="BZ30" s="54"/>
      <c r="CA30" s="21" t="str">
        <f>IFERROR(VLOOKUP(February[[#This Row],[Drug Name8]],'Data Options'!$R$1:$S$100,2,FALSE), " ")</f>
        <v xml:space="preserve"> </v>
      </c>
      <c r="CB30" s="55"/>
      <c r="CC30" s="32"/>
      <c r="CD30" s="32"/>
      <c r="CE30" s="55"/>
      <c r="CF30" s="32"/>
      <c r="CG30" s="54"/>
      <c r="CH30" s="21" t="str">
        <f>IFERROR(VLOOKUP(February[[#This Row],[Drug Name9]],'Data Options'!$R$1:$S$100,2,FALSE), " ")</f>
        <v xml:space="preserve"> </v>
      </c>
      <c r="CI30" s="55"/>
      <c r="CJ30" s="32"/>
      <c r="CK30" s="32"/>
      <c r="CL30" s="55"/>
      <c r="CM30" s="32"/>
    </row>
    <row r="31" spans="1:9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54"/>
      <c r="R31" s="21" t="str">
        <f>IFERROR(VLOOKUP(February[[#This Row],[Drug Name]],'Data Options'!$R$1:$S$100,2,FALSE), " ")</f>
        <v xml:space="preserve"> </v>
      </c>
      <c r="S31" s="55"/>
      <c r="T31" s="32"/>
      <c r="U31" s="32"/>
      <c r="V31" s="55"/>
      <c r="W31" s="32"/>
      <c r="X31" s="54"/>
      <c r="Y31" s="21" t="str">
        <f>IFERROR(VLOOKUP(February[[#This Row],[Drug Name2]],'Data Options'!$R$1:$S$100,2,FALSE), " ")</f>
        <v xml:space="preserve"> </v>
      </c>
      <c r="Z31" s="55"/>
      <c r="AA31" s="32"/>
      <c r="AB31" s="32"/>
      <c r="AC31" s="55"/>
      <c r="AD31" s="32"/>
      <c r="AE31" s="54"/>
      <c r="AF31" s="21" t="str">
        <f>IFERROR(VLOOKUP(February[[#This Row],[Drug Name3]],'Data Options'!$R$1:$S$100,2,FALSE), " ")</f>
        <v xml:space="preserve"> </v>
      </c>
      <c r="AG31" s="55"/>
      <c r="AH31" s="32"/>
      <c r="AI31" s="32"/>
      <c r="AJ31" s="55"/>
      <c r="AK31" s="32"/>
      <c r="AL31" s="32"/>
      <c r="AM31" s="32"/>
      <c r="AN31" s="32"/>
      <c r="AO31" s="32"/>
      <c r="AP31" s="31"/>
      <c r="AQ31" s="31"/>
      <c r="AR31" s="54"/>
      <c r="AS31" s="21" t="str">
        <f>IFERROR(VLOOKUP(February[[#This Row],[Drug Name4]],'Data Options'!$R$1:$S$100,2,FALSE), " ")</f>
        <v xml:space="preserve"> </v>
      </c>
      <c r="AT31" s="55"/>
      <c r="AU31" s="32"/>
      <c r="AV31" s="32"/>
      <c r="AW31" s="55"/>
      <c r="AX31" s="32"/>
      <c r="AY31" s="54"/>
      <c r="AZ31" s="21" t="str">
        <f>IFERROR(VLOOKUP(February[[#This Row],[Drug Name5]],'Data Options'!$R$1:$S$100,2,FALSE), " ")</f>
        <v xml:space="preserve"> </v>
      </c>
      <c r="BA31" s="55"/>
      <c r="BB31" s="32"/>
      <c r="BC31" s="32"/>
      <c r="BD31" s="55"/>
      <c r="BE31" s="32"/>
      <c r="BF31" s="54"/>
      <c r="BG31" s="21" t="str">
        <f>IFERROR(VLOOKUP(February[[#This Row],[Drug Name6]],'Data Options'!$R$1:$S$100,2,FALSE), " ")</f>
        <v xml:space="preserve"> </v>
      </c>
      <c r="BH31" s="55"/>
      <c r="BI31" s="32"/>
      <c r="BJ31" s="32"/>
      <c r="BK31" s="55"/>
      <c r="BL31" s="32"/>
      <c r="BM31" s="32"/>
      <c r="BN31" s="32"/>
      <c r="BO31" s="32"/>
      <c r="BP31" s="32"/>
      <c r="BQ31" s="31"/>
      <c r="BR31" s="31"/>
      <c r="BS31" s="54"/>
      <c r="BT31" s="21" t="str">
        <f>IFERROR(VLOOKUP(February[[#This Row],[Drug Name7]],'Data Options'!$R$1:$S$100,2,FALSE), " ")</f>
        <v xml:space="preserve"> </v>
      </c>
      <c r="BU31" s="55"/>
      <c r="BV31" s="32"/>
      <c r="BW31" s="32"/>
      <c r="BX31" s="55"/>
      <c r="BY31" s="32"/>
      <c r="BZ31" s="54"/>
      <c r="CA31" s="21" t="str">
        <f>IFERROR(VLOOKUP(February[[#This Row],[Drug Name8]],'Data Options'!$R$1:$S$100,2,FALSE), " ")</f>
        <v xml:space="preserve"> </v>
      </c>
      <c r="CB31" s="55"/>
      <c r="CC31" s="32"/>
      <c r="CD31" s="32"/>
      <c r="CE31" s="55"/>
      <c r="CF31" s="32"/>
      <c r="CG31" s="54"/>
      <c r="CH31" s="21" t="str">
        <f>IFERROR(VLOOKUP(February[[#This Row],[Drug Name9]],'Data Options'!$R$1:$S$100,2,FALSE), " ")</f>
        <v xml:space="preserve"> </v>
      </c>
      <c r="CI31" s="55"/>
      <c r="CJ31" s="32"/>
      <c r="CK31" s="32"/>
      <c r="CL31" s="55"/>
      <c r="CM31" s="32"/>
    </row>
    <row r="32" spans="1:91">
      <c r="A32" s="5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54"/>
      <c r="R32" s="21" t="str">
        <f>IFERROR(VLOOKUP(February[[#This Row],[Drug Name]],'Data Options'!$R$1:$S$100,2,FALSE), " ")</f>
        <v xml:space="preserve"> </v>
      </c>
      <c r="S32" s="55"/>
      <c r="T32" s="32"/>
      <c r="U32" s="32"/>
      <c r="V32" s="55"/>
      <c r="W32" s="32"/>
      <c r="X32" s="54"/>
      <c r="Y32" s="21" t="str">
        <f>IFERROR(VLOOKUP(February[[#This Row],[Drug Name2]],'Data Options'!$R$1:$S$100,2,FALSE), " ")</f>
        <v xml:space="preserve"> </v>
      </c>
      <c r="Z32" s="55"/>
      <c r="AA32" s="32"/>
      <c r="AB32" s="32"/>
      <c r="AC32" s="55"/>
      <c r="AD32" s="32"/>
      <c r="AE32" s="54"/>
      <c r="AF32" s="21" t="str">
        <f>IFERROR(VLOOKUP(February[[#This Row],[Drug Name3]],'Data Options'!$R$1:$S$100,2,FALSE), " ")</f>
        <v xml:space="preserve"> </v>
      </c>
      <c r="AG32" s="55"/>
      <c r="AH32" s="32"/>
      <c r="AI32" s="32"/>
      <c r="AJ32" s="55"/>
      <c r="AK32" s="32"/>
      <c r="AL32" s="32"/>
      <c r="AM32" s="32"/>
      <c r="AN32" s="32"/>
      <c r="AO32" s="32"/>
      <c r="AP32" s="31"/>
      <c r="AQ32" s="31"/>
      <c r="AR32" s="54"/>
      <c r="AS32" s="21" t="str">
        <f>IFERROR(VLOOKUP(February[[#This Row],[Drug Name4]],'Data Options'!$R$1:$S$100,2,FALSE), " ")</f>
        <v xml:space="preserve"> </v>
      </c>
      <c r="AT32" s="55"/>
      <c r="AU32" s="32"/>
      <c r="AV32" s="32"/>
      <c r="AW32" s="55"/>
      <c r="AX32" s="32"/>
      <c r="AY32" s="54"/>
      <c r="AZ32" s="21" t="str">
        <f>IFERROR(VLOOKUP(February[[#This Row],[Drug Name5]],'Data Options'!$R$1:$S$100,2,FALSE), " ")</f>
        <v xml:space="preserve"> </v>
      </c>
      <c r="BA32" s="55"/>
      <c r="BB32" s="32"/>
      <c r="BC32" s="32"/>
      <c r="BD32" s="55"/>
      <c r="BE32" s="32"/>
      <c r="BF32" s="54"/>
      <c r="BG32" s="21" t="str">
        <f>IFERROR(VLOOKUP(February[[#This Row],[Drug Name6]],'Data Options'!$R$1:$S$100,2,FALSE), " ")</f>
        <v xml:space="preserve"> </v>
      </c>
      <c r="BH32" s="55"/>
      <c r="BI32" s="32"/>
      <c r="BJ32" s="32"/>
      <c r="BK32" s="55"/>
      <c r="BL32" s="32"/>
      <c r="BM32" s="32"/>
      <c r="BN32" s="32"/>
      <c r="BO32" s="32"/>
      <c r="BP32" s="32"/>
      <c r="BQ32" s="31"/>
      <c r="BR32" s="31"/>
      <c r="BS32" s="54"/>
      <c r="BT32" s="21" t="str">
        <f>IFERROR(VLOOKUP(February[[#This Row],[Drug Name7]],'Data Options'!$R$1:$S$100,2,FALSE), " ")</f>
        <v xml:space="preserve"> </v>
      </c>
      <c r="BU32" s="55"/>
      <c r="BV32" s="32"/>
      <c r="BW32" s="32"/>
      <c r="BX32" s="55"/>
      <c r="BY32" s="32"/>
      <c r="BZ32" s="54"/>
      <c r="CA32" s="21" t="str">
        <f>IFERROR(VLOOKUP(February[[#This Row],[Drug Name8]],'Data Options'!$R$1:$S$100,2,FALSE), " ")</f>
        <v xml:space="preserve"> </v>
      </c>
      <c r="CB32" s="55"/>
      <c r="CC32" s="32"/>
      <c r="CD32" s="32"/>
      <c r="CE32" s="55"/>
      <c r="CF32" s="32"/>
      <c r="CG32" s="54"/>
      <c r="CH32" s="21" t="str">
        <f>IFERROR(VLOOKUP(February[[#This Row],[Drug Name9]],'Data Options'!$R$1:$S$100,2,FALSE), " ")</f>
        <v xml:space="preserve"> </v>
      </c>
      <c r="CI32" s="55"/>
      <c r="CJ32" s="32"/>
      <c r="CK32" s="32"/>
      <c r="CL32" s="55"/>
      <c r="CM32" s="32"/>
    </row>
    <row r="33" spans="1:9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54"/>
      <c r="R33" s="21" t="str">
        <f>IFERROR(VLOOKUP(February[[#This Row],[Drug Name]],'Data Options'!$R$1:$S$100,2,FALSE), " ")</f>
        <v xml:space="preserve"> </v>
      </c>
      <c r="S33" s="55"/>
      <c r="T33" s="32"/>
      <c r="U33" s="32"/>
      <c r="V33" s="55"/>
      <c r="W33" s="32"/>
      <c r="X33" s="54"/>
      <c r="Y33" s="21" t="str">
        <f>IFERROR(VLOOKUP(February[[#This Row],[Drug Name2]],'Data Options'!$R$1:$S$100,2,FALSE), " ")</f>
        <v xml:space="preserve"> </v>
      </c>
      <c r="Z33" s="55"/>
      <c r="AA33" s="32"/>
      <c r="AB33" s="32"/>
      <c r="AC33" s="55"/>
      <c r="AD33" s="32"/>
      <c r="AE33" s="54"/>
      <c r="AF33" s="21" t="str">
        <f>IFERROR(VLOOKUP(February[[#This Row],[Drug Name3]],'Data Options'!$R$1:$S$100,2,FALSE), " ")</f>
        <v xml:space="preserve"> </v>
      </c>
      <c r="AG33" s="55"/>
      <c r="AH33" s="32"/>
      <c r="AI33" s="32"/>
      <c r="AJ33" s="55"/>
      <c r="AK33" s="32"/>
      <c r="AL33" s="32"/>
      <c r="AM33" s="32"/>
      <c r="AN33" s="32"/>
      <c r="AO33" s="32"/>
      <c r="AP33" s="31"/>
      <c r="AQ33" s="31"/>
      <c r="AR33" s="54"/>
      <c r="AS33" s="21" t="str">
        <f>IFERROR(VLOOKUP(February[[#This Row],[Drug Name4]],'Data Options'!$R$1:$S$100,2,FALSE), " ")</f>
        <v xml:space="preserve"> </v>
      </c>
      <c r="AT33" s="55"/>
      <c r="AU33" s="32"/>
      <c r="AV33" s="32"/>
      <c r="AW33" s="55"/>
      <c r="AX33" s="32"/>
      <c r="AY33" s="54"/>
      <c r="AZ33" s="21" t="str">
        <f>IFERROR(VLOOKUP(February[[#This Row],[Drug Name5]],'Data Options'!$R$1:$S$100,2,FALSE), " ")</f>
        <v xml:space="preserve"> </v>
      </c>
      <c r="BA33" s="55"/>
      <c r="BB33" s="32"/>
      <c r="BC33" s="32"/>
      <c r="BD33" s="55"/>
      <c r="BE33" s="32"/>
      <c r="BF33" s="54"/>
      <c r="BG33" s="21" t="str">
        <f>IFERROR(VLOOKUP(February[[#This Row],[Drug Name6]],'Data Options'!$R$1:$S$100,2,FALSE), " ")</f>
        <v xml:space="preserve"> </v>
      </c>
      <c r="BH33" s="55"/>
      <c r="BI33" s="32"/>
      <c r="BJ33" s="32"/>
      <c r="BK33" s="55"/>
      <c r="BL33" s="32"/>
      <c r="BM33" s="32"/>
      <c r="BN33" s="32"/>
      <c r="BO33" s="32"/>
      <c r="BP33" s="32"/>
      <c r="BQ33" s="31"/>
      <c r="BR33" s="31"/>
      <c r="BS33" s="54"/>
      <c r="BT33" s="21" t="str">
        <f>IFERROR(VLOOKUP(February[[#This Row],[Drug Name7]],'Data Options'!$R$1:$S$100,2,FALSE), " ")</f>
        <v xml:space="preserve"> </v>
      </c>
      <c r="BU33" s="55"/>
      <c r="BV33" s="32"/>
      <c r="BW33" s="32"/>
      <c r="BX33" s="55"/>
      <c r="BY33" s="32"/>
      <c r="BZ33" s="54"/>
      <c r="CA33" s="21" t="str">
        <f>IFERROR(VLOOKUP(February[[#This Row],[Drug Name8]],'Data Options'!$R$1:$S$100,2,FALSE), " ")</f>
        <v xml:space="preserve"> </v>
      </c>
      <c r="CB33" s="55"/>
      <c r="CC33" s="32"/>
      <c r="CD33" s="32"/>
      <c r="CE33" s="55"/>
      <c r="CF33" s="32"/>
      <c r="CG33" s="54"/>
      <c r="CH33" s="21" t="str">
        <f>IFERROR(VLOOKUP(February[[#This Row],[Drug Name9]],'Data Options'!$R$1:$S$100,2,FALSE), " ")</f>
        <v xml:space="preserve"> </v>
      </c>
      <c r="CI33" s="55"/>
      <c r="CJ33" s="32"/>
      <c r="CK33" s="32"/>
      <c r="CL33" s="55"/>
      <c r="CM33" s="32"/>
    </row>
    <row r="34" spans="1:9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54"/>
      <c r="R34" s="21" t="str">
        <f>IFERROR(VLOOKUP(February[[#This Row],[Drug Name]],'Data Options'!$R$1:$S$100,2,FALSE), " ")</f>
        <v xml:space="preserve"> </v>
      </c>
      <c r="S34" s="55"/>
      <c r="T34" s="32"/>
      <c r="U34" s="32"/>
      <c r="V34" s="55"/>
      <c r="W34" s="32"/>
      <c r="X34" s="54"/>
      <c r="Y34" s="21" t="str">
        <f>IFERROR(VLOOKUP(February[[#This Row],[Drug Name2]],'Data Options'!$R$1:$S$100,2,FALSE), " ")</f>
        <v xml:space="preserve"> </v>
      </c>
      <c r="Z34" s="55"/>
      <c r="AA34" s="32"/>
      <c r="AB34" s="32"/>
      <c r="AC34" s="55"/>
      <c r="AD34" s="32"/>
      <c r="AE34" s="54"/>
      <c r="AF34" s="21" t="str">
        <f>IFERROR(VLOOKUP(February[[#This Row],[Drug Name3]],'Data Options'!$R$1:$S$100,2,FALSE), " ")</f>
        <v xml:space="preserve"> </v>
      </c>
      <c r="AG34" s="55"/>
      <c r="AH34" s="32"/>
      <c r="AI34" s="32"/>
      <c r="AJ34" s="55"/>
      <c r="AK34" s="32"/>
      <c r="AL34" s="32"/>
      <c r="AM34" s="32"/>
      <c r="AN34" s="32"/>
      <c r="AO34" s="32"/>
      <c r="AP34" s="31"/>
      <c r="AQ34" s="31"/>
      <c r="AR34" s="54"/>
      <c r="AS34" s="21" t="str">
        <f>IFERROR(VLOOKUP(February[[#This Row],[Drug Name4]],'Data Options'!$R$1:$S$100,2,FALSE), " ")</f>
        <v xml:space="preserve"> </v>
      </c>
      <c r="AT34" s="55"/>
      <c r="AU34" s="32"/>
      <c r="AV34" s="32"/>
      <c r="AW34" s="55"/>
      <c r="AX34" s="32"/>
      <c r="AY34" s="54"/>
      <c r="AZ34" s="21" t="str">
        <f>IFERROR(VLOOKUP(February[[#This Row],[Drug Name5]],'Data Options'!$R$1:$S$100,2,FALSE), " ")</f>
        <v xml:space="preserve"> </v>
      </c>
      <c r="BA34" s="55"/>
      <c r="BB34" s="32"/>
      <c r="BC34" s="32"/>
      <c r="BD34" s="55"/>
      <c r="BE34" s="32"/>
      <c r="BF34" s="54"/>
      <c r="BG34" s="21" t="str">
        <f>IFERROR(VLOOKUP(February[[#This Row],[Drug Name6]],'Data Options'!$R$1:$S$100,2,FALSE), " ")</f>
        <v xml:space="preserve"> </v>
      </c>
      <c r="BH34" s="55"/>
      <c r="BI34" s="32"/>
      <c r="BJ34" s="32"/>
      <c r="BK34" s="55"/>
      <c r="BL34" s="32"/>
      <c r="BM34" s="32"/>
      <c r="BN34" s="32"/>
      <c r="BO34" s="32"/>
      <c r="BP34" s="32"/>
      <c r="BQ34" s="31"/>
      <c r="BR34" s="31"/>
      <c r="BS34" s="54"/>
      <c r="BT34" s="21" t="str">
        <f>IFERROR(VLOOKUP(February[[#This Row],[Drug Name7]],'Data Options'!$R$1:$S$100,2,FALSE), " ")</f>
        <v xml:space="preserve"> </v>
      </c>
      <c r="BU34" s="55"/>
      <c r="BV34" s="32"/>
      <c r="BW34" s="32"/>
      <c r="BX34" s="55"/>
      <c r="BY34" s="32"/>
      <c r="BZ34" s="54"/>
      <c r="CA34" s="21" t="str">
        <f>IFERROR(VLOOKUP(February[[#This Row],[Drug Name8]],'Data Options'!$R$1:$S$100,2,FALSE), " ")</f>
        <v xml:space="preserve"> </v>
      </c>
      <c r="CB34" s="55"/>
      <c r="CC34" s="32"/>
      <c r="CD34" s="32"/>
      <c r="CE34" s="55"/>
      <c r="CF34" s="32"/>
      <c r="CG34" s="54"/>
      <c r="CH34" s="21" t="str">
        <f>IFERROR(VLOOKUP(February[[#This Row],[Drug Name9]],'Data Options'!$R$1:$S$100,2,FALSE), " ")</f>
        <v xml:space="preserve"> </v>
      </c>
      <c r="CI34" s="55"/>
      <c r="CJ34" s="32"/>
      <c r="CK34" s="32"/>
      <c r="CL34" s="55"/>
      <c r="CM34" s="32"/>
    </row>
    <row r="35" spans="1:9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54"/>
      <c r="R35" s="21" t="str">
        <f>IFERROR(VLOOKUP(February[[#This Row],[Drug Name]],'Data Options'!$R$1:$S$100,2,FALSE), " ")</f>
        <v xml:space="preserve"> </v>
      </c>
      <c r="S35" s="55"/>
      <c r="T35" s="32"/>
      <c r="U35" s="32"/>
      <c r="V35" s="55"/>
      <c r="W35" s="32"/>
      <c r="X35" s="54"/>
      <c r="Y35" s="21" t="str">
        <f>IFERROR(VLOOKUP(February[[#This Row],[Drug Name2]],'Data Options'!$R$1:$S$100,2,FALSE), " ")</f>
        <v xml:space="preserve"> </v>
      </c>
      <c r="Z35" s="55"/>
      <c r="AA35" s="32"/>
      <c r="AB35" s="32"/>
      <c r="AC35" s="55"/>
      <c r="AD35" s="32"/>
      <c r="AE35" s="54"/>
      <c r="AF35" s="21" t="str">
        <f>IFERROR(VLOOKUP(February[[#This Row],[Drug Name3]],'Data Options'!$R$1:$S$100,2,FALSE), " ")</f>
        <v xml:space="preserve"> </v>
      </c>
      <c r="AG35" s="55"/>
      <c r="AH35" s="32"/>
      <c r="AI35" s="32"/>
      <c r="AJ35" s="55"/>
      <c r="AK35" s="32"/>
      <c r="AL35" s="32"/>
      <c r="AM35" s="32"/>
      <c r="AN35" s="32"/>
      <c r="AO35" s="32"/>
      <c r="AP35" s="31"/>
      <c r="AQ35" s="31"/>
      <c r="AR35" s="54"/>
      <c r="AS35" s="21" t="str">
        <f>IFERROR(VLOOKUP(February[[#This Row],[Drug Name4]],'Data Options'!$R$1:$S$100,2,FALSE), " ")</f>
        <v xml:space="preserve"> </v>
      </c>
      <c r="AT35" s="55"/>
      <c r="AU35" s="32"/>
      <c r="AV35" s="32"/>
      <c r="AW35" s="55"/>
      <c r="AX35" s="32"/>
      <c r="AY35" s="54"/>
      <c r="AZ35" s="21" t="str">
        <f>IFERROR(VLOOKUP(February[[#This Row],[Drug Name5]],'Data Options'!$R$1:$S$100,2,FALSE), " ")</f>
        <v xml:space="preserve"> </v>
      </c>
      <c r="BA35" s="55"/>
      <c r="BB35" s="32"/>
      <c r="BC35" s="32"/>
      <c r="BD35" s="55"/>
      <c r="BE35" s="32"/>
      <c r="BF35" s="54"/>
      <c r="BG35" s="21" t="str">
        <f>IFERROR(VLOOKUP(February[[#This Row],[Drug Name6]],'Data Options'!$R$1:$S$100,2,FALSE), " ")</f>
        <v xml:space="preserve"> </v>
      </c>
      <c r="BH35" s="55"/>
      <c r="BI35" s="32"/>
      <c r="BJ35" s="32"/>
      <c r="BK35" s="55"/>
      <c r="BL35" s="32"/>
      <c r="BM35" s="32"/>
      <c r="BN35" s="32"/>
      <c r="BO35" s="32"/>
      <c r="BP35" s="32"/>
      <c r="BQ35" s="31"/>
      <c r="BR35" s="31"/>
      <c r="BS35" s="54"/>
      <c r="BT35" s="21" t="str">
        <f>IFERROR(VLOOKUP(February[[#This Row],[Drug Name7]],'Data Options'!$R$1:$S$100,2,FALSE), " ")</f>
        <v xml:space="preserve"> </v>
      </c>
      <c r="BU35" s="55"/>
      <c r="BV35" s="32"/>
      <c r="BW35" s="32"/>
      <c r="BX35" s="55"/>
      <c r="BY35" s="32"/>
      <c r="BZ35" s="54"/>
      <c r="CA35" s="21" t="str">
        <f>IFERROR(VLOOKUP(February[[#This Row],[Drug Name8]],'Data Options'!$R$1:$S$100,2,FALSE), " ")</f>
        <v xml:space="preserve"> </v>
      </c>
      <c r="CB35" s="55"/>
      <c r="CC35" s="32"/>
      <c r="CD35" s="32"/>
      <c r="CE35" s="55"/>
      <c r="CF35" s="32"/>
      <c r="CG35" s="54"/>
      <c r="CH35" s="21" t="str">
        <f>IFERROR(VLOOKUP(February[[#This Row],[Drug Name9]],'Data Options'!$R$1:$S$100,2,FALSE), " ")</f>
        <v xml:space="preserve"> </v>
      </c>
      <c r="CI35" s="55"/>
      <c r="CJ35" s="32"/>
      <c r="CK35" s="32"/>
      <c r="CL35" s="55"/>
      <c r="CM35" s="32"/>
    </row>
    <row r="36" spans="1:91">
      <c r="A36" s="5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54"/>
      <c r="R36" s="21" t="str">
        <f>IFERROR(VLOOKUP(February[[#This Row],[Drug Name]],'Data Options'!$R$1:$S$100,2,FALSE), " ")</f>
        <v xml:space="preserve"> </v>
      </c>
      <c r="S36" s="55"/>
      <c r="T36" s="32"/>
      <c r="U36" s="32"/>
      <c r="V36" s="55"/>
      <c r="W36" s="32"/>
      <c r="X36" s="54"/>
      <c r="Y36" s="21" t="str">
        <f>IFERROR(VLOOKUP(February[[#This Row],[Drug Name2]],'Data Options'!$R$1:$S$100,2,FALSE), " ")</f>
        <v xml:space="preserve"> </v>
      </c>
      <c r="Z36" s="55"/>
      <c r="AA36" s="32"/>
      <c r="AB36" s="32"/>
      <c r="AC36" s="55"/>
      <c r="AD36" s="32"/>
      <c r="AE36" s="54"/>
      <c r="AF36" s="21" t="str">
        <f>IFERROR(VLOOKUP(February[[#This Row],[Drug Name3]],'Data Options'!$R$1:$S$100,2,FALSE), " ")</f>
        <v xml:space="preserve"> </v>
      </c>
      <c r="AG36" s="55"/>
      <c r="AH36" s="32"/>
      <c r="AI36" s="32"/>
      <c r="AJ36" s="55"/>
      <c r="AK36" s="32"/>
      <c r="AL36" s="32"/>
      <c r="AM36" s="32"/>
      <c r="AN36" s="32"/>
      <c r="AO36" s="32"/>
      <c r="AP36" s="31"/>
      <c r="AQ36" s="31"/>
      <c r="AR36" s="54"/>
      <c r="AS36" s="21" t="str">
        <f>IFERROR(VLOOKUP(February[[#This Row],[Drug Name4]],'Data Options'!$R$1:$S$100,2,FALSE), " ")</f>
        <v xml:space="preserve"> </v>
      </c>
      <c r="AT36" s="55"/>
      <c r="AU36" s="32"/>
      <c r="AV36" s="32"/>
      <c r="AW36" s="55"/>
      <c r="AX36" s="32"/>
      <c r="AY36" s="54"/>
      <c r="AZ36" s="21" t="str">
        <f>IFERROR(VLOOKUP(February[[#This Row],[Drug Name5]],'Data Options'!$R$1:$S$100,2,FALSE), " ")</f>
        <v xml:space="preserve"> </v>
      </c>
      <c r="BA36" s="55"/>
      <c r="BB36" s="32"/>
      <c r="BC36" s="32"/>
      <c r="BD36" s="55"/>
      <c r="BE36" s="32"/>
      <c r="BF36" s="54"/>
      <c r="BG36" s="21" t="str">
        <f>IFERROR(VLOOKUP(February[[#This Row],[Drug Name6]],'Data Options'!$R$1:$S$100,2,FALSE), " ")</f>
        <v xml:space="preserve"> </v>
      </c>
      <c r="BH36" s="55"/>
      <c r="BI36" s="32"/>
      <c r="BJ36" s="32"/>
      <c r="BK36" s="55"/>
      <c r="BL36" s="32"/>
      <c r="BM36" s="32"/>
      <c r="BN36" s="32"/>
      <c r="BO36" s="32"/>
      <c r="BP36" s="32"/>
      <c r="BQ36" s="31"/>
      <c r="BR36" s="31"/>
      <c r="BS36" s="54"/>
      <c r="BT36" s="21" t="str">
        <f>IFERROR(VLOOKUP(February[[#This Row],[Drug Name7]],'Data Options'!$R$1:$S$100,2,FALSE), " ")</f>
        <v xml:space="preserve"> </v>
      </c>
      <c r="BU36" s="55"/>
      <c r="BV36" s="32"/>
      <c r="BW36" s="32"/>
      <c r="BX36" s="55"/>
      <c r="BY36" s="32"/>
      <c r="BZ36" s="54"/>
      <c r="CA36" s="21" t="str">
        <f>IFERROR(VLOOKUP(February[[#This Row],[Drug Name8]],'Data Options'!$R$1:$S$100,2,FALSE), " ")</f>
        <v xml:space="preserve"> </v>
      </c>
      <c r="CB36" s="55"/>
      <c r="CC36" s="32"/>
      <c r="CD36" s="32"/>
      <c r="CE36" s="55"/>
      <c r="CF36" s="32"/>
      <c r="CG36" s="54"/>
      <c r="CH36" s="21" t="str">
        <f>IFERROR(VLOOKUP(February[[#This Row],[Drug Name9]],'Data Options'!$R$1:$S$100,2,FALSE), " ")</f>
        <v xml:space="preserve"> </v>
      </c>
      <c r="CI36" s="55"/>
      <c r="CJ36" s="32"/>
      <c r="CK36" s="32"/>
      <c r="CL36" s="55"/>
      <c r="CM36" s="32"/>
    </row>
    <row r="37" spans="1:9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54"/>
      <c r="R37" s="21" t="str">
        <f>IFERROR(VLOOKUP(February[[#This Row],[Drug Name]],'Data Options'!$R$1:$S$100,2,FALSE), " ")</f>
        <v xml:space="preserve"> </v>
      </c>
      <c r="S37" s="55"/>
      <c r="T37" s="32"/>
      <c r="U37" s="32"/>
      <c r="V37" s="55"/>
      <c r="W37" s="32"/>
      <c r="X37" s="54"/>
      <c r="Y37" s="21" t="str">
        <f>IFERROR(VLOOKUP(February[[#This Row],[Drug Name2]],'Data Options'!$R$1:$S$100,2,FALSE), " ")</f>
        <v xml:space="preserve"> </v>
      </c>
      <c r="Z37" s="55"/>
      <c r="AA37" s="32"/>
      <c r="AB37" s="32"/>
      <c r="AC37" s="55"/>
      <c r="AD37" s="32"/>
      <c r="AE37" s="54"/>
      <c r="AF37" s="21" t="str">
        <f>IFERROR(VLOOKUP(February[[#This Row],[Drug Name3]],'Data Options'!$R$1:$S$100,2,FALSE), " ")</f>
        <v xml:space="preserve"> </v>
      </c>
      <c r="AG37" s="55"/>
      <c r="AH37" s="32"/>
      <c r="AI37" s="32"/>
      <c r="AJ37" s="55"/>
      <c r="AK37" s="32"/>
      <c r="AL37" s="32"/>
      <c r="AM37" s="32"/>
      <c r="AN37" s="32"/>
      <c r="AO37" s="32"/>
      <c r="AP37" s="31"/>
      <c r="AQ37" s="31"/>
      <c r="AR37" s="54"/>
      <c r="AS37" s="21" t="str">
        <f>IFERROR(VLOOKUP(February[[#This Row],[Drug Name4]],'Data Options'!$R$1:$S$100,2,FALSE), " ")</f>
        <v xml:space="preserve"> </v>
      </c>
      <c r="AT37" s="55"/>
      <c r="AU37" s="32"/>
      <c r="AV37" s="32"/>
      <c r="AW37" s="55"/>
      <c r="AX37" s="32"/>
      <c r="AY37" s="54"/>
      <c r="AZ37" s="21" t="str">
        <f>IFERROR(VLOOKUP(February[[#This Row],[Drug Name5]],'Data Options'!$R$1:$S$100,2,FALSE), " ")</f>
        <v xml:space="preserve"> </v>
      </c>
      <c r="BA37" s="55"/>
      <c r="BB37" s="32"/>
      <c r="BC37" s="32"/>
      <c r="BD37" s="55"/>
      <c r="BE37" s="32"/>
      <c r="BF37" s="54"/>
      <c r="BG37" s="21" t="str">
        <f>IFERROR(VLOOKUP(February[[#This Row],[Drug Name6]],'Data Options'!$R$1:$S$100,2,FALSE), " ")</f>
        <v xml:space="preserve"> </v>
      </c>
      <c r="BH37" s="55"/>
      <c r="BI37" s="32"/>
      <c r="BJ37" s="32"/>
      <c r="BK37" s="55"/>
      <c r="BL37" s="32"/>
      <c r="BM37" s="32"/>
      <c r="BN37" s="32"/>
      <c r="BO37" s="32"/>
      <c r="BP37" s="32"/>
      <c r="BQ37" s="31"/>
      <c r="BR37" s="31"/>
      <c r="BS37" s="54"/>
      <c r="BT37" s="21" t="str">
        <f>IFERROR(VLOOKUP(February[[#This Row],[Drug Name7]],'Data Options'!$R$1:$S$100,2,FALSE), " ")</f>
        <v xml:space="preserve"> </v>
      </c>
      <c r="BU37" s="55"/>
      <c r="BV37" s="32"/>
      <c r="BW37" s="32"/>
      <c r="BX37" s="55"/>
      <c r="BY37" s="32"/>
      <c r="BZ37" s="54"/>
      <c r="CA37" s="21" t="str">
        <f>IFERROR(VLOOKUP(February[[#This Row],[Drug Name8]],'Data Options'!$R$1:$S$100,2,FALSE), " ")</f>
        <v xml:space="preserve"> </v>
      </c>
      <c r="CB37" s="55"/>
      <c r="CC37" s="32"/>
      <c r="CD37" s="32"/>
      <c r="CE37" s="55"/>
      <c r="CF37" s="32"/>
      <c r="CG37" s="54"/>
      <c r="CH37" s="21" t="str">
        <f>IFERROR(VLOOKUP(February[[#This Row],[Drug Name9]],'Data Options'!$R$1:$S$100,2,FALSE), " ")</f>
        <v xml:space="preserve"> </v>
      </c>
      <c r="CI37" s="55"/>
      <c r="CJ37" s="32"/>
      <c r="CK37" s="32"/>
      <c r="CL37" s="55"/>
      <c r="CM37" s="32"/>
    </row>
    <row r="38" spans="1:9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54"/>
      <c r="R38" s="21" t="str">
        <f>IFERROR(VLOOKUP(February[[#This Row],[Drug Name]],'Data Options'!$R$1:$S$100,2,FALSE), " ")</f>
        <v xml:space="preserve"> </v>
      </c>
      <c r="S38" s="55"/>
      <c r="T38" s="32"/>
      <c r="U38" s="32"/>
      <c r="V38" s="55"/>
      <c r="W38" s="32"/>
      <c r="X38" s="54"/>
      <c r="Y38" s="21" t="str">
        <f>IFERROR(VLOOKUP(February[[#This Row],[Drug Name2]],'Data Options'!$R$1:$S$100,2,FALSE), " ")</f>
        <v xml:space="preserve"> </v>
      </c>
      <c r="Z38" s="55"/>
      <c r="AA38" s="32"/>
      <c r="AB38" s="32"/>
      <c r="AC38" s="55"/>
      <c r="AD38" s="32"/>
      <c r="AE38" s="54"/>
      <c r="AF38" s="21" t="str">
        <f>IFERROR(VLOOKUP(February[[#This Row],[Drug Name3]],'Data Options'!$R$1:$S$100,2,FALSE), " ")</f>
        <v xml:space="preserve"> </v>
      </c>
      <c r="AG38" s="55"/>
      <c r="AH38" s="32"/>
      <c r="AI38" s="32"/>
      <c r="AJ38" s="55"/>
      <c r="AK38" s="32"/>
      <c r="AL38" s="32"/>
      <c r="AM38" s="32"/>
      <c r="AN38" s="32"/>
      <c r="AO38" s="32"/>
      <c r="AP38" s="31"/>
      <c r="AQ38" s="31"/>
      <c r="AR38" s="54"/>
      <c r="AS38" s="21" t="str">
        <f>IFERROR(VLOOKUP(February[[#This Row],[Drug Name4]],'Data Options'!$R$1:$S$100,2,FALSE), " ")</f>
        <v xml:space="preserve"> </v>
      </c>
      <c r="AT38" s="55"/>
      <c r="AU38" s="32"/>
      <c r="AV38" s="32"/>
      <c r="AW38" s="55"/>
      <c r="AX38" s="32"/>
      <c r="AY38" s="54"/>
      <c r="AZ38" s="21" t="str">
        <f>IFERROR(VLOOKUP(February[[#This Row],[Drug Name5]],'Data Options'!$R$1:$S$100,2,FALSE), " ")</f>
        <v xml:space="preserve"> </v>
      </c>
      <c r="BA38" s="55"/>
      <c r="BB38" s="32"/>
      <c r="BC38" s="32"/>
      <c r="BD38" s="55"/>
      <c r="BE38" s="32"/>
      <c r="BF38" s="54"/>
      <c r="BG38" s="21" t="str">
        <f>IFERROR(VLOOKUP(February[[#This Row],[Drug Name6]],'Data Options'!$R$1:$S$100,2,FALSE), " ")</f>
        <v xml:space="preserve"> </v>
      </c>
      <c r="BH38" s="55"/>
      <c r="BI38" s="32"/>
      <c r="BJ38" s="32"/>
      <c r="BK38" s="55"/>
      <c r="BL38" s="32"/>
      <c r="BM38" s="32"/>
      <c r="BN38" s="32"/>
      <c r="BO38" s="32"/>
      <c r="BP38" s="32"/>
      <c r="BQ38" s="31"/>
      <c r="BR38" s="31"/>
      <c r="BS38" s="54"/>
      <c r="BT38" s="21" t="str">
        <f>IFERROR(VLOOKUP(February[[#This Row],[Drug Name7]],'Data Options'!$R$1:$S$100,2,FALSE), " ")</f>
        <v xml:space="preserve"> </v>
      </c>
      <c r="BU38" s="55"/>
      <c r="BV38" s="32"/>
      <c r="BW38" s="32"/>
      <c r="BX38" s="55"/>
      <c r="BY38" s="32"/>
      <c r="BZ38" s="54"/>
      <c r="CA38" s="21" t="str">
        <f>IFERROR(VLOOKUP(February[[#This Row],[Drug Name8]],'Data Options'!$R$1:$S$100,2,FALSE), " ")</f>
        <v xml:space="preserve"> </v>
      </c>
      <c r="CB38" s="55"/>
      <c r="CC38" s="32"/>
      <c r="CD38" s="32"/>
      <c r="CE38" s="55"/>
      <c r="CF38" s="32"/>
      <c r="CG38" s="54"/>
      <c r="CH38" s="21" t="str">
        <f>IFERROR(VLOOKUP(February[[#This Row],[Drug Name9]],'Data Options'!$R$1:$S$100,2,FALSE), " ")</f>
        <v xml:space="preserve"> </v>
      </c>
      <c r="CI38" s="55"/>
      <c r="CJ38" s="32"/>
      <c r="CK38" s="32"/>
      <c r="CL38" s="55"/>
      <c r="CM38" s="32"/>
    </row>
    <row r="39" spans="1:9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54"/>
      <c r="R39" s="21" t="str">
        <f>IFERROR(VLOOKUP(February[[#This Row],[Drug Name]],'Data Options'!$R$1:$S$100,2,FALSE), " ")</f>
        <v xml:space="preserve"> </v>
      </c>
      <c r="S39" s="55"/>
      <c r="T39" s="32"/>
      <c r="U39" s="32"/>
      <c r="V39" s="55"/>
      <c r="W39" s="32"/>
      <c r="X39" s="54"/>
      <c r="Y39" s="21" t="str">
        <f>IFERROR(VLOOKUP(February[[#This Row],[Drug Name2]],'Data Options'!$R$1:$S$100,2,FALSE), " ")</f>
        <v xml:space="preserve"> </v>
      </c>
      <c r="Z39" s="55"/>
      <c r="AA39" s="32"/>
      <c r="AB39" s="32"/>
      <c r="AC39" s="55"/>
      <c r="AD39" s="32"/>
      <c r="AE39" s="54"/>
      <c r="AF39" s="21" t="str">
        <f>IFERROR(VLOOKUP(February[[#This Row],[Drug Name3]],'Data Options'!$R$1:$S$100,2,FALSE), " ")</f>
        <v xml:space="preserve"> </v>
      </c>
      <c r="AG39" s="55"/>
      <c r="AH39" s="32"/>
      <c r="AI39" s="32"/>
      <c r="AJ39" s="55"/>
      <c r="AK39" s="32"/>
      <c r="AL39" s="32"/>
      <c r="AM39" s="32"/>
      <c r="AN39" s="32"/>
      <c r="AO39" s="32"/>
      <c r="AP39" s="31"/>
      <c r="AQ39" s="31"/>
      <c r="AR39" s="54"/>
      <c r="AS39" s="21" t="str">
        <f>IFERROR(VLOOKUP(February[[#This Row],[Drug Name4]],'Data Options'!$R$1:$S$100,2,FALSE), " ")</f>
        <v xml:space="preserve"> </v>
      </c>
      <c r="AT39" s="55"/>
      <c r="AU39" s="32"/>
      <c r="AV39" s="32"/>
      <c r="AW39" s="55"/>
      <c r="AX39" s="32"/>
      <c r="AY39" s="54"/>
      <c r="AZ39" s="21" t="str">
        <f>IFERROR(VLOOKUP(February[[#This Row],[Drug Name5]],'Data Options'!$R$1:$S$100,2,FALSE), " ")</f>
        <v xml:space="preserve"> </v>
      </c>
      <c r="BA39" s="55"/>
      <c r="BB39" s="32"/>
      <c r="BC39" s="32"/>
      <c r="BD39" s="55"/>
      <c r="BE39" s="32"/>
      <c r="BF39" s="54"/>
      <c r="BG39" s="21" t="str">
        <f>IFERROR(VLOOKUP(February[[#This Row],[Drug Name6]],'Data Options'!$R$1:$S$100,2,FALSE), " ")</f>
        <v xml:space="preserve"> </v>
      </c>
      <c r="BH39" s="55"/>
      <c r="BI39" s="32"/>
      <c r="BJ39" s="32"/>
      <c r="BK39" s="55"/>
      <c r="BL39" s="32"/>
      <c r="BM39" s="32"/>
      <c r="BN39" s="32"/>
      <c r="BO39" s="32"/>
      <c r="BP39" s="32"/>
      <c r="BQ39" s="31"/>
      <c r="BR39" s="31"/>
      <c r="BS39" s="54"/>
      <c r="BT39" s="21" t="str">
        <f>IFERROR(VLOOKUP(February[[#This Row],[Drug Name7]],'Data Options'!$R$1:$S$100,2,FALSE), " ")</f>
        <v xml:space="preserve"> </v>
      </c>
      <c r="BU39" s="55"/>
      <c r="BV39" s="32"/>
      <c r="BW39" s="32"/>
      <c r="BX39" s="55"/>
      <c r="BY39" s="32"/>
      <c r="BZ39" s="54"/>
      <c r="CA39" s="21" t="str">
        <f>IFERROR(VLOOKUP(February[[#This Row],[Drug Name8]],'Data Options'!$R$1:$S$100,2,FALSE), " ")</f>
        <v xml:space="preserve"> </v>
      </c>
      <c r="CB39" s="55"/>
      <c r="CC39" s="32"/>
      <c r="CD39" s="32"/>
      <c r="CE39" s="55"/>
      <c r="CF39" s="32"/>
      <c r="CG39" s="54"/>
      <c r="CH39" s="21" t="str">
        <f>IFERROR(VLOOKUP(February[[#This Row],[Drug Name9]],'Data Options'!$R$1:$S$100,2,FALSE), " ")</f>
        <v xml:space="preserve"> </v>
      </c>
      <c r="CI39" s="55"/>
      <c r="CJ39" s="32"/>
      <c r="CK39" s="32"/>
      <c r="CL39" s="55"/>
      <c r="CM39" s="32"/>
    </row>
    <row r="40" spans="1:91">
      <c r="A40" s="5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54"/>
      <c r="R40" s="21" t="str">
        <f>IFERROR(VLOOKUP(February[[#This Row],[Drug Name]],'Data Options'!$R$1:$S$100,2,FALSE), " ")</f>
        <v xml:space="preserve"> </v>
      </c>
      <c r="S40" s="55"/>
      <c r="T40" s="32"/>
      <c r="U40" s="32"/>
      <c r="V40" s="55"/>
      <c r="W40" s="32"/>
      <c r="X40" s="54"/>
      <c r="Y40" s="21" t="str">
        <f>IFERROR(VLOOKUP(February[[#This Row],[Drug Name2]],'Data Options'!$R$1:$S$100,2,FALSE), " ")</f>
        <v xml:space="preserve"> </v>
      </c>
      <c r="Z40" s="55"/>
      <c r="AA40" s="32"/>
      <c r="AB40" s="32"/>
      <c r="AC40" s="55"/>
      <c r="AD40" s="32"/>
      <c r="AE40" s="54"/>
      <c r="AF40" s="21" t="str">
        <f>IFERROR(VLOOKUP(February[[#This Row],[Drug Name3]],'Data Options'!$R$1:$S$100,2,FALSE), " ")</f>
        <v xml:space="preserve"> </v>
      </c>
      <c r="AG40" s="55"/>
      <c r="AH40" s="32"/>
      <c r="AI40" s="32"/>
      <c r="AJ40" s="55"/>
      <c r="AK40" s="32"/>
      <c r="AL40" s="32"/>
      <c r="AM40" s="32"/>
      <c r="AN40" s="32"/>
      <c r="AO40" s="32"/>
      <c r="AP40" s="31"/>
      <c r="AQ40" s="31"/>
      <c r="AR40" s="54"/>
      <c r="AS40" s="21" t="str">
        <f>IFERROR(VLOOKUP(February[[#This Row],[Drug Name4]],'Data Options'!$R$1:$S$100,2,FALSE), " ")</f>
        <v xml:space="preserve"> </v>
      </c>
      <c r="AT40" s="55"/>
      <c r="AU40" s="32"/>
      <c r="AV40" s="32"/>
      <c r="AW40" s="55"/>
      <c r="AX40" s="32"/>
      <c r="AY40" s="54"/>
      <c r="AZ40" s="21" t="str">
        <f>IFERROR(VLOOKUP(February[[#This Row],[Drug Name5]],'Data Options'!$R$1:$S$100,2,FALSE), " ")</f>
        <v xml:space="preserve"> </v>
      </c>
      <c r="BA40" s="55"/>
      <c r="BB40" s="32"/>
      <c r="BC40" s="32"/>
      <c r="BD40" s="55"/>
      <c r="BE40" s="32"/>
      <c r="BF40" s="54"/>
      <c r="BG40" s="21" t="str">
        <f>IFERROR(VLOOKUP(February[[#This Row],[Drug Name6]],'Data Options'!$R$1:$S$100,2,FALSE), " ")</f>
        <v xml:space="preserve"> </v>
      </c>
      <c r="BH40" s="55"/>
      <c r="BI40" s="32"/>
      <c r="BJ40" s="32"/>
      <c r="BK40" s="55"/>
      <c r="BL40" s="32"/>
      <c r="BM40" s="32"/>
      <c r="BN40" s="32"/>
      <c r="BO40" s="32"/>
      <c r="BP40" s="32"/>
      <c r="BQ40" s="31"/>
      <c r="BR40" s="31"/>
      <c r="BS40" s="54"/>
      <c r="BT40" s="21" t="str">
        <f>IFERROR(VLOOKUP(February[[#This Row],[Drug Name7]],'Data Options'!$R$1:$S$100,2,FALSE), " ")</f>
        <v xml:space="preserve"> </v>
      </c>
      <c r="BU40" s="55"/>
      <c r="BV40" s="32"/>
      <c r="BW40" s="32"/>
      <c r="BX40" s="55"/>
      <c r="BY40" s="32"/>
      <c r="BZ40" s="54"/>
      <c r="CA40" s="21" t="str">
        <f>IFERROR(VLOOKUP(February[[#This Row],[Drug Name8]],'Data Options'!$R$1:$S$100,2,FALSE), " ")</f>
        <v xml:space="preserve"> </v>
      </c>
      <c r="CB40" s="55"/>
      <c r="CC40" s="32"/>
      <c r="CD40" s="32"/>
      <c r="CE40" s="55"/>
      <c r="CF40" s="32"/>
      <c r="CG40" s="54"/>
      <c r="CH40" s="21" t="str">
        <f>IFERROR(VLOOKUP(February[[#This Row],[Drug Name9]],'Data Options'!$R$1:$S$100,2,FALSE), " ")</f>
        <v xml:space="preserve"> </v>
      </c>
      <c r="CI40" s="55"/>
      <c r="CJ40" s="32"/>
      <c r="CK40" s="32"/>
      <c r="CL40" s="55"/>
      <c r="CM40" s="32"/>
    </row>
    <row r="41" spans="1:91">
      <c r="A41" s="5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54"/>
      <c r="R41" s="21" t="str">
        <f>IFERROR(VLOOKUP(February[[#This Row],[Drug Name]],'Data Options'!$R$1:$S$100,2,FALSE), " ")</f>
        <v xml:space="preserve"> </v>
      </c>
      <c r="S41" s="55"/>
      <c r="T41" s="32"/>
      <c r="U41" s="32"/>
      <c r="V41" s="55"/>
      <c r="W41" s="32"/>
      <c r="X41" s="54"/>
      <c r="Y41" s="21" t="str">
        <f>IFERROR(VLOOKUP(February[[#This Row],[Drug Name2]],'Data Options'!$R$1:$S$100,2,FALSE), " ")</f>
        <v xml:space="preserve"> </v>
      </c>
      <c r="Z41" s="55"/>
      <c r="AA41" s="32"/>
      <c r="AB41" s="32"/>
      <c r="AC41" s="55"/>
      <c r="AD41" s="32"/>
      <c r="AE41" s="54"/>
      <c r="AF41" s="21" t="str">
        <f>IFERROR(VLOOKUP(February[[#This Row],[Drug Name3]],'Data Options'!$R$1:$S$100,2,FALSE), " ")</f>
        <v xml:space="preserve"> </v>
      </c>
      <c r="AG41" s="55"/>
      <c r="AH41" s="32"/>
      <c r="AI41" s="32"/>
      <c r="AJ41" s="55"/>
      <c r="AK41" s="32"/>
      <c r="AL41" s="32"/>
      <c r="AM41" s="32"/>
      <c r="AN41" s="32"/>
      <c r="AO41" s="32"/>
      <c r="AP41" s="31"/>
      <c r="AQ41" s="31"/>
      <c r="AR41" s="54"/>
      <c r="AS41" s="21" t="str">
        <f>IFERROR(VLOOKUP(February[[#This Row],[Drug Name4]],'Data Options'!$R$1:$S$100,2,FALSE), " ")</f>
        <v xml:space="preserve"> </v>
      </c>
      <c r="AT41" s="55"/>
      <c r="AU41" s="32"/>
      <c r="AV41" s="32"/>
      <c r="AW41" s="55"/>
      <c r="AX41" s="32"/>
      <c r="AY41" s="54"/>
      <c r="AZ41" s="21" t="str">
        <f>IFERROR(VLOOKUP(February[[#This Row],[Drug Name5]],'Data Options'!$R$1:$S$100,2,FALSE), " ")</f>
        <v xml:space="preserve"> </v>
      </c>
      <c r="BA41" s="55"/>
      <c r="BB41" s="32"/>
      <c r="BC41" s="32"/>
      <c r="BD41" s="55"/>
      <c r="BE41" s="32"/>
      <c r="BF41" s="54"/>
      <c r="BG41" s="21" t="str">
        <f>IFERROR(VLOOKUP(February[[#This Row],[Drug Name6]],'Data Options'!$R$1:$S$100,2,FALSE), " ")</f>
        <v xml:space="preserve"> </v>
      </c>
      <c r="BH41" s="55"/>
      <c r="BI41" s="32"/>
      <c r="BJ41" s="32"/>
      <c r="BK41" s="55"/>
      <c r="BL41" s="32"/>
      <c r="BM41" s="32"/>
      <c r="BN41" s="32"/>
      <c r="BO41" s="32"/>
      <c r="BP41" s="32"/>
      <c r="BQ41" s="31"/>
      <c r="BR41" s="31"/>
      <c r="BS41" s="54"/>
      <c r="BT41" s="21" t="str">
        <f>IFERROR(VLOOKUP(February[[#This Row],[Drug Name7]],'Data Options'!$R$1:$S$100,2,FALSE), " ")</f>
        <v xml:space="preserve"> </v>
      </c>
      <c r="BU41" s="55"/>
      <c r="BV41" s="32"/>
      <c r="BW41" s="32"/>
      <c r="BX41" s="55"/>
      <c r="BY41" s="32"/>
      <c r="BZ41" s="54"/>
      <c r="CA41" s="21" t="str">
        <f>IFERROR(VLOOKUP(February[[#This Row],[Drug Name8]],'Data Options'!$R$1:$S$100,2,FALSE), " ")</f>
        <v xml:space="preserve"> </v>
      </c>
      <c r="CB41" s="55"/>
      <c r="CC41" s="32"/>
      <c r="CD41" s="32"/>
      <c r="CE41" s="55"/>
      <c r="CF41" s="32"/>
      <c r="CG41" s="54"/>
      <c r="CH41" s="21" t="str">
        <f>IFERROR(VLOOKUP(February[[#This Row],[Drug Name9]],'Data Options'!$R$1:$S$100,2,FALSE), " ")</f>
        <v xml:space="preserve"> </v>
      </c>
      <c r="CI41" s="55"/>
      <c r="CJ41" s="32"/>
      <c r="CK41" s="32"/>
      <c r="CL41" s="55"/>
      <c r="CM41" s="32"/>
    </row>
    <row r="42" spans="1:91">
      <c r="A42" s="5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54"/>
      <c r="R42" s="21" t="str">
        <f>IFERROR(VLOOKUP(February[[#This Row],[Drug Name]],'Data Options'!$R$1:$S$100,2,FALSE), " ")</f>
        <v xml:space="preserve"> </v>
      </c>
      <c r="S42" s="55"/>
      <c r="T42" s="32"/>
      <c r="U42" s="32"/>
      <c r="V42" s="55"/>
      <c r="W42" s="32"/>
      <c r="X42" s="54"/>
      <c r="Y42" s="21" t="str">
        <f>IFERROR(VLOOKUP(February[[#This Row],[Drug Name2]],'Data Options'!$R$1:$S$100,2,FALSE), " ")</f>
        <v xml:space="preserve"> </v>
      </c>
      <c r="Z42" s="55"/>
      <c r="AA42" s="32"/>
      <c r="AB42" s="32"/>
      <c r="AC42" s="55"/>
      <c r="AD42" s="32"/>
      <c r="AE42" s="54"/>
      <c r="AF42" s="21" t="str">
        <f>IFERROR(VLOOKUP(February[[#This Row],[Drug Name3]],'Data Options'!$R$1:$S$100,2,FALSE), " ")</f>
        <v xml:space="preserve"> </v>
      </c>
      <c r="AG42" s="55"/>
      <c r="AH42" s="32"/>
      <c r="AI42" s="32"/>
      <c r="AJ42" s="55"/>
      <c r="AK42" s="32"/>
      <c r="AL42" s="32"/>
      <c r="AM42" s="32"/>
      <c r="AN42" s="32"/>
      <c r="AO42" s="32"/>
      <c r="AP42" s="31"/>
      <c r="AQ42" s="31"/>
      <c r="AR42" s="54"/>
      <c r="AS42" s="21" t="str">
        <f>IFERROR(VLOOKUP(February[[#This Row],[Drug Name4]],'Data Options'!$R$1:$S$100,2,FALSE), " ")</f>
        <v xml:space="preserve"> </v>
      </c>
      <c r="AT42" s="55"/>
      <c r="AU42" s="32"/>
      <c r="AV42" s="32"/>
      <c r="AW42" s="55"/>
      <c r="AX42" s="32"/>
      <c r="AY42" s="54"/>
      <c r="AZ42" s="21" t="str">
        <f>IFERROR(VLOOKUP(February[[#This Row],[Drug Name5]],'Data Options'!$R$1:$S$100,2,FALSE), " ")</f>
        <v xml:space="preserve"> </v>
      </c>
      <c r="BA42" s="55"/>
      <c r="BB42" s="32"/>
      <c r="BC42" s="32"/>
      <c r="BD42" s="55"/>
      <c r="BE42" s="32"/>
      <c r="BF42" s="54"/>
      <c r="BG42" s="21" t="str">
        <f>IFERROR(VLOOKUP(February[[#This Row],[Drug Name6]],'Data Options'!$R$1:$S$100,2,FALSE), " ")</f>
        <v xml:space="preserve"> </v>
      </c>
      <c r="BH42" s="55"/>
      <c r="BI42" s="32"/>
      <c r="BJ42" s="32"/>
      <c r="BK42" s="55"/>
      <c r="BL42" s="32"/>
      <c r="BM42" s="32"/>
      <c r="BN42" s="32"/>
      <c r="BO42" s="32"/>
      <c r="BP42" s="32"/>
      <c r="BQ42" s="31"/>
      <c r="BR42" s="31"/>
      <c r="BS42" s="54"/>
      <c r="BT42" s="21" t="str">
        <f>IFERROR(VLOOKUP(February[[#This Row],[Drug Name7]],'Data Options'!$R$1:$S$100,2,FALSE), " ")</f>
        <v xml:space="preserve"> </v>
      </c>
      <c r="BU42" s="55"/>
      <c r="BV42" s="32"/>
      <c r="BW42" s="32"/>
      <c r="BX42" s="55"/>
      <c r="BY42" s="32"/>
      <c r="BZ42" s="54"/>
      <c r="CA42" s="21" t="str">
        <f>IFERROR(VLOOKUP(February[[#This Row],[Drug Name8]],'Data Options'!$R$1:$S$100,2,FALSE), " ")</f>
        <v xml:space="preserve"> </v>
      </c>
      <c r="CB42" s="55"/>
      <c r="CC42" s="32"/>
      <c r="CD42" s="32"/>
      <c r="CE42" s="55"/>
      <c r="CF42" s="32"/>
      <c r="CG42" s="54"/>
      <c r="CH42" s="21" t="str">
        <f>IFERROR(VLOOKUP(February[[#This Row],[Drug Name9]],'Data Options'!$R$1:$S$100,2,FALSE), " ")</f>
        <v xml:space="preserve"> </v>
      </c>
      <c r="CI42" s="55"/>
      <c r="CJ42" s="32"/>
      <c r="CK42" s="32"/>
      <c r="CL42" s="55"/>
      <c r="CM42" s="32"/>
    </row>
    <row r="43" spans="1:91">
      <c r="A43" s="5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54"/>
      <c r="R43" s="21" t="str">
        <f>IFERROR(VLOOKUP(February[[#This Row],[Drug Name]],'Data Options'!$R$1:$S$100,2,FALSE), " ")</f>
        <v xml:space="preserve"> </v>
      </c>
      <c r="S43" s="55"/>
      <c r="T43" s="32"/>
      <c r="U43" s="32"/>
      <c r="V43" s="55"/>
      <c r="W43" s="32"/>
      <c r="X43" s="54"/>
      <c r="Y43" s="21" t="str">
        <f>IFERROR(VLOOKUP(February[[#This Row],[Drug Name2]],'Data Options'!$R$1:$S$100,2,FALSE), " ")</f>
        <v xml:space="preserve"> </v>
      </c>
      <c r="Z43" s="55"/>
      <c r="AA43" s="32"/>
      <c r="AB43" s="32"/>
      <c r="AC43" s="55"/>
      <c r="AD43" s="32"/>
      <c r="AE43" s="54"/>
      <c r="AF43" s="21" t="str">
        <f>IFERROR(VLOOKUP(February[[#This Row],[Drug Name3]],'Data Options'!$R$1:$S$100,2,FALSE), " ")</f>
        <v xml:space="preserve"> </v>
      </c>
      <c r="AG43" s="55"/>
      <c r="AH43" s="32"/>
      <c r="AI43" s="32"/>
      <c r="AJ43" s="55"/>
      <c r="AK43" s="32"/>
      <c r="AL43" s="32"/>
      <c r="AM43" s="32"/>
      <c r="AN43" s="32"/>
      <c r="AO43" s="32"/>
      <c r="AP43" s="31"/>
      <c r="AQ43" s="31"/>
      <c r="AR43" s="54"/>
      <c r="AS43" s="21" t="str">
        <f>IFERROR(VLOOKUP(February[[#This Row],[Drug Name4]],'Data Options'!$R$1:$S$100,2,FALSE), " ")</f>
        <v xml:space="preserve"> </v>
      </c>
      <c r="AT43" s="55"/>
      <c r="AU43" s="32"/>
      <c r="AV43" s="32"/>
      <c r="AW43" s="55"/>
      <c r="AX43" s="32"/>
      <c r="AY43" s="54"/>
      <c r="AZ43" s="21" t="str">
        <f>IFERROR(VLOOKUP(February[[#This Row],[Drug Name5]],'Data Options'!$R$1:$S$100,2,FALSE), " ")</f>
        <v xml:space="preserve"> </v>
      </c>
      <c r="BA43" s="55"/>
      <c r="BB43" s="32"/>
      <c r="BC43" s="32"/>
      <c r="BD43" s="55"/>
      <c r="BE43" s="32"/>
      <c r="BF43" s="54"/>
      <c r="BG43" s="21" t="str">
        <f>IFERROR(VLOOKUP(February[[#This Row],[Drug Name6]],'Data Options'!$R$1:$S$100,2,FALSE), " ")</f>
        <v xml:space="preserve"> </v>
      </c>
      <c r="BH43" s="55"/>
      <c r="BI43" s="32"/>
      <c r="BJ43" s="32"/>
      <c r="BK43" s="55"/>
      <c r="BL43" s="32"/>
      <c r="BM43" s="32"/>
      <c r="BN43" s="32"/>
      <c r="BO43" s="32"/>
      <c r="BP43" s="32"/>
      <c r="BQ43" s="31"/>
      <c r="BR43" s="31"/>
      <c r="BS43" s="54"/>
      <c r="BT43" s="21" t="str">
        <f>IFERROR(VLOOKUP(February[[#This Row],[Drug Name7]],'Data Options'!$R$1:$S$100,2,FALSE), " ")</f>
        <v xml:space="preserve"> </v>
      </c>
      <c r="BU43" s="55"/>
      <c r="BV43" s="32"/>
      <c r="BW43" s="32"/>
      <c r="BX43" s="55"/>
      <c r="BY43" s="32"/>
      <c r="BZ43" s="54"/>
      <c r="CA43" s="21" t="str">
        <f>IFERROR(VLOOKUP(February[[#This Row],[Drug Name8]],'Data Options'!$R$1:$S$100,2,FALSE), " ")</f>
        <v xml:space="preserve"> </v>
      </c>
      <c r="CB43" s="55"/>
      <c r="CC43" s="32"/>
      <c r="CD43" s="32"/>
      <c r="CE43" s="55"/>
      <c r="CF43" s="32"/>
      <c r="CG43" s="54"/>
      <c r="CH43" s="21" t="str">
        <f>IFERROR(VLOOKUP(February[[#This Row],[Drug Name9]],'Data Options'!$R$1:$S$100,2,FALSE), " ")</f>
        <v xml:space="preserve"> </v>
      </c>
      <c r="CI43" s="55"/>
      <c r="CJ43" s="32"/>
      <c r="CK43" s="32"/>
      <c r="CL43" s="55"/>
      <c r="CM43" s="32"/>
    </row>
    <row r="44" spans="1:9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54"/>
      <c r="R44" s="21" t="str">
        <f>IFERROR(VLOOKUP(February[[#This Row],[Drug Name]],'Data Options'!$R$1:$S$100,2,FALSE), " ")</f>
        <v xml:space="preserve"> </v>
      </c>
      <c r="S44" s="55"/>
      <c r="T44" s="32"/>
      <c r="U44" s="32"/>
      <c r="V44" s="55"/>
      <c r="W44" s="32"/>
      <c r="X44" s="54"/>
      <c r="Y44" s="21" t="str">
        <f>IFERROR(VLOOKUP(February[[#This Row],[Drug Name2]],'Data Options'!$R$1:$S$100,2,FALSE), " ")</f>
        <v xml:space="preserve"> </v>
      </c>
      <c r="Z44" s="55"/>
      <c r="AA44" s="32"/>
      <c r="AB44" s="32"/>
      <c r="AC44" s="55"/>
      <c r="AD44" s="32"/>
      <c r="AE44" s="54"/>
      <c r="AF44" s="21" t="str">
        <f>IFERROR(VLOOKUP(February[[#This Row],[Drug Name3]],'Data Options'!$R$1:$S$100,2,FALSE), " ")</f>
        <v xml:space="preserve"> </v>
      </c>
      <c r="AG44" s="55"/>
      <c r="AH44" s="32"/>
      <c r="AI44" s="32"/>
      <c r="AJ44" s="55"/>
      <c r="AK44" s="32"/>
      <c r="AL44" s="32"/>
      <c r="AM44" s="32"/>
      <c r="AN44" s="32"/>
      <c r="AO44" s="32"/>
      <c r="AP44" s="31"/>
      <c r="AQ44" s="31"/>
      <c r="AR44" s="54"/>
      <c r="AS44" s="21" t="str">
        <f>IFERROR(VLOOKUP(February[[#This Row],[Drug Name4]],'Data Options'!$R$1:$S$100,2,FALSE), " ")</f>
        <v xml:space="preserve"> </v>
      </c>
      <c r="AT44" s="55"/>
      <c r="AU44" s="32"/>
      <c r="AV44" s="32"/>
      <c r="AW44" s="55"/>
      <c r="AX44" s="32"/>
      <c r="AY44" s="54"/>
      <c r="AZ44" s="21" t="str">
        <f>IFERROR(VLOOKUP(February[[#This Row],[Drug Name5]],'Data Options'!$R$1:$S$100,2,FALSE), " ")</f>
        <v xml:space="preserve"> </v>
      </c>
      <c r="BA44" s="55"/>
      <c r="BB44" s="32"/>
      <c r="BC44" s="32"/>
      <c r="BD44" s="55"/>
      <c r="BE44" s="32"/>
      <c r="BF44" s="54"/>
      <c r="BG44" s="21" t="str">
        <f>IFERROR(VLOOKUP(February[[#This Row],[Drug Name6]],'Data Options'!$R$1:$S$100,2,FALSE), " ")</f>
        <v xml:space="preserve"> </v>
      </c>
      <c r="BH44" s="55"/>
      <c r="BI44" s="32"/>
      <c r="BJ44" s="32"/>
      <c r="BK44" s="55"/>
      <c r="BL44" s="32"/>
      <c r="BM44" s="32"/>
      <c r="BN44" s="32"/>
      <c r="BO44" s="32"/>
      <c r="BP44" s="32"/>
      <c r="BQ44" s="31"/>
      <c r="BR44" s="31"/>
      <c r="BS44" s="54"/>
      <c r="BT44" s="21" t="str">
        <f>IFERROR(VLOOKUP(February[[#This Row],[Drug Name7]],'Data Options'!$R$1:$S$100,2,FALSE), " ")</f>
        <v xml:space="preserve"> </v>
      </c>
      <c r="BU44" s="55"/>
      <c r="BV44" s="32"/>
      <c r="BW44" s="32"/>
      <c r="BX44" s="55"/>
      <c r="BY44" s="32"/>
      <c r="BZ44" s="54"/>
      <c r="CA44" s="21" t="str">
        <f>IFERROR(VLOOKUP(February[[#This Row],[Drug Name8]],'Data Options'!$R$1:$S$100,2,FALSE), " ")</f>
        <v xml:space="preserve"> </v>
      </c>
      <c r="CB44" s="55"/>
      <c r="CC44" s="32"/>
      <c r="CD44" s="32"/>
      <c r="CE44" s="55"/>
      <c r="CF44" s="32"/>
      <c r="CG44" s="54"/>
      <c r="CH44" s="21" t="str">
        <f>IFERROR(VLOOKUP(February[[#This Row],[Drug Name9]],'Data Options'!$R$1:$S$100,2,FALSE), " ")</f>
        <v xml:space="preserve"> </v>
      </c>
      <c r="CI44" s="55"/>
      <c r="CJ44" s="32"/>
      <c r="CK44" s="32"/>
      <c r="CL44" s="55"/>
      <c r="CM44" s="32"/>
    </row>
    <row r="45" spans="1:91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54"/>
      <c r="R45" s="21" t="str">
        <f>IFERROR(VLOOKUP(February[[#This Row],[Drug Name]],'Data Options'!$R$1:$S$100,2,FALSE), " ")</f>
        <v xml:space="preserve"> </v>
      </c>
      <c r="S45" s="55"/>
      <c r="T45" s="32"/>
      <c r="U45" s="32"/>
      <c r="V45" s="55"/>
      <c r="W45" s="32"/>
      <c r="X45" s="54"/>
      <c r="Y45" s="21" t="str">
        <f>IFERROR(VLOOKUP(February[[#This Row],[Drug Name2]],'Data Options'!$R$1:$S$100,2,FALSE), " ")</f>
        <v xml:space="preserve"> </v>
      </c>
      <c r="Z45" s="55"/>
      <c r="AA45" s="32"/>
      <c r="AB45" s="32"/>
      <c r="AC45" s="55"/>
      <c r="AD45" s="32"/>
      <c r="AE45" s="54"/>
      <c r="AF45" s="21" t="str">
        <f>IFERROR(VLOOKUP(February[[#This Row],[Drug Name3]],'Data Options'!$R$1:$S$100,2,FALSE), " ")</f>
        <v xml:space="preserve"> </v>
      </c>
      <c r="AG45" s="55"/>
      <c r="AH45" s="32"/>
      <c r="AI45" s="32"/>
      <c r="AJ45" s="55"/>
      <c r="AK45" s="32"/>
      <c r="AL45" s="32"/>
      <c r="AM45" s="32"/>
      <c r="AN45" s="32"/>
      <c r="AO45" s="32"/>
      <c r="AP45" s="31"/>
      <c r="AQ45" s="31"/>
      <c r="AR45" s="54"/>
      <c r="AS45" s="21" t="str">
        <f>IFERROR(VLOOKUP(February[[#This Row],[Drug Name4]],'Data Options'!$R$1:$S$100,2,FALSE), " ")</f>
        <v xml:space="preserve"> </v>
      </c>
      <c r="AT45" s="55"/>
      <c r="AU45" s="32"/>
      <c r="AV45" s="32"/>
      <c r="AW45" s="55"/>
      <c r="AX45" s="32"/>
      <c r="AY45" s="54"/>
      <c r="AZ45" s="21" t="str">
        <f>IFERROR(VLOOKUP(February[[#This Row],[Drug Name5]],'Data Options'!$R$1:$S$100,2,FALSE), " ")</f>
        <v xml:space="preserve"> </v>
      </c>
      <c r="BA45" s="55"/>
      <c r="BB45" s="32"/>
      <c r="BC45" s="32"/>
      <c r="BD45" s="55"/>
      <c r="BE45" s="32"/>
      <c r="BF45" s="54"/>
      <c r="BG45" s="21" t="str">
        <f>IFERROR(VLOOKUP(February[[#This Row],[Drug Name6]],'Data Options'!$R$1:$S$100,2,FALSE), " ")</f>
        <v xml:space="preserve"> </v>
      </c>
      <c r="BH45" s="55"/>
      <c r="BI45" s="32"/>
      <c r="BJ45" s="32"/>
      <c r="BK45" s="55"/>
      <c r="BL45" s="32"/>
      <c r="BM45" s="32"/>
      <c r="BN45" s="32"/>
      <c r="BO45" s="32"/>
      <c r="BP45" s="32"/>
      <c r="BQ45" s="31"/>
      <c r="BR45" s="31"/>
      <c r="BS45" s="54"/>
      <c r="BT45" s="21" t="str">
        <f>IFERROR(VLOOKUP(February[[#This Row],[Drug Name7]],'Data Options'!$R$1:$S$100,2,FALSE), " ")</f>
        <v xml:space="preserve"> </v>
      </c>
      <c r="BU45" s="55"/>
      <c r="BV45" s="32"/>
      <c r="BW45" s="32"/>
      <c r="BX45" s="55"/>
      <c r="BY45" s="32"/>
      <c r="BZ45" s="54"/>
      <c r="CA45" s="21" t="str">
        <f>IFERROR(VLOOKUP(February[[#This Row],[Drug Name8]],'Data Options'!$R$1:$S$100,2,FALSE), " ")</f>
        <v xml:space="preserve"> </v>
      </c>
      <c r="CB45" s="55"/>
      <c r="CC45" s="32"/>
      <c r="CD45" s="32"/>
      <c r="CE45" s="55"/>
      <c r="CF45" s="32"/>
      <c r="CG45" s="54"/>
      <c r="CH45" s="21" t="str">
        <f>IFERROR(VLOOKUP(February[[#This Row],[Drug Name9]],'Data Options'!$R$1:$S$100,2,FALSE), " ")</f>
        <v xml:space="preserve"> </v>
      </c>
      <c r="CI45" s="55"/>
      <c r="CJ45" s="32"/>
      <c r="CK45" s="32"/>
      <c r="CL45" s="55"/>
      <c r="CM45" s="32"/>
    </row>
    <row r="46" spans="1:91">
      <c r="A46" s="5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54"/>
      <c r="R46" s="21" t="str">
        <f>IFERROR(VLOOKUP(February[[#This Row],[Drug Name]],'Data Options'!$R$1:$S$100,2,FALSE), " ")</f>
        <v xml:space="preserve"> </v>
      </c>
      <c r="S46" s="55"/>
      <c r="T46" s="32"/>
      <c r="U46" s="32"/>
      <c r="V46" s="55"/>
      <c r="W46" s="32"/>
      <c r="X46" s="54"/>
      <c r="Y46" s="21" t="str">
        <f>IFERROR(VLOOKUP(February[[#This Row],[Drug Name2]],'Data Options'!$R$1:$S$100,2,FALSE), " ")</f>
        <v xml:space="preserve"> </v>
      </c>
      <c r="Z46" s="55"/>
      <c r="AA46" s="32"/>
      <c r="AB46" s="32"/>
      <c r="AC46" s="55"/>
      <c r="AD46" s="32"/>
      <c r="AE46" s="54"/>
      <c r="AF46" s="21" t="str">
        <f>IFERROR(VLOOKUP(February[[#This Row],[Drug Name3]],'Data Options'!$R$1:$S$100,2,FALSE), " ")</f>
        <v xml:space="preserve"> </v>
      </c>
      <c r="AG46" s="55"/>
      <c r="AH46" s="32"/>
      <c r="AI46" s="32"/>
      <c r="AJ46" s="55"/>
      <c r="AK46" s="32"/>
      <c r="AL46" s="32"/>
      <c r="AM46" s="32"/>
      <c r="AN46" s="32"/>
      <c r="AO46" s="32"/>
      <c r="AP46" s="31"/>
      <c r="AQ46" s="31"/>
      <c r="AR46" s="54"/>
      <c r="AS46" s="21" t="str">
        <f>IFERROR(VLOOKUP(February[[#This Row],[Drug Name4]],'Data Options'!$R$1:$S$100,2,FALSE), " ")</f>
        <v xml:space="preserve"> </v>
      </c>
      <c r="AT46" s="55"/>
      <c r="AU46" s="32"/>
      <c r="AV46" s="32"/>
      <c r="AW46" s="55"/>
      <c r="AX46" s="32"/>
      <c r="AY46" s="54"/>
      <c r="AZ46" s="21" t="str">
        <f>IFERROR(VLOOKUP(February[[#This Row],[Drug Name5]],'Data Options'!$R$1:$S$100,2,FALSE), " ")</f>
        <v xml:space="preserve"> </v>
      </c>
      <c r="BA46" s="55"/>
      <c r="BB46" s="32"/>
      <c r="BC46" s="32"/>
      <c r="BD46" s="55"/>
      <c r="BE46" s="32"/>
      <c r="BF46" s="54"/>
      <c r="BG46" s="21" t="str">
        <f>IFERROR(VLOOKUP(February[[#This Row],[Drug Name6]],'Data Options'!$R$1:$S$100,2,FALSE), " ")</f>
        <v xml:space="preserve"> </v>
      </c>
      <c r="BH46" s="55"/>
      <c r="BI46" s="32"/>
      <c r="BJ46" s="32"/>
      <c r="BK46" s="55"/>
      <c r="BL46" s="32"/>
      <c r="BM46" s="32"/>
      <c r="BN46" s="32"/>
      <c r="BO46" s="32"/>
      <c r="BP46" s="32"/>
      <c r="BQ46" s="31"/>
      <c r="BR46" s="31"/>
      <c r="BS46" s="54"/>
      <c r="BT46" s="21" t="str">
        <f>IFERROR(VLOOKUP(February[[#This Row],[Drug Name7]],'Data Options'!$R$1:$S$100,2,FALSE), " ")</f>
        <v xml:space="preserve"> </v>
      </c>
      <c r="BU46" s="55"/>
      <c r="BV46" s="32"/>
      <c r="BW46" s="32"/>
      <c r="BX46" s="55"/>
      <c r="BY46" s="32"/>
      <c r="BZ46" s="54"/>
      <c r="CA46" s="21" t="str">
        <f>IFERROR(VLOOKUP(February[[#This Row],[Drug Name8]],'Data Options'!$R$1:$S$100,2,FALSE), " ")</f>
        <v xml:space="preserve"> </v>
      </c>
      <c r="CB46" s="55"/>
      <c r="CC46" s="32"/>
      <c r="CD46" s="32"/>
      <c r="CE46" s="55"/>
      <c r="CF46" s="32"/>
      <c r="CG46" s="54"/>
      <c r="CH46" s="21" t="str">
        <f>IFERROR(VLOOKUP(February[[#This Row],[Drug Name9]],'Data Options'!$R$1:$S$100,2,FALSE), " ")</f>
        <v xml:space="preserve"> </v>
      </c>
      <c r="CI46" s="55"/>
      <c r="CJ46" s="32"/>
      <c r="CK46" s="32"/>
      <c r="CL46" s="55"/>
      <c r="CM46" s="32"/>
    </row>
    <row r="47" spans="1:9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54"/>
      <c r="R47" s="21" t="str">
        <f>IFERROR(VLOOKUP(February[[#This Row],[Drug Name]],'Data Options'!$R$1:$S$100,2,FALSE), " ")</f>
        <v xml:space="preserve"> </v>
      </c>
      <c r="S47" s="55"/>
      <c r="T47" s="32"/>
      <c r="U47" s="32"/>
      <c r="V47" s="55"/>
      <c r="W47" s="32"/>
      <c r="X47" s="54"/>
      <c r="Y47" s="21" t="str">
        <f>IFERROR(VLOOKUP(February[[#This Row],[Drug Name2]],'Data Options'!$R$1:$S$100,2,FALSE), " ")</f>
        <v xml:space="preserve"> </v>
      </c>
      <c r="Z47" s="55"/>
      <c r="AA47" s="32"/>
      <c r="AB47" s="32"/>
      <c r="AC47" s="55"/>
      <c r="AD47" s="32"/>
      <c r="AE47" s="54"/>
      <c r="AF47" s="21" t="str">
        <f>IFERROR(VLOOKUP(February[[#This Row],[Drug Name3]],'Data Options'!$R$1:$S$100,2,FALSE), " ")</f>
        <v xml:space="preserve"> </v>
      </c>
      <c r="AG47" s="55"/>
      <c r="AH47" s="32"/>
      <c r="AI47" s="32"/>
      <c r="AJ47" s="55"/>
      <c r="AK47" s="32"/>
      <c r="AL47" s="32"/>
      <c r="AM47" s="32"/>
      <c r="AN47" s="32"/>
      <c r="AO47" s="32"/>
      <c r="AP47" s="31"/>
      <c r="AQ47" s="31"/>
      <c r="AR47" s="54"/>
      <c r="AS47" s="21" t="str">
        <f>IFERROR(VLOOKUP(February[[#This Row],[Drug Name4]],'Data Options'!$R$1:$S$100,2,FALSE), " ")</f>
        <v xml:space="preserve"> </v>
      </c>
      <c r="AT47" s="55"/>
      <c r="AU47" s="32"/>
      <c r="AV47" s="32"/>
      <c r="AW47" s="55"/>
      <c r="AX47" s="32"/>
      <c r="AY47" s="54"/>
      <c r="AZ47" s="21" t="str">
        <f>IFERROR(VLOOKUP(February[[#This Row],[Drug Name5]],'Data Options'!$R$1:$S$100,2,FALSE), " ")</f>
        <v xml:space="preserve"> </v>
      </c>
      <c r="BA47" s="55"/>
      <c r="BB47" s="32"/>
      <c r="BC47" s="32"/>
      <c r="BD47" s="55"/>
      <c r="BE47" s="32"/>
      <c r="BF47" s="54"/>
      <c r="BG47" s="21" t="str">
        <f>IFERROR(VLOOKUP(February[[#This Row],[Drug Name6]],'Data Options'!$R$1:$S$100,2,FALSE), " ")</f>
        <v xml:space="preserve"> </v>
      </c>
      <c r="BH47" s="55"/>
      <c r="BI47" s="32"/>
      <c r="BJ47" s="32"/>
      <c r="BK47" s="55"/>
      <c r="BL47" s="32"/>
      <c r="BM47" s="32"/>
      <c r="BN47" s="32"/>
      <c r="BO47" s="32"/>
      <c r="BP47" s="32"/>
      <c r="BQ47" s="31"/>
      <c r="BR47" s="31"/>
      <c r="BS47" s="54"/>
      <c r="BT47" s="21" t="str">
        <f>IFERROR(VLOOKUP(February[[#This Row],[Drug Name7]],'Data Options'!$R$1:$S$100,2,FALSE), " ")</f>
        <v xml:space="preserve"> </v>
      </c>
      <c r="BU47" s="55"/>
      <c r="BV47" s="32"/>
      <c r="BW47" s="32"/>
      <c r="BX47" s="55"/>
      <c r="BY47" s="32"/>
      <c r="BZ47" s="54"/>
      <c r="CA47" s="21" t="str">
        <f>IFERROR(VLOOKUP(February[[#This Row],[Drug Name8]],'Data Options'!$R$1:$S$100,2,FALSE), " ")</f>
        <v xml:space="preserve"> </v>
      </c>
      <c r="CB47" s="55"/>
      <c r="CC47" s="32"/>
      <c r="CD47" s="32"/>
      <c r="CE47" s="55"/>
      <c r="CF47" s="32"/>
      <c r="CG47" s="54"/>
      <c r="CH47" s="21" t="str">
        <f>IFERROR(VLOOKUP(February[[#This Row],[Drug Name9]],'Data Options'!$R$1:$S$100,2,FALSE), " ")</f>
        <v xml:space="preserve"> </v>
      </c>
      <c r="CI47" s="55"/>
      <c r="CJ47" s="32"/>
      <c r="CK47" s="32"/>
      <c r="CL47" s="55"/>
      <c r="CM47" s="32"/>
    </row>
    <row r="48" spans="1:9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54"/>
      <c r="R48" s="21" t="str">
        <f>IFERROR(VLOOKUP(February[[#This Row],[Drug Name]],'Data Options'!$R$1:$S$100,2,FALSE), " ")</f>
        <v xml:space="preserve"> </v>
      </c>
      <c r="S48" s="55"/>
      <c r="T48" s="32"/>
      <c r="U48" s="32"/>
      <c r="V48" s="55"/>
      <c r="W48" s="32"/>
      <c r="X48" s="54"/>
      <c r="Y48" s="21" t="str">
        <f>IFERROR(VLOOKUP(February[[#This Row],[Drug Name2]],'Data Options'!$R$1:$S$100,2,FALSE), " ")</f>
        <v xml:space="preserve"> </v>
      </c>
      <c r="Z48" s="55"/>
      <c r="AA48" s="32"/>
      <c r="AB48" s="32"/>
      <c r="AC48" s="55"/>
      <c r="AD48" s="32"/>
      <c r="AE48" s="54"/>
      <c r="AF48" s="21" t="str">
        <f>IFERROR(VLOOKUP(February[[#This Row],[Drug Name3]],'Data Options'!$R$1:$S$100,2,FALSE), " ")</f>
        <v xml:space="preserve"> </v>
      </c>
      <c r="AG48" s="55"/>
      <c r="AH48" s="32"/>
      <c r="AI48" s="32"/>
      <c r="AJ48" s="55"/>
      <c r="AK48" s="32"/>
      <c r="AL48" s="32"/>
      <c r="AM48" s="32"/>
      <c r="AN48" s="32"/>
      <c r="AO48" s="32"/>
      <c r="AP48" s="31"/>
      <c r="AQ48" s="31"/>
      <c r="AR48" s="54"/>
      <c r="AS48" s="21" t="str">
        <f>IFERROR(VLOOKUP(February[[#This Row],[Drug Name4]],'Data Options'!$R$1:$S$100,2,FALSE), " ")</f>
        <v xml:space="preserve"> </v>
      </c>
      <c r="AT48" s="55"/>
      <c r="AU48" s="32"/>
      <c r="AV48" s="32"/>
      <c r="AW48" s="55"/>
      <c r="AX48" s="32"/>
      <c r="AY48" s="54"/>
      <c r="AZ48" s="21" t="str">
        <f>IFERROR(VLOOKUP(February[[#This Row],[Drug Name5]],'Data Options'!$R$1:$S$100,2,FALSE), " ")</f>
        <v xml:space="preserve"> </v>
      </c>
      <c r="BA48" s="55"/>
      <c r="BB48" s="32"/>
      <c r="BC48" s="32"/>
      <c r="BD48" s="55"/>
      <c r="BE48" s="32"/>
      <c r="BF48" s="54"/>
      <c r="BG48" s="21" t="str">
        <f>IFERROR(VLOOKUP(February[[#This Row],[Drug Name6]],'Data Options'!$R$1:$S$100,2,FALSE), " ")</f>
        <v xml:space="preserve"> </v>
      </c>
      <c r="BH48" s="55"/>
      <c r="BI48" s="32"/>
      <c r="BJ48" s="32"/>
      <c r="BK48" s="55"/>
      <c r="BL48" s="32"/>
      <c r="BM48" s="32"/>
      <c r="BN48" s="32"/>
      <c r="BO48" s="32"/>
      <c r="BP48" s="32"/>
      <c r="BQ48" s="31"/>
      <c r="BR48" s="31"/>
      <c r="BS48" s="54"/>
      <c r="BT48" s="21" t="str">
        <f>IFERROR(VLOOKUP(February[[#This Row],[Drug Name7]],'Data Options'!$R$1:$S$100,2,FALSE), " ")</f>
        <v xml:space="preserve"> </v>
      </c>
      <c r="BU48" s="55"/>
      <c r="BV48" s="32"/>
      <c r="BW48" s="32"/>
      <c r="BX48" s="55"/>
      <c r="BY48" s="32"/>
      <c r="BZ48" s="54"/>
      <c r="CA48" s="21" t="str">
        <f>IFERROR(VLOOKUP(February[[#This Row],[Drug Name8]],'Data Options'!$R$1:$S$100,2,FALSE), " ")</f>
        <v xml:space="preserve"> </v>
      </c>
      <c r="CB48" s="55"/>
      <c r="CC48" s="32"/>
      <c r="CD48" s="32"/>
      <c r="CE48" s="55"/>
      <c r="CF48" s="32"/>
      <c r="CG48" s="54"/>
      <c r="CH48" s="21" t="str">
        <f>IFERROR(VLOOKUP(February[[#This Row],[Drug Name9]],'Data Options'!$R$1:$S$100,2,FALSE), " ")</f>
        <v xml:space="preserve"> </v>
      </c>
      <c r="CI48" s="55"/>
      <c r="CJ48" s="32"/>
      <c r="CK48" s="32"/>
      <c r="CL48" s="55"/>
      <c r="CM48" s="32"/>
    </row>
    <row r="49" spans="1:9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54"/>
      <c r="R49" s="21" t="str">
        <f>IFERROR(VLOOKUP(February[[#This Row],[Drug Name]],'Data Options'!$R$1:$S$100,2,FALSE), " ")</f>
        <v xml:space="preserve"> </v>
      </c>
      <c r="S49" s="55"/>
      <c r="T49" s="32"/>
      <c r="U49" s="32"/>
      <c r="V49" s="55"/>
      <c r="W49" s="32"/>
      <c r="X49" s="54"/>
      <c r="Y49" s="21" t="str">
        <f>IFERROR(VLOOKUP(February[[#This Row],[Drug Name2]],'Data Options'!$R$1:$S$100,2,FALSE), " ")</f>
        <v xml:space="preserve"> </v>
      </c>
      <c r="Z49" s="55"/>
      <c r="AA49" s="32"/>
      <c r="AB49" s="32"/>
      <c r="AC49" s="55"/>
      <c r="AD49" s="32"/>
      <c r="AE49" s="54"/>
      <c r="AF49" s="21" t="str">
        <f>IFERROR(VLOOKUP(February[[#This Row],[Drug Name3]],'Data Options'!$R$1:$S$100,2,FALSE), " ")</f>
        <v xml:space="preserve"> </v>
      </c>
      <c r="AG49" s="55"/>
      <c r="AH49" s="32"/>
      <c r="AI49" s="32"/>
      <c r="AJ49" s="55"/>
      <c r="AK49" s="32"/>
      <c r="AL49" s="32"/>
      <c r="AM49" s="32"/>
      <c r="AN49" s="32"/>
      <c r="AO49" s="32"/>
      <c r="AP49" s="31"/>
      <c r="AQ49" s="31"/>
      <c r="AR49" s="54"/>
      <c r="AS49" s="21" t="str">
        <f>IFERROR(VLOOKUP(February[[#This Row],[Drug Name4]],'Data Options'!$R$1:$S$100,2,FALSE), " ")</f>
        <v xml:space="preserve"> </v>
      </c>
      <c r="AT49" s="55"/>
      <c r="AU49" s="32"/>
      <c r="AV49" s="32"/>
      <c r="AW49" s="55"/>
      <c r="AX49" s="32"/>
      <c r="AY49" s="54"/>
      <c r="AZ49" s="21" t="str">
        <f>IFERROR(VLOOKUP(February[[#This Row],[Drug Name5]],'Data Options'!$R$1:$S$100,2,FALSE), " ")</f>
        <v xml:space="preserve"> </v>
      </c>
      <c r="BA49" s="55"/>
      <c r="BB49" s="32"/>
      <c r="BC49" s="32"/>
      <c r="BD49" s="55"/>
      <c r="BE49" s="32"/>
      <c r="BF49" s="54"/>
      <c r="BG49" s="21" t="str">
        <f>IFERROR(VLOOKUP(February[[#This Row],[Drug Name6]],'Data Options'!$R$1:$S$100,2,FALSE), " ")</f>
        <v xml:space="preserve"> </v>
      </c>
      <c r="BH49" s="55"/>
      <c r="BI49" s="32"/>
      <c r="BJ49" s="32"/>
      <c r="BK49" s="55"/>
      <c r="BL49" s="32"/>
      <c r="BM49" s="32"/>
      <c r="BN49" s="32"/>
      <c r="BO49" s="32"/>
      <c r="BP49" s="32"/>
      <c r="BQ49" s="31"/>
      <c r="BR49" s="31"/>
      <c r="BS49" s="54"/>
      <c r="BT49" s="21" t="str">
        <f>IFERROR(VLOOKUP(February[[#This Row],[Drug Name7]],'Data Options'!$R$1:$S$100,2,FALSE), " ")</f>
        <v xml:space="preserve"> </v>
      </c>
      <c r="BU49" s="55"/>
      <c r="BV49" s="32"/>
      <c r="BW49" s="32"/>
      <c r="BX49" s="55"/>
      <c r="BY49" s="32"/>
      <c r="BZ49" s="54"/>
      <c r="CA49" s="21" t="str">
        <f>IFERROR(VLOOKUP(February[[#This Row],[Drug Name8]],'Data Options'!$R$1:$S$100,2,FALSE), " ")</f>
        <v xml:space="preserve"> </v>
      </c>
      <c r="CB49" s="55"/>
      <c r="CC49" s="32"/>
      <c r="CD49" s="32"/>
      <c r="CE49" s="55"/>
      <c r="CF49" s="32"/>
      <c r="CG49" s="54"/>
      <c r="CH49" s="21" t="str">
        <f>IFERROR(VLOOKUP(February[[#This Row],[Drug Name9]],'Data Options'!$R$1:$S$100,2,FALSE), " ")</f>
        <v xml:space="preserve"> </v>
      </c>
      <c r="CI49" s="55"/>
      <c r="CJ49" s="32"/>
      <c r="CK49" s="32"/>
      <c r="CL49" s="55"/>
      <c r="CM49" s="32"/>
    </row>
    <row r="50" spans="1:91">
      <c r="A50" s="5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54"/>
      <c r="R50" s="21" t="str">
        <f>IFERROR(VLOOKUP(February[[#This Row],[Drug Name]],'Data Options'!$R$1:$S$100,2,FALSE), " ")</f>
        <v xml:space="preserve"> </v>
      </c>
      <c r="S50" s="55"/>
      <c r="T50" s="32"/>
      <c r="U50" s="32"/>
      <c r="V50" s="55"/>
      <c r="W50" s="32"/>
      <c r="X50" s="54"/>
      <c r="Y50" s="21" t="str">
        <f>IFERROR(VLOOKUP(February[[#This Row],[Drug Name2]],'Data Options'!$R$1:$S$100,2,FALSE), " ")</f>
        <v xml:space="preserve"> </v>
      </c>
      <c r="Z50" s="55"/>
      <c r="AA50" s="32"/>
      <c r="AB50" s="32"/>
      <c r="AC50" s="55"/>
      <c r="AD50" s="32"/>
      <c r="AE50" s="54"/>
      <c r="AF50" s="21" t="str">
        <f>IFERROR(VLOOKUP(February[[#This Row],[Drug Name3]],'Data Options'!$R$1:$S$100,2,FALSE), " ")</f>
        <v xml:space="preserve"> </v>
      </c>
      <c r="AG50" s="55"/>
      <c r="AH50" s="32"/>
      <c r="AI50" s="32"/>
      <c r="AJ50" s="55"/>
      <c r="AK50" s="32"/>
      <c r="AL50" s="32"/>
      <c r="AM50" s="32"/>
      <c r="AN50" s="32"/>
      <c r="AO50" s="32"/>
      <c r="AP50" s="31"/>
      <c r="AQ50" s="31"/>
      <c r="AR50" s="54"/>
      <c r="AS50" s="21" t="str">
        <f>IFERROR(VLOOKUP(February[[#This Row],[Drug Name4]],'Data Options'!$R$1:$S$100,2,FALSE), " ")</f>
        <v xml:space="preserve"> </v>
      </c>
      <c r="AT50" s="55"/>
      <c r="AU50" s="32"/>
      <c r="AV50" s="32"/>
      <c r="AW50" s="55"/>
      <c r="AX50" s="32"/>
      <c r="AY50" s="54"/>
      <c r="AZ50" s="21" t="str">
        <f>IFERROR(VLOOKUP(February[[#This Row],[Drug Name5]],'Data Options'!$R$1:$S$100,2,FALSE), " ")</f>
        <v xml:space="preserve"> </v>
      </c>
      <c r="BA50" s="55"/>
      <c r="BB50" s="32"/>
      <c r="BC50" s="32"/>
      <c r="BD50" s="55"/>
      <c r="BE50" s="32"/>
      <c r="BF50" s="54"/>
      <c r="BG50" s="21" t="str">
        <f>IFERROR(VLOOKUP(February[[#This Row],[Drug Name6]],'Data Options'!$R$1:$S$100,2,FALSE), " ")</f>
        <v xml:space="preserve"> </v>
      </c>
      <c r="BH50" s="55"/>
      <c r="BI50" s="32"/>
      <c r="BJ50" s="32"/>
      <c r="BK50" s="55"/>
      <c r="BL50" s="32"/>
      <c r="BM50" s="32"/>
      <c r="BN50" s="32"/>
      <c r="BO50" s="32"/>
      <c r="BP50" s="32"/>
      <c r="BQ50" s="31"/>
      <c r="BR50" s="31"/>
      <c r="BS50" s="54"/>
      <c r="BT50" s="21" t="str">
        <f>IFERROR(VLOOKUP(February[[#This Row],[Drug Name7]],'Data Options'!$R$1:$S$100,2,FALSE), " ")</f>
        <v xml:space="preserve"> </v>
      </c>
      <c r="BU50" s="55"/>
      <c r="BV50" s="32"/>
      <c r="BW50" s="32"/>
      <c r="BX50" s="55"/>
      <c r="BY50" s="32"/>
      <c r="BZ50" s="54"/>
      <c r="CA50" s="21" t="str">
        <f>IFERROR(VLOOKUP(February[[#This Row],[Drug Name8]],'Data Options'!$R$1:$S$100,2,FALSE), " ")</f>
        <v xml:space="preserve"> </v>
      </c>
      <c r="CB50" s="55"/>
      <c r="CC50" s="32"/>
      <c r="CD50" s="32"/>
      <c r="CE50" s="55"/>
      <c r="CF50" s="32"/>
      <c r="CG50" s="54"/>
      <c r="CH50" s="21" t="str">
        <f>IFERROR(VLOOKUP(February[[#This Row],[Drug Name9]],'Data Options'!$R$1:$S$100,2,FALSE), " ")</f>
        <v xml:space="preserve"> </v>
      </c>
      <c r="CI50" s="55"/>
      <c r="CJ50" s="32"/>
      <c r="CK50" s="32"/>
      <c r="CL50" s="55"/>
      <c r="CM50" s="32"/>
    </row>
    <row r="51" spans="1:9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54"/>
      <c r="R51" s="21" t="str">
        <f>IFERROR(VLOOKUP(February[[#This Row],[Drug Name]],'Data Options'!$R$1:$S$100,2,FALSE), " ")</f>
        <v xml:space="preserve"> </v>
      </c>
      <c r="S51" s="55"/>
      <c r="T51" s="32"/>
      <c r="U51" s="32"/>
      <c r="V51" s="55"/>
      <c r="W51" s="32"/>
      <c r="X51" s="54"/>
      <c r="Y51" s="21" t="str">
        <f>IFERROR(VLOOKUP(February[[#This Row],[Drug Name2]],'Data Options'!$R$1:$S$100,2,FALSE), " ")</f>
        <v xml:space="preserve"> </v>
      </c>
      <c r="Z51" s="55"/>
      <c r="AA51" s="32"/>
      <c r="AB51" s="32"/>
      <c r="AC51" s="55"/>
      <c r="AD51" s="32"/>
      <c r="AE51" s="54"/>
      <c r="AF51" s="21" t="str">
        <f>IFERROR(VLOOKUP(February[[#This Row],[Drug Name3]],'Data Options'!$R$1:$S$100,2,FALSE), " ")</f>
        <v xml:space="preserve"> </v>
      </c>
      <c r="AG51" s="55"/>
      <c r="AH51" s="32"/>
      <c r="AI51" s="32"/>
      <c r="AJ51" s="55"/>
      <c r="AK51" s="32"/>
      <c r="AL51" s="32"/>
      <c r="AM51" s="32"/>
      <c r="AN51" s="32"/>
      <c r="AO51" s="32"/>
      <c r="AP51" s="31"/>
      <c r="AQ51" s="31"/>
      <c r="AR51" s="54"/>
      <c r="AS51" s="21" t="str">
        <f>IFERROR(VLOOKUP(February[[#This Row],[Drug Name4]],'Data Options'!$R$1:$S$100,2,FALSE), " ")</f>
        <v xml:space="preserve"> </v>
      </c>
      <c r="AT51" s="55"/>
      <c r="AU51" s="32"/>
      <c r="AV51" s="32"/>
      <c r="AW51" s="55"/>
      <c r="AX51" s="32"/>
      <c r="AY51" s="54"/>
      <c r="AZ51" s="21" t="str">
        <f>IFERROR(VLOOKUP(February[[#This Row],[Drug Name5]],'Data Options'!$R$1:$S$100,2,FALSE), " ")</f>
        <v xml:space="preserve"> </v>
      </c>
      <c r="BA51" s="55"/>
      <c r="BB51" s="32"/>
      <c r="BC51" s="32"/>
      <c r="BD51" s="55"/>
      <c r="BE51" s="32"/>
      <c r="BF51" s="54"/>
      <c r="BG51" s="21" t="str">
        <f>IFERROR(VLOOKUP(February[[#This Row],[Drug Name6]],'Data Options'!$R$1:$S$100,2,FALSE), " ")</f>
        <v xml:space="preserve"> </v>
      </c>
      <c r="BH51" s="55"/>
      <c r="BI51" s="32"/>
      <c r="BJ51" s="32"/>
      <c r="BK51" s="55"/>
      <c r="BL51" s="32"/>
      <c r="BM51" s="32"/>
      <c r="BN51" s="32"/>
      <c r="BO51" s="32"/>
      <c r="BP51" s="32"/>
      <c r="BQ51" s="31"/>
      <c r="BR51" s="31"/>
      <c r="BS51" s="54"/>
      <c r="BT51" s="21" t="str">
        <f>IFERROR(VLOOKUP(February[[#This Row],[Drug Name7]],'Data Options'!$R$1:$S$100,2,FALSE), " ")</f>
        <v xml:space="preserve"> </v>
      </c>
      <c r="BU51" s="55"/>
      <c r="BV51" s="32"/>
      <c r="BW51" s="32"/>
      <c r="BX51" s="55"/>
      <c r="BY51" s="32"/>
      <c r="BZ51" s="54"/>
      <c r="CA51" s="21" t="str">
        <f>IFERROR(VLOOKUP(February[[#This Row],[Drug Name8]],'Data Options'!$R$1:$S$100,2,FALSE), " ")</f>
        <v xml:space="preserve"> </v>
      </c>
      <c r="CB51" s="55"/>
      <c r="CC51" s="32"/>
      <c r="CD51" s="32"/>
      <c r="CE51" s="55"/>
      <c r="CF51" s="32"/>
      <c r="CG51" s="54"/>
      <c r="CH51" s="21" t="str">
        <f>IFERROR(VLOOKUP(February[[#This Row],[Drug Name9]],'Data Options'!$R$1:$S$100,2,FALSE), " ")</f>
        <v xml:space="preserve"> </v>
      </c>
      <c r="CI51" s="55"/>
      <c r="CJ51" s="32"/>
      <c r="CK51" s="32"/>
      <c r="CL51" s="55"/>
      <c r="CM51" s="32"/>
    </row>
    <row r="52" spans="1:9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54"/>
      <c r="R52" s="21" t="str">
        <f>IFERROR(VLOOKUP(February[[#This Row],[Drug Name]],'Data Options'!$R$1:$S$100,2,FALSE), " ")</f>
        <v xml:space="preserve"> </v>
      </c>
      <c r="S52" s="55"/>
      <c r="T52" s="32"/>
      <c r="U52" s="32"/>
      <c r="V52" s="55"/>
      <c r="W52" s="32"/>
      <c r="X52" s="54"/>
      <c r="Y52" s="21" t="str">
        <f>IFERROR(VLOOKUP(February[[#This Row],[Drug Name2]],'Data Options'!$R$1:$S$100,2,FALSE), " ")</f>
        <v xml:space="preserve"> </v>
      </c>
      <c r="Z52" s="55"/>
      <c r="AA52" s="32"/>
      <c r="AB52" s="32"/>
      <c r="AC52" s="55"/>
      <c r="AD52" s="32"/>
      <c r="AE52" s="54"/>
      <c r="AF52" s="21" t="str">
        <f>IFERROR(VLOOKUP(February[[#This Row],[Drug Name3]],'Data Options'!$R$1:$S$100,2,FALSE), " ")</f>
        <v xml:space="preserve"> </v>
      </c>
      <c r="AG52" s="55"/>
      <c r="AH52" s="32"/>
      <c r="AI52" s="32"/>
      <c r="AJ52" s="55"/>
      <c r="AK52" s="32"/>
      <c r="AL52" s="32"/>
      <c r="AM52" s="32"/>
      <c r="AN52" s="32"/>
      <c r="AO52" s="32"/>
      <c r="AP52" s="31"/>
      <c r="AQ52" s="31"/>
      <c r="AR52" s="54"/>
      <c r="AS52" s="21" t="str">
        <f>IFERROR(VLOOKUP(February[[#This Row],[Drug Name4]],'Data Options'!$R$1:$S$100,2,FALSE), " ")</f>
        <v xml:space="preserve"> </v>
      </c>
      <c r="AT52" s="55"/>
      <c r="AU52" s="32"/>
      <c r="AV52" s="32"/>
      <c r="AW52" s="55"/>
      <c r="AX52" s="32"/>
      <c r="AY52" s="54"/>
      <c r="AZ52" s="21" t="str">
        <f>IFERROR(VLOOKUP(February[[#This Row],[Drug Name5]],'Data Options'!$R$1:$S$100,2,FALSE), " ")</f>
        <v xml:space="preserve"> </v>
      </c>
      <c r="BA52" s="55"/>
      <c r="BB52" s="32"/>
      <c r="BC52" s="32"/>
      <c r="BD52" s="55"/>
      <c r="BE52" s="32"/>
      <c r="BF52" s="54"/>
      <c r="BG52" s="21" t="str">
        <f>IFERROR(VLOOKUP(February[[#This Row],[Drug Name6]],'Data Options'!$R$1:$S$100,2,FALSE), " ")</f>
        <v xml:space="preserve"> </v>
      </c>
      <c r="BH52" s="55"/>
      <c r="BI52" s="32"/>
      <c r="BJ52" s="32"/>
      <c r="BK52" s="55"/>
      <c r="BL52" s="32"/>
      <c r="BM52" s="32"/>
      <c r="BN52" s="32"/>
      <c r="BO52" s="32"/>
      <c r="BP52" s="32"/>
      <c r="BQ52" s="31"/>
      <c r="BR52" s="31"/>
      <c r="BS52" s="54"/>
      <c r="BT52" s="21" t="str">
        <f>IFERROR(VLOOKUP(February[[#This Row],[Drug Name7]],'Data Options'!$R$1:$S$100,2,FALSE), " ")</f>
        <v xml:space="preserve"> </v>
      </c>
      <c r="BU52" s="55"/>
      <c r="BV52" s="32"/>
      <c r="BW52" s="32"/>
      <c r="BX52" s="55"/>
      <c r="BY52" s="32"/>
      <c r="BZ52" s="54"/>
      <c r="CA52" s="21" t="str">
        <f>IFERROR(VLOOKUP(February[[#This Row],[Drug Name8]],'Data Options'!$R$1:$S$100,2,FALSE), " ")</f>
        <v xml:space="preserve"> </v>
      </c>
      <c r="CB52" s="55"/>
      <c r="CC52" s="32"/>
      <c r="CD52" s="32"/>
      <c r="CE52" s="55"/>
      <c r="CF52" s="32"/>
      <c r="CG52" s="54"/>
      <c r="CH52" s="21" t="str">
        <f>IFERROR(VLOOKUP(February[[#This Row],[Drug Name9]],'Data Options'!$R$1:$S$100,2,FALSE), " ")</f>
        <v xml:space="preserve"> </v>
      </c>
      <c r="CI52" s="55"/>
      <c r="CJ52" s="32"/>
      <c r="CK52" s="32"/>
      <c r="CL52" s="55"/>
      <c r="CM52" s="32"/>
    </row>
    <row r="53" spans="1:91">
      <c r="A53" s="5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54"/>
      <c r="R53" s="21" t="str">
        <f>IFERROR(VLOOKUP(February[[#This Row],[Drug Name]],'Data Options'!$R$1:$S$100,2,FALSE), " ")</f>
        <v xml:space="preserve"> </v>
      </c>
      <c r="S53" s="55"/>
      <c r="T53" s="32"/>
      <c r="U53" s="32"/>
      <c r="V53" s="55"/>
      <c r="W53" s="32"/>
      <c r="X53" s="54"/>
      <c r="Y53" s="21" t="str">
        <f>IFERROR(VLOOKUP(February[[#This Row],[Drug Name2]],'Data Options'!$R$1:$S$100,2,FALSE), " ")</f>
        <v xml:space="preserve"> </v>
      </c>
      <c r="Z53" s="55"/>
      <c r="AA53" s="32"/>
      <c r="AB53" s="32"/>
      <c r="AC53" s="55"/>
      <c r="AD53" s="32"/>
      <c r="AE53" s="54"/>
      <c r="AF53" s="21" t="str">
        <f>IFERROR(VLOOKUP(February[[#This Row],[Drug Name3]],'Data Options'!$R$1:$S$100,2,FALSE), " ")</f>
        <v xml:space="preserve"> </v>
      </c>
      <c r="AG53" s="55"/>
      <c r="AH53" s="32"/>
      <c r="AI53" s="32"/>
      <c r="AJ53" s="55"/>
      <c r="AK53" s="32"/>
      <c r="AL53" s="32"/>
      <c r="AM53" s="32"/>
      <c r="AN53" s="32"/>
      <c r="AO53" s="32"/>
      <c r="AP53" s="31"/>
      <c r="AQ53" s="31"/>
      <c r="AR53" s="54"/>
      <c r="AS53" s="21" t="str">
        <f>IFERROR(VLOOKUP(February[[#This Row],[Drug Name4]],'Data Options'!$R$1:$S$100,2,FALSE), " ")</f>
        <v xml:space="preserve"> </v>
      </c>
      <c r="AT53" s="55"/>
      <c r="AU53" s="32"/>
      <c r="AV53" s="32"/>
      <c r="AW53" s="55"/>
      <c r="AX53" s="32"/>
      <c r="AY53" s="54"/>
      <c r="AZ53" s="21" t="str">
        <f>IFERROR(VLOOKUP(February[[#This Row],[Drug Name5]],'Data Options'!$R$1:$S$100,2,FALSE), " ")</f>
        <v xml:space="preserve"> </v>
      </c>
      <c r="BA53" s="55"/>
      <c r="BB53" s="32"/>
      <c r="BC53" s="32"/>
      <c r="BD53" s="55"/>
      <c r="BE53" s="32"/>
      <c r="BF53" s="54"/>
      <c r="BG53" s="21" t="str">
        <f>IFERROR(VLOOKUP(February[[#This Row],[Drug Name6]],'Data Options'!$R$1:$S$100,2,FALSE), " ")</f>
        <v xml:space="preserve"> </v>
      </c>
      <c r="BH53" s="55"/>
      <c r="BI53" s="32"/>
      <c r="BJ53" s="32"/>
      <c r="BK53" s="55"/>
      <c r="BL53" s="32"/>
      <c r="BM53" s="32"/>
      <c r="BN53" s="32"/>
      <c r="BO53" s="32"/>
      <c r="BP53" s="32"/>
      <c r="BQ53" s="31"/>
      <c r="BR53" s="31"/>
      <c r="BS53" s="54"/>
      <c r="BT53" s="21" t="str">
        <f>IFERROR(VLOOKUP(February[[#This Row],[Drug Name7]],'Data Options'!$R$1:$S$100,2,FALSE), " ")</f>
        <v xml:space="preserve"> </v>
      </c>
      <c r="BU53" s="55"/>
      <c r="BV53" s="32"/>
      <c r="BW53" s="32"/>
      <c r="BX53" s="55"/>
      <c r="BY53" s="32"/>
      <c r="BZ53" s="54"/>
      <c r="CA53" s="21" t="str">
        <f>IFERROR(VLOOKUP(February[[#This Row],[Drug Name8]],'Data Options'!$R$1:$S$100,2,FALSE), " ")</f>
        <v xml:space="preserve"> </v>
      </c>
      <c r="CB53" s="55"/>
      <c r="CC53" s="32"/>
      <c r="CD53" s="32"/>
      <c r="CE53" s="55"/>
      <c r="CF53" s="32"/>
      <c r="CG53" s="54"/>
      <c r="CH53" s="21" t="str">
        <f>IFERROR(VLOOKUP(February[[#This Row],[Drug Name9]],'Data Options'!$R$1:$S$100,2,FALSE), " ")</f>
        <v xml:space="preserve"> </v>
      </c>
      <c r="CI53" s="55"/>
      <c r="CJ53" s="32"/>
      <c r="CK53" s="32"/>
      <c r="CL53" s="55"/>
      <c r="CM53" s="32"/>
    </row>
    <row r="54" spans="1:91">
      <c r="A54" s="5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54"/>
      <c r="R54" s="21" t="str">
        <f>IFERROR(VLOOKUP(February[[#This Row],[Drug Name]],'Data Options'!$R$1:$S$100,2,FALSE), " ")</f>
        <v xml:space="preserve"> </v>
      </c>
      <c r="S54" s="55"/>
      <c r="T54" s="32"/>
      <c r="U54" s="32"/>
      <c r="V54" s="55"/>
      <c r="W54" s="32"/>
      <c r="X54" s="54"/>
      <c r="Y54" s="21" t="str">
        <f>IFERROR(VLOOKUP(February[[#This Row],[Drug Name2]],'Data Options'!$R$1:$S$100,2,FALSE), " ")</f>
        <v xml:space="preserve"> </v>
      </c>
      <c r="Z54" s="55"/>
      <c r="AA54" s="32"/>
      <c r="AB54" s="32"/>
      <c r="AC54" s="55"/>
      <c r="AD54" s="32"/>
      <c r="AE54" s="54"/>
      <c r="AF54" s="21" t="str">
        <f>IFERROR(VLOOKUP(February[[#This Row],[Drug Name3]],'Data Options'!$R$1:$S$100,2,FALSE), " ")</f>
        <v xml:space="preserve"> </v>
      </c>
      <c r="AG54" s="55"/>
      <c r="AH54" s="32"/>
      <c r="AI54" s="32"/>
      <c r="AJ54" s="55"/>
      <c r="AK54" s="32"/>
      <c r="AL54" s="32"/>
      <c r="AM54" s="32"/>
      <c r="AN54" s="32"/>
      <c r="AO54" s="32"/>
      <c r="AP54" s="31"/>
      <c r="AQ54" s="31"/>
      <c r="AR54" s="54"/>
      <c r="AS54" s="21" t="str">
        <f>IFERROR(VLOOKUP(February[[#This Row],[Drug Name4]],'Data Options'!$R$1:$S$100,2,FALSE), " ")</f>
        <v xml:space="preserve"> </v>
      </c>
      <c r="AT54" s="55"/>
      <c r="AU54" s="32"/>
      <c r="AV54" s="32"/>
      <c r="AW54" s="55"/>
      <c r="AX54" s="32"/>
      <c r="AY54" s="54"/>
      <c r="AZ54" s="21" t="str">
        <f>IFERROR(VLOOKUP(February[[#This Row],[Drug Name5]],'Data Options'!$R$1:$S$100,2,FALSE), " ")</f>
        <v xml:space="preserve"> </v>
      </c>
      <c r="BA54" s="55"/>
      <c r="BB54" s="32"/>
      <c r="BC54" s="32"/>
      <c r="BD54" s="55"/>
      <c r="BE54" s="32"/>
      <c r="BF54" s="54"/>
      <c r="BG54" s="21" t="str">
        <f>IFERROR(VLOOKUP(February[[#This Row],[Drug Name6]],'Data Options'!$R$1:$S$100,2,FALSE), " ")</f>
        <v xml:space="preserve"> </v>
      </c>
      <c r="BH54" s="55"/>
      <c r="BI54" s="32"/>
      <c r="BJ54" s="32"/>
      <c r="BK54" s="55"/>
      <c r="BL54" s="32"/>
      <c r="BM54" s="32"/>
      <c r="BN54" s="32"/>
      <c r="BO54" s="32"/>
      <c r="BP54" s="32"/>
      <c r="BQ54" s="31"/>
      <c r="BR54" s="31"/>
      <c r="BS54" s="54"/>
      <c r="BT54" s="21" t="str">
        <f>IFERROR(VLOOKUP(February[[#This Row],[Drug Name7]],'Data Options'!$R$1:$S$100,2,FALSE), " ")</f>
        <v xml:space="preserve"> </v>
      </c>
      <c r="BU54" s="55"/>
      <c r="BV54" s="32"/>
      <c r="BW54" s="32"/>
      <c r="BX54" s="55"/>
      <c r="BY54" s="32"/>
      <c r="BZ54" s="54"/>
      <c r="CA54" s="21" t="str">
        <f>IFERROR(VLOOKUP(February[[#This Row],[Drug Name8]],'Data Options'!$R$1:$S$100,2,FALSE), " ")</f>
        <v xml:space="preserve"> </v>
      </c>
      <c r="CB54" s="55"/>
      <c r="CC54" s="32"/>
      <c r="CD54" s="32"/>
      <c r="CE54" s="55"/>
      <c r="CF54" s="32"/>
      <c r="CG54" s="54"/>
      <c r="CH54" s="21" t="str">
        <f>IFERROR(VLOOKUP(February[[#This Row],[Drug Name9]],'Data Options'!$R$1:$S$100,2,FALSE), " ")</f>
        <v xml:space="preserve"> </v>
      </c>
      <c r="CI54" s="55"/>
      <c r="CJ54" s="32"/>
      <c r="CK54" s="32"/>
      <c r="CL54" s="55"/>
      <c r="CM54" s="32"/>
    </row>
    <row r="55" spans="1:91">
      <c r="A55" s="5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54"/>
      <c r="R55" s="21" t="str">
        <f>IFERROR(VLOOKUP(February[[#This Row],[Drug Name]],'Data Options'!$R$1:$S$100,2,FALSE), " ")</f>
        <v xml:space="preserve"> </v>
      </c>
      <c r="S55" s="55"/>
      <c r="T55" s="32"/>
      <c r="U55" s="32"/>
      <c r="V55" s="55"/>
      <c r="W55" s="32"/>
      <c r="X55" s="54"/>
      <c r="Y55" s="21" t="str">
        <f>IFERROR(VLOOKUP(February[[#This Row],[Drug Name2]],'Data Options'!$R$1:$S$100,2,FALSE), " ")</f>
        <v xml:space="preserve"> </v>
      </c>
      <c r="Z55" s="55"/>
      <c r="AA55" s="32"/>
      <c r="AB55" s="32"/>
      <c r="AC55" s="55"/>
      <c r="AD55" s="32"/>
      <c r="AE55" s="54"/>
      <c r="AF55" s="21" t="str">
        <f>IFERROR(VLOOKUP(February[[#This Row],[Drug Name3]],'Data Options'!$R$1:$S$100,2,FALSE), " ")</f>
        <v xml:space="preserve"> </v>
      </c>
      <c r="AG55" s="55"/>
      <c r="AH55" s="32"/>
      <c r="AI55" s="32"/>
      <c r="AJ55" s="55"/>
      <c r="AK55" s="32"/>
      <c r="AL55" s="32"/>
      <c r="AM55" s="32"/>
      <c r="AN55" s="32"/>
      <c r="AO55" s="32"/>
      <c r="AP55" s="31"/>
      <c r="AQ55" s="31"/>
      <c r="AR55" s="54"/>
      <c r="AS55" s="21" t="str">
        <f>IFERROR(VLOOKUP(February[[#This Row],[Drug Name4]],'Data Options'!$R$1:$S$100,2,FALSE), " ")</f>
        <v xml:space="preserve"> </v>
      </c>
      <c r="AT55" s="55"/>
      <c r="AU55" s="32"/>
      <c r="AV55" s="32"/>
      <c r="AW55" s="55"/>
      <c r="AX55" s="32"/>
      <c r="AY55" s="54"/>
      <c r="AZ55" s="21" t="str">
        <f>IFERROR(VLOOKUP(February[[#This Row],[Drug Name5]],'Data Options'!$R$1:$S$100,2,FALSE), " ")</f>
        <v xml:space="preserve"> </v>
      </c>
      <c r="BA55" s="55"/>
      <c r="BB55" s="32"/>
      <c r="BC55" s="32"/>
      <c r="BD55" s="55"/>
      <c r="BE55" s="32"/>
      <c r="BF55" s="54"/>
      <c r="BG55" s="21" t="str">
        <f>IFERROR(VLOOKUP(February[[#This Row],[Drug Name6]],'Data Options'!$R$1:$S$100,2,FALSE), " ")</f>
        <v xml:space="preserve"> </v>
      </c>
      <c r="BH55" s="55"/>
      <c r="BI55" s="32"/>
      <c r="BJ55" s="32"/>
      <c r="BK55" s="55"/>
      <c r="BL55" s="32"/>
      <c r="BM55" s="32"/>
      <c r="BN55" s="32"/>
      <c r="BO55" s="32"/>
      <c r="BP55" s="32"/>
      <c r="BQ55" s="31"/>
      <c r="BR55" s="31"/>
      <c r="BS55" s="54"/>
      <c r="BT55" s="21" t="str">
        <f>IFERROR(VLOOKUP(February[[#This Row],[Drug Name7]],'Data Options'!$R$1:$S$100,2,FALSE), " ")</f>
        <v xml:space="preserve"> </v>
      </c>
      <c r="BU55" s="55"/>
      <c r="BV55" s="32"/>
      <c r="BW55" s="32"/>
      <c r="BX55" s="55"/>
      <c r="BY55" s="32"/>
      <c r="BZ55" s="54"/>
      <c r="CA55" s="21" t="str">
        <f>IFERROR(VLOOKUP(February[[#This Row],[Drug Name8]],'Data Options'!$R$1:$S$100,2,FALSE), " ")</f>
        <v xml:space="preserve"> </v>
      </c>
      <c r="CB55" s="55"/>
      <c r="CC55" s="32"/>
      <c r="CD55" s="32"/>
      <c r="CE55" s="55"/>
      <c r="CF55" s="32"/>
      <c r="CG55" s="54"/>
      <c r="CH55" s="21" t="str">
        <f>IFERROR(VLOOKUP(February[[#This Row],[Drug Name9]],'Data Options'!$R$1:$S$100,2,FALSE), " ")</f>
        <v xml:space="preserve"> </v>
      </c>
      <c r="CI55" s="55"/>
      <c r="CJ55" s="32"/>
      <c r="CK55" s="32"/>
      <c r="CL55" s="55"/>
      <c r="CM55" s="32"/>
    </row>
    <row r="56" spans="1:91">
      <c r="A56" s="5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54"/>
      <c r="R56" s="21" t="str">
        <f>IFERROR(VLOOKUP(February[[#This Row],[Drug Name]],'Data Options'!$R$1:$S$100,2,FALSE), " ")</f>
        <v xml:space="preserve"> </v>
      </c>
      <c r="S56" s="55"/>
      <c r="T56" s="32"/>
      <c r="U56" s="32"/>
      <c r="V56" s="55"/>
      <c r="W56" s="32"/>
      <c r="X56" s="54"/>
      <c r="Y56" s="21" t="str">
        <f>IFERROR(VLOOKUP(February[[#This Row],[Drug Name2]],'Data Options'!$R$1:$S$100,2,FALSE), " ")</f>
        <v xml:space="preserve"> </v>
      </c>
      <c r="Z56" s="55"/>
      <c r="AA56" s="32"/>
      <c r="AB56" s="32"/>
      <c r="AC56" s="55"/>
      <c r="AD56" s="32"/>
      <c r="AE56" s="54"/>
      <c r="AF56" s="21" t="str">
        <f>IFERROR(VLOOKUP(February[[#This Row],[Drug Name3]],'Data Options'!$R$1:$S$100,2,FALSE), " ")</f>
        <v xml:space="preserve"> </v>
      </c>
      <c r="AG56" s="55"/>
      <c r="AH56" s="32"/>
      <c r="AI56" s="32"/>
      <c r="AJ56" s="55"/>
      <c r="AK56" s="32"/>
      <c r="AL56" s="32"/>
      <c r="AM56" s="32"/>
      <c r="AN56" s="32"/>
      <c r="AO56" s="32"/>
      <c r="AP56" s="31"/>
      <c r="AQ56" s="31"/>
      <c r="AR56" s="54"/>
      <c r="AS56" s="21" t="str">
        <f>IFERROR(VLOOKUP(February[[#This Row],[Drug Name4]],'Data Options'!$R$1:$S$100,2,FALSE), " ")</f>
        <v xml:space="preserve"> </v>
      </c>
      <c r="AT56" s="55"/>
      <c r="AU56" s="32"/>
      <c r="AV56" s="32"/>
      <c r="AW56" s="55"/>
      <c r="AX56" s="32"/>
      <c r="AY56" s="54"/>
      <c r="AZ56" s="21" t="str">
        <f>IFERROR(VLOOKUP(February[[#This Row],[Drug Name5]],'Data Options'!$R$1:$S$100,2,FALSE), " ")</f>
        <v xml:space="preserve"> </v>
      </c>
      <c r="BA56" s="55"/>
      <c r="BB56" s="32"/>
      <c r="BC56" s="32"/>
      <c r="BD56" s="55"/>
      <c r="BE56" s="32"/>
      <c r="BF56" s="54"/>
      <c r="BG56" s="21" t="str">
        <f>IFERROR(VLOOKUP(February[[#This Row],[Drug Name6]],'Data Options'!$R$1:$S$100,2,FALSE), " ")</f>
        <v xml:space="preserve"> </v>
      </c>
      <c r="BH56" s="55"/>
      <c r="BI56" s="32"/>
      <c r="BJ56" s="32"/>
      <c r="BK56" s="55"/>
      <c r="BL56" s="32"/>
      <c r="BM56" s="32"/>
      <c r="BN56" s="32"/>
      <c r="BO56" s="32"/>
      <c r="BP56" s="32"/>
      <c r="BQ56" s="31"/>
      <c r="BR56" s="31"/>
      <c r="BS56" s="54"/>
      <c r="BT56" s="21" t="str">
        <f>IFERROR(VLOOKUP(February[[#This Row],[Drug Name7]],'Data Options'!$R$1:$S$100,2,FALSE), " ")</f>
        <v xml:space="preserve"> </v>
      </c>
      <c r="BU56" s="55"/>
      <c r="BV56" s="32"/>
      <c r="BW56" s="32"/>
      <c r="BX56" s="55"/>
      <c r="BY56" s="32"/>
      <c r="BZ56" s="54"/>
      <c r="CA56" s="21" t="str">
        <f>IFERROR(VLOOKUP(February[[#This Row],[Drug Name8]],'Data Options'!$R$1:$S$100,2,FALSE), " ")</f>
        <v xml:space="preserve"> </v>
      </c>
      <c r="CB56" s="55"/>
      <c r="CC56" s="32"/>
      <c r="CD56" s="32"/>
      <c r="CE56" s="55"/>
      <c r="CF56" s="32"/>
      <c r="CG56" s="54"/>
      <c r="CH56" s="21" t="str">
        <f>IFERROR(VLOOKUP(February[[#This Row],[Drug Name9]],'Data Options'!$R$1:$S$100,2,FALSE), " ")</f>
        <v xml:space="preserve"> </v>
      </c>
      <c r="CI56" s="55"/>
      <c r="CJ56" s="32"/>
      <c r="CK56" s="32"/>
      <c r="CL56" s="55"/>
      <c r="CM56" s="32"/>
    </row>
    <row r="57" spans="1:91">
      <c r="A57" s="5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31"/>
      <c r="Q57" s="54"/>
      <c r="R57" s="21" t="str">
        <f>IFERROR(VLOOKUP(February[[#This Row],[Drug Name]],'Data Options'!$R$1:$S$100,2,FALSE), " ")</f>
        <v xml:space="preserve"> </v>
      </c>
      <c r="S57" s="55"/>
      <c r="T57" s="32"/>
      <c r="U57" s="32"/>
      <c r="V57" s="55"/>
      <c r="W57" s="32"/>
      <c r="X57" s="54"/>
      <c r="Y57" s="21" t="str">
        <f>IFERROR(VLOOKUP(February[[#This Row],[Drug Name2]],'Data Options'!$R$1:$S$100,2,FALSE), " ")</f>
        <v xml:space="preserve"> </v>
      </c>
      <c r="Z57" s="55"/>
      <c r="AA57" s="32"/>
      <c r="AB57" s="32"/>
      <c r="AC57" s="55"/>
      <c r="AD57" s="32"/>
      <c r="AE57" s="54"/>
      <c r="AF57" s="21" t="str">
        <f>IFERROR(VLOOKUP(February[[#This Row],[Drug Name3]],'Data Options'!$R$1:$S$100,2,FALSE), " ")</f>
        <v xml:space="preserve"> </v>
      </c>
      <c r="AG57" s="55"/>
      <c r="AH57" s="32"/>
      <c r="AI57" s="32"/>
      <c r="AJ57" s="55"/>
      <c r="AK57" s="32"/>
      <c r="AL57" s="32"/>
      <c r="AM57" s="32"/>
      <c r="AN57" s="32"/>
      <c r="AO57" s="32"/>
      <c r="AP57" s="31"/>
      <c r="AQ57" s="31"/>
      <c r="AR57" s="54"/>
      <c r="AS57" s="21" t="str">
        <f>IFERROR(VLOOKUP(February[[#This Row],[Drug Name4]],'Data Options'!$R$1:$S$100,2,FALSE), " ")</f>
        <v xml:space="preserve"> </v>
      </c>
      <c r="AT57" s="55"/>
      <c r="AU57" s="32"/>
      <c r="AV57" s="32"/>
      <c r="AW57" s="55"/>
      <c r="AX57" s="32"/>
      <c r="AY57" s="54"/>
      <c r="AZ57" s="21" t="str">
        <f>IFERROR(VLOOKUP(February[[#This Row],[Drug Name5]],'Data Options'!$R$1:$S$100,2,FALSE), " ")</f>
        <v xml:space="preserve"> </v>
      </c>
      <c r="BA57" s="55"/>
      <c r="BB57" s="32"/>
      <c r="BC57" s="32"/>
      <c r="BD57" s="55"/>
      <c r="BE57" s="32"/>
      <c r="BF57" s="54"/>
      <c r="BG57" s="21" t="str">
        <f>IFERROR(VLOOKUP(February[[#This Row],[Drug Name6]],'Data Options'!$R$1:$S$100,2,FALSE), " ")</f>
        <v xml:space="preserve"> </v>
      </c>
      <c r="BH57" s="55"/>
      <c r="BI57" s="32"/>
      <c r="BJ57" s="32"/>
      <c r="BK57" s="55"/>
      <c r="BL57" s="32"/>
      <c r="BM57" s="32"/>
      <c r="BN57" s="32"/>
      <c r="BO57" s="32"/>
      <c r="BP57" s="32"/>
      <c r="BQ57" s="31"/>
      <c r="BR57" s="31"/>
      <c r="BS57" s="54"/>
      <c r="BT57" s="21" t="str">
        <f>IFERROR(VLOOKUP(February[[#This Row],[Drug Name7]],'Data Options'!$R$1:$S$100,2,FALSE), " ")</f>
        <v xml:space="preserve"> </v>
      </c>
      <c r="BU57" s="55"/>
      <c r="BV57" s="32"/>
      <c r="BW57" s="32"/>
      <c r="BX57" s="55"/>
      <c r="BY57" s="32"/>
      <c r="BZ57" s="54"/>
      <c r="CA57" s="21" t="str">
        <f>IFERROR(VLOOKUP(February[[#This Row],[Drug Name8]],'Data Options'!$R$1:$S$100,2,FALSE), " ")</f>
        <v xml:space="preserve"> </v>
      </c>
      <c r="CB57" s="55"/>
      <c r="CC57" s="32"/>
      <c r="CD57" s="32"/>
      <c r="CE57" s="55"/>
      <c r="CF57" s="32"/>
      <c r="CG57" s="54"/>
      <c r="CH57" s="21" t="str">
        <f>IFERROR(VLOOKUP(February[[#This Row],[Drug Name9]],'Data Options'!$R$1:$S$100,2,FALSE), " ")</f>
        <v xml:space="preserve"> </v>
      </c>
      <c r="CI57" s="55"/>
      <c r="CJ57" s="32"/>
      <c r="CK57" s="32"/>
      <c r="CL57" s="55"/>
      <c r="CM57" s="32"/>
    </row>
    <row r="58" spans="1:9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54"/>
      <c r="R58" s="21" t="str">
        <f>IFERROR(VLOOKUP(February[[#This Row],[Drug Name]],'Data Options'!$R$1:$S$100,2,FALSE), " ")</f>
        <v xml:space="preserve"> </v>
      </c>
      <c r="S58" s="55"/>
      <c r="T58" s="32"/>
      <c r="U58" s="32"/>
      <c r="V58" s="55"/>
      <c r="W58" s="32"/>
      <c r="X58" s="54"/>
      <c r="Y58" s="21" t="str">
        <f>IFERROR(VLOOKUP(February[[#This Row],[Drug Name2]],'Data Options'!$R$1:$S$100,2,FALSE), " ")</f>
        <v xml:space="preserve"> </v>
      </c>
      <c r="Z58" s="55"/>
      <c r="AA58" s="32"/>
      <c r="AB58" s="32"/>
      <c r="AC58" s="55"/>
      <c r="AD58" s="32"/>
      <c r="AE58" s="54"/>
      <c r="AF58" s="21" t="str">
        <f>IFERROR(VLOOKUP(February[[#This Row],[Drug Name3]],'Data Options'!$R$1:$S$100,2,FALSE), " ")</f>
        <v xml:space="preserve"> </v>
      </c>
      <c r="AG58" s="55"/>
      <c r="AH58" s="32"/>
      <c r="AI58" s="32"/>
      <c r="AJ58" s="55"/>
      <c r="AK58" s="32"/>
      <c r="AL58" s="32"/>
      <c r="AM58" s="32"/>
      <c r="AN58" s="32"/>
      <c r="AO58" s="32"/>
      <c r="AP58" s="31"/>
      <c r="AQ58" s="31"/>
      <c r="AR58" s="54"/>
      <c r="AS58" s="21" t="str">
        <f>IFERROR(VLOOKUP(February[[#This Row],[Drug Name4]],'Data Options'!$R$1:$S$100,2,FALSE), " ")</f>
        <v xml:space="preserve"> </v>
      </c>
      <c r="AT58" s="55"/>
      <c r="AU58" s="32"/>
      <c r="AV58" s="32"/>
      <c r="AW58" s="55"/>
      <c r="AX58" s="32"/>
      <c r="AY58" s="54"/>
      <c r="AZ58" s="21" t="str">
        <f>IFERROR(VLOOKUP(February[[#This Row],[Drug Name5]],'Data Options'!$R$1:$S$100,2,FALSE), " ")</f>
        <v xml:space="preserve"> </v>
      </c>
      <c r="BA58" s="55"/>
      <c r="BB58" s="32"/>
      <c r="BC58" s="32"/>
      <c r="BD58" s="55"/>
      <c r="BE58" s="32"/>
      <c r="BF58" s="54"/>
      <c r="BG58" s="21" t="str">
        <f>IFERROR(VLOOKUP(February[[#This Row],[Drug Name6]],'Data Options'!$R$1:$S$100,2,FALSE), " ")</f>
        <v xml:space="preserve"> </v>
      </c>
      <c r="BH58" s="55"/>
      <c r="BI58" s="32"/>
      <c r="BJ58" s="32"/>
      <c r="BK58" s="55"/>
      <c r="BL58" s="32"/>
      <c r="BM58" s="32"/>
      <c r="BN58" s="32"/>
      <c r="BO58" s="32"/>
      <c r="BP58" s="32"/>
      <c r="BQ58" s="31"/>
      <c r="BR58" s="31"/>
      <c r="BS58" s="54"/>
      <c r="BT58" s="21" t="str">
        <f>IFERROR(VLOOKUP(February[[#This Row],[Drug Name7]],'Data Options'!$R$1:$S$100,2,FALSE), " ")</f>
        <v xml:space="preserve"> </v>
      </c>
      <c r="BU58" s="55"/>
      <c r="BV58" s="32"/>
      <c r="BW58" s="32"/>
      <c r="BX58" s="55"/>
      <c r="BY58" s="32"/>
      <c r="BZ58" s="54"/>
      <c r="CA58" s="21" t="str">
        <f>IFERROR(VLOOKUP(February[[#This Row],[Drug Name8]],'Data Options'!$R$1:$S$100,2,FALSE), " ")</f>
        <v xml:space="preserve"> </v>
      </c>
      <c r="CB58" s="55"/>
      <c r="CC58" s="32"/>
      <c r="CD58" s="32"/>
      <c r="CE58" s="55"/>
      <c r="CF58" s="32"/>
      <c r="CG58" s="54"/>
      <c r="CH58" s="21" t="str">
        <f>IFERROR(VLOOKUP(February[[#This Row],[Drug Name9]],'Data Options'!$R$1:$S$100,2,FALSE), " ")</f>
        <v xml:space="preserve"> </v>
      </c>
      <c r="CI58" s="55"/>
      <c r="CJ58" s="32"/>
      <c r="CK58" s="32"/>
      <c r="CL58" s="55"/>
      <c r="CM58" s="32"/>
    </row>
    <row r="59" spans="1:91">
      <c r="A59" s="5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31"/>
      <c r="Q59" s="54"/>
      <c r="R59" s="21" t="str">
        <f>IFERROR(VLOOKUP(February[[#This Row],[Drug Name]],'Data Options'!$R$1:$S$100,2,FALSE), " ")</f>
        <v xml:space="preserve"> </v>
      </c>
      <c r="S59" s="55"/>
      <c r="T59" s="32"/>
      <c r="U59" s="32"/>
      <c r="V59" s="55"/>
      <c r="W59" s="32"/>
      <c r="X59" s="54"/>
      <c r="Y59" s="21" t="str">
        <f>IFERROR(VLOOKUP(February[[#This Row],[Drug Name2]],'Data Options'!$R$1:$S$100,2,FALSE), " ")</f>
        <v xml:space="preserve"> </v>
      </c>
      <c r="Z59" s="55"/>
      <c r="AA59" s="32"/>
      <c r="AB59" s="32"/>
      <c r="AC59" s="55"/>
      <c r="AD59" s="32"/>
      <c r="AE59" s="54"/>
      <c r="AF59" s="21" t="str">
        <f>IFERROR(VLOOKUP(February[[#This Row],[Drug Name3]],'Data Options'!$R$1:$S$100,2,FALSE), " ")</f>
        <v xml:space="preserve"> </v>
      </c>
      <c r="AG59" s="55"/>
      <c r="AH59" s="32"/>
      <c r="AI59" s="32"/>
      <c r="AJ59" s="55"/>
      <c r="AK59" s="32"/>
      <c r="AL59" s="32"/>
      <c r="AM59" s="32"/>
      <c r="AN59" s="32"/>
      <c r="AO59" s="32"/>
      <c r="AP59" s="31"/>
      <c r="AQ59" s="31"/>
      <c r="AR59" s="54"/>
      <c r="AS59" s="21" t="str">
        <f>IFERROR(VLOOKUP(February[[#This Row],[Drug Name4]],'Data Options'!$R$1:$S$100,2,FALSE), " ")</f>
        <v xml:space="preserve"> </v>
      </c>
      <c r="AT59" s="55"/>
      <c r="AU59" s="32"/>
      <c r="AV59" s="32"/>
      <c r="AW59" s="55"/>
      <c r="AX59" s="32"/>
      <c r="AY59" s="54"/>
      <c r="AZ59" s="21" t="str">
        <f>IFERROR(VLOOKUP(February[[#This Row],[Drug Name5]],'Data Options'!$R$1:$S$100,2,FALSE), " ")</f>
        <v xml:space="preserve"> </v>
      </c>
      <c r="BA59" s="55"/>
      <c r="BB59" s="32"/>
      <c r="BC59" s="32"/>
      <c r="BD59" s="55"/>
      <c r="BE59" s="32"/>
      <c r="BF59" s="54"/>
      <c r="BG59" s="21" t="str">
        <f>IFERROR(VLOOKUP(February[[#This Row],[Drug Name6]],'Data Options'!$R$1:$S$100,2,FALSE), " ")</f>
        <v xml:space="preserve"> </v>
      </c>
      <c r="BH59" s="55"/>
      <c r="BI59" s="32"/>
      <c r="BJ59" s="32"/>
      <c r="BK59" s="55"/>
      <c r="BL59" s="32"/>
      <c r="BM59" s="32"/>
      <c r="BN59" s="32"/>
      <c r="BO59" s="32"/>
      <c r="BP59" s="32"/>
      <c r="BQ59" s="31"/>
      <c r="BR59" s="31"/>
      <c r="BS59" s="54"/>
      <c r="BT59" s="21" t="str">
        <f>IFERROR(VLOOKUP(February[[#This Row],[Drug Name7]],'Data Options'!$R$1:$S$100,2,FALSE), " ")</f>
        <v xml:space="preserve"> </v>
      </c>
      <c r="BU59" s="55"/>
      <c r="BV59" s="32"/>
      <c r="BW59" s="32"/>
      <c r="BX59" s="55"/>
      <c r="BY59" s="32"/>
      <c r="BZ59" s="54"/>
      <c r="CA59" s="21" t="str">
        <f>IFERROR(VLOOKUP(February[[#This Row],[Drug Name8]],'Data Options'!$R$1:$S$100,2,FALSE), " ")</f>
        <v xml:space="preserve"> </v>
      </c>
      <c r="CB59" s="55"/>
      <c r="CC59" s="32"/>
      <c r="CD59" s="32"/>
      <c r="CE59" s="55"/>
      <c r="CF59" s="32"/>
      <c r="CG59" s="54"/>
      <c r="CH59" s="21" t="str">
        <f>IFERROR(VLOOKUP(February[[#This Row],[Drug Name9]],'Data Options'!$R$1:$S$100,2,FALSE), " ")</f>
        <v xml:space="preserve"> </v>
      </c>
      <c r="CI59" s="55"/>
      <c r="CJ59" s="32"/>
      <c r="CK59" s="32"/>
      <c r="CL59" s="55"/>
      <c r="CM59" s="32"/>
    </row>
    <row r="60" spans="1:91">
      <c r="A60" s="5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31"/>
      <c r="Q60" s="54"/>
      <c r="R60" s="21" t="str">
        <f>IFERROR(VLOOKUP(February[[#This Row],[Drug Name]],'Data Options'!$R$1:$S$100,2,FALSE), " ")</f>
        <v xml:space="preserve"> </v>
      </c>
      <c r="S60" s="55"/>
      <c r="T60" s="32"/>
      <c r="U60" s="32"/>
      <c r="V60" s="55"/>
      <c r="W60" s="32"/>
      <c r="X60" s="54"/>
      <c r="Y60" s="21" t="str">
        <f>IFERROR(VLOOKUP(February[[#This Row],[Drug Name2]],'Data Options'!$R$1:$S$100,2,FALSE), " ")</f>
        <v xml:space="preserve"> </v>
      </c>
      <c r="Z60" s="55"/>
      <c r="AA60" s="32"/>
      <c r="AB60" s="32"/>
      <c r="AC60" s="55"/>
      <c r="AD60" s="32"/>
      <c r="AE60" s="54"/>
      <c r="AF60" s="21" t="str">
        <f>IFERROR(VLOOKUP(February[[#This Row],[Drug Name3]],'Data Options'!$R$1:$S$100,2,FALSE), " ")</f>
        <v xml:space="preserve"> </v>
      </c>
      <c r="AG60" s="55"/>
      <c r="AH60" s="32"/>
      <c r="AI60" s="32"/>
      <c r="AJ60" s="55"/>
      <c r="AK60" s="32"/>
      <c r="AL60" s="32"/>
      <c r="AM60" s="32"/>
      <c r="AN60" s="32"/>
      <c r="AO60" s="32"/>
      <c r="AP60" s="31"/>
      <c r="AQ60" s="31"/>
      <c r="AR60" s="54"/>
      <c r="AS60" s="21" t="str">
        <f>IFERROR(VLOOKUP(February[[#This Row],[Drug Name4]],'Data Options'!$R$1:$S$100,2,FALSE), " ")</f>
        <v xml:space="preserve"> </v>
      </c>
      <c r="AT60" s="55"/>
      <c r="AU60" s="32"/>
      <c r="AV60" s="32"/>
      <c r="AW60" s="55"/>
      <c r="AX60" s="32"/>
      <c r="AY60" s="54"/>
      <c r="AZ60" s="21" t="str">
        <f>IFERROR(VLOOKUP(February[[#This Row],[Drug Name5]],'Data Options'!$R$1:$S$100,2,FALSE), " ")</f>
        <v xml:space="preserve"> </v>
      </c>
      <c r="BA60" s="55"/>
      <c r="BB60" s="32"/>
      <c r="BC60" s="32"/>
      <c r="BD60" s="55"/>
      <c r="BE60" s="32"/>
      <c r="BF60" s="54"/>
      <c r="BG60" s="21" t="str">
        <f>IFERROR(VLOOKUP(February[[#This Row],[Drug Name6]],'Data Options'!$R$1:$S$100,2,FALSE), " ")</f>
        <v xml:space="preserve"> </v>
      </c>
      <c r="BH60" s="55"/>
      <c r="BI60" s="32"/>
      <c r="BJ60" s="32"/>
      <c r="BK60" s="55"/>
      <c r="BL60" s="32"/>
      <c r="BM60" s="32"/>
      <c r="BN60" s="32"/>
      <c r="BO60" s="32"/>
      <c r="BP60" s="32"/>
      <c r="BQ60" s="31"/>
      <c r="BR60" s="31"/>
      <c r="BS60" s="54"/>
      <c r="BT60" s="21" t="str">
        <f>IFERROR(VLOOKUP(February[[#This Row],[Drug Name7]],'Data Options'!$R$1:$S$100,2,FALSE), " ")</f>
        <v xml:space="preserve"> </v>
      </c>
      <c r="BU60" s="55"/>
      <c r="BV60" s="32"/>
      <c r="BW60" s="32"/>
      <c r="BX60" s="55"/>
      <c r="BY60" s="32"/>
      <c r="BZ60" s="54"/>
      <c r="CA60" s="21" t="str">
        <f>IFERROR(VLOOKUP(February[[#This Row],[Drug Name8]],'Data Options'!$R$1:$S$100,2,FALSE), " ")</f>
        <v xml:space="preserve"> </v>
      </c>
      <c r="CB60" s="55"/>
      <c r="CC60" s="32"/>
      <c r="CD60" s="32"/>
      <c r="CE60" s="55"/>
      <c r="CF60" s="32"/>
      <c r="CG60" s="54"/>
      <c r="CH60" s="21" t="str">
        <f>IFERROR(VLOOKUP(February[[#This Row],[Drug Name9]],'Data Options'!$R$1:$S$100,2,FALSE), " ")</f>
        <v xml:space="preserve"> </v>
      </c>
      <c r="CI60" s="55"/>
      <c r="CJ60" s="32"/>
      <c r="CK60" s="32"/>
      <c r="CL60" s="55"/>
      <c r="CM60" s="32"/>
    </row>
    <row r="61" spans="1:91">
      <c r="A61" s="5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31"/>
      <c r="Q61" s="54"/>
      <c r="R61" s="21" t="str">
        <f>IFERROR(VLOOKUP(February[[#This Row],[Drug Name]],'Data Options'!$R$1:$S$100,2,FALSE), " ")</f>
        <v xml:space="preserve"> </v>
      </c>
      <c r="S61" s="55"/>
      <c r="T61" s="32"/>
      <c r="U61" s="32"/>
      <c r="V61" s="55"/>
      <c r="W61" s="32"/>
      <c r="X61" s="54"/>
      <c r="Y61" s="21" t="str">
        <f>IFERROR(VLOOKUP(February[[#This Row],[Drug Name2]],'Data Options'!$R$1:$S$100,2,FALSE), " ")</f>
        <v xml:space="preserve"> </v>
      </c>
      <c r="Z61" s="55"/>
      <c r="AA61" s="32"/>
      <c r="AB61" s="32"/>
      <c r="AC61" s="55"/>
      <c r="AD61" s="32"/>
      <c r="AE61" s="54"/>
      <c r="AF61" s="21" t="str">
        <f>IFERROR(VLOOKUP(February[[#This Row],[Drug Name3]],'Data Options'!$R$1:$S$100,2,FALSE), " ")</f>
        <v xml:space="preserve"> </v>
      </c>
      <c r="AG61" s="55"/>
      <c r="AH61" s="32"/>
      <c r="AI61" s="32"/>
      <c r="AJ61" s="55"/>
      <c r="AK61" s="32"/>
      <c r="AL61" s="32"/>
      <c r="AM61" s="32"/>
      <c r="AN61" s="32"/>
      <c r="AO61" s="32"/>
      <c r="AP61" s="31"/>
      <c r="AQ61" s="31"/>
      <c r="AR61" s="54"/>
      <c r="AS61" s="21" t="str">
        <f>IFERROR(VLOOKUP(February[[#This Row],[Drug Name4]],'Data Options'!$R$1:$S$100,2,FALSE), " ")</f>
        <v xml:space="preserve"> </v>
      </c>
      <c r="AT61" s="55"/>
      <c r="AU61" s="32"/>
      <c r="AV61" s="32"/>
      <c r="AW61" s="55"/>
      <c r="AX61" s="32"/>
      <c r="AY61" s="54"/>
      <c r="AZ61" s="21" t="str">
        <f>IFERROR(VLOOKUP(February[[#This Row],[Drug Name5]],'Data Options'!$R$1:$S$100,2,FALSE), " ")</f>
        <v xml:space="preserve"> </v>
      </c>
      <c r="BA61" s="55"/>
      <c r="BB61" s="32"/>
      <c r="BC61" s="32"/>
      <c r="BD61" s="55"/>
      <c r="BE61" s="32"/>
      <c r="BF61" s="54"/>
      <c r="BG61" s="21" t="str">
        <f>IFERROR(VLOOKUP(February[[#This Row],[Drug Name6]],'Data Options'!$R$1:$S$100,2,FALSE), " ")</f>
        <v xml:space="preserve"> </v>
      </c>
      <c r="BH61" s="55"/>
      <c r="BI61" s="32"/>
      <c r="BJ61" s="32"/>
      <c r="BK61" s="55"/>
      <c r="BL61" s="32"/>
      <c r="BM61" s="32"/>
      <c r="BN61" s="32"/>
      <c r="BO61" s="32"/>
      <c r="BP61" s="32"/>
      <c r="BQ61" s="31"/>
      <c r="BR61" s="31"/>
      <c r="BS61" s="54"/>
      <c r="BT61" s="21" t="str">
        <f>IFERROR(VLOOKUP(February[[#This Row],[Drug Name7]],'Data Options'!$R$1:$S$100,2,FALSE), " ")</f>
        <v xml:space="preserve"> </v>
      </c>
      <c r="BU61" s="55"/>
      <c r="BV61" s="32"/>
      <c r="BW61" s="32"/>
      <c r="BX61" s="55"/>
      <c r="BY61" s="32"/>
      <c r="BZ61" s="54"/>
      <c r="CA61" s="21" t="str">
        <f>IFERROR(VLOOKUP(February[[#This Row],[Drug Name8]],'Data Options'!$R$1:$S$100,2,FALSE), " ")</f>
        <v xml:space="preserve"> </v>
      </c>
      <c r="CB61" s="55"/>
      <c r="CC61" s="32"/>
      <c r="CD61" s="32"/>
      <c r="CE61" s="55"/>
      <c r="CF61" s="32"/>
      <c r="CG61" s="54"/>
      <c r="CH61" s="21" t="str">
        <f>IFERROR(VLOOKUP(February[[#This Row],[Drug Name9]],'Data Options'!$R$1:$S$100,2,FALSE), " ")</f>
        <v xml:space="preserve"> </v>
      </c>
      <c r="CI61" s="55"/>
      <c r="CJ61" s="32"/>
      <c r="CK61" s="32"/>
      <c r="CL61" s="55"/>
      <c r="CM61" s="32"/>
    </row>
    <row r="62" spans="1:9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31"/>
      <c r="Q62" s="54"/>
      <c r="R62" s="21" t="str">
        <f>IFERROR(VLOOKUP(February[[#This Row],[Drug Name]],'Data Options'!$R$1:$S$100,2,FALSE), " ")</f>
        <v xml:space="preserve"> </v>
      </c>
      <c r="S62" s="55"/>
      <c r="T62" s="32"/>
      <c r="U62" s="32"/>
      <c r="V62" s="55"/>
      <c r="W62" s="32"/>
      <c r="X62" s="54"/>
      <c r="Y62" s="21" t="str">
        <f>IFERROR(VLOOKUP(February[[#This Row],[Drug Name2]],'Data Options'!$R$1:$S$100,2,FALSE), " ")</f>
        <v xml:space="preserve"> </v>
      </c>
      <c r="Z62" s="55"/>
      <c r="AA62" s="32"/>
      <c r="AB62" s="32"/>
      <c r="AC62" s="55"/>
      <c r="AD62" s="32"/>
      <c r="AE62" s="54"/>
      <c r="AF62" s="21" t="str">
        <f>IFERROR(VLOOKUP(February[[#This Row],[Drug Name3]],'Data Options'!$R$1:$S$100,2,FALSE), " ")</f>
        <v xml:space="preserve"> </v>
      </c>
      <c r="AG62" s="55"/>
      <c r="AH62" s="32"/>
      <c r="AI62" s="32"/>
      <c r="AJ62" s="55"/>
      <c r="AK62" s="32"/>
      <c r="AL62" s="32"/>
      <c r="AM62" s="32"/>
      <c r="AN62" s="32"/>
      <c r="AO62" s="32"/>
      <c r="AP62" s="31"/>
      <c r="AQ62" s="31"/>
      <c r="AR62" s="54"/>
      <c r="AS62" s="21" t="str">
        <f>IFERROR(VLOOKUP(February[[#This Row],[Drug Name4]],'Data Options'!$R$1:$S$100,2,FALSE), " ")</f>
        <v xml:space="preserve"> </v>
      </c>
      <c r="AT62" s="55"/>
      <c r="AU62" s="32"/>
      <c r="AV62" s="32"/>
      <c r="AW62" s="55"/>
      <c r="AX62" s="32"/>
      <c r="AY62" s="54"/>
      <c r="AZ62" s="21" t="str">
        <f>IFERROR(VLOOKUP(February[[#This Row],[Drug Name5]],'Data Options'!$R$1:$S$100,2,FALSE), " ")</f>
        <v xml:space="preserve"> </v>
      </c>
      <c r="BA62" s="55"/>
      <c r="BB62" s="32"/>
      <c r="BC62" s="32"/>
      <c r="BD62" s="55"/>
      <c r="BE62" s="32"/>
      <c r="BF62" s="54"/>
      <c r="BG62" s="21" t="str">
        <f>IFERROR(VLOOKUP(February[[#This Row],[Drug Name6]],'Data Options'!$R$1:$S$100,2,FALSE), " ")</f>
        <v xml:space="preserve"> </v>
      </c>
      <c r="BH62" s="55"/>
      <c r="BI62" s="32"/>
      <c r="BJ62" s="32"/>
      <c r="BK62" s="55"/>
      <c r="BL62" s="32"/>
      <c r="BM62" s="32"/>
      <c r="BN62" s="32"/>
      <c r="BO62" s="32"/>
      <c r="BP62" s="32"/>
      <c r="BQ62" s="31"/>
      <c r="BR62" s="31"/>
      <c r="BS62" s="54"/>
      <c r="BT62" s="21" t="str">
        <f>IFERROR(VLOOKUP(February[[#This Row],[Drug Name7]],'Data Options'!$R$1:$S$100,2,FALSE), " ")</f>
        <v xml:space="preserve"> </v>
      </c>
      <c r="BU62" s="55"/>
      <c r="BV62" s="32"/>
      <c r="BW62" s="32"/>
      <c r="BX62" s="55"/>
      <c r="BY62" s="32"/>
      <c r="BZ62" s="54"/>
      <c r="CA62" s="21" t="str">
        <f>IFERROR(VLOOKUP(February[[#This Row],[Drug Name8]],'Data Options'!$R$1:$S$100,2,FALSE), " ")</f>
        <v xml:space="preserve"> </v>
      </c>
      <c r="CB62" s="55"/>
      <c r="CC62" s="32"/>
      <c r="CD62" s="32"/>
      <c r="CE62" s="55"/>
      <c r="CF62" s="32"/>
      <c r="CG62" s="54"/>
      <c r="CH62" s="21" t="str">
        <f>IFERROR(VLOOKUP(February[[#This Row],[Drug Name9]],'Data Options'!$R$1:$S$100,2,FALSE), " ")</f>
        <v xml:space="preserve"> </v>
      </c>
      <c r="CI62" s="55"/>
      <c r="CJ62" s="32"/>
      <c r="CK62" s="32"/>
      <c r="CL62" s="55"/>
      <c r="CM62" s="32"/>
    </row>
    <row r="63" spans="1:91">
      <c r="A63" s="5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31"/>
      <c r="Q63" s="54"/>
      <c r="R63" s="21" t="str">
        <f>IFERROR(VLOOKUP(February[[#This Row],[Drug Name]],'Data Options'!$R$1:$S$100,2,FALSE), " ")</f>
        <v xml:space="preserve"> </v>
      </c>
      <c r="S63" s="55"/>
      <c r="T63" s="32"/>
      <c r="U63" s="32"/>
      <c r="V63" s="55"/>
      <c r="W63" s="32"/>
      <c r="X63" s="54"/>
      <c r="Y63" s="21" t="str">
        <f>IFERROR(VLOOKUP(February[[#This Row],[Drug Name2]],'Data Options'!$R$1:$S$100,2,FALSE), " ")</f>
        <v xml:space="preserve"> </v>
      </c>
      <c r="Z63" s="55"/>
      <c r="AA63" s="32"/>
      <c r="AB63" s="32"/>
      <c r="AC63" s="55"/>
      <c r="AD63" s="32"/>
      <c r="AE63" s="54"/>
      <c r="AF63" s="21" t="str">
        <f>IFERROR(VLOOKUP(February[[#This Row],[Drug Name3]],'Data Options'!$R$1:$S$100,2,FALSE), " ")</f>
        <v xml:space="preserve"> </v>
      </c>
      <c r="AG63" s="55"/>
      <c r="AH63" s="32"/>
      <c r="AI63" s="32"/>
      <c r="AJ63" s="55"/>
      <c r="AK63" s="32"/>
      <c r="AL63" s="32"/>
      <c r="AM63" s="32"/>
      <c r="AN63" s="32"/>
      <c r="AO63" s="32"/>
      <c r="AP63" s="31"/>
      <c r="AQ63" s="31"/>
      <c r="AR63" s="54"/>
      <c r="AS63" s="21" t="str">
        <f>IFERROR(VLOOKUP(February[[#This Row],[Drug Name4]],'Data Options'!$R$1:$S$100,2,FALSE), " ")</f>
        <v xml:space="preserve"> </v>
      </c>
      <c r="AT63" s="55"/>
      <c r="AU63" s="32"/>
      <c r="AV63" s="32"/>
      <c r="AW63" s="55"/>
      <c r="AX63" s="32"/>
      <c r="AY63" s="54"/>
      <c r="AZ63" s="21" t="str">
        <f>IFERROR(VLOOKUP(February[[#This Row],[Drug Name5]],'Data Options'!$R$1:$S$100,2,FALSE), " ")</f>
        <v xml:space="preserve"> </v>
      </c>
      <c r="BA63" s="55"/>
      <c r="BB63" s="32"/>
      <c r="BC63" s="32"/>
      <c r="BD63" s="55"/>
      <c r="BE63" s="32"/>
      <c r="BF63" s="54"/>
      <c r="BG63" s="21" t="str">
        <f>IFERROR(VLOOKUP(February[[#This Row],[Drug Name6]],'Data Options'!$R$1:$S$100,2,FALSE), " ")</f>
        <v xml:space="preserve"> </v>
      </c>
      <c r="BH63" s="55"/>
      <c r="BI63" s="32"/>
      <c r="BJ63" s="32"/>
      <c r="BK63" s="55"/>
      <c r="BL63" s="32"/>
      <c r="BM63" s="32"/>
      <c r="BN63" s="32"/>
      <c r="BO63" s="32"/>
      <c r="BP63" s="32"/>
      <c r="BQ63" s="31"/>
      <c r="BR63" s="31"/>
      <c r="BS63" s="54"/>
      <c r="BT63" s="21" t="str">
        <f>IFERROR(VLOOKUP(February[[#This Row],[Drug Name7]],'Data Options'!$R$1:$S$100,2,FALSE), " ")</f>
        <v xml:space="preserve"> </v>
      </c>
      <c r="BU63" s="55"/>
      <c r="BV63" s="32"/>
      <c r="BW63" s="32"/>
      <c r="BX63" s="55"/>
      <c r="BY63" s="32"/>
      <c r="BZ63" s="54"/>
      <c r="CA63" s="21" t="str">
        <f>IFERROR(VLOOKUP(February[[#This Row],[Drug Name8]],'Data Options'!$R$1:$S$100,2,FALSE), " ")</f>
        <v xml:space="preserve"> </v>
      </c>
      <c r="CB63" s="55"/>
      <c r="CC63" s="32"/>
      <c r="CD63" s="32"/>
      <c r="CE63" s="55"/>
      <c r="CF63" s="32"/>
      <c r="CG63" s="54"/>
      <c r="CH63" s="21" t="str">
        <f>IFERROR(VLOOKUP(February[[#This Row],[Drug Name9]],'Data Options'!$R$1:$S$100,2,FALSE), " ")</f>
        <v xml:space="preserve"> </v>
      </c>
      <c r="CI63" s="55"/>
      <c r="CJ63" s="32"/>
      <c r="CK63" s="32"/>
      <c r="CL63" s="55"/>
      <c r="CM63" s="32"/>
    </row>
    <row r="64" spans="1:91">
      <c r="A64" s="5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31"/>
      <c r="Q64" s="54"/>
      <c r="R64" s="21" t="str">
        <f>IFERROR(VLOOKUP(February[[#This Row],[Drug Name]],'Data Options'!$R$1:$S$100,2,FALSE), " ")</f>
        <v xml:space="preserve"> </v>
      </c>
      <c r="S64" s="55"/>
      <c r="T64" s="32"/>
      <c r="U64" s="32"/>
      <c r="V64" s="55"/>
      <c r="W64" s="32"/>
      <c r="X64" s="54"/>
      <c r="Y64" s="21" t="str">
        <f>IFERROR(VLOOKUP(February[[#This Row],[Drug Name2]],'Data Options'!$R$1:$S$100,2,FALSE), " ")</f>
        <v xml:space="preserve"> </v>
      </c>
      <c r="Z64" s="55"/>
      <c r="AA64" s="32"/>
      <c r="AB64" s="32"/>
      <c r="AC64" s="55"/>
      <c r="AD64" s="32"/>
      <c r="AE64" s="54"/>
      <c r="AF64" s="21" t="str">
        <f>IFERROR(VLOOKUP(February[[#This Row],[Drug Name3]],'Data Options'!$R$1:$S$100,2,FALSE), " ")</f>
        <v xml:space="preserve"> </v>
      </c>
      <c r="AG64" s="55"/>
      <c r="AH64" s="32"/>
      <c r="AI64" s="32"/>
      <c r="AJ64" s="55"/>
      <c r="AK64" s="32"/>
      <c r="AL64" s="32"/>
      <c r="AM64" s="32"/>
      <c r="AN64" s="32"/>
      <c r="AO64" s="32"/>
      <c r="AP64" s="31"/>
      <c r="AQ64" s="31"/>
      <c r="AR64" s="54"/>
      <c r="AS64" s="21" t="str">
        <f>IFERROR(VLOOKUP(February[[#This Row],[Drug Name4]],'Data Options'!$R$1:$S$100,2,FALSE), " ")</f>
        <v xml:space="preserve"> </v>
      </c>
      <c r="AT64" s="55"/>
      <c r="AU64" s="32"/>
      <c r="AV64" s="32"/>
      <c r="AW64" s="55"/>
      <c r="AX64" s="32"/>
      <c r="AY64" s="54"/>
      <c r="AZ64" s="21" t="str">
        <f>IFERROR(VLOOKUP(February[[#This Row],[Drug Name5]],'Data Options'!$R$1:$S$100,2,FALSE), " ")</f>
        <v xml:space="preserve"> </v>
      </c>
      <c r="BA64" s="55"/>
      <c r="BB64" s="32"/>
      <c r="BC64" s="32"/>
      <c r="BD64" s="55"/>
      <c r="BE64" s="32"/>
      <c r="BF64" s="54"/>
      <c r="BG64" s="21" t="str">
        <f>IFERROR(VLOOKUP(February[[#This Row],[Drug Name6]],'Data Options'!$R$1:$S$100,2,FALSE), " ")</f>
        <v xml:space="preserve"> </v>
      </c>
      <c r="BH64" s="55"/>
      <c r="BI64" s="32"/>
      <c r="BJ64" s="32"/>
      <c r="BK64" s="55"/>
      <c r="BL64" s="32"/>
      <c r="BM64" s="32"/>
      <c r="BN64" s="32"/>
      <c r="BO64" s="32"/>
      <c r="BP64" s="32"/>
      <c r="BQ64" s="31"/>
      <c r="BR64" s="31"/>
      <c r="BS64" s="54"/>
      <c r="BT64" s="21" t="str">
        <f>IFERROR(VLOOKUP(February[[#This Row],[Drug Name7]],'Data Options'!$R$1:$S$100,2,FALSE), " ")</f>
        <v xml:space="preserve"> </v>
      </c>
      <c r="BU64" s="55"/>
      <c r="BV64" s="32"/>
      <c r="BW64" s="32"/>
      <c r="BX64" s="55"/>
      <c r="BY64" s="32"/>
      <c r="BZ64" s="54"/>
      <c r="CA64" s="21" t="str">
        <f>IFERROR(VLOOKUP(February[[#This Row],[Drug Name8]],'Data Options'!$R$1:$S$100,2,FALSE), " ")</f>
        <v xml:space="preserve"> </v>
      </c>
      <c r="CB64" s="55"/>
      <c r="CC64" s="32"/>
      <c r="CD64" s="32"/>
      <c r="CE64" s="55"/>
      <c r="CF64" s="32"/>
      <c r="CG64" s="54"/>
      <c r="CH64" s="21" t="str">
        <f>IFERROR(VLOOKUP(February[[#This Row],[Drug Name9]],'Data Options'!$R$1:$S$100,2,FALSE), " ")</f>
        <v xml:space="preserve"> </v>
      </c>
      <c r="CI64" s="55"/>
      <c r="CJ64" s="32"/>
      <c r="CK64" s="32"/>
      <c r="CL64" s="55"/>
      <c r="CM64" s="32"/>
    </row>
    <row r="65" spans="1:91">
      <c r="A65" s="5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54"/>
      <c r="R65" s="21" t="str">
        <f>IFERROR(VLOOKUP(February[[#This Row],[Drug Name]],'Data Options'!$R$1:$S$100,2,FALSE), " ")</f>
        <v xml:space="preserve"> </v>
      </c>
      <c r="S65" s="55"/>
      <c r="T65" s="32"/>
      <c r="U65" s="32"/>
      <c r="V65" s="55"/>
      <c r="W65" s="32"/>
      <c r="X65" s="54"/>
      <c r="Y65" s="21" t="str">
        <f>IFERROR(VLOOKUP(February[[#This Row],[Drug Name2]],'Data Options'!$R$1:$S$100,2,FALSE), " ")</f>
        <v xml:space="preserve"> </v>
      </c>
      <c r="Z65" s="55"/>
      <c r="AA65" s="32"/>
      <c r="AB65" s="32"/>
      <c r="AC65" s="55"/>
      <c r="AD65" s="32"/>
      <c r="AE65" s="54"/>
      <c r="AF65" s="21" t="str">
        <f>IFERROR(VLOOKUP(February[[#This Row],[Drug Name3]],'Data Options'!$R$1:$S$100,2,FALSE), " ")</f>
        <v xml:space="preserve"> </v>
      </c>
      <c r="AG65" s="55"/>
      <c r="AH65" s="32"/>
      <c r="AI65" s="32"/>
      <c r="AJ65" s="55"/>
      <c r="AK65" s="32"/>
      <c r="AL65" s="32"/>
      <c r="AM65" s="32"/>
      <c r="AN65" s="32"/>
      <c r="AO65" s="32"/>
      <c r="AP65" s="31"/>
      <c r="AQ65" s="31"/>
      <c r="AR65" s="54"/>
      <c r="AS65" s="21" t="str">
        <f>IFERROR(VLOOKUP(February[[#This Row],[Drug Name4]],'Data Options'!$R$1:$S$100,2,FALSE), " ")</f>
        <v xml:space="preserve"> </v>
      </c>
      <c r="AT65" s="55"/>
      <c r="AU65" s="32"/>
      <c r="AV65" s="32"/>
      <c r="AW65" s="55"/>
      <c r="AX65" s="32"/>
      <c r="AY65" s="54"/>
      <c r="AZ65" s="21" t="str">
        <f>IFERROR(VLOOKUP(February[[#This Row],[Drug Name5]],'Data Options'!$R$1:$S$100,2,FALSE), " ")</f>
        <v xml:space="preserve"> </v>
      </c>
      <c r="BA65" s="55"/>
      <c r="BB65" s="32"/>
      <c r="BC65" s="32"/>
      <c r="BD65" s="55"/>
      <c r="BE65" s="32"/>
      <c r="BF65" s="54"/>
      <c r="BG65" s="21" t="str">
        <f>IFERROR(VLOOKUP(February[[#This Row],[Drug Name6]],'Data Options'!$R$1:$S$100,2,FALSE), " ")</f>
        <v xml:space="preserve"> </v>
      </c>
      <c r="BH65" s="55"/>
      <c r="BI65" s="32"/>
      <c r="BJ65" s="32"/>
      <c r="BK65" s="55"/>
      <c r="BL65" s="32"/>
      <c r="BM65" s="32"/>
      <c r="BN65" s="32"/>
      <c r="BO65" s="32"/>
      <c r="BP65" s="32"/>
      <c r="BQ65" s="31"/>
      <c r="BR65" s="31"/>
      <c r="BS65" s="54"/>
      <c r="BT65" s="21" t="str">
        <f>IFERROR(VLOOKUP(February[[#This Row],[Drug Name7]],'Data Options'!$R$1:$S$100,2,FALSE), " ")</f>
        <v xml:space="preserve"> </v>
      </c>
      <c r="BU65" s="55"/>
      <c r="BV65" s="32"/>
      <c r="BW65" s="32"/>
      <c r="BX65" s="55"/>
      <c r="BY65" s="32"/>
      <c r="BZ65" s="54"/>
      <c r="CA65" s="21" t="str">
        <f>IFERROR(VLOOKUP(February[[#This Row],[Drug Name8]],'Data Options'!$R$1:$S$100,2,FALSE), " ")</f>
        <v xml:space="preserve"> </v>
      </c>
      <c r="CB65" s="55"/>
      <c r="CC65" s="32"/>
      <c r="CD65" s="32"/>
      <c r="CE65" s="55"/>
      <c r="CF65" s="32"/>
      <c r="CG65" s="54"/>
      <c r="CH65" s="21" t="str">
        <f>IFERROR(VLOOKUP(February[[#This Row],[Drug Name9]],'Data Options'!$R$1:$S$100,2,FALSE), " ")</f>
        <v xml:space="preserve"> </v>
      </c>
      <c r="CI65" s="55"/>
      <c r="CJ65" s="32"/>
      <c r="CK65" s="32"/>
      <c r="CL65" s="55"/>
      <c r="CM65" s="32"/>
    </row>
    <row r="66" spans="1:91">
      <c r="A66" s="5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31"/>
      <c r="Q66" s="54"/>
      <c r="R66" s="21" t="str">
        <f>IFERROR(VLOOKUP(February[[#This Row],[Drug Name]],'Data Options'!$R$1:$S$100,2,FALSE), " ")</f>
        <v xml:space="preserve"> </v>
      </c>
      <c r="S66" s="55"/>
      <c r="T66" s="32"/>
      <c r="U66" s="32"/>
      <c r="V66" s="55"/>
      <c r="W66" s="32"/>
      <c r="X66" s="54"/>
      <c r="Y66" s="21" t="str">
        <f>IFERROR(VLOOKUP(February[[#This Row],[Drug Name2]],'Data Options'!$R$1:$S$100,2,FALSE), " ")</f>
        <v xml:space="preserve"> </v>
      </c>
      <c r="Z66" s="55"/>
      <c r="AA66" s="32"/>
      <c r="AB66" s="32"/>
      <c r="AC66" s="55"/>
      <c r="AD66" s="32"/>
      <c r="AE66" s="54"/>
      <c r="AF66" s="21" t="str">
        <f>IFERROR(VLOOKUP(February[[#This Row],[Drug Name3]],'Data Options'!$R$1:$S$100,2,FALSE), " ")</f>
        <v xml:space="preserve"> </v>
      </c>
      <c r="AG66" s="55"/>
      <c r="AH66" s="32"/>
      <c r="AI66" s="32"/>
      <c r="AJ66" s="55"/>
      <c r="AK66" s="32"/>
      <c r="AL66" s="32"/>
      <c r="AM66" s="32"/>
      <c r="AN66" s="32"/>
      <c r="AO66" s="32"/>
      <c r="AP66" s="31"/>
      <c r="AQ66" s="31"/>
      <c r="AR66" s="54"/>
      <c r="AS66" s="21" t="str">
        <f>IFERROR(VLOOKUP(February[[#This Row],[Drug Name4]],'Data Options'!$R$1:$S$100,2,FALSE), " ")</f>
        <v xml:space="preserve"> </v>
      </c>
      <c r="AT66" s="55"/>
      <c r="AU66" s="32"/>
      <c r="AV66" s="32"/>
      <c r="AW66" s="55"/>
      <c r="AX66" s="32"/>
      <c r="AY66" s="54"/>
      <c r="AZ66" s="21" t="str">
        <f>IFERROR(VLOOKUP(February[[#This Row],[Drug Name5]],'Data Options'!$R$1:$S$100,2,FALSE), " ")</f>
        <v xml:space="preserve"> </v>
      </c>
      <c r="BA66" s="55"/>
      <c r="BB66" s="32"/>
      <c r="BC66" s="32"/>
      <c r="BD66" s="55"/>
      <c r="BE66" s="32"/>
      <c r="BF66" s="54"/>
      <c r="BG66" s="21" t="str">
        <f>IFERROR(VLOOKUP(February[[#This Row],[Drug Name6]],'Data Options'!$R$1:$S$100,2,FALSE), " ")</f>
        <v xml:space="preserve"> </v>
      </c>
      <c r="BH66" s="55"/>
      <c r="BI66" s="32"/>
      <c r="BJ66" s="32"/>
      <c r="BK66" s="55"/>
      <c r="BL66" s="32"/>
      <c r="BM66" s="32"/>
      <c r="BN66" s="32"/>
      <c r="BO66" s="32"/>
      <c r="BP66" s="32"/>
      <c r="BQ66" s="31"/>
      <c r="BR66" s="31"/>
      <c r="BS66" s="54"/>
      <c r="BT66" s="21" t="str">
        <f>IFERROR(VLOOKUP(February[[#This Row],[Drug Name7]],'Data Options'!$R$1:$S$100,2,FALSE), " ")</f>
        <v xml:space="preserve"> </v>
      </c>
      <c r="BU66" s="55"/>
      <c r="BV66" s="32"/>
      <c r="BW66" s="32"/>
      <c r="BX66" s="55"/>
      <c r="BY66" s="32"/>
      <c r="BZ66" s="54"/>
      <c r="CA66" s="21" t="str">
        <f>IFERROR(VLOOKUP(February[[#This Row],[Drug Name8]],'Data Options'!$R$1:$S$100,2,FALSE), " ")</f>
        <v xml:space="preserve"> </v>
      </c>
      <c r="CB66" s="55"/>
      <c r="CC66" s="32"/>
      <c r="CD66" s="32"/>
      <c r="CE66" s="55"/>
      <c r="CF66" s="32"/>
      <c r="CG66" s="54"/>
      <c r="CH66" s="21" t="str">
        <f>IFERROR(VLOOKUP(February[[#This Row],[Drug Name9]],'Data Options'!$R$1:$S$100,2,FALSE), " ")</f>
        <v xml:space="preserve"> </v>
      </c>
      <c r="CI66" s="55"/>
      <c r="CJ66" s="32"/>
      <c r="CK66" s="32"/>
      <c r="CL66" s="55"/>
      <c r="CM66" s="32"/>
    </row>
    <row r="67" spans="1:91">
      <c r="A67" s="5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31"/>
      <c r="Q67" s="54"/>
      <c r="R67" s="21" t="str">
        <f>IFERROR(VLOOKUP(February[[#This Row],[Drug Name]],'Data Options'!$R$1:$S$100,2,FALSE), " ")</f>
        <v xml:space="preserve"> </v>
      </c>
      <c r="S67" s="55"/>
      <c r="T67" s="32"/>
      <c r="U67" s="32"/>
      <c r="V67" s="55"/>
      <c r="W67" s="32"/>
      <c r="X67" s="54"/>
      <c r="Y67" s="21" t="str">
        <f>IFERROR(VLOOKUP(February[[#This Row],[Drug Name2]],'Data Options'!$R$1:$S$100,2,FALSE), " ")</f>
        <v xml:space="preserve"> </v>
      </c>
      <c r="Z67" s="55"/>
      <c r="AA67" s="32"/>
      <c r="AB67" s="32"/>
      <c r="AC67" s="55"/>
      <c r="AD67" s="32"/>
      <c r="AE67" s="54"/>
      <c r="AF67" s="21" t="str">
        <f>IFERROR(VLOOKUP(February[[#This Row],[Drug Name3]],'Data Options'!$R$1:$S$100,2,FALSE), " ")</f>
        <v xml:space="preserve"> </v>
      </c>
      <c r="AG67" s="55"/>
      <c r="AH67" s="32"/>
      <c r="AI67" s="32"/>
      <c r="AJ67" s="55"/>
      <c r="AK67" s="32"/>
      <c r="AL67" s="32"/>
      <c r="AM67" s="32"/>
      <c r="AN67" s="32"/>
      <c r="AO67" s="32"/>
      <c r="AP67" s="31"/>
      <c r="AQ67" s="31"/>
      <c r="AR67" s="54"/>
      <c r="AS67" s="21" t="str">
        <f>IFERROR(VLOOKUP(February[[#This Row],[Drug Name4]],'Data Options'!$R$1:$S$100,2,FALSE), " ")</f>
        <v xml:space="preserve"> </v>
      </c>
      <c r="AT67" s="55"/>
      <c r="AU67" s="32"/>
      <c r="AV67" s="32"/>
      <c r="AW67" s="55"/>
      <c r="AX67" s="32"/>
      <c r="AY67" s="54"/>
      <c r="AZ67" s="21" t="str">
        <f>IFERROR(VLOOKUP(February[[#This Row],[Drug Name5]],'Data Options'!$R$1:$S$100,2,FALSE), " ")</f>
        <v xml:space="preserve"> </v>
      </c>
      <c r="BA67" s="55"/>
      <c r="BB67" s="32"/>
      <c r="BC67" s="32"/>
      <c r="BD67" s="55"/>
      <c r="BE67" s="32"/>
      <c r="BF67" s="54"/>
      <c r="BG67" s="21" t="str">
        <f>IFERROR(VLOOKUP(February[[#This Row],[Drug Name6]],'Data Options'!$R$1:$S$100,2,FALSE), " ")</f>
        <v xml:space="preserve"> </v>
      </c>
      <c r="BH67" s="55"/>
      <c r="BI67" s="32"/>
      <c r="BJ67" s="32"/>
      <c r="BK67" s="55"/>
      <c r="BL67" s="32"/>
      <c r="BM67" s="32"/>
      <c r="BN67" s="32"/>
      <c r="BO67" s="32"/>
      <c r="BP67" s="32"/>
      <c r="BQ67" s="31"/>
      <c r="BR67" s="31"/>
      <c r="BS67" s="54"/>
      <c r="BT67" s="21" t="str">
        <f>IFERROR(VLOOKUP(February[[#This Row],[Drug Name7]],'Data Options'!$R$1:$S$100,2,FALSE), " ")</f>
        <v xml:space="preserve"> </v>
      </c>
      <c r="BU67" s="55"/>
      <c r="BV67" s="32"/>
      <c r="BW67" s="32"/>
      <c r="BX67" s="55"/>
      <c r="BY67" s="32"/>
      <c r="BZ67" s="54"/>
      <c r="CA67" s="21" t="str">
        <f>IFERROR(VLOOKUP(February[[#This Row],[Drug Name8]],'Data Options'!$R$1:$S$100,2,FALSE), " ")</f>
        <v xml:space="preserve"> </v>
      </c>
      <c r="CB67" s="55"/>
      <c r="CC67" s="32"/>
      <c r="CD67" s="32"/>
      <c r="CE67" s="55"/>
      <c r="CF67" s="32"/>
      <c r="CG67" s="54"/>
      <c r="CH67" s="21" t="str">
        <f>IFERROR(VLOOKUP(February[[#This Row],[Drug Name9]],'Data Options'!$R$1:$S$100,2,FALSE), " ")</f>
        <v xml:space="preserve"> </v>
      </c>
      <c r="CI67" s="55"/>
      <c r="CJ67" s="32"/>
      <c r="CK67" s="32"/>
      <c r="CL67" s="55"/>
      <c r="CM67" s="32"/>
    </row>
    <row r="68" spans="1:91">
      <c r="A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31"/>
      <c r="Q68" s="54"/>
      <c r="R68" s="21" t="str">
        <f>IFERROR(VLOOKUP(February[[#This Row],[Drug Name]],'Data Options'!$R$1:$S$100,2,FALSE), " ")</f>
        <v xml:space="preserve"> </v>
      </c>
      <c r="S68" s="55"/>
      <c r="T68" s="32"/>
      <c r="U68" s="32"/>
      <c r="V68" s="55"/>
      <c r="W68" s="32"/>
      <c r="X68" s="54"/>
      <c r="Y68" s="21" t="str">
        <f>IFERROR(VLOOKUP(February[[#This Row],[Drug Name2]],'Data Options'!$R$1:$S$100,2,FALSE), " ")</f>
        <v xml:space="preserve"> </v>
      </c>
      <c r="Z68" s="55"/>
      <c r="AA68" s="32"/>
      <c r="AB68" s="32"/>
      <c r="AC68" s="55"/>
      <c r="AD68" s="32"/>
      <c r="AE68" s="54"/>
      <c r="AF68" s="21" t="str">
        <f>IFERROR(VLOOKUP(February[[#This Row],[Drug Name3]],'Data Options'!$R$1:$S$100,2,FALSE), " ")</f>
        <v xml:space="preserve"> </v>
      </c>
      <c r="AG68" s="55"/>
      <c r="AH68" s="32"/>
      <c r="AI68" s="32"/>
      <c r="AJ68" s="55"/>
      <c r="AK68" s="32"/>
      <c r="AL68" s="32"/>
      <c r="AM68" s="32"/>
      <c r="AN68" s="32"/>
      <c r="AO68" s="32"/>
      <c r="AP68" s="31"/>
      <c r="AQ68" s="31"/>
      <c r="AR68" s="54"/>
      <c r="AS68" s="21" t="str">
        <f>IFERROR(VLOOKUP(February[[#This Row],[Drug Name4]],'Data Options'!$R$1:$S$100,2,FALSE), " ")</f>
        <v xml:space="preserve"> </v>
      </c>
      <c r="AT68" s="55"/>
      <c r="AU68" s="32"/>
      <c r="AV68" s="32"/>
      <c r="AW68" s="55"/>
      <c r="AX68" s="32"/>
      <c r="AY68" s="54"/>
      <c r="AZ68" s="21" t="str">
        <f>IFERROR(VLOOKUP(February[[#This Row],[Drug Name5]],'Data Options'!$R$1:$S$100,2,FALSE), " ")</f>
        <v xml:space="preserve"> </v>
      </c>
      <c r="BA68" s="55"/>
      <c r="BB68" s="32"/>
      <c r="BC68" s="32"/>
      <c r="BD68" s="55"/>
      <c r="BE68" s="32"/>
      <c r="BF68" s="54"/>
      <c r="BG68" s="21" t="str">
        <f>IFERROR(VLOOKUP(February[[#This Row],[Drug Name6]],'Data Options'!$R$1:$S$100,2,FALSE), " ")</f>
        <v xml:space="preserve"> </v>
      </c>
      <c r="BH68" s="55"/>
      <c r="BI68" s="32"/>
      <c r="BJ68" s="32"/>
      <c r="BK68" s="55"/>
      <c r="BL68" s="32"/>
      <c r="BM68" s="32"/>
      <c r="BN68" s="32"/>
      <c r="BO68" s="32"/>
      <c r="BP68" s="32"/>
      <c r="BQ68" s="31"/>
      <c r="BR68" s="31"/>
      <c r="BS68" s="54"/>
      <c r="BT68" s="21" t="str">
        <f>IFERROR(VLOOKUP(February[[#This Row],[Drug Name7]],'Data Options'!$R$1:$S$100,2,FALSE), " ")</f>
        <v xml:space="preserve"> </v>
      </c>
      <c r="BU68" s="55"/>
      <c r="BV68" s="32"/>
      <c r="BW68" s="32"/>
      <c r="BX68" s="55"/>
      <c r="BY68" s="32"/>
      <c r="BZ68" s="54"/>
      <c r="CA68" s="21" t="str">
        <f>IFERROR(VLOOKUP(February[[#This Row],[Drug Name8]],'Data Options'!$R$1:$S$100,2,FALSE), " ")</f>
        <v xml:space="preserve"> </v>
      </c>
      <c r="CB68" s="55"/>
      <c r="CC68" s="32"/>
      <c r="CD68" s="32"/>
      <c r="CE68" s="55"/>
      <c r="CF68" s="32"/>
      <c r="CG68" s="54"/>
      <c r="CH68" s="21" t="str">
        <f>IFERROR(VLOOKUP(February[[#This Row],[Drug Name9]],'Data Options'!$R$1:$S$100,2,FALSE), " ")</f>
        <v xml:space="preserve"> </v>
      </c>
      <c r="CI68" s="55"/>
      <c r="CJ68" s="32"/>
      <c r="CK68" s="32"/>
      <c r="CL68" s="55"/>
      <c r="CM68" s="32"/>
    </row>
    <row r="69" spans="1:91">
      <c r="A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31"/>
      <c r="Q69" s="54"/>
      <c r="R69" s="21" t="str">
        <f>IFERROR(VLOOKUP(February[[#This Row],[Drug Name]],'Data Options'!$R$1:$S$100,2,FALSE), " ")</f>
        <v xml:space="preserve"> </v>
      </c>
      <c r="S69" s="55"/>
      <c r="T69" s="32"/>
      <c r="U69" s="32"/>
      <c r="V69" s="55"/>
      <c r="W69" s="32"/>
      <c r="X69" s="54"/>
      <c r="Y69" s="21" t="str">
        <f>IFERROR(VLOOKUP(February[[#This Row],[Drug Name2]],'Data Options'!$R$1:$S$100,2,FALSE), " ")</f>
        <v xml:space="preserve"> </v>
      </c>
      <c r="Z69" s="55"/>
      <c r="AA69" s="32"/>
      <c r="AB69" s="32"/>
      <c r="AC69" s="55"/>
      <c r="AD69" s="32"/>
      <c r="AE69" s="54"/>
      <c r="AF69" s="21" t="str">
        <f>IFERROR(VLOOKUP(February[[#This Row],[Drug Name3]],'Data Options'!$R$1:$S$100,2,FALSE), " ")</f>
        <v xml:space="preserve"> </v>
      </c>
      <c r="AG69" s="55"/>
      <c r="AH69" s="32"/>
      <c r="AI69" s="32"/>
      <c r="AJ69" s="55"/>
      <c r="AK69" s="32"/>
      <c r="AL69" s="32"/>
      <c r="AM69" s="32"/>
      <c r="AN69" s="32"/>
      <c r="AO69" s="32"/>
      <c r="AP69" s="31"/>
      <c r="AQ69" s="31"/>
      <c r="AR69" s="54"/>
      <c r="AS69" s="21" t="str">
        <f>IFERROR(VLOOKUP(February[[#This Row],[Drug Name4]],'Data Options'!$R$1:$S$100,2,FALSE), " ")</f>
        <v xml:space="preserve"> </v>
      </c>
      <c r="AT69" s="55"/>
      <c r="AU69" s="32"/>
      <c r="AV69" s="32"/>
      <c r="AW69" s="55"/>
      <c r="AX69" s="32"/>
      <c r="AY69" s="54"/>
      <c r="AZ69" s="21" t="str">
        <f>IFERROR(VLOOKUP(February[[#This Row],[Drug Name5]],'Data Options'!$R$1:$S$100,2,FALSE), " ")</f>
        <v xml:space="preserve"> </v>
      </c>
      <c r="BA69" s="55"/>
      <c r="BB69" s="32"/>
      <c r="BC69" s="32"/>
      <c r="BD69" s="55"/>
      <c r="BE69" s="32"/>
      <c r="BF69" s="54"/>
      <c r="BG69" s="21" t="str">
        <f>IFERROR(VLOOKUP(February[[#This Row],[Drug Name6]],'Data Options'!$R$1:$S$100,2,FALSE), " ")</f>
        <v xml:space="preserve"> </v>
      </c>
      <c r="BH69" s="55"/>
      <c r="BI69" s="32"/>
      <c r="BJ69" s="32"/>
      <c r="BK69" s="55"/>
      <c r="BL69" s="32"/>
      <c r="BM69" s="32"/>
      <c r="BN69" s="32"/>
      <c r="BO69" s="32"/>
      <c r="BP69" s="32"/>
      <c r="BQ69" s="31"/>
      <c r="BR69" s="31"/>
      <c r="BS69" s="54"/>
      <c r="BT69" s="21" t="str">
        <f>IFERROR(VLOOKUP(February[[#This Row],[Drug Name7]],'Data Options'!$R$1:$S$100,2,FALSE), " ")</f>
        <v xml:space="preserve"> </v>
      </c>
      <c r="BU69" s="55"/>
      <c r="BV69" s="32"/>
      <c r="BW69" s="32"/>
      <c r="BX69" s="55"/>
      <c r="BY69" s="32"/>
      <c r="BZ69" s="54"/>
      <c r="CA69" s="21" t="str">
        <f>IFERROR(VLOOKUP(February[[#This Row],[Drug Name8]],'Data Options'!$R$1:$S$100,2,FALSE), " ")</f>
        <v xml:space="preserve"> </v>
      </c>
      <c r="CB69" s="55"/>
      <c r="CC69" s="32"/>
      <c r="CD69" s="32"/>
      <c r="CE69" s="55"/>
      <c r="CF69" s="32"/>
      <c r="CG69" s="54"/>
      <c r="CH69" s="21" t="str">
        <f>IFERROR(VLOOKUP(February[[#This Row],[Drug Name9]],'Data Options'!$R$1:$S$100,2,FALSE), " ")</f>
        <v xml:space="preserve"> </v>
      </c>
      <c r="CI69" s="55"/>
      <c r="CJ69" s="32"/>
      <c r="CK69" s="32"/>
      <c r="CL69" s="55"/>
      <c r="CM69" s="32"/>
    </row>
    <row r="70" spans="1:91">
      <c r="A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31"/>
      <c r="Q70" s="54"/>
      <c r="R70" s="21" t="str">
        <f>IFERROR(VLOOKUP(February[[#This Row],[Drug Name]],'Data Options'!$R$1:$S$100,2,FALSE), " ")</f>
        <v xml:space="preserve"> </v>
      </c>
      <c r="S70" s="55"/>
      <c r="T70" s="32"/>
      <c r="U70" s="32"/>
      <c r="V70" s="55"/>
      <c r="W70" s="32"/>
      <c r="X70" s="54"/>
      <c r="Y70" s="21" t="str">
        <f>IFERROR(VLOOKUP(February[[#This Row],[Drug Name2]],'Data Options'!$R$1:$S$100,2,FALSE), " ")</f>
        <v xml:space="preserve"> </v>
      </c>
      <c r="Z70" s="55"/>
      <c r="AA70" s="32"/>
      <c r="AB70" s="32"/>
      <c r="AC70" s="55"/>
      <c r="AD70" s="32"/>
      <c r="AE70" s="54"/>
      <c r="AF70" s="21" t="str">
        <f>IFERROR(VLOOKUP(February[[#This Row],[Drug Name3]],'Data Options'!$R$1:$S$100,2,FALSE), " ")</f>
        <v xml:space="preserve"> </v>
      </c>
      <c r="AG70" s="55"/>
      <c r="AH70" s="32"/>
      <c r="AI70" s="32"/>
      <c r="AJ70" s="55"/>
      <c r="AK70" s="32"/>
      <c r="AL70" s="32"/>
      <c r="AM70" s="32"/>
      <c r="AN70" s="32"/>
      <c r="AO70" s="32"/>
      <c r="AP70" s="31"/>
      <c r="AQ70" s="31"/>
      <c r="AR70" s="54"/>
      <c r="AS70" s="21" t="str">
        <f>IFERROR(VLOOKUP(February[[#This Row],[Drug Name4]],'Data Options'!$R$1:$S$100,2,FALSE), " ")</f>
        <v xml:space="preserve"> </v>
      </c>
      <c r="AT70" s="55"/>
      <c r="AU70" s="32"/>
      <c r="AV70" s="32"/>
      <c r="AW70" s="55"/>
      <c r="AX70" s="32"/>
      <c r="AY70" s="54"/>
      <c r="AZ70" s="21" t="str">
        <f>IFERROR(VLOOKUP(February[[#This Row],[Drug Name5]],'Data Options'!$R$1:$S$100,2,FALSE), " ")</f>
        <v xml:space="preserve"> </v>
      </c>
      <c r="BA70" s="55"/>
      <c r="BB70" s="32"/>
      <c r="BC70" s="32"/>
      <c r="BD70" s="55"/>
      <c r="BE70" s="32"/>
      <c r="BF70" s="54"/>
      <c r="BG70" s="21" t="str">
        <f>IFERROR(VLOOKUP(February[[#This Row],[Drug Name6]],'Data Options'!$R$1:$S$100,2,FALSE), " ")</f>
        <v xml:space="preserve"> </v>
      </c>
      <c r="BH70" s="55"/>
      <c r="BI70" s="32"/>
      <c r="BJ70" s="32"/>
      <c r="BK70" s="55"/>
      <c r="BL70" s="32"/>
      <c r="BM70" s="32"/>
      <c r="BN70" s="32"/>
      <c r="BO70" s="32"/>
      <c r="BP70" s="32"/>
      <c r="BQ70" s="31"/>
      <c r="BR70" s="31"/>
      <c r="BS70" s="54"/>
      <c r="BT70" s="21" t="str">
        <f>IFERROR(VLOOKUP(February[[#This Row],[Drug Name7]],'Data Options'!$R$1:$S$100,2,FALSE), " ")</f>
        <v xml:space="preserve"> </v>
      </c>
      <c r="BU70" s="55"/>
      <c r="BV70" s="32"/>
      <c r="BW70" s="32"/>
      <c r="BX70" s="55"/>
      <c r="BY70" s="32"/>
      <c r="BZ70" s="54"/>
      <c r="CA70" s="21" t="str">
        <f>IFERROR(VLOOKUP(February[[#This Row],[Drug Name8]],'Data Options'!$R$1:$S$100,2,FALSE), " ")</f>
        <v xml:space="preserve"> </v>
      </c>
      <c r="CB70" s="55"/>
      <c r="CC70" s="32"/>
      <c r="CD70" s="32"/>
      <c r="CE70" s="55"/>
      <c r="CF70" s="32"/>
      <c r="CG70" s="54"/>
      <c r="CH70" s="21" t="str">
        <f>IFERROR(VLOOKUP(February[[#This Row],[Drug Name9]],'Data Options'!$R$1:$S$100,2,FALSE), " ")</f>
        <v xml:space="preserve"> </v>
      </c>
      <c r="CI70" s="55"/>
      <c r="CJ70" s="32"/>
      <c r="CK70" s="32"/>
      <c r="CL70" s="55"/>
      <c r="CM70" s="32"/>
    </row>
    <row r="71" spans="1:91">
      <c r="A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31"/>
      <c r="Q71" s="54"/>
      <c r="R71" s="21" t="str">
        <f>IFERROR(VLOOKUP(February[[#This Row],[Drug Name]],'Data Options'!$R$1:$S$100,2,FALSE), " ")</f>
        <v xml:space="preserve"> </v>
      </c>
      <c r="S71" s="55"/>
      <c r="T71" s="32"/>
      <c r="U71" s="32"/>
      <c r="V71" s="55"/>
      <c r="W71" s="32"/>
      <c r="X71" s="54"/>
      <c r="Y71" s="21" t="str">
        <f>IFERROR(VLOOKUP(February[[#This Row],[Drug Name2]],'Data Options'!$R$1:$S$100,2,FALSE), " ")</f>
        <v xml:space="preserve"> </v>
      </c>
      <c r="Z71" s="55"/>
      <c r="AA71" s="32"/>
      <c r="AB71" s="32"/>
      <c r="AC71" s="55"/>
      <c r="AD71" s="32"/>
      <c r="AE71" s="54"/>
      <c r="AF71" s="21" t="str">
        <f>IFERROR(VLOOKUP(February[[#This Row],[Drug Name3]],'Data Options'!$R$1:$S$100,2,FALSE), " ")</f>
        <v xml:space="preserve"> </v>
      </c>
      <c r="AG71" s="55"/>
      <c r="AH71" s="32"/>
      <c r="AI71" s="32"/>
      <c r="AJ71" s="55"/>
      <c r="AK71" s="32"/>
      <c r="AL71" s="32"/>
      <c r="AM71" s="32"/>
      <c r="AN71" s="32"/>
      <c r="AO71" s="32"/>
      <c r="AP71" s="31"/>
      <c r="AQ71" s="31"/>
      <c r="AR71" s="54"/>
      <c r="AS71" s="21" t="str">
        <f>IFERROR(VLOOKUP(February[[#This Row],[Drug Name4]],'Data Options'!$R$1:$S$100,2,FALSE), " ")</f>
        <v xml:space="preserve"> </v>
      </c>
      <c r="AT71" s="55"/>
      <c r="AU71" s="32"/>
      <c r="AV71" s="32"/>
      <c r="AW71" s="55"/>
      <c r="AX71" s="32"/>
      <c r="AY71" s="54"/>
      <c r="AZ71" s="21" t="str">
        <f>IFERROR(VLOOKUP(February[[#This Row],[Drug Name5]],'Data Options'!$R$1:$S$100,2,FALSE), " ")</f>
        <v xml:space="preserve"> </v>
      </c>
      <c r="BA71" s="55"/>
      <c r="BB71" s="32"/>
      <c r="BC71" s="32"/>
      <c r="BD71" s="55"/>
      <c r="BE71" s="32"/>
      <c r="BF71" s="54"/>
      <c r="BG71" s="21" t="str">
        <f>IFERROR(VLOOKUP(February[[#This Row],[Drug Name6]],'Data Options'!$R$1:$S$100,2,FALSE), " ")</f>
        <v xml:space="preserve"> </v>
      </c>
      <c r="BH71" s="55"/>
      <c r="BI71" s="32"/>
      <c r="BJ71" s="32"/>
      <c r="BK71" s="55"/>
      <c r="BL71" s="32"/>
      <c r="BM71" s="32"/>
      <c r="BN71" s="32"/>
      <c r="BO71" s="32"/>
      <c r="BP71" s="32"/>
      <c r="BQ71" s="31"/>
      <c r="BR71" s="31"/>
      <c r="BS71" s="54"/>
      <c r="BT71" s="21" t="str">
        <f>IFERROR(VLOOKUP(February[[#This Row],[Drug Name7]],'Data Options'!$R$1:$S$100,2,FALSE), " ")</f>
        <v xml:space="preserve"> </v>
      </c>
      <c r="BU71" s="55"/>
      <c r="BV71" s="32"/>
      <c r="BW71" s="32"/>
      <c r="BX71" s="55"/>
      <c r="BY71" s="32"/>
      <c r="BZ71" s="54"/>
      <c r="CA71" s="21" t="str">
        <f>IFERROR(VLOOKUP(February[[#This Row],[Drug Name8]],'Data Options'!$R$1:$S$100,2,FALSE), " ")</f>
        <v xml:space="preserve"> </v>
      </c>
      <c r="CB71" s="55"/>
      <c r="CC71" s="32"/>
      <c r="CD71" s="32"/>
      <c r="CE71" s="55"/>
      <c r="CF71" s="32"/>
      <c r="CG71" s="54"/>
      <c r="CH71" s="21" t="str">
        <f>IFERROR(VLOOKUP(February[[#This Row],[Drug Name9]],'Data Options'!$R$1:$S$100,2,FALSE), " ")</f>
        <v xml:space="preserve"> </v>
      </c>
      <c r="CI71" s="55"/>
      <c r="CJ71" s="32"/>
      <c r="CK71" s="32"/>
      <c r="CL71" s="55"/>
      <c r="CM71" s="32"/>
    </row>
    <row r="72" spans="1:91">
      <c r="A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54"/>
      <c r="R72" s="21" t="str">
        <f>IFERROR(VLOOKUP(February[[#This Row],[Drug Name]],'Data Options'!$R$1:$S$100,2,FALSE), " ")</f>
        <v xml:space="preserve"> </v>
      </c>
      <c r="S72" s="55"/>
      <c r="T72" s="32"/>
      <c r="U72" s="32"/>
      <c r="V72" s="55"/>
      <c r="W72" s="32"/>
      <c r="X72" s="54"/>
      <c r="Y72" s="21" t="str">
        <f>IFERROR(VLOOKUP(February[[#This Row],[Drug Name2]],'Data Options'!$R$1:$S$100,2,FALSE), " ")</f>
        <v xml:space="preserve"> </v>
      </c>
      <c r="Z72" s="55"/>
      <c r="AA72" s="32"/>
      <c r="AB72" s="32"/>
      <c r="AC72" s="55"/>
      <c r="AD72" s="32"/>
      <c r="AE72" s="54"/>
      <c r="AF72" s="21" t="str">
        <f>IFERROR(VLOOKUP(February[[#This Row],[Drug Name3]],'Data Options'!$R$1:$S$100,2,FALSE), " ")</f>
        <v xml:space="preserve"> </v>
      </c>
      <c r="AG72" s="55"/>
      <c r="AH72" s="32"/>
      <c r="AI72" s="32"/>
      <c r="AJ72" s="55"/>
      <c r="AK72" s="32"/>
      <c r="AL72" s="32"/>
      <c r="AM72" s="32"/>
      <c r="AN72" s="32"/>
      <c r="AO72" s="32"/>
      <c r="AP72" s="31"/>
      <c r="AQ72" s="31"/>
      <c r="AR72" s="54"/>
      <c r="AS72" s="21" t="str">
        <f>IFERROR(VLOOKUP(February[[#This Row],[Drug Name4]],'Data Options'!$R$1:$S$100,2,FALSE), " ")</f>
        <v xml:space="preserve"> </v>
      </c>
      <c r="AT72" s="55"/>
      <c r="AU72" s="32"/>
      <c r="AV72" s="32"/>
      <c r="AW72" s="55"/>
      <c r="AX72" s="32"/>
      <c r="AY72" s="54"/>
      <c r="AZ72" s="21" t="str">
        <f>IFERROR(VLOOKUP(February[[#This Row],[Drug Name5]],'Data Options'!$R$1:$S$100,2,FALSE), " ")</f>
        <v xml:space="preserve"> </v>
      </c>
      <c r="BA72" s="55"/>
      <c r="BB72" s="32"/>
      <c r="BC72" s="32"/>
      <c r="BD72" s="55"/>
      <c r="BE72" s="32"/>
      <c r="BF72" s="54"/>
      <c r="BG72" s="21" t="str">
        <f>IFERROR(VLOOKUP(February[[#This Row],[Drug Name6]],'Data Options'!$R$1:$S$100,2,FALSE), " ")</f>
        <v xml:space="preserve"> </v>
      </c>
      <c r="BH72" s="55"/>
      <c r="BI72" s="32"/>
      <c r="BJ72" s="32"/>
      <c r="BK72" s="55"/>
      <c r="BL72" s="32"/>
      <c r="BM72" s="32"/>
      <c r="BN72" s="32"/>
      <c r="BO72" s="32"/>
      <c r="BP72" s="32"/>
      <c r="BQ72" s="31"/>
      <c r="BR72" s="31"/>
      <c r="BS72" s="54"/>
      <c r="BT72" s="21" t="str">
        <f>IFERROR(VLOOKUP(February[[#This Row],[Drug Name7]],'Data Options'!$R$1:$S$100,2,FALSE), " ")</f>
        <v xml:space="preserve"> </v>
      </c>
      <c r="BU72" s="55"/>
      <c r="BV72" s="32"/>
      <c r="BW72" s="32"/>
      <c r="BX72" s="55"/>
      <c r="BY72" s="32"/>
      <c r="BZ72" s="54"/>
      <c r="CA72" s="21" t="str">
        <f>IFERROR(VLOOKUP(February[[#This Row],[Drug Name8]],'Data Options'!$R$1:$S$100,2,FALSE), " ")</f>
        <v xml:space="preserve"> </v>
      </c>
      <c r="CB72" s="55"/>
      <c r="CC72" s="32"/>
      <c r="CD72" s="32"/>
      <c r="CE72" s="55"/>
      <c r="CF72" s="32"/>
      <c r="CG72" s="54"/>
      <c r="CH72" s="21" t="str">
        <f>IFERROR(VLOOKUP(February[[#This Row],[Drug Name9]],'Data Options'!$R$1:$S$100,2,FALSE), " ")</f>
        <v xml:space="preserve"> </v>
      </c>
      <c r="CI72" s="55"/>
      <c r="CJ72" s="32"/>
      <c r="CK72" s="32"/>
      <c r="CL72" s="55"/>
      <c r="CM72" s="32"/>
    </row>
    <row r="73" spans="1:91">
      <c r="A73" s="5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31"/>
      <c r="Q73" s="54"/>
      <c r="R73" s="21" t="str">
        <f>IFERROR(VLOOKUP(February[[#This Row],[Drug Name]],'Data Options'!$R$1:$S$100,2,FALSE), " ")</f>
        <v xml:space="preserve"> </v>
      </c>
      <c r="S73" s="55"/>
      <c r="T73" s="32"/>
      <c r="U73" s="32"/>
      <c r="V73" s="55"/>
      <c r="W73" s="32"/>
      <c r="X73" s="54"/>
      <c r="Y73" s="21" t="str">
        <f>IFERROR(VLOOKUP(February[[#This Row],[Drug Name2]],'Data Options'!$R$1:$S$100,2,FALSE), " ")</f>
        <v xml:space="preserve"> </v>
      </c>
      <c r="Z73" s="55"/>
      <c r="AA73" s="32"/>
      <c r="AB73" s="32"/>
      <c r="AC73" s="55"/>
      <c r="AD73" s="32"/>
      <c r="AE73" s="54"/>
      <c r="AF73" s="21" t="str">
        <f>IFERROR(VLOOKUP(February[[#This Row],[Drug Name3]],'Data Options'!$R$1:$S$100,2,FALSE), " ")</f>
        <v xml:space="preserve"> </v>
      </c>
      <c r="AG73" s="55"/>
      <c r="AH73" s="32"/>
      <c r="AI73" s="32"/>
      <c r="AJ73" s="55"/>
      <c r="AK73" s="32"/>
      <c r="AL73" s="32"/>
      <c r="AM73" s="32"/>
      <c r="AN73" s="32"/>
      <c r="AO73" s="32"/>
      <c r="AP73" s="31"/>
      <c r="AQ73" s="31"/>
      <c r="AR73" s="54"/>
      <c r="AS73" s="21" t="str">
        <f>IFERROR(VLOOKUP(February[[#This Row],[Drug Name4]],'Data Options'!$R$1:$S$100,2,FALSE), " ")</f>
        <v xml:space="preserve"> </v>
      </c>
      <c r="AT73" s="55"/>
      <c r="AU73" s="32"/>
      <c r="AV73" s="32"/>
      <c r="AW73" s="55"/>
      <c r="AX73" s="32"/>
      <c r="AY73" s="54"/>
      <c r="AZ73" s="21" t="str">
        <f>IFERROR(VLOOKUP(February[[#This Row],[Drug Name5]],'Data Options'!$R$1:$S$100,2,FALSE), " ")</f>
        <v xml:space="preserve"> </v>
      </c>
      <c r="BA73" s="55"/>
      <c r="BB73" s="32"/>
      <c r="BC73" s="32"/>
      <c r="BD73" s="55"/>
      <c r="BE73" s="32"/>
      <c r="BF73" s="54"/>
      <c r="BG73" s="21" t="str">
        <f>IFERROR(VLOOKUP(February[[#This Row],[Drug Name6]],'Data Options'!$R$1:$S$100,2,FALSE), " ")</f>
        <v xml:space="preserve"> </v>
      </c>
      <c r="BH73" s="55"/>
      <c r="BI73" s="32"/>
      <c r="BJ73" s="32"/>
      <c r="BK73" s="55"/>
      <c r="BL73" s="32"/>
      <c r="BM73" s="32"/>
      <c r="BN73" s="32"/>
      <c r="BO73" s="32"/>
      <c r="BP73" s="32"/>
      <c r="BQ73" s="31"/>
      <c r="BR73" s="31"/>
      <c r="BS73" s="54"/>
      <c r="BT73" s="21" t="str">
        <f>IFERROR(VLOOKUP(February[[#This Row],[Drug Name7]],'Data Options'!$R$1:$S$100,2,FALSE), " ")</f>
        <v xml:space="preserve"> </v>
      </c>
      <c r="BU73" s="55"/>
      <c r="BV73" s="32"/>
      <c r="BW73" s="32"/>
      <c r="BX73" s="55"/>
      <c r="BY73" s="32"/>
      <c r="BZ73" s="54"/>
      <c r="CA73" s="21" t="str">
        <f>IFERROR(VLOOKUP(February[[#This Row],[Drug Name8]],'Data Options'!$R$1:$S$100,2,FALSE), " ")</f>
        <v xml:space="preserve"> </v>
      </c>
      <c r="CB73" s="55"/>
      <c r="CC73" s="32"/>
      <c r="CD73" s="32"/>
      <c r="CE73" s="55"/>
      <c r="CF73" s="32"/>
      <c r="CG73" s="54"/>
      <c r="CH73" s="21" t="str">
        <f>IFERROR(VLOOKUP(February[[#This Row],[Drug Name9]],'Data Options'!$R$1:$S$100,2,FALSE), " ")</f>
        <v xml:space="preserve"> </v>
      </c>
      <c r="CI73" s="55"/>
      <c r="CJ73" s="32"/>
      <c r="CK73" s="32"/>
      <c r="CL73" s="55"/>
      <c r="CM73" s="32"/>
    </row>
    <row r="74" spans="1:91">
      <c r="A74" s="5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31"/>
      <c r="Q74" s="54"/>
      <c r="R74" s="21" t="str">
        <f>IFERROR(VLOOKUP(February[[#This Row],[Drug Name]],'Data Options'!$R$1:$S$100,2,FALSE), " ")</f>
        <v xml:space="preserve"> </v>
      </c>
      <c r="S74" s="55"/>
      <c r="T74" s="32"/>
      <c r="U74" s="32"/>
      <c r="V74" s="55"/>
      <c r="W74" s="32"/>
      <c r="X74" s="54"/>
      <c r="Y74" s="21" t="str">
        <f>IFERROR(VLOOKUP(February[[#This Row],[Drug Name2]],'Data Options'!$R$1:$S$100,2,FALSE), " ")</f>
        <v xml:space="preserve"> </v>
      </c>
      <c r="Z74" s="55"/>
      <c r="AA74" s="32"/>
      <c r="AB74" s="32"/>
      <c r="AC74" s="55"/>
      <c r="AD74" s="32"/>
      <c r="AE74" s="54"/>
      <c r="AF74" s="21" t="str">
        <f>IFERROR(VLOOKUP(February[[#This Row],[Drug Name3]],'Data Options'!$R$1:$S$100,2,FALSE), " ")</f>
        <v xml:space="preserve"> </v>
      </c>
      <c r="AG74" s="55"/>
      <c r="AH74" s="32"/>
      <c r="AI74" s="32"/>
      <c r="AJ74" s="55"/>
      <c r="AK74" s="32"/>
      <c r="AL74" s="32"/>
      <c r="AM74" s="32"/>
      <c r="AN74" s="32"/>
      <c r="AO74" s="32"/>
      <c r="AP74" s="31"/>
      <c r="AQ74" s="31"/>
      <c r="AR74" s="54"/>
      <c r="AS74" s="21" t="str">
        <f>IFERROR(VLOOKUP(February[[#This Row],[Drug Name4]],'Data Options'!$R$1:$S$100,2,FALSE), " ")</f>
        <v xml:space="preserve"> </v>
      </c>
      <c r="AT74" s="55"/>
      <c r="AU74" s="32"/>
      <c r="AV74" s="32"/>
      <c r="AW74" s="55"/>
      <c r="AX74" s="32"/>
      <c r="AY74" s="54"/>
      <c r="AZ74" s="21" t="str">
        <f>IFERROR(VLOOKUP(February[[#This Row],[Drug Name5]],'Data Options'!$R$1:$S$100,2,FALSE), " ")</f>
        <v xml:space="preserve"> </v>
      </c>
      <c r="BA74" s="55"/>
      <c r="BB74" s="32"/>
      <c r="BC74" s="32"/>
      <c r="BD74" s="55"/>
      <c r="BE74" s="32"/>
      <c r="BF74" s="54"/>
      <c r="BG74" s="21" t="str">
        <f>IFERROR(VLOOKUP(February[[#This Row],[Drug Name6]],'Data Options'!$R$1:$S$100,2,FALSE), " ")</f>
        <v xml:space="preserve"> </v>
      </c>
      <c r="BH74" s="55"/>
      <c r="BI74" s="32"/>
      <c r="BJ74" s="32"/>
      <c r="BK74" s="55"/>
      <c r="BL74" s="32"/>
      <c r="BM74" s="32"/>
      <c r="BN74" s="32"/>
      <c r="BO74" s="32"/>
      <c r="BP74" s="32"/>
      <c r="BQ74" s="31"/>
      <c r="BR74" s="31"/>
      <c r="BS74" s="54"/>
      <c r="BT74" s="21" t="str">
        <f>IFERROR(VLOOKUP(February[[#This Row],[Drug Name7]],'Data Options'!$R$1:$S$100,2,FALSE), " ")</f>
        <v xml:space="preserve"> </v>
      </c>
      <c r="BU74" s="55"/>
      <c r="BV74" s="32"/>
      <c r="BW74" s="32"/>
      <c r="BX74" s="55"/>
      <c r="BY74" s="32"/>
      <c r="BZ74" s="54"/>
      <c r="CA74" s="21" t="str">
        <f>IFERROR(VLOOKUP(February[[#This Row],[Drug Name8]],'Data Options'!$R$1:$S$100,2,FALSE), " ")</f>
        <v xml:space="preserve"> </v>
      </c>
      <c r="CB74" s="55"/>
      <c r="CC74" s="32"/>
      <c r="CD74" s="32"/>
      <c r="CE74" s="55"/>
      <c r="CF74" s="32"/>
      <c r="CG74" s="54"/>
      <c r="CH74" s="21" t="str">
        <f>IFERROR(VLOOKUP(February[[#This Row],[Drug Name9]],'Data Options'!$R$1:$S$100,2,FALSE), " ")</f>
        <v xml:space="preserve"> </v>
      </c>
      <c r="CI74" s="55"/>
      <c r="CJ74" s="32"/>
      <c r="CK74" s="32"/>
      <c r="CL74" s="55"/>
      <c r="CM74" s="32"/>
    </row>
    <row r="75" spans="1:91">
      <c r="A75" s="5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31"/>
      <c r="Q75" s="54"/>
      <c r="R75" s="21" t="str">
        <f>IFERROR(VLOOKUP(February[[#This Row],[Drug Name]],'Data Options'!$R$1:$S$100,2,FALSE), " ")</f>
        <v xml:space="preserve"> </v>
      </c>
      <c r="S75" s="55"/>
      <c r="T75" s="32"/>
      <c r="U75" s="32"/>
      <c r="V75" s="55"/>
      <c r="W75" s="32"/>
      <c r="X75" s="54"/>
      <c r="Y75" s="21" t="str">
        <f>IFERROR(VLOOKUP(February[[#This Row],[Drug Name2]],'Data Options'!$R$1:$S$100,2,FALSE), " ")</f>
        <v xml:space="preserve"> </v>
      </c>
      <c r="Z75" s="55"/>
      <c r="AA75" s="32"/>
      <c r="AB75" s="32"/>
      <c r="AC75" s="55"/>
      <c r="AD75" s="32"/>
      <c r="AE75" s="54"/>
      <c r="AF75" s="21" t="str">
        <f>IFERROR(VLOOKUP(February[[#This Row],[Drug Name3]],'Data Options'!$R$1:$S$100,2,FALSE), " ")</f>
        <v xml:space="preserve"> </v>
      </c>
      <c r="AG75" s="55"/>
      <c r="AH75" s="32"/>
      <c r="AI75" s="32"/>
      <c r="AJ75" s="55"/>
      <c r="AK75" s="32"/>
      <c r="AL75" s="32"/>
      <c r="AM75" s="32"/>
      <c r="AN75" s="32"/>
      <c r="AO75" s="32"/>
      <c r="AP75" s="31"/>
      <c r="AQ75" s="31"/>
      <c r="AR75" s="54"/>
      <c r="AS75" s="21" t="str">
        <f>IFERROR(VLOOKUP(February[[#This Row],[Drug Name4]],'Data Options'!$R$1:$S$100,2,FALSE), " ")</f>
        <v xml:space="preserve"> </v>
      </c>
      <c r="AT75" s="55"/>
      <c r="AU75" s="32"/>
      <c r="AV75" s="32"/>
      <c r="AW75" s="55"/>
      <c r="AX75" s="32"/>
      <c r="AY75" s="54"/>
      <c r="AZ75" s="21" t="str">
        <f>IFERROR(VLOOKUP(February[[#This Row],[Drug Name5]],'Data Options'!$R$1:$S$100,2,FALSE), " ")</f>
        <v xml:space="preserve"> </v>
      </c>
      <c r="BA75" s="55"/>
      <c r="BB75" s="32"/>
      <c r="BC75" s="32"/>
      <c r="BD75" s="55"/>
      <c r="BE75" s="32"/>
      <c r="BF75" s="54"/>
      <c r="BG75" s="21" t="str">
        <f>IFERROR(VLOOKUP(February[[#This Row],[Drug Name6]],'Data Options'!$R$1:$S$100,2,FALSE), " ")</f>
        <v xml:space="preserve"> </v>
      </c>
      <c r="BH75" s="55"/>
      <c r="BI75" s="32"/>
      <c r="BJ75" s="32"/>
      <c r="BK75" s="55"/>
      <c r="BL75" s="32"/>
      <c r="BM75" s="32"/>
      <c r="BN75" s="32"/>
      <c r="BO75" s="32"/>
      <c r="BP75" s="32"/>
      <c r="BQ75" s="31"/>
      <c r="BR75" s="31"/>
      <c r="BS75" s="54"/>
      <c r="BT75" s="21" t="str">
        <f>IFERROR(VLOOKUP(February[[#This Row],[Drug Name7]],'Data Options'!$R$1:$S$100,2,FALSE), " ")</f>
        <v xml:space="preserve"> </v>
      </c>
      <c r="BU75" s="55"/>
      <c r="BV75" s="32"/>
      <c r="BW75" s="32"/>
      <c r="BX75" s="55"/>
      <c r="BY75" s="32"/>
      <c r="BZ75" s="54"/>
      <c r="CA75" s="21" t="str">
        <f>IFERROR(VLOOKUP(February[[#This Row],[Drug Name8]],'Data Options'!$R$1:$S$100,2,FALSE), " ")</f>
        <v xml:space="preserve"> </v>
      </c>
      <c r="CB75" s="55"/>
      <c r="CC75" s="32"/>
      <c r="CD75" s="32"/>
      <c r="CE75" s="55"/>
      <c r="CF75" s="32"/>
      <c r="CG75" s="54"/>
      <c r="CH75" s="21" t="str">
        <f>IFERROR(VLOOKUP(February[[#This Row],[Drug Name9]],'Data Options'!$R$1:$S$100,2,FALSE), " ")</f>
        <v xml:space="preserve"> </v>
      </c>
      <c r="CI75" s="55"/>
      <c r="CJ75" s="32"/>
      <c r="CK75" s="32"/>
      <c r="CL75" s="55"/>
      <c r="CM75" s="32"/>
    </row>
    <row r="76" spans="1:91">
      <c r="A76" s="5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54"/>
      <c r="R76" s="21" t="str">
        <f>IFERROR(VLOOKUP(February[[#This Row],[Drug Name]],'Data Options'!$R$1:$S$100,2,FALSE), " ")</f>
        <v xml:space="preserve"> </v>
      </c>
      <c r="S76" s="55"/>
      <c r="T76" s="32"/>
      <c r="U76" s="32"/>
      <c r="V76" s="55"/>
      <c r="W76" s="32"/>
      <c r="X76" s="54"/>
      <c r="Y76" s="21" t="str">
        <f>IFERROR(VLOOKUP(February[[#This Row],[Drug Name2]],'Data Options'!$R$1:$S$100,2,FALSE), " ")</f>
        <v xml:space="preserve"> </v>
      </c>
      <c r="Z76" s="55"/>
      <c r="AA76" s="32"/>
      <c r="AB76" s="32"/>
      <c r="AC76" s="55"/>
      <c r="AD76" s="32"/>
      <c r="AE76" s="54"/>
      <c r="AF76" s="21" t="str">
        <f>IFERROR(VLOOKUP(February[[#This Row],[Drug Name3]],'Data Options'!$R$1:$S$100,2,FALSE), " ")</f>
        <v xml:space="preserve"> </v>
      </c>
      <c r="AG76" s="55"/>
      <c r="AH76" s="32"/>
      <c r="AI76" s="32"/>
      <c r="AJ76" s="55"/>
      <c r="AK76" s="32"/>
      <c r="AL76" s="32"/>
      <c r="AM76" s="32"/>
      <c r="AN76" s="32"/>
      <c r="AO76" s="32"/>
      <c r="AP76" s="31"/>
      <c r="AQ76" s="31"/>
      <c r="AR76" s="54"/>
      <c r="AS76" s="21" t="str">
        <f>IFERROR(VLOOKUP(February[[#This Row],[Drug Name4]],'Data Options'!$R$1:$S$100,2,FALSE), " ")</f>
        <v xml:space="preserve"> </v>
      </c>
      <c r="AT76" s="55"/>
      <c r="AU76" s="32"/>
      <c r="AV76" s="32"/>
      <c r="AW76" s="55"/>
      <c r="AX76" s="32"/>
      <c r="AY76" s="54"/>
      <c r="AZ76" s="21" t="str">
        <f>IFERROR(VLOOKUP(February[[#This Row],[Drug Name5]],'Data Options'!$R$1:$S$100,2,FALSE), " ")</f>
        <v xml:space="preserve"> </v>
      </c>
      <c r="BA76" s="55"/>
      <c r="BB76" s="32"/>
      <c r="BC76" s="32"/>
      <c r="BD76" s="55"/>
      <c r="BE76" s="32"/>
      <c r="BF76" s="54"/>
      <c r="BG76" s="21" t="str">
        <f>IFERROR(VLOOKUP(February[[#This Row],[Drug Name6]],'Data Options'!$R$1:$S$100,2,FALSE), " ")</f>
        <v xml:space="preserve"> </v>
      </c>
      <c r="BH76" s="55"/>
      <c r="BI76" s="32"/>
      <c r="BJ76" s="32"/>
      <c r="BK76" s="55"/>
      <c r="BL76" s="32"/>
      <c r="BM76" s="32"/>
      <c r="BN76" s="32"/>
      <c r="BO76" s="32"/>
      <c r="BP76" s="32"/>
      <c r="BQ76" s="31"/>
      <c r="BR76" s="31"/>
      <c r="BS76" s="54"/>
      <c r="BT76" s="21" t="str">
        <f>IFERROR(VLOOKUP(February[[#This Row],[Drug Name7]],'Data Options'!$R$1:$S$100,2,FALSE), " ")</f>
        <v xml:space="preserve"> </v>
      </c>
      <c r="BU76" s="55"/>
      <c r="BV76" s="32"/>
      <c r="BW76" s="32"/>
      <c r="BX76" s="55"/>
      <c r="BY76" s="32"/>
      <c r="BZ76" s="54"/>
      <c r="CA76" s="21" t="str">
        <f>IFERROR(VLOOKUP(February[[#This Row],[Drug Name8]],'Data Options'!$R$1:$S$100,2,FALSE), " ")</f>
        <v xml:space="preserve"> </v>
      </c>
      <c r="CB76" s="55"/>
      <c r="CC76" s="32"/>
      <c r="CD76" s="32"/>
      <c r="CE76" s="55"/>
      <c r="CF76" s="32"/>
      <c r="CG76" s="54"/>
      <c r="CH76" s="21" t="str">
        <f>IFERROR(VLOOKUP(February[[#This Row],[Drug Name9]],'Data Options'!$R$1:$S$100,2,FALSE), " ")</f>
        <v xml:space="preserve"> </v>
      </c>
      <c r="CI76" s="55"/>
      <c r="CJ76" s="32"/>
      <c r="CK76" s="32"/>
      <c r="CL76" s="55"/>
      <c r="CM76" s="32"/>
    </row>
    <row r="77" spans="1:91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31"/>
      <c r="Q77" s="54"/>
      <c r="R77" s="21" t="str">
        <f>IFERROR(VLOOKUP(February[[#This Row],[Drug Name]],'Data Options'!$R$1:$S$100,2,FALSE), " ")</f>
        <v xml:space="preserve"> </v>
      </c>
      <c r="S77" s="55"/>
      <c r="T77" s="32"/>
      <c r="U77" s="32"/>
      <c r="V77" s="55"/>
      <c r="W77" s="32"/>
      <c r="X77" s="54"/>
      <c r="Y77" s="21" t="str">
        <f>IFERROR(VLOOKUP(February[[#This Row],[Drug Name2]],'Data Options'!$R$1:$S$100,2,FALSE), " ")</f>
        <v xml:space="preserve"> </v>
      </c>
      <c r="Z77" s="55"/>
      <c r="AA77" s="32"/>
      <c r="AB77" s="32"/>
      <c r="AC77" s="55"/>
      <c r="AD77" s="32"/>
      <c r="AE77" s="54"/>
      <c r="AF77" s="21" t="str">
        <f>IFERROR(VLOOKUP(February[[#This Row],[Drug Name3]],'Data Options'!$R$1:$S$100,2,FALSE), " ")</f>
        <v xml:space="preserve"> </v>
      </c>
      <c r="AG77" s="55"/>
      <c r="AH77" s="32"/>
      <c r="AI77" s="32"/>
      <c r="AJ77" s="55"/>
      <c r="AK77" s="32"/>
      <c r="AL77" s="32"/>
      <c r="AM77" s="32"/>
      <c r="AN77" s="32"/>
      <c r="AO77" s="32"/>
      <c r="AP77" s="31"/>
      <c r="AQ77" s="31"/>
      <c r="AR77" s="54"/>
      <c r="AS77" s="21" t="str">
        <f>IFERROR(VLOOKUP(February[[#This Row],[Drug Name4]],'Data Options'!$R$1:$S$100,2,FALSE), " ")</f>
        <v xml:space="preserve"> </v>
      </c>
      <c r="AT77" s="55"/>
      <c r="AU77" s="32"/>
      <c r="AV77" s="32"/>
      <c r="AW77" s="55"/>
      <c r="AX77" s="32"/>
      <c r="AY77" s="54"/>
      <c r="AZ77" s="21" t="str">
        <f>IFERROR(VLOOKUP(February[[#This Row],[Drug Name5]],'Data Options'!$R$1:$S$100,2,FALSE), " ")</f>
        <v xml:space="preserve"> </v>
      </c>
      <c r="BA77" s="55"/>
      <c r="BB77" s="32"/>
      <c r="BC77" s="32"/>
      <c r="BD77" s="55"/>
      <c r="BE77" s="32"/>
      <c r="BF77" s="54"/>
      <c r="BG77" s="21" t="str">
        <f>IFERROR(VLOOKUP(February[[#This Row],[Drug Name6]],'Data Options'!$R$1:$S$100,2,FALSE), " ")</f>
        <v xml:space="preserve"> </v>
      </c>
      <c r="BH77" s="55"/>
      <c r="BI77" s="32"/>
      <c r="BJ77" s="32"/>
      <c r="BK77" s="55"/>
      <c r="BL77" s="32"/>
      <c r="BM77" s="32"/>
      <c r="BN77" s="32"/>
      <c r="BO77" s="32"/>
      <c r="BP77" s="32"/>
      <c r="BQ77" s="31"/>
      <c r="BR77" s="31"/>
      <c r="BS77" s="54"/>
      <c r="BT77" s="21" t="str">
        <f>IFERROR(VLOOKUP(February[[#This Row],[Drug Name7]],'Data Options'!$R$1:$S$100,2,FALSE), " ")</f>
        <v xml:space="preserve"> </v>
      </c>
      <c r="BU77" s="55"/>
      <c r="BV77" s="32"/>
      <c r="BW77" s="32"/>
      <c r="BX77" s="55"/>
      <c r="BY77" s="32"/>
      <c r="BZ77" s="54"/>
      <c r="CA77" s="21" t="str">
        <f>IFERROR(VLOOKUP(February[[#This Row],[Drug Name8]],'Data Options'!$R$1:$S$100,2,FALSE), " ")</f>
        <v xml:space="preserve"> </v>
      </c>
      <c r="CB77" s="55"/>
      <c r="CC77" s="32"/>
      <c r="CD77" s="32"/>
      <c r="CE77" s="55"/>
      <c r="CF77" s="32"/>
      <c r="CG77" s="54"/>
      <c r="CH77" s="21" t="str">
        <f>IFERROR(VLOOKUP(February[[#This Row],[Drug Name9]],'Data Options'!$R$1:$S$100,2,FALSE), " ")</f>
        <v xml:space="preserve"> </v>
      </c>
      <c r="CI77" s="55"/>
      <c r="CJ77" s="32"/>
      <c r="CK77" s="32"/>
      <c r="CL77" s="55"/>
      <c r="CM77" s="32"/>
    </row>
    <row r="78" spans="1:91">
      <c r="A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31"/>
      <c r="Q78" s="54"/>
      <c r="R78" s="21" t="str">
        <f>IFERROR(VLOOKUP(February[[#This Row],[Drug Name]],'Data Options'!$R$1:$S$100,2,FALSE), " ")</f>
        <v xml:space="preserve"> </v>
      </c>
      <c r="S78" s="55"/>
      <c r="T78" s="32"/>
      <c r="U78" s="32"/>
      <c r="V78" s="55"/>
      <c r="W78" s="32"/>
      <c r="X78" s="54"/>
      <c r="Y78" s="21" t="str">
        <f>IFERROR(VLOOKUP(February[[#This Row],[Drug Name2]],'Data Options'!$R$1:$S$100,2,FALSE), " ")</f>
        <v xml:space="preserve"> </v>
      </c>
      <c r="Z78" s="55"/>
      <c r="AA78" s="32"/>
      <c r="AB78" s="32"/>
      <c r="AC78" s="55"/>
      <c r="AD78" s="32"/>
      <c r="AE78" s="54"/>
      <c r="AF78" s="21" t="str">
        <f>IFERROR(VLOOKUP(February[[#This Row],[Drug Name3]],'Data Options'!$R$1:$S$100,2,FALSE), " ")</f>
        <v xml:space="preserve"> </v>
      </c>
      <c r="AG78" s="55"/>
      <c r="AH78" s="32"/>
      <c r="AI78" s="32"/>
      <c r="AJ78" s="55"/>
      <c r="AK78" s="32"/>
      <c r="AL78" s="32"/>
      <c r="AM78" s="32"/>
      <c r="AN78" s="32"/>
      <c r="AO78" s="32"/>
      <c r="AP78" s="31"/>
      <c r="AQ78" s="31"/>
      <c r="AR78" s="54"/>
      <c r="AS78" s="21" t="str">
        <f>IFERROR(VLOOKUP(February[[#This Row],[Drug Name4]],'Data Options'!$R$1:$S$100,2,FALSE), " ")</f>
        <v xml:space="preserve"> </v>
      </c>
      <c r="AT78" s="55"/>
      <c r="AU78" s="32"/>
      <c r="AV78" s="32"/>
      <c r="AW78" s="55"/>
      <c r="AX78" s="32"/>
      <c r="AY78" s="54"/>
      <c r="AZ78" s="21" t="str">
        <f>IFERROR(VLOOKUP(February[[#This Row],[Drug Name5]],'Data Options'!$R$1:$S$100,2,FALSE), " ")</f>
        <v xml:space="preserve"> </v>
      </c>
      <c r="BA78" s="55"/>
      <c r="BB78" s="32"/>
      <c r="BC78" s="32"/>
      <c r="BD78" s="55"/>
      <c r="BE78" s="32"/>
      <c r="BF78" s="54"/>
      <c r="BG78" s="21" t="str">
        <f>IFERROR(VLOOKUP(February[[#This Row],[Drug Name6]],'Data Options'!$R$1:$S$100,2,FALSE), " ")</f>
        <v xml:space="preserve"> </v>
      </c>
      <c r="BH78" s="55"/>
      <c r="BI78" s="32"/>
      <c r="BJ78" s="32"/>
      <c r="BK78" s="55"/>
      <c r="BL78" s="32"/>
      <c r="BM78" s="32"/>
      <c r="BN78" s="32"/>
      <c r="BO78" s="32"/>
      <c r="BP78" s="32"/>
      <c r="BQ78" s="31"/>
      <c r="BR78" s="31"/>
      <c r="BS78" s="54"/>
      <c r="BT78" s="21" t="str">
        <f>IFERROR(VLOOKUP(February[[#This Row],[Drug Name7]],'Data Options'!$R$1:$S$100,2,FALSE), " ")</f>
        <v xml:space="preserve"> </v>
      </c>
      <c r="BU78" s="55"/>
      <c r="BV78" s="32"/>
      <c r="BW78" s="32"/>
      <c r="BX78" s="55"/>
      <c r="BY78" s="32"/>
      <c r="BZ78" s="54"/>
      <c r="CA78" s="21" t="str">
        <f>IFERROR(VLOOKUP(February[[#This Row],[Drug Name8]],'Data Options'!$R$1:$S$100,2,FALSE), " ")</f>
        <v xml:space="preserve"> </v>
      </c>
      <c r="CB78" s="55"/>
      <c r="CC78" s="32"/>
      <c r="CD78" s="32"/>
      <c r="CE78" s="55"/>
      <c r="CF78" s="32"/>
      <c r="CG78" s="54"/>
      <c r="CH78" s="21" t="str">
        <f>IFERROR(VLOOKUP(February[[#This Row],[Drug Name9]],'Data Options'!$R$1:$S$100,2,FALSE), " ")</f>
        <v xml:space="preserve"> </v>
      </c>
      <c r="CI78" s="55"/>
      <c r="CJ78" s="32"/>
      <c r="CK78" s="32"/>
      <c r="CL78" s="55"/>
      <c r="CM78" s="32"/>
    </row>
    <row r="79" spans="1:91">
      <c r="A79" s="5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31"/>
      <c r="Q79" s="54"/>
      <c r="R79" s="21" t="str">
        <f>IFERROR(VLOOKUP(February[[#This Row],[Drug Name]],'Data Options'!$R$1:$S$100,2,FALSE), " ")</f>
        <v xml:space="preserve"> </v>
      </c>
      <c r="S79" s="55"/>
      <c r="T79" s="32"/>
      <c r="U79" s="32"/>
      <c r="V79" s="55"/>
      <c r="W79" s="32"/>
      <c r="X79" s="54"/>
      <c r="Y79" s="21" t="str">
        <f>IFERROR(VLOOKUP(February[[#This Row],[Drug Name2]],'Data Options'!$R$1:$S$100,2,FALSE), " ")</f>
        <v xml:space="preserve"> </v>
      </c>
      <c r="Z79" s="55"/>
      <c r="AA79" s="32"/>
      <c r="AB79" s="32"/>
      <c r="AC79" s="55"/>
      <c r="AD79" s="32"/>
      <c r="AE79" s="54"/>
      <c r="AF79" s="21" t="str">
        <f>IFERROR(VLOOKUP(February[[#This Row],[Drug Name3]],'Data Options'!$R$1:$S$100,2,FALSE), " ")</f>
        <v xml:space="preserve"> </v>
      </c>
      <c r="AG79" s="55"/>
      <c r="AH79" s="32"/>
      <c r="AI79" s="32"/>
      <c r="AJ79" s="55"/>
      <c r="AK79" s="32"/>
      <c r="AL79" s="32"/>
      <c r="AM79" s="32"/>
      <c r="AN79" s="32"/>
      <c r="AO79" s="32"/>
      <c r="AP79" s="31"/>
      <c r="AQ79" s="31"/>
      <c r="AR79" s="54"/>
      <c r="AS79" s="21" t="str">
        <f>IFERROR(VLOOKUP(February[[#This Row],[Drug Name4]],'Data Options'!$R$1:$S$100,2,FALSE), " ")</f>
        <v xml:space="preserve"> </v>
      </c>
      <c r="AT79" s="55"/>
      <c r="AU79" s="32"/>
      <c r="AV79" s="32"/>
      <c r="AW79" s="55"/>
      <c r="AX79" s="32"/>
      <c r="AY79" s="54"/>
      <c r="AZ79" s="21" t="str">
        <f>IFERROR(VLOOKUP(February[[#This Row],[Drug Name5]],'Data Options'!$R$1:$S$100,2,FALSE), " ")</f>
        <v xml:space="preserve"> </v>
      </c>
      <c r="BA79" s="55"/>
      <c r="BB79" s="32"/>
      <c r="BC79" s="32"/>
      <c r="BD79" s="55"/>
      <c r="BE79" s="32"/>
      <c r="BF79" s="54"/>
      <c r="BG79" s="21" t="str">
        <f>IFERROR(VLOOKUP(February[[#This Row],[Drug Name6]],'Data Options'!$R$1:$S$100,2,FALSE), " ")</f>
        <v xml:space="preserve"> </v>
      </c>
      <c r="BH79" s="55"/>
      <c r="BI79" s="32"/>
      <c r="BJ79" s="32"/>
      <c r="BK79" s="55"/>
      <c r="BL79" s="32"/>
      <c r="BM79" s="32"/>
      <c r="BN79" s="32"/>
      <c r="BO79" s="32"/>
      <c r="BP79" s="32"/>
      <c r="BQ79" s="31"/>
      <c r="BR79" s="31"/>
      <c r="BS79" s="54"/>
      <c r="BT79" s="21" t="str">
        <f>IFERROR(VLOOKUP(February[[#This Row],[Drug Name7]],'Data Options'!$R$1:$S$100,2,FALSE), " ")</f>
        <v xml:space="preserve"> </v>
      </c>
      <c r="BU79" s="55"/>
      <c r="BV79" s="32"/>
      <c r="BW79" s="32"/>
      <c r="BX79" s="55"/>
      <c r="BY79" s="32"/>
      <c r="BZ79" s="54"/>
      <c r="CA79" s="21" t="str">
        <f>IFERROR(VLOOKUP(February[[#This Row],[Drug Name8]],'Data Options'!$R$1:$S$100,2,FALSE), " ")</f>
        <v xml:space="preserve"> </v>
      </c>
      <c r="CB79" s="55"/>
      <c r="CC79" s="32"/>
      <c r="CD79" s="32"/>
      <c r="CE79" s="55"/>
      <c r="CF79" s="32"/>
      <c r="CG79" s="54"/>
      <c r="CH79" s="21" t="str">
        <f>IFERROR(VLOOKUP(February[[#This Row],[Drug Name9]],'Data Options'!$R$1:$S$100,2,FALSE), " ")</f>
        <v xml:space="preserve"> </v>
      </c>
      <c r="CI79" s="55"/>
      <c r="CJ79" s="32"/>
      <c r="CK79" s="32"/>
      <c r="CL79" s="55"/>
      <c r="CM79" s="32"/>
    </row>
    <row r="80" spans="1:91">
      <c r="A80" s="5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31"/>
      <c r="Q80" s="54"/>
      <c r="R80" s="21" t="str">
        <f>IFERROR(VLOOKUP(February[[#This Row],[Drug Name]],'Data Options'!$R$1:$S$100,2,FALSE), " ")</f>
        <v xml:space="preserve"> </v>
      </c>
      <c r="S80" s="55"/>
      <c r="T80" s="32"/>
      <c r="U80" s="32"/>
      <c r="V80" s="55"/>
      <c r="W80" s="32"/>
      <c r="X80" s="54"/>
      <c r="Y80" s="21" t="str">
        <f>IFERROR(VLOOKUP(February[[#This Row],[Drug Name2]],'Data Options'!$R$1:$S$100,2,FALSE), " ")</f>
        <v xml:space="preserve"> </v>
      </c>
      <c r="Z80" s="55"/>
      <c r="AA80" s="32"/>
      <c r="AB80" s="32"/>
      <c r="AC80" s="55"/>
      <c r="AD80" s="32"/>
      <c r="AE80" s="54"/>
      <c r="AF80" s="21" t="str">
        <f>IFERROR(VLOOKUP(February[[#This Row],[Drug Name3]],'Data Options'!$R$1:$S$100,2,FALSE), " ")</f>
        <v xml:space="preserve"> </v>
      </c>
      <c r="AG80" s="55"/>
      <c r="AH80" s="32"/>
      <c r="AI80" s="32"/>
      <c r="AJ80" s="55"/>
      <c r="AK80" s="32"/>
      <c r="AL80" s="32"/>
      <c r="AM80" s="32"/>
      <c r="AN80" s="32"/>
      <c r="AO80" s="32"/>
      <c r="AP80" s="31"/>
      <c r="AQ80" s="31"/>
      <c r="AR80" s="54"/>
      <c r="AS80" s="21" t="str">
        <f>IFERROR(VLOOKUP(February[[#This Row],[Drug Name4]],'Data Options'!$R$1:$S$100,2,FALSE), " ")</f>
        <v xml:space="preserve"> </v>
      </c>
      <c r="AT80" s="55"/>
      <c r="AU80" s="32"/>
      <c r="AV80" s="32"/>
      <c r="AW80" s="55"/>
      <c r="AX80" s="32"/>
      <c r="AY80" s="54"/>
      <c r="AZ80" s="21" t="str">
        <f>IFERROR(VLOOKUP(February[[#This Row],[Drug Name5]],'Data Options'!$R$1:$S$100,2,FALSE), " ")</f>
        <v xml:space="preserve"> </v>
      </c>
      <c r="BA80" s="55"/>
      <c r="BB80" s="32"/>
      <c r="BC80" s="32"/>
      <c r="BD80" s="55"/>
      <c r="BE80" s="32"/>
      <c r="BF80" s="54"/>
      <c r="BG80" s="21" t="str">
        <f>IFERROR(VLOOKUP(February[[#This Row],[Drug Name6]],'Data Options'!$R$1:$S$100,2,FALSE), " ")</f>
        <v xml:space="preserve"> </v>
      </c>
      <c r="BH80" s="55"/>
      <c r="BI80" s="32"/>
      <c r="BJ80" s="32"/>
      <c r="BK80" s="55"/>
      <c r="BL80" s="32"/>
      <c r="BM80" s="32"/>
      <c r="BN80" s="32"/>
      <c r="BO80" s="32"/>
      <c r="BP80" s="32"/>
      <c r="BQ80" s="31"/>
      <c r="BR80" s="31"/>
      <c r="BS80" s="54"/>
      <c r="BT80" s="21" t="str">
        <f>IFERROR(VLOOKUP(February[[#This Row],[Drug Name7]],'Data Options'!$R$1:$S$100,2,FALSE), " ")</f>
        <v xml:space="preserve"> </v>
      </c>
      <c r="BU80" s="55"/>
      <c r="BV80" s="32"/>
      <c r="BW80" s="32"/>
      <c r="BX80" s="55"/>
      <c r="BY80" s="32"/>
      <c r="BZ80" s="54"/>
      <c r="CA80" s="21" t="str">
        <f>IFERROR(VLOOKUP(February[[#This Row],[Drug Name8]],'Data Options'!$R$1:$S$100,2,FALSE), " ")</f>
        <v xml:space="preserve"> </v>
      </c>
      <c r="CB80" s="55"/>
      <c r="CC80" s="32"/>
      <c r="CD80" s="32"/>
      <c r="CE80" s="55"/>
      <c r="CF80" s="32"/>
      <c r="CG80" s="54"/>
      <c r="CH80" s="21" t="str">
        <f>IFERROR(VLOOKUP(February[[#This Row],[Drug Name9]],'Data Options'!$R$1:$S$100,2,FALSE), " ")</f>
        <v xml:space="preserve"> </v>
      </c>
      <c r="CI80" s="55"/>
      <c r="CJ80" s="32"/>
      <c r="CK80" s="32"/>
      <c r="CL80" s="55"/>
      <c r="CM80" s="32"/>
    </row>
    <row r="81" spans="1:91">
      <c r="A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54"/>
      <c r="R81" s="21" t="str">
        <f>IFERROR(VLOOKUP(February[[#This Row],[Drug Name]],'Data Options'!$R$1:$S$100,2,FALSE), " ")</f>
        <v xml:space="preserve"> </v>
      </c>
      <c r="S81" s="55"/>
      <c r="T81" s="32"/>
      <c r="U81" s="32"/>
      <c r="V81" s="55"/>
      <c r="W81" s="32"/>
      <c r="X81" s="54"/>
      <c r="Y81" s="21" t="str">
        <f>IFERROR(VLOOKUP(February[[#This Row],[Drug Name2]],'Data Options'!$R$1:$S$100,2,FALSE), " ")</f>
        <v xml:space="preserve"> </v>
      </c>
      <c r="Z81" s="55"/>
      <c r="AA81" s="32"/>
      <c r="AB81" s="32"/>
      <c r="AC81" s="55"/>
      <c r="AD81" s="32"/>
      <c r="AE81" s="54"/>
      <c r="AF81" s="21" t="str">
        <f>IFERROR(VLOOKUP(February[[#This Row],[Drug Name3]],'Data Options'!$R$1:$S$100,2,FALSE), " ")</f>
        <v xml:space="preserve"> </v>
      </c>
      <c r="AG81" s="55"/>
      <c r="AH81" s="32"/>
      <c r="AI81" s="32"/>
      <c r="AJ81" s="55"/>
      <c r="AK81" s="32"/>
      <c r="AL81" s="32"/>
      <c r="AM81" s="32"/>
      <c r="AN81" s="32"/>
      <c r="AO81" s="32"/>
      <c r="AP81" s="31"/>
      <c r="AQ81" s="31"/>
      <c r="AR81" s="54"/>
      <c r="AS81" s="21" t="str">
        <f>IFERROR(VLOOKUP(February[[#This Row],[Drug Name4]],'Data Options'!$R$1:$S$100,2,FALSE), " ")</f>
        <v xml:space="preserve"> </v>
      </c>
      <c r="AT81" s="55"/>
      <c r="AU81" s="32"/>
      <c r="AV81" s="32"/>
      <c r="AW81" s="55"/>
      <c r="AX81" s="32"/>
      <c r="AY81" s="54"/>
      <c r="AZ81" s="21" t="str">
        <f>IFERROR(VLOOKUP(February[[#This Row],[Drug Name5]],'Data Options'!$R$1:$S$100,2,FALSE), " ")</f>
        <v xml:space="preserve"> </v>
      </c>
      <c r="BA81" s="55"/>
      <c r="BB81" s="32"/>
      <c r="BC81" s="32"/>
      <c r="BD81" s="55"/>
      <c r="BE81" s="32"/>
      <c r="BF81" s="54"/>
      <c r="BG81" s="21" t="str">
        <f>IFERROR(VLOOKUP(February[[#This Row],[Drug Name6]],'Data Options'!$R$1:$S$100,2,FALSE), " ")</f>
        <v xml:space="preserve"> </v>
      </c>
      <c r="BH81" s="55"/>
      <c r="BI81" s="32"/>
      <c r="BJ81" s="32"/>
      <c r="BK81" s="55"/>
      <c r="BL81" s="32"/>
      <c r="BM81" s="32"/>
      <c r="BN81" s="32"/>
      <c r="BO81" s="32"/>
      <c r="BP81" s="32"/>
      <c r="BQ81" s="31"/>
      <c r="BR81" s="31"/>
      <c r="BS81" s="54"/>
      <c r="BT81" s="21" t="str">
        <f>IFERROR(VLOOKUP(February[[#This Row],[Drug Name7]],'Data Options'!$R$1:$S$100,2,FALSE), " ")</f>
        <v xml:space="preserve"> </v>
      </c>
      <c r="BU81" s="55"/>
      <c r="BV81" s="32"/>
      <c r="BW81" s="32"/>
      <c r="BX81" s="55"/>
      <c r="BY81" s="32"/>
      <c r="BZ81" s="54"/>
      <c r="CA81" s="21" t="str">
        <f>IFERROR(VLOOKUP(February[[#This Row],[Drug Name8]],'Data Options'!$R$1:$S$100,2,FALSE), " ")</f>
        <v xml:space="preserve"> </v>
      </c>
      <c r="CB81" s="55"/>
      <c r="CC81" s="32"/>
      <c r="CD81" s="32"/>
      <c r="CE81" s="55"/>
      <c r="CF81" s="32"/>
      <c r="CG81" s="54"/>
      <c r="CH81" s="21" t="str">
        <f>IFERROR(VLOOKUP(February[[#This Row],[Drug Name9]],'Data Options'!$R$1:$S$100,2,FALSE), " ")</f>
        <v xml:space="preserve"> </v>
      </c>
      <c r="CI81" s="55"/>
      <c r="CJ81" s="32"/>
      <c r="CK81" s="32"/>
      <c r="CL81" s="55"/>
      <c r="CM81" s="32"/>
    </row>
    <row r="82" spans="1:91">
      <c r="A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54"/>
      <c r="R82" s="21" t="str">
        <f>IFERROR(VLOOKUP(February[[#This Row],[Drug Name]],'Data Options'!$R$1:$S$100,2,FALSE), " ")</f>
        <v xml:space="preserve"> </v>
      </c>
      <c r="S82" s="55"/>
      <c r="T82" s="32"/>
      <c r="U82" s="32"/>
      <c r="V82" s="55"/>
      <c r="W82" s="32"/>
      <c r="X82" s="54"/>
      <c r="Y82" s="21" t="str">
        <f>IFERROR(VLOOKUP(February[[#This Row],[Drug Name2]],'Data Options'!$R$1:$S$100,2,FALSE), " ")</f>
        <v xml:space="preserve"> </v>
      </c>
      <c r="Z82" s="55"/>
      <c r="AA82" s="32"/>
      <c r="AB82" s="32"/>
      <c r="AC82" s="55"/>
      <c r="AD82" s="32"/>
      <c r="AE82" s="54"/>
      <c r="AF82" s="21" t="str">
        <f>IFERROR(VLOOKUP(February[[#This Row],[Drug Name3]],'Data Options'!$R$1:$S$100,2,FALSE), " ")</f>
        <v xml:space="preserve"> </v>
      </c>
      <c r="AG82" s="55"/>
      <c r="AH82" s="32"/>
      <c r="AI82" s="32"/>
      <c r="AJ82" s="55"/>
      <c r="AK82" s="32"/>
      <c r="AL82" s="32"/>
      <c r="AM82" s="32"/>
      <c r="AN82" s="32"/>
      <c r="AO82" s="32"/>
      <c r="AP82" s="31"/>
      <c r="AQ82" s="31"/>
      <c r="AR82" s="54"/>
      <c r="AS82" s="21" t="str">
        <f>IFERROR(VLOOKUP(February[[#This Row],[Drug Name4]],'Data Options'!$R$1:$S$100,2,FALSE), " ")</f>
        <v xml:space="preserve"> </v>
      </c>
      <c r="AT82" s="55"/>
      <c r="AU82" s="32"/>
      <c r="AV82" s="32"/>
      <c r="AW82" s="55"/>
      <c r="AX82" s="32"/>
      <c r="AY82" s="54"/>
      <c r="AZ82" s="21" t="str">
        <f>IFERROR(VLOOKUP(February[[#This Row],[Drug Name5]],'Data Options'!$R$1:$S$100,2,FALSE), " ")</f>
        <v xml:space="preserve"> </v>
      </c>
      <c r="BA82" s="55"/>
      <c r="BB82" s="32"/>
      <c r="BC82" s="32"/>
      <c r="BD82" s="55"/>
      <c r="BE82" s="32"/>
      <c r="BF82" s="54"/>
      <c r="BG82" s="21" t="str">
        <f>IFERROR(VLOOKUP(February[[#This Row],[Drug Name6]],'Data Options'!$R$1:$S$100,2,FALSE), " ")</f>
        <v xml:space="preserve"> </v>
      </c>
      <c r="BH82" s="55"/>
      <c r="BI82" s="32"/>
      <c r="BJ82" s="32"/>
      <c r="BK82" s="55"/>
      <c r="BL82" s="32"/>
      <c r="BM82" s="32"/>
      <c r="BN82" s="32"/>
      <c r="BO82" s="32"/>
      <c r="BP82" s="32"/>
      <c r="BQ82" s="31"/>
      <c r="BR82" s="31"/>
      <c r="BS82" s="54"/>
      <c r="BT82" s="21" t="str">
        <f>IFERROR(VLOOKUP(February[[#This Row],[Drug Name7]],'Data Options'!$R$1:$S$100,2,FALSE), " ")</f>
        <v xml:space="preserve"> </v>
      </c>
      <c r="BU82" s="55"/>
      <c r="BV82" s="32"/>
      <c r="BW82" s="32"/>
      <c r="BX82" s="55"/>
      <c r="BY82" s="32"/>
      <c r="BZ82" s="54"/>
      <c r="CA82" s="21" t="str">
        <f>IFERROR(VLOOKUP(February[[#This Row],[Drug Name8]],'Data Options'!$R$1:$S$100,2,FALSE), " ")</f>
        <v xml:space="preserve"> </v>
      </c>
      <c r="CB82" s="55"/>
      <c r="CC82" s="32"/>
      <c r="CD82" s="32"/>
      <c r="CE82" s="55"/>
      <c r="CF82" s="32"/>
      <c r="CG82" s="54"/>
      <c r="CH82" s="21" t="str">
        <f>IFERROR(VLOOKUP(February[[#This Row],[Drug Name9]],'Data Options'!$R$1:$S$100,2,FALSE), " ")</f>
        <v xml:space="preserve"> </v>
      </c>
      <c r="CI82" s="55"/>
      <c r="CJ82" s="32"/>
      <c r="CK82" s="32"/>
      <c r="CL82" s="55"/>
      <c r="CM82" s="32"/>
    </row>
    <row r="83" spans="1:91">
      <c r="A83" s="5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31"/>
      <c r="Q83" s="54"/>
      <c r="R83" s="21" t="str">
        <f>IFERROR(VLOOKUP(February[[#This Row],[Drug Name]],'Data Options'!$R$1:$S$100,2,FALSE), " ")</f>
        <v xml:space="preserve"> </v>
      </c>
      <c r="S83" s="55"/>
      <c r="T83" s="32"/>
      <c r="U83" s="32"/>
      <c r="V83" s="55"/>
      <c r="W83" s="32"/>
      <c r="X83" s="54"/>
      <c r="Y83" s="21" t="str">
        <f>IFERROR(VLOOKUP(February[[#This Row],[Drug Name2]],'Data Options'!$R$1:$S$100,2,FALSE), " ")</f>
        <v xml:space="preserve"> </v>
      </c>
      <c r="Z83" s="55"/>
      <c r="AA83" s="32"/>
      <c r="AB83" s="32"/>
      <c r="AC83" s="55"/>
      <c r="AD83" s="32"/>
      <c r="AE83" s="54"/>
      <c r="AF83" s="21" t="str">
        <f>IFERROR(VLOOKUP(February[[#This Row],[Drug Name3]],'Data Options'!$R$1:$S$100,2,FALSE), " ")</f>
        <v xml:space="preserve"> </v>
      </c>
      <c r="AG83" s="55"/>
      <c r="AH83" s="32"/>
      <c r="AI83" s="32"/>
      <c r="AJ83" s="55"/>
      <c r="AK83" s="32"/>
      <c r="AL83" s="32"/>
      <c r="AM83" s="32"/>
      <c r="AN83" s="32"/>
      <c r="AO83" s="32"/>
      <c r="AP83" s="31"/>
      <c r="AQ83" s="31"/>
      <c r="AR83" s="54"/>
      <c r="AS83" s="21" t="str">
        <f>IFERROR(VLOOKUP(February[[#This Row],[Drug Name4]],'Data Options'!$R$1:$S$100,2,FALSE), " ")</f>
        <v xml:space="preserve"> </v>
      </c>
      <c r="AT83" s="55"/>
      <c r="AU83" s="32"/>
      <c r="AV83" s="32"/>
      <c r="AW83" s="55"/>
      <c r="AX83" s="32"/>
      <c r="AY83" s="54"/>
      <c r="AZ83" s="21" t="str">
        <f>IFERROR(VLOOKUP(February[[#This Row],[Drug Name5]],'Data Options'!$R$1:$S$100,2,FALSE), " ")</f>
        <v xml:space="preserve"> </v>
      </c>
      <c r="BA83" s="55"/>
      <c r="BB83" s="32"/>
      <c r="BC83" s="32"/>
      <c r="BD83" s="55"/>
      <c r="BE83" s="32"/>
      <c r="BF83" s="54"/>
      <c r="BG83" s="21" t="str">
        <f>IFERROR(VLOOKUP(February[[#This Row],[Drug Name6]],'Data Options'!$R$1:$S$100,2,FALSE), " ")</f>
        <v xml:space="preserve"> </v>
      </c>
      <c r="BH83" s="55"/>
      <c r="BI83" s="32"/>
      <c r="BJ83" s="32"/>
      <c r="BK83" s="55"/>
      <c r="BL83" s="32"/>
      <c r="BM83" s="32"/>
      <c r="BN83" s="32"/>
      <c r="BO83" s="32"/>
      <c r="BP83" s="32"/>
      <c r="BQ83" s="31"/>
      <c r="BR83" s="31"/>
      <c r="BS83" s="54"/>
      <c r="BT83" s="21" t="str">
        <f>IFERROR(VLOOKUP(February[[#This Row],[Drug Name7]],'Data Options'!$R$1:$S$100,2,FALSE), " ")</f>
        <v xml:space="preserve"> </v>
      </c>
      <c r="BU83" s="55"/>
      <c r="BV83" s="32"/>
      <c r="BW83" s="32"/>
      <c r="BX83" s="55"/>
      <c r="BY83" s="32"/>
      <c r="BZ83" s="54"/>
      <c r="CA83" s="21" t="str">
        <f>IFERROR(VLOOKUP(February[[#This Row],[Drug Name8]],'Data Options'!$R$1:$S$100,2,FALSE), " ")</f>
        <v xml:space="preserve"> </v>
      </c>
      <c r="CB83" s="55"/>
      <c r="CC83" s="32"/>
      <c r="CD83" s="32"/>
      <c r="CE83" s="55"/>
      <c r="CF83" s="32"/>
      <c r="CG83" s="54"/>
      <c r="CH83" s="21" t="str">
        <f>IFERROR(VLOOKUP(February[[#This Row],[Drug Name9]],'Data Options'!$R$1:$S$100,2,FALSE), " ")</f>
        <v xml:space="preserve"> </v>
      </c>
      <c r="CI83" s="55"/>
      <c r="CJ83" s="32"/>
      <c r="CK83" s="32"/>
      <c r="CL83" s="55"/>
      <c r="CM83" s="32"/>
    </row>
    <row r="84" spans="1:91">
      <c r="A84" s="5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31"/>
      <c r="Q84" s="54"/>
      <c r="R84" s="21" t="str">
        <f>IFERROR(VLOOKUP(February[[#This Row],[Drug Name]],'Data Options'!$R$1:$S$100,2,FALSE), " ")</f>
        <v xml:space="preserve"> </v>
      </c>
      <c r="S84" s="55"/>
      <c r="T84" s="32"/>
      <c r="U84" s="32"/>
      <c r="V84" s="55"/>
      <c r="W84" s="32"/>
      <c r="X84" s="54"/>
      <c r="Y84" s="21" t="str">
        <f>IFERROR(VLOOKUP(February[[#This Row],[Drug Name2]],'Data Options'!$R$1:$S$100,2,FALSE), " ")</f>
        <v xml:space="preserve"> </v>
      </c>
      <c r="Z84" s="55"/>
      <c r="AA84" s="32"/>
      <c r="AB84" s="32"/>
      <c r="AC84" s="55"/>
      <c r="AD84" s="32"/>
      <c r="AE84" s="54"/>
      <c r="AF84" s="21" t="str">
        <f>IFERROR(VLOOKUP(February[[#This Row],[Drug Name3]],'Data Options'!$R$1:$S$100,2,FALSE), " ")</f>
        <v xml:space="preserve"> </v>
      </c>
      <c r="AG84" s="55"/>
      <c r="AH84" s="32"/>
      <c r="AI84" s="32"/>
      <c r="AJ84" s="55"/>
      <c r="AK84" s="32"/>
      <c r="AL84" s="32"/>
      <c r="AM84" s="32"/>
      <c r="AN84" s="32"/>
      <c r="AO84" s="32"/>
      <c r="AP84" s="31"/>
      <c r="AQ84" s="31"/>
      <c r="AR84" s="54"/>
      <c r="AS84" s="21" t="str">
        <f>IFERROR(VLOOKUP(February[[#This Row],[Drug Name4]],'Data Options'!$R$1:$S$100,2,FALSE), " ")</f>
        <v xml:space="preserve"> </v>
      </c>
      <c r="AT84" s="55"/>
      <c r="AU84" s="32"/>
      <c r="AV84" s="32"/>
      <c r="AW84" s="55"/>
      <c r="AX84" s="32"/>
      <c r="AY84" s="54"/>
      <c r="AZ84" s="21" t="str">
        <f>IFERROR(VLOOKUP(February[[#This Row],[Drug Name5]],'Data Options'!$R$1:$S$100,2,FALSE), " ")</f>
        <v xml:space="preserve"> </v>
      </c>
      <c r="BA84" s="55"/>
      <c r="BB84" s="32"/>
      <c r="BC84" s="32"/>
      <c r="BD84" s="55"/>
      <c r="BE84" s="32"/>
      <c r="BF84" s="54"/>
      <c r="BG84" s="21" t="str">
        <f>IFERROR(VLOOKUP(February[[#This Row],[Drug Name6]],'Data Options'!$R$1:$S$100,2,FALSE), " ")</f>
        <v xml:space="preserve"> </v>
      </c>
      <c r="BH84" s="55"/>
      <c r="BI84" s="32"/>
      <c r="BJ84" s="32"/>
      <c r="BK84" s="55"/>
      <c r="BL84" s="32"/>
      <c r="BM84" s="32"/>
      <c r="BN84" s="32"/>
      <c r="BO84" s="32"/>
      <c r="BP84" s="32"/>
      <c r="BQ84" s="31"/>
      <c r="BR84" s="31"/>
      <c r="BS84" s="54"/>
      <c r="BT84" s="21" t="str">
        <f>IFERROR(VLOOKUP(February[[#This Row],[Drug Name7]],'Data Options'!$R$1:$S$100,2,FALSE), " ")</f>
        <v xml:space="preserve"> </v>
      </c>
      <c r="BU84" s="55"/>
      <c r="BV84" s="32"/>
      <c r="BW84" s="32"/>
      <c r="BX84" s="55"/>
      <c r="BY84" s="32"/>
      <c r="BZ84" s="54"/>
      <c r="CA84" s="21" t="str">
        <f>IFERROR(VLOOKUP(February[[#This Row],[Drug Name8]],'Data Options'!$R$1:$S$100,2,FALSE), " ")</f>
        <v xml:space="preserve"> </v>
      </c>
      <c r="CB84" s="55"/>
      <c r="CC84" s="32"/>
      <c r="CD84" s="32"/>
      <c r="CE84" s="55"/>
      <c r="CF84" s="32"/>
      <c r="CG84" s="54"/>
      <c r="CH84" s="21" t="str">
        <f>IFERROR(VLOOKUP(February[[#This Row],[Drug Name9]],'Data Options'!$R$1:$S$100,2,FALSE), " ")</f>
        <v xml:space="preserve"> </v>
      </c>
      <c r="CI84" s="55"/>
      <c r="CJ84" s="32"/>
      <c r="CK84" s="32"/>
      <c r="CL84" s="55"/>
      <c r="CM84" s="32"/>
    </row>
    <row r="85" spans="1:91">
      <c r="A85" s="5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31"/>
      <c r="Q85" s="54"/>
      <c r="R85" s="21" t="str">
        <f>IFERROR(VLOOKUP(February[[#This Row],[Drug Name]],'Data Options'!$R$1:$S$100,2,FALSE), " ")</f>
        <v xml:space="preserve"> </v>
      </c>
      <c r="S85" s="55"/>
      <c r="T85" s="32"/>
      <c r="U85" s="32"/>
      <c r="V85" s="55"/>
      <c r="W85" s="32"/>
      <c r="X85" s="54"/>
      <c r="Y85" s="21" t="str">
        <f>IFERROR(VLOOKUP(February[[#This Row],[Drug Name2]],'Data Options'!$R$1:$S$100,2,FALSE), " ")</f>
        <v xml:space="preserve"> </v>
      </c>
      <c r="Z85" s="55"/>
      <c r="AA85" s="32"/>
      <c r="AB85" s="32"/>
      <c r="AC85" s="55"/>
      <c r="AD85" s="32"/>
      <c r="AE85" s="54"/>
      <c r="AF85" s="21" t="str">
        <f>IFERROR(VLOOKUP(February[[#This Row],[Drug Name3]],'Data Options'!$R$1:$S$100,2,FALSE), " ")</f>
        <v xml:space="preserve"> </v>
      </c>
      <c r="AG85" s="55"/>
      <c r="AH85" s="32"/>
      <c r="AI85" s="32"/>
      <c r="AJ85" s="55"/>
      <c r="AK85" s="32"/>
      <c r="AL85" s="32"/>
      <c r="AM85" s="32"/>
      <c r="AN85" s="32"/>
      <c r="AO85" s="32"/>
      <c r="AP85" s="31"/>
      <c r="AQ85" s="31"/>
      <c r="AR85" s="54"/>
      <c r="AS85" s="21" t="str">
        <f>IFERROR(VLOOKUP(February[[#This Row],[Drug Name4]],'Data Options'!$R$1:$S$100,2,FALSE), " ")</f>
        <v xml:space="preserve"> </v>
      </c>
      <c r="AT85" s="55"/>
      <c r="AU85" s="32"/>
      <c r="AV85" s="32"/>
      <c r="AW85" s="55"/>
      <c r="AX85" s="32"/>
      <c r="AY85" s="54"/>
      <c r="AZ85" s="21" t="str">
        <f>IFERROR(VLOOKUP(February[[#This Row],[Drug Name5]],'Data Options'!$R$1:$S$100,2,FALSE), " ")</f>
        <v xml:space="preserve"> </v>
      </c>
      <c r="BA85" s="55"/>
      <c r="BB85" s="32"/>
      <c r="BC85" s="32"/>
      <c r="BD85" s="55"/>
      <c r="BE85" s="32"/>
      <c r="BF85" s="54"/>
      <c r="BG85" s="21" t="str">
        <f>IFERROR(VLOOKUP(February[[#This Row],[Drug Name6]],'Data Options'!$R$1:$S$100,2,FALSE), " ")</f>
        <v xml:space="preserve"> </v>
      </c>
      <c r="BH85" s="55"/>
      <c r="BI85" s="32"/>
      <c r="BJ85" s="32"/>
      <c r="BK85" s="55"/>
      <c r="BL85" s="32"/>
      <c r="BM85" s="32"/>
      <c r="BN85" s="32"/>
      <c r="BO85" s="32"/>
      <c r="BP85" s="32"/>
      <c r="BQ85" s="31"/>
      <c r="BR85" s="31"/>
      <c r="BS85" s="54"/>
      <c r="BT85" s="21" t="str">
        <f>IFERROR(VLOOKUP(February[[#This Row],[Drug Name7]],'Data Options'!$R$1:$S$100,2,FALSE), " ")</f>
        <v xml:space="preserve"> </v>
      </c>
      <c r="BU85" s="55"/>
      <c r="BV85" s="32"/>
      <c r="BW85" s="32"/>
      <c r="BX85" s="55"/>
      <c r="BY85" s="32"/>
      <c r="BZ85" s="54"/>
      <c r="CA85" s="21" t="str">
        <f>IFERROR(VLOOKUP(February[[#This Row],[Drug Name8]],'Data Options'!$R$1:$S$100,2,FALSE), " ")</f>
        <v xml:space="preserve"> </v>
      </c>
      <c r="CB85" s="55"/>
      <c r="CC85" s="32"/>
      <c r="CD85" s="32"/>
      <c r="CE85" s="55"/>
      <c r="CF85" s="32"/>
      <c r="CG85" s="54"/>
      <c r="CH85" s="21" t="str">
        <f>IFERROR(VLOOKUP(February[[#This Row],[Drug Name9]],'Data Options'!$R$1:$S$100,2,FALSE), " ")</f>
        <v xml:space="preserve"> </v>
      </c>
      <c r="CI85" s="55"/>
      <c r="CJ85" s="32"/>
      <c r="CK85" s="32"/>
      <c r="CL85" s="55"/>
      <c r="CM85" s="32"/>
    </row>
    <row r="86" spans="1:91">
      <c r="A86" s="5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31"/>
      <c r="Q86" s="54"/>
      <c r="R86" s="21" t="str">
        <f>IFERROR(VLOOKUP(February[[#This Row],[Drug Name]],'Data Options'!$R$1:$S$100,2,FALSE), " ")</f>
        <v xml:space="preserve"> </v>
      </c>
      <c r="S86" s="55"/>
      <c r="T86" s="32"/>
      <c r="U86" s="32"/>
      <c r="V86" s="55"/>
      <c r="W86" s="32"/>
      <c r="X86" s="54"/>
      <c r="Y86" s="21" t="str">
        <f>IFERROR(VLOOKUP(February[[#This Row],[Drug Name2]],'Data Options'!$R$1:$S$100,2,FALSE), " ")</f>
        <v xml:space="preserve"> </v>
      </c>
      <c r="Z86" s="55"/>
      <c r="AA86" s="32"/>
      <c r="AB86" s="32"/>
      <c r="AC86" s="55"/>
      <c r="AD86" s="32"/>
      <c r="AE86" s="54"/>
      <c r="AF86" s="21" t="str">
        <f>IFERROR(VLOOKUP(February[[#This Row],[Drug Name3]],'Data Options'!$R$1:$S$100,2,FALSE), " ")</f>
        <v xml:space="preserve"> </v>
      </c>
      <c r="AG86" s="55"/>
      <c r="AH86" s="32"/>
      <c r="AI86" s="32"/>
      <c r="AJ86" s="55"/>
      <c r="AK86" s="32"/>
      <c r="AL86" s="32"/>
      <c r="AM86" s="32"/>
      <c r="AN86" s="32"/>
      <c r="AO86" s="32"/>
      <c r="AP86" s="31"/>
      <c r="AQ86" s="31"/>
      <c r="AR86" s="54"/>
      <c r="AS86" s="21" t="str">
        <f>IFERROR(VLOOKUP(February[[#This Row],[Drug Name4]],'Data Options'!$R$1:$S$100,2,FALSE), " ")</f>
        <v xml:space="preserve"> </v>
      </c>
      <c r="AT86" s="55"/>
      <c r="AU86" s="32"/>
      <c r="AV86" s="32"/>
      <c r="AW86" s="55"/>
      <c r="AX86" s="32"/>
      <c r="AY86" s="54"/>
      <c r="AZ86" s="21" t="str">
        <f>IFERROR(VLOOKUP(February[[#This Row],[Drug Name5]],'Data Options'!$R$1:$S$100,2,FALSE), " ")</f>
        <v xml:space="preserve"> </v>
      </c>
      <c r="BA86" s="55"/>
      <c r="BB86" s="32"/>
      <c r="BC86" s="32"/>
      <c r="BD86" s="55"/>
      <c r="BE86" s="32"/>
      <c r="BF86" s="54"/>
      <c r="BG86" s="21" t="str">
        <f>IFERROR(VLOOKUP(February[[#This Row],[Drug Name6]],'Data Options'!$R$1:$S$100,2,FALSE), " ")</f>
        <v xml:space="preserve"> </v>
      </c>
      <c r="BH86" s="55"/>
      <c r="BI86" s="32"/>
      <c r="BJ86" s="32"/>
      <c r="BK86" s="55"/>
      <c r="BL86" s="32"/>
      <c r="BM86" s="32"/>
      <c r="BN86" s="32"/>
      <c r="BO86" s="32"/>
      <c r="BP86" s="32"/>
      <c r="BQ86" s="31"/>
      <c r="BR86" s="31"/>
      <c r="BS86" s="54"/>
      <c r="BT86" s="21" t="str">
        <f>IFERROR(VLOOKUP(February[[#This Row],[Drug Name7]],'Data Options'!$R$1:$S$100,2,FALSE), " ")</f>
        <v xml:space="preserve"> </v>
      </c>
      <c r="BU86" s="55"/>
      <c r="BV86" s="32"/>
      <c r="BW86" s="32"/>
      <c r="BX86" s="55"/>
      <c r="BY86" s="32"/>
      <c r="BZ86" s="54"/>
      <c r="CA86" s="21" t="str">
        <f>IFERROR(VLOOKUP(February[[#This Row],[Drug Name8]],'Data Options'!$R$1:$S$100,2,FALSE), " ")</f>
        <v xml:space="preserve"> </v>
      </c>
      <c r="CB86" s="55"/>
      <c r="CC86" s="32"/>
      <c r="CD86" s="32"/>
      <c r="CE86" s="55"/>
      <c r="CF86" s="32"/>
      <c r="CG86" s="54"/>
      <c r="CH86" s="21" t="str">
        <f>IFERROR(VLOOKUP(February[[#This Row],[Drug Name9]],'Data Options'!$R$1:$S$100,2,FALSE), " ")</f>
        <v xml:space="preserve"> </v>
      </c>
      <c r="CI86" s="55"/>
      <c r="CJ86" s="32"/>
      <c r="CK86" s="32"/>
      <c r="CL86" s="55"/>
      <c r="CM86" s="32"/>
    </row>
    <row r="87" spans="1:91">
      <c r="A87" s="5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31"/>
      <c r="Q87" s="54"/>
      <c r="R87" s="21" t="str">
        <f>IFERROR(VLOOKUP(February[[#This Row],[Drug Name]],'Data Options'!$R$1:$S$100,2,FALSE), " ")</f>
        <v xml:space="preserve"> </v>
      </c>
      <c r="S87" s="55"/>
      <c r="T87" s="32"/>
      <c r="U87" s="32"/>
      <c r="V87" s="55"/>
      <c r="W87" s="32"/>
      <c r="X87" s="54"/>
      <c r="Y87" s="21" t="str">
        <f>IFERROR(VLOOKUP(February[[#This Row],[Drug Name2]],'Data Options'!$R$1:$S$100,2,FALSE), " ")</f>
        <v xml:space="preserve"> </v>
      </c>
      <c r="Z87" s="55"/>
      <c r="AA87" s="32"/>
      <c r="AB87" s="32"/>
      <c r="AC87" s="55"/>
      <c r="AD87" s="32"/>
      <c r="AE87" s="54"/>
      <c r="AF87" s="21" t="str">
        <f>IFERROR(VLOOKUP(February[[#This Row],[Drug Name3]],'Data Options'!$R$1:$S$100,2,FALSE), " ")</f>
        <v xml:space="preserve"> </v>
      </c>
      <c r="AG87" s="55"/>
      <c r="AH87" s="32"/>
      <c r="AI87" s="32"/>
      <c r="AJ87" s="55"/>
      <c r="AK87" s="32"/>
      <c r="AL87" s="32"/>
      <c r="AM87" s="32"/>
      <c r="AN87" s="32"/>
      <c r="AO87" s="32"/>
      <c r="AP87" s="31"/>
      <c r="AQ87" s="31"/>
      <c r="AR87" s="54"/>
      <c r="AS87" s="21" t="str">
        <f>IFERROR(VLOOKUP(February[[#This Row],[Drug Name4]],'Data Options'!$R$1:$S$100,2,FALSE), " ")</f>
        <v xml:space="preserve"> </v>
      </c>
      <c r="AT87" s="55"/>
      <c r="AU87" s="32"/>
      <c r="AV87" s="32"/>
      <c r="AW87" s="55"/>
      <c r="AX87" s="32"/>
      <c r="AY87" s="54"/>
      <c r="AZ87" s="21" t="str">
        <f>IFERROR(VLOOKUP(February[[#This Row],[Drug Name5]],'Data Options'!$R$1:$S$100,2,FALSE), " ")</f>
        <v xml:space="preserve"> </v>
      </c>
      <c r="BA87" s="55"/>
      <c r="BB87" s="32"/>
      <c r="BC87" s="32"/>
      <c r="BD87" s="55"/>
      <c r="BE87" s="32"/>
      <c r="BF87" s="54"/>
      <c r="BG87" s="21" t="str">
        <f>IFERROR(VLOOKUP(February[[#This Row],[Drug Name6]],'Data Options'!$R$1:$S$100,2,FALSE), " ")</f>
        <v xml:space="preserve"> </v>
      </c>
      <c r="BH87" s="55"/>
      <c r="BI87" s="32"/>
      <c r="BJ87" s="32"/>
      <c r="BK87" s="55"/>
      <c r="BL87" s="32"/>
      <c r="BM87" s="32"/>
      <c r="BN87" s="32"/>
      <c r="BO87" s="32"/>
      <c r="BP87" s="32"/>
      <c r="BQ87" s="31"/>
      <c r="BR87" s="31"/>
      <c r="BS87" s="54"/>
      <c r="BT87" s="21" t="str">
        <f>IFERROR(VLOOKUP(February[[#This Row],[Drug Name7]],'Data Options'!$R$1:$S$100,2,FALSE), " ")</f>
        <v xml:space="preserve"> </v>
      </c>
      <c r="BU87" s="55"/>
      <c r="BV87" s="32"/>
      <c r="BW87" s="32"/>
      <c r="BX87" s="55"/>
      <c r="BY87" s="32"/>
      <c r="BZ87" s="54"/>
      <c r="CA87" s="21" t="str">
        <f>IFERROR(VLOOKUP(February[[#This Row],[Drug Name8]],'Data Options'!$R$1:$S$100,2,FALSE), " ")</f>
        <v xml:space="preserve"> </v>
      </c>
      <c r="CB87" s="55"/>
      <c r="CC87" s="32"/>
      <c r="CD87" s="32"/>
      <c r="CE87" s="55"/>
      <c r="CF87" s="32"/>
      <c r="CG87" s="54"/>
      <c r="CH87" s="21" t="str">
        <f>IFERROR(VLOOKUP(February[[#This Row],[Drug Name9]],'Data Options'!$R$1:$S$100,2,FALSE), " ")</f>
        <v xml:space="preserve"> </v>
      </c>
      <c r="CI87" s="55"/>
      <c r="CJ87" s="32"/>
      <c r="CK87" s="32"/>
      <c r="CL87" s="55"/>
      <c r="CM87" s="32"/>
    </row>
    <row r="88" spans="1:91">
      <c r="A88" s="5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31"/>
      <c r="Q88" s="54"/>
      <c r="R88" s="21" t="str">
        <f>IFERROR(VLOOKUP(February[[#This Row],[Drug Name]],'Data Options'!$R$1:$S$100,2,FALSE), " ")</f>
        <v xml:space="preserve"> </v>
      </c>
      <c r="S88" s="55"/>
      <c r="T88" s="32"/>
      <c r="U88" s="32"/>
      <c r="V88" s="55"/>
      <c r="W88" s="32"/>
      <c r="X88" s="54"/>
      <c r="Y88" s="21" t="str">
        <f>IFERROR(VLOOKUP(February[[#This Row],[Drug Name2]],'Data Options'!$R$1:$S$100,2,FALSE), " ")</f>
        <v xml:space="preserve"> </v>
      </c>
      <c r="Z88" s="55"/>
      <c r="AA88" s="32"/>
      <c r="AB88" s="32"/>
      <c r="AC88" s="55"/>
      <c r="AD88" s="32"/>
      <c r="AE88" s="54"/>
      <c r="AF88" s="21" t="str">
        <f>IFERROR(VLOOKUP(February[[#This Row],[Drug Name3]],'Data Options'!$R$1:$S$100,2,FALSE), " ")</f>
        <v xml:space="preserve"> </v>
      </c>
      <c r="AG88" s="55"/>
      <c r="AH88" s="32"/>
      <c r="AI88" s="32"/>
      <c r="AJ88" s="55"/>
      <c r="AK88" s="32"/>
      <c r="AL88" s="32"/>
      <c r="AM88" s="32"/>
      <c r="AN88" s="32"/>
      <c r="AO88" s="32"/>
      <c r="AP88" s="31"/>
      <c r="AQ88" s="31"/>
      <c r="AR88" s="54"/>
      <c r="AS88" s="21" t="str">
        <f>IFERROR(VLOOKUP(February[[#This Row],[Drug Name4]],'Data Options'!$R$1:$S$100,2,FALSE), " ")</f>
        <v xml:space="preserve"> </v>
      </c>
      <c r="AT88" s="55"/>
      <c r="AU88" s="32"/>
      <c r="AV88" s="32"/>
      <c r="AW88" s="55"/>
      <c r="AX88" s="32"/>
      <c r="AY88" s="54"/>
      <c r="AZ88" s="21" t="str">
        <f>IFERROR(VLOOKUP(February[[#This Row],[Drug Name5]],'Data Options'!$R$1:$S$100,2,FALSE), " ")</f>
        <v xml:space="preserve"> </v>
      </c>
      <c r="BA88" s="55"/>
      <c r="BB88" s="32"/>
      <c r="BC88" s="32"/>
      <c r="BD88" s="55"/>
      <c r="BE88" s="32"/>
      <c r="BF88" s="54"/>
      <c r="BG88" s="21" t="str">
        <f>IFERROR(VLOOKUP(February[[#This Row],[Drug Name6]],'Data Options'!$R$1:$S$100,2,FALSE), " ")</f>
        <v xml:space="preserve"> </v>
      </c>
      <c r="BH88" s="55"/>
      <c r="BI88" s="32"/>
      <c r="BJ88" s="32"/>
      <c r="BK88" s="55"/>
      <c r="BL88" s="32"/>
      <c r="BM88" s="32"/>
      <c r="BN88" s="32"/>
      <c r="BO88" s="32"/>
      <c r="BP88" s="32"/>
      <c r="BQ88" s="31"/>
      <c r="BR88" s="31"/>
      <c r="BS88" s="54"/>
      <c r="BT88" s="21" t="str">
        <f>IFERROR(VLOOKUP(February[[#This Row],[Drug Name7]],'Data Options'!$R$1:$S$100,2,FALSE), " ")</f>
        <v xml:space="preserve"> </v>
      </c>
      <c r="BU88" s="55"/>
      <c r="BV88" s="32"/>
      <c r="BW88" s="32"/>
      <c r="BX88" s="55"/>
      <c r="BY88" s="32"/>
      <c r="BZ88" s="54"/>
      <c r="CA88" s="21" t="str">
        <f>IFERROR(VLOOKUP(February[[#This Row],[Drug Name8]],'Data Options'!$R$1:$S$100,2,FALSE), " ")</f>
        <v xml:space="preserve"> </v>
      </c>
      <c r="CB88" s="55"/>
      <c r="CC88" s="32"/>
      <c r="CD88" s="32"/>
      <c r="CE88" s="55"/>
      <c r="CF88" s="32"/>
      <c r="CG88" s="54"/>
      <c r="CH88" s="21" t="str">
        <f>IFERROR(VLOOKUP(February[[#This Row],[Drug Name9]],'Data Options'!$R$1:$S$100,2,FALSE), " ")</f>
        <v xml:space="preserve"> </v>
      </c>
      <c r="CI88" s="55"/>
      <c r="CJ88" s="32"/>
      <c r="CK88" s="32"/>
      <c r="CL88" s="55"/>
      <c r="CM88" s="32"/>
    </row>
    <row r="89" spans="1:91">
      <c r="A89" s="5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31"/>
      <c r="Q89" s="54"/>
      <c r="R89" s="21" t="str">
        <f>IFERROR(VLOOKUP(February[[#This Row],[Drug Name]],'Data Options'!$R$1:$S$100,2,FALSE), " ")</f>
        <v xml:space="preserve"> </v>
      </c>
      <c r="S89" s="55"/>
      <c r="T89" s="32"/>
      <c r="U89" s="32"/>
      <c r="V89" s="55"/>
      <c r="W89" s="32"/>
      <c r="X89" s="54"/>
      <c r="Y89" s="21" t="str">
        <f>IFERROR(VLOOKUP(February[[#This Row],[Drug Name2]],'Data Options'!$R$1:$S$100,2,FALSE), " ")</f>
        <v xml:space="preserve"> </v>
      </c>
      <c r="Z89" s="55"/>
      <c r="AA89" s="32"/>
      <c r="AB89" s="32"/>
      <c r="AC89" s="55"/>
      <c r="AD89" s="32"/>
      <c r="AE89" s="54"/>
      <c r="AF89" s="21" t="str">
        <f>IFERROR(VLOOKUP(February[[#This Row],[Drug Name3]],'Data Options'!$R$1:$S$100,2,FALSE), " ")</f>
        <v xml:space="preserve"> </v>
      </c>
      <c r="AG89" s="55"/>
      <c r="AH89" s="32"/>
      <c r="AI89" s="32"/>
      <c r="AJ89" s="55"/>
      <c r="AK89" s="32"/>
      <c r="AL89" s="32"/>
      <c r="AM89" s="32"/>
      <c r="AN89" s="32"/>
      <c r="AO89" s="32"/>
      <c r="AP89" s="31"/>
      <c r="AQ89" s="31"/>
      <c r="AR89" s="54"/>
      <c r="AS89" s="21" t="str">
        <f>IFERROR(VLOOKUP(February[[#This Row],[Drug Name4]],'Data Options'!$R$1:$S$100,2,FALSE), " ")</f>
        <v xml:space="preserve"> </v>
      </c>
      <c r="AT89" s="55"/>
      <c r="AU89" s="32"/>
      <c r="AV89" s="32"/>
      <c r="AW89" s="55"/>
      <c r="AX89" s="32"/>
      <c r="AY89" s="54"/>
      <c r="AZ89" s="21" t="str">
        <f>IFERROR(VLOOKUP(February[[#This Row],[Drug Name5]],'Data Options'!$R$1:$S$100,2,FALSE), " ")</f>
        <v xml:space="preserve"> </v>
      </c>
      <c r="BA89" s="55"/>
      <c r="BB89" s="32"/>
      <c r="BC89" s="32"/>
      <c r="BD89" s="55"/>
      <c r="BE89" s="32"/>
      <c r="BF89" s="54"/>
      <c r="BG89" s="21" t="str">
        <f>IFERROR(VLOOKUP(February[[#This Row],[Drug Name6]],'Data Options'!$R$1:$S$100,2,FALSE), " ")</f>
        <v xml:space="preserve"> </v>
      </c>
      <c r="BH89" s="55"/>
      <c r="BI89" s="32"/>
      <c r="BJ89" s="32"/>
      <c r="BK89" s="55"/>
      <c r="BL89" s="32"/>
      <c r="BM89" s="32"/>
      <c r="BN89" s="32"/>
      <c r="BO89" s="32"/>
      <c r="BP89" s="32"/>
      <c r="BQ89" s="31"/>
      <c r="BR89" s="31"/>
      <c r="BS89" s="54"/>
      <c r="BT89" s="21" t="str">
        <f>IFERROR(VLOOKUP(February[[#This Row],[Drug Name7]],'Data Options'!$R$1:$S$100,2,FALSE), " ")</f>
        <v xml:space="preserve"> </v>
      </c>
      <c r="BU89" s="55"/>
      <c r="BV89" s="32"/>
      <c r="BW89" s="32"/>
      <c r="BX89" s="55"/>
      <c r="BY89" s="32"/>
      <c r="BZ89" s="54"/>
      <c r="CA89" s="21" t="str">
        <f>IFERROR(VLOOKUP(February[[#This Row],[Drug Name8]],'Data Options'!$R$1:$S$100,2,FALSE), " ")</f>
        <v xml:space="preserve"> </v>
      </c>
      <c r="CB89" s="55"/>
      <c r="CC89" s="32"/>
      <c r="CD89" s="32"/>
      <c r="CE89" s="55"/>
      <c r="CF89" s="32"/>
      <c r="CG89" s="54"/>
      <c r="CH89" s="21" t="str">
        <f>IFERROR(VLOOKUP(February[[#This Row],[Drug Name9]],'Data Options'!$R$1:$S$100,2,FALSE), " ")</f>
        <v xml:space="preserve"> </v>
      </c>
      <c r="CI89" s="55"/>
      <c r="CJ89" s="32"/>
      <c r="CK89" s="32"/>
      <c r="CL89" s="55"/>
      <c r="CM89" s="32"/>
    </row>
    <row r="90" spans="1:91">
      <c r="A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1"/>
      <c r="Q90" s="54"/>
      <c r="R90" s="21" t="str">
        <f>IFERROR(VLOOKUP(February[[#This Row],[Drug Name]],'Data Options'!$R$1:$S$100,2,FALSE), " ")</f>
        <v xml:space="preserve"> </v>
      </c>
      <c r="S90" s="55"/>
      <c r="T90" s="32"/>
      <c r="U90" s="32"/>
      <c r="V90" s="55"/>
      <c r="W90" s="32"/>
      <c r="X90" s="54"/>
      <c r="Y90" s="21" t="str">
        <f>IFERROR(VLOOKUP(February[[#This Row],[Drug Name2]],'Data Options'!$R$1:$S$100,2,FALSE), " ")</f>
        <v xml:space="preserve"> </v>
      </c>
      <c r="Z90" s="55"/>
      <c r="AA90" s="32"/>
      <c r="AB90" s="32"/>
      <c r="AC90" s="55"/>
      <c r="AD90" s="32"/>
      <c r="AE90" s="54"/>
      <c r="AF90" s="21" t="str">
        <f>IFERROR(VLOOKUP(February[[#This Row],[Drug Name3]],'Data Options'!$R$1:$S$100,2,FALSE), " ")</f>
        <v xml:space="preserve"> </v>
      </c>
      <c r="AG90" s="55"/>
      <c r="AH90" s="32"/>
      <c r="AI90" s="32"/>
      <c r="AJ90" s="55"/>
      <c r="AK90" s="32"/>
      <c r="AL90" s="32"/>
      <c r="AM90" s="32"/>
      <c r="AN90" s="32"/>
      <c r="AO90" s="32"/>
      <c r="AP90" s="31"/>
      <c r="AQ90" s="31"/>
      <c r="AR90" s="54"/>
      <c r="AS90" s="21" t="str">
        <f>IFERROR(VLOOKUP(February[[#This Row],[Drug Name4]],'Data Options'!$R$1:$S$100,2,FALSE), " ")</f>
        <v xml:space="preserve"> </v>
      </c>
      <c r="AT90" s="55"/>
      <c r="AU90" s="32"/>
      <c r="AV90" s="32"/>
      <c r="AW90" s="55"/>
      <c r="AX90" s="32"/>
      <c r="AY90" s="54"/>
      <c r="AZ90" s="21" t="str">
        <f>IFERROR(VLOOKUP(February[[#This Row],[Drug Name5]],'Data Options'!$R$1:$S$100,2,FALSE), " ")</f>
        <v xml:space="preserve"> </v>
      </c>
      <c r="BA90" s="55"/>
      <c r="BB90" s="32"/>
      <c r="BC90" s="32"/>
      <c r="BD90" s="55"/>
      <c r="BE90" s="32"/>
      <c r="BF90" s="54"/>
      <c r="BG90" s="21" t="str">
        <f>IFERROR(VLOOKUP(February[[#This Row],[Drug Name6]],'Data Options'!$R$1:$S$100,2,FALSE), " ")</f>
        <v xml:space="preserve"> </v>
      </c>
      <c r="BH90" s="55"/>
      <c r="BI90" s="32"/>
      <c r="BJ90" s="32"/>
      <c r="BK90" s="55"/>
      <c r="BL90" s="32"/>
      <c r="BM90" s="32"/>
      <c r="BN90" s="32"/>
      <c r="BO90" s="32"/>
      <c r="BP90" s="32"/>
      <c r="BQ90" s="31"/>
      <c r="BR90" s="31"/>
      <c r="BS90" s="54"/>
      <c r="BT90" s="21" t="str">
        <f>IFERROR(VLOOKUP(February[[#This Row],[Drug Name7]],'Data Options'!$R$1:$S$100,2,FALSE), " ")</f>
        <v xml:space="preserve"> </v>
      </c>
      <c r="BU90" s="55"/>
      <c r="BV90" s="32"/>
      <c r="BW90" s="32"/>
      <c r="BX90" s="55"/>
      <c r="BY90" s="32"/>
      <c r="BZ90" s="54"/>
      <c r="CA90" s="21" t="str">
        <f>IFERROR(VLOOKUP(February[[#This Row],[Drug Name8]],'Data Options'!$R$1:$S$100,2,FALSE), " ")</f>
        <v xml:space="preserve"> </v>
      </c>
      <c r="CB90" s="55"/>
      <c r="CC90" s="32"/>
      <c r="CD90" s="32"/>
      <c r="CE90" s="55"/>
      <c r="CF90" s="32"/>
      <c r="CG90" s="54"/>
      <c r="CH90" s="21" t="str">
        <f>IFERROR(VLOOKUP(February[[#This Row],[Drug Name9]],'Data Options'!$R$1:$S$100,2,FALSE), " ")</f>
        <v xml:space="preserve"> </v>
      </c>
      <c r="CI90" s="55"/>
      <c r="CJ90" s="32"/>
      <c r="CK90" s="32"/>
      <c r="CL90" s="55"/>
      <c r="CM90" s="32"/>
    </row>
    <row r="91" spans="1:91">
      <c r="A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1"/>
      <c r="Q91" s="54"/>
      <c r="R91" s="21" t="str">
        <f>IFERROR(VLOOKUP(February[[#This Row],[Drug Name]],'Data Options'!$R$1:$S$100,2,FALSE), " ")</f>
        <v xml:space="preserve"> </v>
      </c>
      <c r="S91" s="55"/>
      <c r="T91" s="32"/>
      <c r="U91" s="32"/>
      <c r="V91" s="55"/>
      <c r="W91" s="32"/>
      <c r="X91" s="54"/>
      <c r="Y91" s="21" t="str">
        <f>IFERROR(VLOOKUP(February[[#This Row],[Drug Name2]],'Data Options'!$R$1:$S$100,2,FALSE), " ")</f>
        <v xml:space="preserve"> </v>
      </c>
      <c r="Z91" s="55"/>
      <c r="AA91" s="32"/>
      <c r="AB91" s="32"/>
      <c r="AC91" s="55"/>
      <c r="AD91" s="32"/>
      <c r="AE91" s="54"/>
      <c r="AF91" s="21" t="str">
        <f>IFERROR(VLOOKUP(February[[#This Row],[Drug Name3]],'Data Options'!$R$1:$S$100,2,FALSE), " ")</f>
        <v xml:space="preserve"> </v>
      </c>
      <c r="AG91" s="55"/>
      <c r="AH91" s="32"/>
      <c r="AI91" s="32"/>
      <c r="AJ91" s="55"/>
      <c r="AK91" s="32"/>
      <c r="AL91" s="32"/>
      <c r="AM91" s="32"/>
      <c r="AN91" s="32"/>
      <c r="AO91" s="32"/>
      <c r="AP91" s="31"/>
      <c r="AQ91" s="31"/>
      <c r="AR91" s="54"/>
      <c r="AS91" s="21" t="str">
        <f>IFERROR(VLOOKUP(February[[#This Row],[Drug Name4]],'Data Options'!$R$1:$S$100,2,FALSE), " ")</f>
        <v xml:space="preserve"> </v>
      </c>
      <c r="AT91" s="55"/>
      <c r="AU91" s="32"/>
      <c r="AV91" s="32"/>
      <c r="AW91" s="55"/>
      <c r="AX91" s="32"/>
      <c r="AY91" s="54"/>
      <c r="AZ91" s="21" t="str">
        <f>IFERROR(VLOOKUP(February[[#This Row],[Drug Name5]],'Data Options'!$R$1:$S$100,2,FALSE), " ")</f>
        <v xml:space="preserve"> </v>
      </c>
      <c r="BA91" s="55"/>
      <c r="BB91" s="32"/>
      <c r="BC91" s="32"/>
      <c r="BD91" s="55"/>
      <c r="BE91" s="32"/>
      <c r="BF91" s="54"/>
      <c r="BG91" s="21" t="str">
        <f>IFERROR(VLOOKUP(February[[#This Row],[Drug Name6]],'Data Options'!$R$1:$S$100,2,FALSE), " ")</f>
        <v xml:space="preserve"> </v>
      </c>
      <c r="BH91" s="55"/>
      <c r="BI91" s="32"/>
      <c r="BJ91" s="32"/>
      <c r="BK91" s="55"/>
      <c r="BL91" s="32"/>
      <c r="BM91" s="32"/>
      <c r="BN91" s="32"/>
      <c r="BO91" s="32"/>
      <c r="BP91" s="32"/>
      <c r="BQ91" s="31"/>
      <c r="BR91" s="31"/>
      <c r="BS91" s="54"/>
      <c r="BT91" s="21" t="str">
        <f>IFERROR(VLOOKUP(February[[#This Row],[Drug Name7]],'Data Options'!$R$1:$S$100,2,FALSE), " ")</f>
        <v xml:space="preserve"> </v>
      </c>
      <c r="BU91" s="55"/>
      <c r="BV91" s="32"/>
      <c r="BW91" s="32"/>
      <c r="BX91" s="55"/>
      <c r="BY91" s="32"/>
      <c r="BZ91" s="54"/>
      <c r="CA91" s="21" t="str">
        <f>IFERROR(VLOOKUP(February[[#This Row],[Drug Name8]],'Data Options'!$R$1:$S$100,2,FALSE), " ")</f>
        <v xml:space="preserve"> </v>
      </c>
      <c r="CB91" s="55"/>
      <c r="CC91" s="32"/>
      <c r="CD91" s="32"/>
      <c r="CE91" s="55"/>
      <c r="CF91" s="32"/>
      <c r="CG91" s="54"/>
      <c r="CH91" s="21" t="str">
        <f>IFERROR(VLOOKUP(February[[#This Row],[Drug Name9]],'Data Options'!$R$1:$S$100,2,FALSE), " ")</f>
        <v xml:space="preserve"> </v>
      </c>
      <c r="CI91" s="55"/>
      <c r="CJ91" s="32"/>
      <c r="CK91" s="32"/>
      <c r="CL91" s="55"/>
      <c r="CM91" s="32"/>
    </row>
    <row r="92" spans="1:91">
      <c r="A92" s="5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1"/>
      <c r="Q92" s="54"/>
      <c r="R92" s="21" t="str">
        <f>IFERROR(VLOOKUP(February[[#This Row],[Drug Name]],'Data Options'!$R$1:$S$100,2,FALSE), " ")</f>
        <v xml:space="preserve"> </v>
      </c>
      <c r="S92" s="55"/>
      <c r="T92" s="32"/>
      <c r="U92" s="32"/>
      <c r="V92" s="55"/>
      <c r="W92" s="32"/>
      <c r="X92" s="54"/>
      <c r="Y92" s="21" t="str">
        <f>IFERROR(VLOOKUP(February[[#This Row],[Drug Name2]],'Data Options'!$R$1:$S$100,2,FALSE), " ")</f>
        <v xml:space="preserve"> </v>
      </c>
      <c r="Z92" s="55"/>
      <c r="AA92" s="32"/>
      <c r="AB92" s="32"/>
      <c r="AC92" s="55"/>
      <c r="AD92" s="32"/>
      <c r="AE92" s="54"/>
      <c r="AF92" s="21" t="str">
        <f>IFERROR(VLOOKUP(February[[#This Row],[Drug Name3]],'Data Options'!$R$1:$S$100,2,FALSE), " ")</f>
        <v xml:space="preserve"> </v>
      </c>
      <c r="AG92" s="55"/>
      <c r="AH92" s="32"/>
      <c r="AI92" s="32"/>
      <c r="AJ92" s="55"/>
      <c r="AK92" s="32"/>
      <c r="AL92" s="32"/>
      <c r="AM92" s="32"/>
      <c r="AN92" s="32"/>
      <c r="AO92" s="32"/>
      <c r="AP92" s="31"/>
      <c r="AQ92" s="31"/>
      <c r="AR92" s="54"/>
      <c r="AS92" s="21" t="str">
        <f>IFERROR(VLOOKUP(February[[#This Row],[Drug Name4]],'Data Options'!$R$1:$S$100,2,FALSE), " ")</f>
        <v xml:space="preserve"> </v>
      </c>
      <c r="AT92" s="55"/>
      <c r="AU92" s="32"/>
      <c r="AV92" s="32"/>
      <c r="AW92" s="55"/>
      <c r="AX92" s="32"/>
      <c r="AY92" s="54"/>
      <c r="AZ92" s="21" t="str">
        <f>IFERROR(VLOOKUP(February[[#This Row],[Drug Name5]],'Data Options'!$R$1:$S$100,2,FALSE), " ")</f>
        <v xml:space="preserve"> </v>
      </c>
      <c r="BA92" s="55"/>
      <c r="BB92" s="32"/>
      <c r="BC92" s="32"/>
      <c r="BD92" s="55"/>
      <c r="BE92" s="32"/>
      <c r="BF92" s="54"/>
      <c r="BG92" s="21" t="str">
        <f>IFERROR(VLOOKUP(February[[#This Row],[Drug Name6]],'Data Options'!$R$1:$S$100,2,FALSE), " ")</f>
        <v xml:space="preserve"> </v>
      </c>
      <c r="BH92" s="55"/>
      <c r="BI92" s="32"/>
      <c r="BJ92" s="32"/>
      <c r="BK92" s="55"/>
      <c r="BL92" s="32"/>
      <c r="BM92" s="32"/>
      <c r="BN92" s="32"/>
      <c r="BO92" s="32"/>
      <c r="BP92" s="32"/>
      <c r="BQ92" s="31"/>
      <c r="BR92" s="31"/>
      <c r="BS92" s="54"/>
      <c r="BT92" s="21" t="str">
        <f>IFERROR(VLOOKUP(February[[#This Row],[Drug Name7]],'Data Options'!$R$1:$S$100,2,FALSE), " ")</f>
        <v xml:space="preserve"> </v>
      </c>
      <c r="BU92" s="55"/>
      <c r="BV92" s="32"/>
      <c r="BW92" s="32"/>
      <c r="BX92" s="55"/>
      <c r="BY92" s="32"/>
      <c r="BZ92" s="54"/>
      <c r="CA92" s="21" t="str">
        <f>IFERROR(VLOOKUP(February[[#This Row],[Drug Name8]],'Data Options'!$R$1:$S$100,2,FALSE), " ")</f>
        <v xml:space="preserve"> </v>
      </c>
      <c r="CB92" s="55"/>
      <c r="CC92" s="32"/>
      <c r="CD92" s="32"/>
      <c r="CE92" s="55"/>
      <c r="CF92" s="32"/>
      <c r="CG92" s="54"/>
      <c r="CH92" s="21" t="str">
        <f>IFERROR(VLOOKUP(February[[#This Row],[Drug Name9]],'Data Options'!$R$1:$S$100,2,FALSE), " ")</f>
        <v xml:space="preserve"> </v>
      </c>
      <c r="CI92" s="55"/>
      <c r="CJ92" s="32"/>
      <c r="CK92" s="32"/>
      <c r="CL92" s="55"/>
      <c r="CM92" s="32"/>
    </row>
    <row r="93" spans="1:91">
      <c r="A93" s="5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1"/>
      <c r="Q93" s="54"/>
      <c r="R93" s="21" t="str">
        <f>IFERROR(VLOOKUP(February[[#This Row],[Drug Name]],'Data Options'!$R$1:$S$100,2,FALSE), " ")</f>
        <v xml:space="preserve"> </v>
      </c>
      <c r="S93" s="55"/>
      <c r="T93" s="32"/>
      <c r="U93" s="32"/>
      <c r="V93" s="55"/>
      <c r="W93" s="32"/>
      <c r="X93" s="54"/>
      <c r="Y93" s="21" t="str">
        <f>IFERROR(VLOOKUP(February[[#This Row],[Drug Name2]],'Data Options'!$R$1:$S$100,2,FALSE), " ")</f>
        <v xml:space="preserve"> </v>
      </c>
      <c r="Z93" s="55"/>
      <c r="AA93" s="32"/>
      <c r="AB93" s="32"/>
      <c r="AC93" s="55"/>
      <c r="AD93" s="32"/>
      <c r="AE93" s="54"/>
      <c r="AF93" s="21" t="str">
        <f>IFERROR(VLOOKUP(February[[#This Row],[Drug Name3]],'Data Options'!$R$1:$S$100,2,FALSE), " ")</f>
        <v xml:space="preserve"> </v>
      </c>
      <c r="AG93" s="55"/>
      <c r="AH93" s="32"/>
      <c r="AI93" s="32"/>
      <c r="AJ93" s="55"/>
      <c r="AK93" s="32"/>
      <c r="AL93" s="32"/>
      <c r="AM93" s="32"/>
      <c r="AN93" s="32"/>
      <c r="AO93" s="32"/>
      <c r="AP93" s="31"/>
      <c r="AQ93" s="31"/>
      <c r="AR93" s="54"/>
      <c r="AS93" s="21" t="str">
        <f>IFERROR(VLOOKUP(February[[#This Row],[Drug Name4]],'Data Options'!$R$1:$S$100,2,FALSE), " ")</f>
        <v xml:space="preserve"> </v>
      </c>
      <c r="AT93" s="55"/>
      <c r="AU93" s="32"/>
      <c r="AV93" s="32"/>
      <c r="AW93" s="55"/>
      <c r="AX93" s="32"/>
      <c r="AY93" s="54"/>
      <c r="AZ93" s="21" t="str">
        <f>IFERROR(VLOOKUP(February[[#This Row],[Drug Name5]],'Data Options'!$R$1:$S$100,2,FALSE), " ")</f>
        <v xml:space="preserve"> </v>
      </c>
      <c r="BA93" s="55"/>
      <c r="BB93" s="32"/>
      <c r="BC93" s="32"/>
      <c r="BD93" s="55"/>
      <c r="BE93" s="32"/>
      <c r="BF93" s="54"/>
      <c r="BG93" s="21" t="str">
        <f>IFERROR(VLOOKUP(February[[#This Row],[Drug Name6]],'Data Options'!$R$1:$S$100,2,FALSE), " ")</f>
        <v xml:space="preserve"> </v>
      </c>
      <c r="BH93" s="55"/>
      <c r="BI93" s="32"/>
      <c r="BJ93" s="32"/>
      <c r="BK93" s="55"/>
      <c r="BL93" s="32"/>
      <c r="BM93" s="32"/>
      <c r="BN93" s="32"/>
      <c r="BO93" s="32"/>
      <c r="BP93" s="32"/>
      <c r="BQ93" s="31"/>
      <c r="BR93" s="31"/>
      <c r="BS93" s="54"/>
      <c r="BT93" s="21" t="str">
        <f>IFERROR(VLOOKUP(February[[#This Row],[Drug Name7]],'Data Options'!$R$1:$S$100,2,FALSE), " ")</f>
        <v xml:space="preserve"> </v>
      </c>
      <c r="BU93" s="55"/>
      <c r="BV93" s="32"/>
      <c r="BW93" s="32"/>
      <c r="BX93" s="55"/>
      <c r="BY93" s="32"/>
      <c r="BZ93" s="54"/>
      <c r="CA93" s="21" t="str">
        <f>IFERROR(VLOOKUP(February[[#This Row],[Drug Name8]],'Data Options'!$R$1:$S$100,2,FALSE), " ")</f>
        <v xml:space="preserve"> </v>
      </c>
      <c r="CB93" s="55"/>
      <c r="CC93" s="32"/>
      <c r="CD93" s="32"/>
      <c r="CE93" s="55"/>
      <c r="CF93" s="32"/>
      <c r="CG93" s="54"/>
      <c r="CH93" s="21" t="str">
        <f>IFERROR(VLOOKUP(February[[#This Row],[Drug Name9]],'Data Options'!$R$1:$S$100,2,FALSE), " ")</f>
        <v xml:space="preserve"> </v>
      </c>
      <c r="CI93" s="55"/>
      <c r="CJ93" s="32"/>
      <c r="CK93" s="32"/>
      <c r="CL93" s="55"/>
      <c r="CM93" s="32"/>
    </row>
    <row r="94" spans="1:91">
      <c r="A94" s="5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1"/>
      <c r="Q94" s="54"/>
      <c r="R94" s="21" t="str">
        <f>IFERROR(VLOOKUP(February[[#This Row],[Drug Name]],'Data Options'!$R$1:$S$100,2,FALSE), " ")</f>
        <v xml:space="preserve"> </v>
      </c>
      <c r="S94" s="55"/>
      <c r="T94" s="32"/>
      <c r="U94" s="32"/>
      <c r="V94" s="55"/>
      <c r="W94" s="32"/>
      <c r="X94" s="54"/>
      <c r="Y94" s="21" t="str">
        <f>IFERROR(VLOOKUP(February[[#This Row],[Drug Name2]],'Data Options'!$R$1:$S$100,2,FALSE), " ")</f>
        <v xml:space="preserve"> </v>
      </c>
      <c r="Z94" s="55"/>
      <c r="AA94" s="32"/>
      <c r="AB94" s="32"/>
      <c r="AC94" s="55"/>
      <c r="AD94" s="32"/>
      <c r="AE94" s="54"/>
      <c r="AF94" s="21" t="str">
        <f>IFERROR(VLOOKUP(February[[#This Row],[Drug Name3]],'Data Options'!$R$1:$S$100,2,FALSE), " ")</f>
        <v xml:space="preserve"> </v>
      </c>
      <c r="AG94" s="55"/>
      <c r="AH94" s="32"/>
      <c r="AI94" s="32"/>
      <c r="AJ94" s="55"/>
      <c r="AK94" s="32"/>
      <c r="AL94" s="32"/>
      <c r="AM94" s="32"/>
      <c r="AN94" s="32"/>
      <c r="AO94" s="32"/>
      <c r="AP94" s="31"/>
      <c r="AQ94" s="31"/>
      <c r="AR94" s="54"/>
      <c r="AS94" s="21" t="str">
        <f>IFERROR(VLOOKUP(February[[#This Row],[Drug Name4]],'Data Options'!$R$1:$S$100,2,FALSE), " ")</f>
        <v xml:space="preserve"> </v>
      </c>
      <c r="AT94" s="55"/>
      <c r="AU94" s="32"/>
      <c r="AV94" s="32"/>
      <c r="AW94" s="55"/>
      <c r="AX94" s="32"/>
      <c r="AY94" s="54"/>
      <c r="AZ94" s="21" t="str">
        <f>IFERROR(VLOOKUP(February[[#This Row],[Drug Name5]],'Data Options'!$R$1:$S$100,2,FALSE), " ")</f>
        <v xml:space="preserve"> </v>
      </c>
      <c r="BA94" s="55"/>
      <c r="BB94" s="32"/>
      <c r="BC94" s="32"/>
      <c r="BD94" s="55"/>
      <c r="BE94" s="32"/>
      <c r="BF94" s="54"/>
      <c r="BG94" s="21" t="str">
        <f>IFERROR(VLOOKUP(February[[#This Row],[Drug Name6]],'Data Options'!$R$1:$S$100,2,FALSE), " ")</f>
        <v xml:space="preserve"> </v>
      </c>
      <c r="BH94" s="55"/>
      <c r="BI94" s="32"/>
      <c r="BJ94" s="32"/>
      <c r="BK94" s="55"/>
      <c r="BL94" s="32"/>
      <c r="BM94" s="32"/>
      <c r="BN94" s="32"/>
      <c r="BO94" s="32"/>
      <c r="BP94" s="32"/>
      <c r="BQ94" s="31"/>
      <c r="BR94" s="31"/>
      <c r="BS94" s="54"/>
      <c r="BT94" s="21" t="str">
        <f>IFERROR(VLOOKUP(February[[#This Row],[Drug Name7]],'Data Options'!$R$1:$S$100,2,FALSE), " ")</f>
        <v xml:space="preserve"> </v>
      </c>
      <c r="BU94" s="55"/>
      <c r="BV94" s="32"/>
      <c r="BW94" s="32"/>
      <c r="BX94" s="55"/>
      <c r="BY94" s="32"/>
      <c r="BZ94" s="54"/>
      <c r="CA94" s="21" t="str">
        <f>IFERROR(VLOOKUP(February[[#This Row],[Drug Name8]],'Data Options'!$R$1:$S$100,2,FALSE), " ")</f>
        <v xml:space="preserve"> </v>
      </c>
      <c r="CB94" s="55"/>
      <c r="CC94" s="32"/>
      <c r="CD94" s="32"/>
      <c r="CE94" s="55"/>
      <c r="CF94" s="32"/>
      <c r="CG94" s="54"/>
      <c r="CH94" s="21" t="str">
        <f>IFERROR(VLOOKUP(February[[#This Row],[Drug Name9]],'Data Options'!$R$1:$S$100,2,FALSE), " ")</f>
        <v xml:space="preserve"> </v>
      </c>
      <c r="CI94" s="55"/>
      <c r="CJ94" s="32"/>
      <c r="CK94" s="32"/>
      <c r="CL94" s="55"/>
      <c r="CM94" s="32"/>
    </row>
    <row r="95" spans="1:91">
      <c r="A95" s="5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1"/>
      <c r="P95" s="31"/>
      <c r="Q95" s="54"/>
      <c r="R95" s="21" t="str">
        <f>IFERROR(VLOOKUP(February[[#This Row],[Drug Name]],'Data Options'!$R$1:$S$100,2,FALSE), " ")</f>
        <v xml:space="preserve"> </v>
      </c>
      <c r="S95" s="55"/>
      <c r="T95" s="32"/>
      <c r="U95" s="32"/>
      <c r="V95" s="55"/>
      <c r="W95" s="32"/>
      <c r="X95" s="54"/>
      <c r="Y95" s="21" t="str">
        <f>IFERROR(VLOOKUP(February[[#This Row],[Drug Name2]],'Data Options'!$R$1:$S$100,2,FALSE), " ")</f>
        <v xml:space="preserve"> </v>
      </c>
      <c r="Z95" s="55"/>
      <c r="AA95" s="32"/>
      <c r="AB95" s="32"/>
      <c r="AC95" s="55"/>
      <c r="AD95" s="32"/>
      <c r="AE95" s="54"/>
      <c r="AF95" s="21" t="str">
        <f>IFERROR(VLOOKUP(February[[#This Row],[Drug Name3]],'Data Options'!$R$1:$S$100,2,FALSE), " ")</f>
        <v xml:space="preserve"> </v>
      </c>
      <c r="AG95" s="55"/>
      <c r="AH95" s="32"/>
      <c r="AI95" s="32"/>
      <c r="AJ95" s="55"/>
      <c r="AK95" s="32"/>
      <c r="AL95" s="32"/>
      <c r="AM95" s="32"/>
      <c r="AN95" s="32"/>
      <c r="AO95" s="32"/>
      <c r="AP95" s="31"/>
      <c r="AQ95" s="31"/>
      <c r="AR95" s="54"/>
      <c r="AS95" s="21" t="str">
        <f>IFERROR(VLOOKUP(February[[#This Row],[Drug Name4]],'Data Options'!$R$1:$S$100,2,FALSE), " ")</f>
        <v xml:space="preserve"> </v>
      </c>
      <c r="AT95" s="55"/>
      <c r="AU95" s="32"/>
      <c r="AV95" s="32"/>
      <c r="AW95" s="55"/>
      <c r="AX95" s="32"/>
      <c r="AY95" s="54"/>
      <c r="AZ95" s="21" t="str">
        <f>IFERROR(VLOOKUP(February[[#This Row],[Drug Name5]],'Data Options'!$R$1:$S$100,2,FALSE), " ")</f>
        <v xml:space="preserve"> </v>
      </c>
      <c r="BA95" s="55"/>
      <c r="BB95" s="32"/>
      <c r="BC95" s="32"/>
      <c r="BD95" s="55"/>
      <c r="BE95" s="32"/>
      <c r="BF95" s="54"/>
      <c r="BG95" s="21" t="str">
        <f>IFERROR(VLOOKUP(February[[#This Row],[Drug Name6]],'Data Options'!$R$1:$S$100,2,FALSE), " ")</f>
        <v xml:space="preserve"> </v>
      </c>
      <c r="BH95" s="55"/>
      <c r="BI95" s="32"/>
      <c r="BJ95" s="32"/>
      <c r="BK95" s="55"/>
      <c r="BL95" s="32"/>
      <c r="BM95" s="32"/>
      <c r="BN95" s="32"/>
      <c r="BO95" s="32"/>
      <c r="BP95" s="32"/>
      <c r="BQ95" s="31"/>
      <c r="BR95" s="31"/>
      <c r="BS95" s="54"/>
      <c r="BT95" s="21" t="str">
        <f>IFERROR(VLOOKUP(February[[#This Row],[Drug Name7]],'Data Options'!$R$1:$S$100,2,FALSE), " ")</f>
        <v xml:space="preserve"> </v>
      </c>
      <c r="BU95" s="55"/>
      <c r="BV95" s="32"/>
      <c r="BW95" s="32"/>
      <c r="BX95" s="55"/>
      <c r="BY95" s="32"/>
      <c r="BZ95" s="54"/>
      <c r="CA95" s="21" t="str">
        <f>IFERROR(VLOOKUP(February[[#This Row],[Drug Name8]],'Data Options'!$R$1:$S$100,2,FALSE), " ")</f>
        <v xml:space="preserve"> </v>
      </c>
      <c r="CB95" s="55"/>
      <c r="CC95" s="32"/>
      <c r="CD95" s="32"/>
      <c r="CE95" s="55"/>
      <c r="CF95" s="32"/>
      <c r="CG95" s="54"/>
      <c r="CH95" s="21" t="str">
        <f>IFERROR(VLOOKUP(February[[#This Row],[Drug Name9]],'Data Options'!$R$1:$S$100,2,FALSE), " ")</f>
        <v xml:space="preserve"> </v>
      </c>
      <c r="CI95" s="55"/>
      <c r="CJ95" s="32"/>
      <c r="CK95" s="32"/>
      <c r="CL95" s="55"/>
      <c r="CM95" s="32"/>
    </row>
    <row r="96" spans="1:91">
      <c r="A96" s="5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1"/>
      <c r="P96" s="31"/>
      <c r="Q96" s="54"/>
      <c r="R96" s="21" t="str">
        <f>IFERROR(VLOOKUP(February[[#This Row],[Drug Name]],'Data Options'!$R$1:$S$100,2,FALSE), " ")</f>
        <v xml:space="preserve"> </v>
      </c>
      <c r="S96" s="55"/>
      <c r="T96" s="32"/>
      <c r="U96" s="32"/>
      <c r="V96" s="55"/>
      <c r="W96" s="32"/>
      <c r="X96" s="54"/>
      <c r="Y96" s="21" t="str">
        <f>IFERROR(VLOOKUP(February[[#This Row],[Drug Name2]],'Data Options'!$R$1:$S$100,2,FALSE), " ")</f>
        <v xml:space="preserve"> </v>
      </c>
      <c r="Z96" s="55"/>
      <c r="AA96" s="32"/>
      <c r="AB96" s="32"/>
      <c r="AC96" s="55"/>
      <c r="AD96" s="32"/>
      <c r="AE96" s="54"/>
      <c r="AF96" s="21" t="str">
        <f>IFERROR(VLOOKUP(February[[#This Row],[Drug Name3]],'Data Options'!$R$1:$S$100,2,FALSE), " ")</f>
        <v xml:space="preserve"> </v>
      </c>
      <c r="AG96" s="55"/>
      <c r="AH96" s="32"/>
      <c r="AI96" s="32"/>
      <c r="AJ96" s="55"/>
      <c r="AK96" s="32"/>
      <c r="AL96" s="32"/>
      <c r="AM96" s="32"/>
      <c r="AN96" s="32"/>
      <c r="AO96" s="32"/>
      <c r="AP96" s="31"/>
      <c r="AQ96" s="31"/>
      <c r="AR96" s="54"/>
      <c r="AS96" s="21" t="str">
        <f>IFERROR(VLOOKUP(February[[#This Row],[Drug Name4]],'Data Options'!$R$1:$S$100,2,FALSE), " ")</f>
        <v xml:space="preserve"> </v>
      </c>
      <c r="AT96" s="55"/>
      <c r="AU96" s="32"/>
      <c r="AV96" s="32"/>
      <c r="AW96" s="55"/>
      <c r="AX96" s="32"/>
      <c r="AY96" s="54"/>
      <c r="AZ96" s="21" t="str">
        <f>IFERROR(VLOOKUP(February[[#This Row],[Drug Name5]],'Data Options'!$R$1:$S$100,2,FALSE), " ")</f>
        <v xml:space="preserve"> </v>
      </c>
      <c r="BA96" s="55"/>
      <c r="BB96" s="32"/>
      <c r="BC96" s="32"/>
      <c r="BD96" s="55"/>
      <c r="BE96" s="32"/>
      <c r="BF96" s="54"/>
      <c r="BG96" s="21" t="str">
        <f>IFERROR(VLOOKUP(February[[#This Row],[Drug Name6]],'Data Options'!$R$1:$S$100,2,FALSE), " ")</f>
        <v xml:space="preserve"> </v>
      </c>
      <c r="BH96" s="55"/>
      <c r="BI96" s="32"/>
      <c r="BJ96" s="32"/>
      <c r="BK96" s="55"/>
      <c r="BL96" s="32"/>
      <c r="BM96" s="32"/>
      <c r="BN96" s="32"/>
      <c r="BO96" s="32"/>
      <c r="BP96" s="32"/>
      <c r="BQ96" s="31"/>
      <c r="BR96" s="31"/>
      <c r="BS96" s="54"/>
      <c r="BT96" s="21" t="str">
        <f>IFERROR(VLOOKUP(February[[#This Row],[Drug Name7]],'Data Options'!$R$1:$S$100,2,FALSE), " ")</f>
        <v xml:space="preserve"> </v>
      </c>
      <c r="BU96" s="55"/>
      <c r="BV96" s="32"/>
      <c r="BW96" s="32"/>
      <c r="BX96" s="55"/>
      <c r="BY96" s="32"/>
      <c r="BZ96" s="54"/>
      <c r="CA96" s="21" t="str">
        <f>IFERROR(VLOOKUP(February[[#This Row],[Drug Name8]],'Data Options'!$R$1:$S$100,2,FALSE), " ")</f>
        <v xml:space="preserve"> </v>
      </c>
      <c r="CB96" s="55"/>
      <c r="CC96" s="32"/>
      <c r="CD96" s="32"/>
      <c r="CE96" s="55"/>
      <c r="CF96" s="32"/>
      <c r="CG96" s="54"/>
      <c r="CH96" s="21" t="str">
        <f>IFERROR(VLOOKUP(February[[#This Row],[Drug Name9]],'Data Options'!$R$1:$S$100,2,FALSE), " ")</f>
        <v xml:space="preserve"> </v>
      </c>
      <c r="CI96" s="55"/>
      <c r="CJ96" s="32"/>
      <c r="CK96" s="32"/>
      <c r="CL96" s="55"/>
      <c r="CM96" s="32"/>
    </row>
    <row r="97" spans="1:91">
      <c r="A97" s="5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1"/>
      <c r="P97" s="31"/>
      <c r="Q97" s="54"/>
      <c r="R97" s="21" t="str">
        <f>IFERROR(VLOOKUP(February[[#This Row],[Drug Name]],'Data Options'!$R$1:$S$100,2,FALSE), " ")</f>
        <v xml:space="preserve"> </v>
      </c>
      <c r="S97" s="55"/>
      <c r="T97" s="32"/>
      <c r="U97" s="32"/>
      <c r="V97" s="55"/>
      <c r="W97" s="32"/>
      <c r="X97" s="54"/>
      <c r="Y97" s="21" t="str">
        <f>IFERROR(VLOOKUP(February[[#This Row],[Drug Name2]],'Data Options'!$R$1:$S$100,2,FALSE), " ")</f>
        <v xml:space="preserve"> </v>
      </c>
      <c r="Z97" s="55"/>
      <c r="AA97" s="32"/>
      <c r="AB97" s="32"/>
      <c r="AC97" s="55"/>
      <c r="AD97" s="32"/>
      <c r="AE97" s="54"/>
      <c r="AF97" s="21" t="str">
        <f>IFERROR(VLOOKUP(February[[#This Row],[Drug Name3]],'Data Options'!$R$1:$S$100,2,FALSE), " ")</f>
        <v xml:space="preserve"> </v>
      </c>
      <c r="AG97" s="55"/>
      <c r="AH97" s="32"/>
      <c r="AI97" s="32"/>
      <c r="AJ97" s="55"/>
      <c r="AK97" s="32"/>
      <c r="AL97" s="32"/>
      <c r="AM97" s="32"/>
      <c r="AN97" s="32"/>
      <c r="AO97" s="32"/>
      <c r="AP97" s="31"/>
      <c r="AQ97" s="31"/>
      <c r="AR97" s="54"/>
      <c r="AS97" s="21" t="str">
        <f>IFERROR(VLOOKUP(February[[#This Row],[Drug Name4]],'Data Options'!$R$1:$S$100,2,FALSE), " ")</f>
        <v xml:space="preserve"> </v>
      </c>
      <c r="AT97" s="55"/>
      <c r="AU97" s="32"/>
      <c r="AV97" s="32"/>
      <c r="AW97" s="55"/>
      <c r="AX97" s="32"/>
      <c r="AY97" s="54"/>
      <c r="AZ97" s="21" t="str">
        <f>IFERROR(VLOOKUP(February[[#This Row],[Drug Name5]],'Data Options'!$R$1:$S$100,2,FALSE), " ")</f>
        <v xml:space="preserve"> </v>
      </c>
      <c r="BA97" s="55"/>
      <c r="BB97" s="32"/>
      <c r="BC97" s="32"/>
      <c r="BD97" s="55"/>
      <c r="BE97" s="32"/>
      <c r="BF97" s="54"/>
      <c r="BG97" s="21" t="str">
        <f>IFERROR(VLOOKUP(February[[#This Row],[Drug Name6]],'Data Options'!$R$1:$S$100,2,FALSE), " ")</f>
        <v xml:space="preserve"> </v>
      </c>
      <c r="BH97" s="55"/>
      <c r="BI97" s="32"/>
      <c r="BJ97" s="32"/>
      <c r="BK97" s="55"/>
      <c r="BL97" s="32"/>
      <c r="BM97" s="32"/>
      <c r="BN97" s="32"/>
      <c r="BO97" s="32"/>
      <c r="BP97" s="32"/>
      <c r="BQ97" s="31"/>
      <c r="BR97" s="31"/>
      <c r="BS97" s="54"/>
      <c r="BT97" s="21" t="str">
        <f>IFERROR(VLOOKUP(February[[#This Row],[Drug Name7]],'Data Options'!$R$1:$S$100,2,FALSE), " ")</f>
        <v xml:space="preserve"> </v>
      </c>
      <c r="BU97" s="55"/>
      <c r="BV97" s="32"/>
      <c r="BW97" s="32"/>
      <c r="BX97" s="55"/>
      <c r="BY97" s="32"/>
      <c r="BZ97" s="54"/>
      <c r="CA97" s="21" t="str">
        <f>IFERROR(VLOOKUP(February[[#This Row],[Drug Name8]],'Data Options'!$R$1:$S$100,2,FALSE), " ")</f>
        <v xml:space="preserve"> </v>
      </c>
      <c r="CB97" s="55"/>
      <c r="CC97" s="32"/>
      <c r="CD97" s="32"/>
      <c r="CE97" s="55"/>
      <c r="CF97" s="32"/>
      <c r="CG97" s="54"/>
      <c r="CH97" s="21" t="str">
        <f>IFERROR(VLOOKUP(February[[#This Row],[Drug Name9]],'Data Options'!$R$1:$S$100,2,FALSE), " ")</f>
        <v xml:space="preserve"> </v>
      </c>
      <c r="CI97" s="55"/>
      <c r="CJ97" s="32"/>
      <c r="CK97" s="32"/>
      <c r="CL97" s="55"/>
      <c r="CM97" s="32"/>
    </row>
    <row r="98" spans="1:91">
      <c r="A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1"/>
      <c r="P98" s="31"/>
      <c r="Q98" s="54"/>
      <c r="R98" s="21" t="str">
        <f>IFERROR(VLOOKUP(February[[#This Row],[Drug Name]],'Data Options'!$R$1:$S$100,2,FALSE), " ")</f>
        <v xml:space="preserve"> </v>
      </c>
      <c r="S98" s="55"/>
      <c r="T98" s="32"/>
      <c r="U98" s="32"/>
      <c r="V98" s="55"/>
      <c r="W98" s="32"/>
      <c r="X98" s="54"/>
      <c r="Y98" s="21" t="str">
        <f>IFERROR(VLOOKUP(February[[#This Row],[Drug Name2]],'Data Options'!$R$1:$S$100,2,FALSE), " ")</f>
        <v xml:space="preserve"> </v>
      </c>
      <c r="Z98" s="55"/>
      <c r="AA98" s="32"/>
      <c r="AB98" s="32"/>
      <c r="AC98" s="55"/>
      <c r="AD98" s="32"/>
      <c r="AE98" s="54"/>
      <c r="AF98" s="21" t="str">
        <f>IFERROR(VLOOKUP(February[[#This Row],[Drug Name3]],'Data Options'!$R$1:$S$100,2,FALSE), " ")</f>
        <v xml:space="preserve"> </v>
      </c>
      <c r="AG98" s="55"/>
      <c r="AH98" s="32"/>
      <c r="AI98" s="32"/>
      <c r="AJ98" s="55"/>
      <c r="AK98" s="32"/>
      <c r="AL98" s="32"/>
      <c r="AM98" s="32"/>
      <c r="AN98" s="32"/>
      <c r="AO98" s="32"/>
      <c r="AP98" s="31"/>
      <c r="AQ98" s="31"/>
      <c r="AR98" s="54"/>
      <c r="AS98" s="21" t="str">
        <f>IFERROR(VLOOKUP(February[[#This Row],[Drug Name4]],'Data Options'!$R$1:$S$100,2,FALSE), " ")</f>
        <v xml:space="preserve"> </v>
      </c>
      <c r="AT98" s="55"/>
      <c r="AU98" s="32"/>
      <c r="AV98" s="32"/>
      <c r="AW98" s="55"/>
      <c r="AX98" s="32"/>
      <c r="AY98" s="54"/>
      <c r="AZ98" s="21" t="str">
        <f>IFERROR(VLOOKUP(February[[#This Row],[Drug Name5]],'Data Options'!$R$1:$S$100,2,FALSE), " ")</f>
        <v xml:space="preserve"> </v>
      </c>
      <c r="BA98" s="55"/>
      <c r="BB98" s="32"/>
      <c r="BC98" s="32"/>
      <c r="BD98" s="55"/>
      <c r="BE98" s="32"/>
      <c r="BF98" s="54"/>
      <c r="BG98" s="21" t="str">
        <f>IFERROR(VLOOKUP(February[[#This Row],[Drug Name6]],'Data Options'!$R$1:$S$100,2,FALSE), " ")</f>
        <v xml:space="preserve"> </v>
      </c>
      <c r="BH98" s="55"/>
      <c r="BI98" s="32"/>
      <c r="BJ98" s="32"/>
      <c r="BK98" s="55"/>
      <c r="BL98" s="32"/>
      <c r="BM98" s="32"/>
      <c r="BN98" s="32"/>
      <c r="BO98" s="32"/>
      <c r="BP98" s="32"/>
      <c r="BQ98" s="31"/>
      <c r="BR98" s="31"/>
      <c r="BS98" s="54"/>
      <c r="BT98" s="21" t="str">
        <f>IFERROR(VLOOKUP(February[[#This Row],[Drug Name7]],'Data Options'!$R$1:$S$100,2,FALSE), " ")</f>
        <v xml:space="preserve"> </v>
      </c>
      <c r="BU98" s="55"/>
      <c r="BV98" s="32"/>
      <c r="BW98" s="32"/>
      <c r="BX98" s="55"/>
      <c r="BY98" s="32"/>
      <c r="BZ98" s="54"/>
      <c r="CA98" s="21" t="str">
        <f>IFERROR(VLOOKUP(February[[#This Row],[Drug Name8]],'Data Options'!$R$1:$S$100,2,FALSE), " ")</f>
        <v xml:space="preserve"> </v>
      </c>
      <c r="CB98" s="55"/>
      <c r="CC98" s="32"/>
      <c r="CD98" s="32"/>
      <c r="CE98" s="55"/>
      <c r="CF98" s="32"/>
      <c r="CG98" s="54"/>
      <c r="CH98" s="21" t="str">
        <f>IFERROR(VLOOKUP(February[[#This Row],[Drug Name9]],'Data Options'!$R$1:$S$100,2,FALSE), " ")</f>
        <v xml:space="preserve"> </v>
      </c>
      <c r="CI98" s="55"/>
      <c r="CJ98" s="32"/>
      <c r="CK98" s="32"/>
      <c r="CL98" s="55"/>
      <c r="CM98" s="32"/>
    </row>
    <row r="99" spans="1:91">
      <c r="A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1"/>
      <c r="P99" s="31"/>
      <c r="Q99" s="54"/>
      <c r="R99" s="21" t="str">
        <f>IFERROR(VLOOKUP(February[[#This Row],[Drug Name]],'Data Options'!$R$1:$S$100,2,FALSE), " ")</f>
        <v xml:space="preserve"> </v>
      </c>
      <c r="S99" s="55"/>
      <c r="T99" s="32"/>
      <c r="U99" s="32"/>
      <c r="V99" s="55"/>
      <c r="W99" s="32"/>
      <c r="X99" s="54"/>
      <c r="Y99" s="21" t="str">
        <f>IFERROR(VLOOKUP(February[[#This Row],[Drug Name2]],'Data Options'!$R$1:$S$100,2,FALSE), " ")</f>
        <v xml:space="preserve"> </v>
      </c>
      <c r="Z99" s="55"/>
      <c r="AA99" s="32"/>
      <c r="AB99" s="32"/>
      <c r="AC99" s="55"/>
      <c r="AD99" s="32"/>
      <c r="AE99" s="54"/>
      <c r="AF99" s="21" t="str">
        <f>IFERROR(VLOOKUP(February[[#This Row],[Drug Name3]],'Data Options'!$R$1:$S$100,2,FALSE), " ")</f>
        <v xml:space="preserve"> </v>
      </c>
      <c r="AG99" s="55"/>
      <c r="AH99" s="32"/>
      <c r="AI99" s="32"/>
      <c r="AJ99" s="55"/>
      <c r="AK99" s="32"/>
      <c r="AL99" s="32"/>
      <c r="AM99" s="32"/>
      <c r="AN99" s="32"/>
      <c r="AO99" s="32"/>
      <c r="AP99" s="31"/>
      <c r="AQ99" s="31"/>
      <c r="AR99" s="54"/>
      <c r="AS99" s="21" t="str">
        <f>IFERROR(VLOOKUP(February[[#This Row],[Drug Name4]],'Data Options'!$R$1:$S$100,2,FALSE), " ")</f>
        <v xml:space="preserve"> </v>
      </c>
      <c r="AT99" s="55"/>
      <c r="AU99" s="32"/>
      <c r="AV99" s="32"/>
      <c r="AW99" s="55"/>
      <c r="AX99" s="32"/>
      <c r="AY99" s="54"/>
      <c r="AZ99" s="21" t="str">
        <f>IFERROR(VLOOKUP(February[[#This Row],[Drug Name5]],'Data Options'!$R$1:$S$100,2,FALSE), " ")</f>
        <v xml:space="preserve"> </v>
      </c>
      <c r="BA99" s="55"/>
      <c r="BB99" s="32"/>
      <c r="BC99" s="32"/>
      <c r="BD99" s="55"/>
      <c r="BE99" s="32"/>
      <c r="BF99" s="54"/>
      <c r="BG99" s="21" t="str">
        <f>IFERROR(VLOOKUP(February[[#This Row],[Drug Name6]],'Data Options'!$R$1:$S$100,2,FALSE), " ")</f>
        <v xml:space="preserve"> </v>
      </c>
      <c r="BH99" s="55"/>
      <c r="BI99" s="32"/>
      <c r="BJ99" s="32"/>
      <c r="BK99" s="55"/>
      <c r="BL99" s="32"/>
      <c r="BM99" s="32"/>
      <c r="BN99" s="32"/>
      <c r="BO99" s="32"/>
      <c r="BP99" s="32"/>
      <c r="BQ99" s="31"/>
      <c r="BR99" s="31"/>
      <c r="BS99" s="54"/>
      <c r="BT99" s="21" t="str">
        <f>IFERROR(VLOOKUP(February[[#This Row],[Drug Name7]],'Data Options'!$R$1:$S$100,2,FALSE), " ")</f>
        <v xml:space="preserve"> </v>
      </c>
      <c r="BU99" s="55"/>
      <c r="BV99" s="32"/>
      <c r="BW99" s="32"/>
      <c r="BX99" s="55"/>
      <c r="BY99" s="32"/>
      <c r="BZ99" s="54"/>
      <c r="CA99" s="21" t="str">
        <f>IFERROR(VLOOKUP(February[[#This Row],[Drug Name8]],'Data Options'!$R$1:$S$100,2,FALSE), " ")</f>
        <v xml:space="preserve"> </v>
      </c>
      <c r="CB99" s="55"/>
      <c r="CC99" s="32"/>
      <c r="CD99" s="32"/>
      <c r="CE99" s="55"/>
      <c r="CF99" s="32"/>
      <c r="CG99" s="54"/>
      <c r="CH99" s="21" t="str">
        <f>IFERROR(VLOOKUP(February[[#This Row],[Drug Name9]],'Data Options'!$R$1:$S$100,2,FALSE), " ")</f>
        <v xml:space="preserve"> </v>
      </c>
      <c r="CI99" s="55"/>
      <c r="CJ99" s="32"/>
      <c r="CK99" s="32"/>
      <c r="CL99" s="55"/>
      <c r="CM99" s="32"/>
    </row>
    <row r="100" spans="1:91">
      <c r="A100" s="5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1"/>
      <c r="P100" s="31"/>
      <c r="Q100" s="54"/>
      <c r="R100" s="21" t="str">
        <f>IFERROR(VLOOKUP(February[[#This Row],[Drug Name]],'Data Options'!$R$1:$S$100,2,FALSE), " ")</f>
        <v xml:space="preserve"> </v>
      </c>
      <c r="S100" s="55"/>
      <c r="T100" s="32"/>
      <c r="U100" s="32"/>
      <c r="V100" s="55"/>
      <c r="W100" s="32"/>
      <c r="X100" s="54"/>
      <c r="Y100" s="21" t="str">
        <f>IFERROR(VLOOKUP(February[[#This Row],[Drug Name2]],'Data Options'!$R$1:$S$100,2,FALSE), " ")</f>
        <v xml:space="preserve"> </v>
      </c>
      <c r="Z100" s="55"/>
      <c r="AA100" s="32"/>
      <c r="AB100" s="32"/>
      <c r="AC100" s="55"/>
      <c r="AD100" s="32"/>
      <c r="AE100" s="54"/>
      <c r="AF100" s="21" t="str">
        <f>IFERROR(VLOOKUP(February[[#This Row],[Drug Name3]],'Data Options'!$R$1:$S$100,2,FALSE), " ")</f>
        <v xml:space="preserve"> </v>
      </c>
      <c r="AG100" s="55"/>
      <c r="AH100" s="32"/>
      <c r="AI100" s="32"/>
      <c r="AJ100" s="55"/>
      <c r="AK100" s="32"/>
      <c r="AL100" s="32"/>
      <c r="AM100" s="32"/>
      <c r="AN100" s="32"/>
      <c r="AO100" s="32"/>
      <c r="AP100" s="31"/>
      <c r="AQ100" s="31"/>
      <c r="AR100" s="54"/>
      <c r="AS100" s="21" t="str">
        <f>IFERROR(VLOOKUP(February[[#This Row],[Drug Name4]],'Data Options'!$R$1:$S$100,2,FALSE), " ")</f>
        <v xml:space="preserve"> </v>
      </c>
      <c r="AT100" s="55"/>
      <c r="AU100" s="32"/>
      <c r="AV100" s="32"/>
      <c r="AW100" s="55"/>
      <c r="AX100" s="32"/>
      <c r="AY100" s="54"/>
      <c r="AZ100" s="21" t="str">
        <f>IFERROR(VLOOKUP(February[[#This Row],[Drug Name5]],'Data Options'!$R$1:$S$100,2,FALSE), " ")</f>
        <v xml:space="preserve"> </v>
      </c>
      <c r="BA100" s="55"/>
      <c r="BB100" s="32"/>
      <c r="BC100" s="32"/>
      <c r="BD100" s="55"/>
      <c r="BE100" s="32"/>
      <c r="BF100" s="54"/>
      <c r="BG100" s="21" t="str">
        <f>IFERROR(VLOOKUP(February[[#This Row],[Drug Name6]],'Data Options'!$R$1:$S$100,2,FALSE), " ")</f>
        <v xml:space="preserve"> </v>
      </c>
      <c r="BH100" s="55"/>
      <c r="BI100" s="32"/>
      <c r="BJ100" s="32"/>
      <c r="BK100" s="55"/>
      <c r="BL100" s="32"/>
      <c r="BM100" s="32"/>
      <c r="BN100" s="32"/>
      <c r="BO100" s="32"/>
      <c r="BP100" s="32"/>
      <c r="BQ100" s="31"/>
      <c r="BR100" s="31"/>
      <c r="BS100" s="54"/>
      <c r="BT100" s="21" t="str">
        <f>IFERROR(VLOOKUP(February[[#This Row],[Drug Name7]],'Data Options'!$R$1:$S$100,2,FALSE), " ")</f>
        <v xml:space="preserve"> </v>
      </c>
      <c r="BU100" s="55"/>
      <c r="BV100" s="32"/>
      <c r="BW100" s="32"/>
      <c r="BX100" s="55"/>
      <c r="BY100" s="32"/>
      <c r="BZ100" s="54"/>
      <c r="CA100" s="21" t="str">
        <f>IFERROR(VLOOKUP(February[[#This Row],[Drug Name8]],'Data Options'!$R$1:$S$100,2,FALSE), " ")</f>
        <v xml:space="preserve"> </v>
      </c>
      <c r="CB100" s="55"/>
      <c r="CC100" s="32"/>
      <c r="CD100" s="32"/>
      <c r="CE100" s="55"/>
      <c r="CF100" s="32"/>
      <c r="CG100" s="54"/>
      <c r="CH100" s="21" t="str">
        <f>IFERROR(VLOOKUP(February[[#This Row],[Drug Name9]],'Data Options'!$R$1:$S$100,2,FALSE), " ")</f>
        <v xml:space="preserve"> </v>
      </c>
      <c r="CI100" s="55"/>
      <c r="CJ100" s="32"/>
      <c r="CK100" s="32"/>
      <c r="CL100" s="55"/>
      <c r="CM100" s="32"/>
    </row>
    <row r="101" spans="1:91">
      <c r="A101" s="5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1"/>
      <c r="P101" s="31"/>
      <c r="Q101" s="54"/>
      <c r="R101" s="21" t="str">
        <f>IFERROR(VLOOKUP(February[[#This Row],[Drug Name]],'Data Options'!$R$1:$S$100,2,FALSE), " ")</f>
        <v xml:space="preserve"> </v>
      </c>
      <c r="S101" s="55"/>
      <c r="T101" s="32"/>
      <c r="U101" s="32"/>
      <c r="V101" s="55"/>
      <c r="W101" s="32"/>
      <c r="X101" s="54"/>
      <c r="Y101" s="21" t="str">
        <f>IFERROR(VLOOKUP(February[[#This Row],[Drug Name2]],'Data Options'!$R$1:$S$100,2,FALSE), " ")</f>
        <v xml:space="preserve"> </v>
      </c>
      <c r="Z101" s="55"/>
      <c r="AA101" s="32"/>
      <c r="AB101" s="32"/>
      <c r="AC101" s="55"/>
      <c r="AD101" s="32"/>
      <c r="AE101" s="54"/>
      <c r="AF101" s="21" t="str">
        <f>IFERROR(VLOOKUP(February[[#This Row],[Drug Name3]],'Data Options'!$R$1:$S$100,2,FALSE), " ")</f>
        <v xml:space="preserve"> </v>
      </c>
      <c r="AG101" s="55"/>
      <c r="AH101" s="32"/>
      <c r="AI101" s="32"/>
      <c r="AJ101" s="55"/>
      <c r="AK101" s="32"/>
      <c r="AL101" s="32"/>
      <c r="AM101" s="32"/>
      <c r="AN101" s="32"/>
      <c r="AO101" s="32"/>
      <c r="AP101" s="31"/>
      <c r="AQ101" s="31"/>
      <c r="AR101" s="54"/>
      <c r="AS101" s="21" t="str">
        <f>IFERROR(VLOOKUP(February[[#This Row],[Drug Name4]],'Data Options'!$R$1:$S$100,2,FALSE), " ")</f>
        <v xml:space="preserve"> </v>
      </c>
      <c r="AT101" s="55"/>
      <c r="AU101" s="32"/>
      <c r="AV101" s="32"/>
      <c r="AW101" s="55"/>
      <c r="AX101" s="32"/>
      <c r="AY101" s="54"/>
      <c r="AZ101" s="21" t="str">
        <f>IFERROR(VLOOKUP(February[[#This Row],[Drug Name5]],'Data Options'!$R$1:$S$100,2,FALSE), " ")</f>
        <v xml:space="preserve"> </v>
      </c>
      <c r="BA101" s="55"/>
      <c r="BB101" s="32"/>
      <c r="BC101" s="32"/>
      <c r="BD101" s="55"/>
      <c r="BE101" s="32"/>
      <c r="BF101" s="54"/>
      <c r="BG101" s="21" t="str">
        <f>IFERROR(VLOOKUP(February[[#This Row],[Drug Name6]],'Data Options'!$R$1:$S$100,2,FALSE), " ")</f>
        <v xml:space="preserve"> </v>
      </c>
      <c r="BH101" s="55"/>
      <c r="BI101" s="32"/>
      <c r="BJ101" s="32"/>
      <c r="BK101" s="55"/>
      <c r="BL101" s="32"/>
      <c r="BM101" s="32"/>
      <c r="BN101" s="32"/>
      <c r="BO101" s="32"/>
      <c r="BP101" s="32"/>
      <c r="BQ101" s="31"/>
      <c r="BR101" s="31"/>
      <c r="BS101" s="54"/>
      <c r="BT101" s="21" t="str">
        <f>IFERROR(VLOOKUP(February[[#This Row],[Drug Name7]],'Data Options'!$R$1:$S$100,2,FALSE), " ")</f>
        <v xml:space="preserve"> </v>
      </c>
      <c r="BU101" s="55"/>
      <c r="BV101" s="32"/>
      <c r="BW101" s="32"/>
      <c r="BX101" s="55"/>
      <c r="BY101" s="32"/>
      <c r="BZ101" s="54"/>
      <c r="CA101" s="21" t="str">
        <f>IFERROR(VLOOKUP(February[[#This Row],[Drug Name8]],'Data Options'!$R$1:$S$100,2,FALSE), " ")</f>
        <v xml:space="preserve"> </v>
      </c>
      <c r="CB101" s="55"/>
      <c r="CC101" s="32"/>
      <c r="CD101" s="32"/>
      <c r="CE101" s="55"/>
      <c r="CF101" s="32"/>
      <c r="CG101" s="54"/>
      <c r="CH101" s="21" t="str">
        <f>IFERROR(VLOOKUP(February[[#This Row],[Drug Name9]],'Data Options'!$R$1:$S$100,2,FALSE), " ")</f>
        <v xml:space="preserve"> </v>
      </c>
      <c r="CI101" s="55"/>
      <c r="CJ101" s="32"/>
      <c r="CK101" s="32"/>
      <c r="CL101" s="55"/>
      <c r="CM101" s="32"/>
    </row>
    <row r="102" spans="1:91">
      <c r="A102" s="5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1"/>
      <c r="P102" s="31"/>
      <c r="Q102" s="54"/>
      <c r="R102" s="21" t="str">
        <f>IFERROR(VLOOKUP(February[[#This Row],[Drug Name]],'Data Options'!$R$1:$S$100,2,FALSE), " ")</f>
        <v xml:space="preserve"> </v>
      </c>
      <c r="S102" s="55"/>
      <c r="T102" s="32"/>
      <c r="U102" s="32"/>
      <c r="V102" s="55"/>
      <c r="W102" s="32"/>
      <c r="X102" s="54"/>
      <c r="Y102" s="21" t="str">
        <f>IFERROR(VLOOKUP(February[[#This Row],[Drug Name2]],'Data Options'!$R$1:$S$100,2,FALSE), " ")</f>
        <v xml:space="preserve"> </v>
      </c>
      <c r="Z102" s="55"/>
      <c r="AA102" s="32"/>
      <c r="AB102" s="32"/>
      <c r="AC102" s="55"/>
      <c r="AD102" s="32"/>
      <c r="AE102" s="54"/>
      <c r="AF102" s="21" t="str">
        <f>IFERROR(VLOOKUP(February[[#This Row],[Drug Name3]],'Data Options'!$R$1:$S$100,2,FALSE), " ")</f>
        <v xml:space="preserve"> </v>
      </c>
      <c r="AG102" s="55"/>
      <c r="AH102" s="32"/>
      <c r="AI102" s="32"/>
      <c r="AJ102" s="55"/>
      <c r="AK102" s="32"/>
      <c r="AL102" s="32"/>
      <c r="AM102" s="32"/>
      <c r="AN102" s="32"/>
      <c r="AO102" s="32"/>
      <c r="AP102" s="31"/>
      <c r="AQ102" s="31"/>
      <c r="AR102" s="54"/>
      <c r="AS102" s="21" t="str">
        <f>IFERROR(VLOOKUP(February[[#This Row],[Drug Name4]],'Data Options'!$R$1:$S$100,2,FALSE), " ")</f>
        <v xml:space="preserve"> </v>
      </c>
      <c r="AT102" s="55"/>
      <c r="AU102" s="32"/>
      <c r="AV102" s="32"/>
      <c r="AW102" s="55"/>
      <c r="AX102" s="32"/>
      <c r="AY102" s="54"/>
      <c r="AZ102" s="21" t="str">
        <f>IFERROR(VLOOKUP(February[[#This Row],[Drug Name5]],'Data Options'!$R$1:$S$100,2,FALSE), " ")</f>
        <v xml:space="preserve"> </v>
      </c>
      <c r="BA102" s="55"/>
      <c r="BB102" s="32"/>
      <c r="BC102" s="32"/>
      <c r="BD102" s="55"/>
      <c r="BE102" s="32"/>
      <c r="BF102" s="54"/>
      <c r="BG102" s="21" t="str">
        <f>IFERROR(VLOOKUP(February[[#This Row],[Drug Name6]],'Data Options'!$R$1:$S$100,2,FALSE), " ")</f>
        <v xml:space="preserve"> </v>
      </c>
      <c r="BH102" s="55"/>
      <c r="BI102" s="32"/>
      <c r="BJ102" s="32"/>
      <c r="BK102" s="55"/>
      <c r="BL102" s="32"/>
      <c r="BM102" s="32"/>
      <c r="BN102" s="32"/>
      <c r="BO102" s="32"/>
      <c r="BP102" s="32"/>
      <c r="BQ102" s="31"/>
      <c r="BR102" s="31"/>
      <c r="BS102" s="54"/>
      <c r="BT102" s="21" t="str">
        <f>IFERROR(VLOOKUP(February[[#This Row],[Drug Name7]],'Data Options'!$R$1:$S$100,2,FALSE), " ")</f>
        <v xml:space="preserve"> </v>
      </c>
      <c r="BU102" s="55"/>
      <c r="BV102" s="32"/>
      <c r="BW102" s="32"/>
      <c r="BX102" s="55"/>
      <c r="BY102" s="32"/>
      <c r="BZ102" s="54"/>
      <c r="CA102" s="21" t="str">
        <f>IFERROR(VLOOKUP(February[[#This Row],[Drug Name8]],'Data Options'!$R$1:$S$100,2,FALSE), " ")</f>
        <v xml:space="preserve"> </v>
      </c>
      <c r="CB102" s="55"/>
      <c r="CC102" s="32"/>
      <c r="CD102" s="32"/>
      <c r="CE102" s="55"/>
      <c r="CF102" s="32"/>
      <c r="CG102" s="54"/>
      <c r="CH102" s="21" t="str">
        <f>IFERROR(VLOOKUP(February[[#This Row],[Drug Name9]],'Data Options'!$R$1:$S$100,2,FALSE), " ")</f>
        <v xml:space="preserve"> </v>
      </c>
      <c r="CI102" s="55"/>
      <c r="CJ102" s="32"/>
      <c r="CK102" s="32"/>
      <c r="CL102" s="55"/>
      <c r="CM102" s="32"/>
    </row>
    <row r="103" spans="1:91">
      <c r="A103" s="5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1"/>
      <c r="Q103" s="54"/>
      <c r="R103" s="21" t="str">
        <f>IFERROR(VLOOKUP(February[[#This Row],[Drug Name]],'Data Options'!$R$1:$S$100,2,FALSE), " ")</f>
        <v xml:space="preserve"> </v>
      </c>
      <c r="S103" s="55"/>
      <c r="T103" s="32"/>
      <c r="U103" s="32"/>
      <c r="V103" s="55"/>
      <c r="W103" s="32"/>
      <c r="X103" s="54"/>
      <c r="Y103" s="21" t="str">
        <f>IFERROR(VLOOKUP(February[[#This Row],[Drug Name2]],'Data Options'!$R$1:$S$100,2,FALSE), " ")</f>
        <v xml:space="preserve"> </v>
      </c>
      <c r="Z103" s="55"/>
      <c r="AA103" s="32"/>
      <c r="AB103" s="32"/>
      <c r="AC103" s="55"/>
      <c r="AD103" s="32"/>
      <c r="AE103" s="54"/>
      <c r="AF103" s="21" t="str">
        <f>IFERROR(VLOOKUP(February[[#This Row],[Drug Name3]],'Data Options'!$R$1:$S$100,2,FALSE), " ")</f>
        <v xml:space="preserve"> </v>
      </c>
      <c r="AG103" s="55"/>
      <c r="AH103" s="32"/>
      <c r="AI103" s="32"/>
      <c r="AJ103" s="55"/>
      <c r="AK103" s="32"/>
      <c r="AL103" s="32"/>
      <c r="AM103" s="32"/>
      <c r="AN103" s="32"/>
      <c r="AO103" s="32"/>
      <c r="AP103" s="31"/>
      <c r="AQ103" s="31"/>
      <c r="AR103" s="54"/>
      <c r="AS103" s="21" t="str">
        <f>IFERROR(VLOOKUP(February[[#This Row],[Drug Name4]],'Data Options'!$R$1:$S$100,2,FALSE), " ")</f>
        <v xml:space="preserve"> </v>
      </c>
      <c r="AT103" s="55"/>
      <c r="AU103" s="32"/>
      <c r="AV103" s="32"/>
      <c r="AW103" s="55"/>
      <c r="AX103" s="32"/>
      <c r="AY103" s="54"/>
      <c r="AZ103" s="21" t="str">
        <f>IFERROR(VLOOKUP(February[[#This Row],[Drug Name5]],'Data Options'!$R$1:$S$100,2,FALSE), " ")</f>
        <v xml:space="preserve"> </v>
      </c>
      <c r="BA103" s="55"/>
      <c r="BB103" s="32"/>
      <c r="BC103" s="32"/>
      <c r="BD103" s="55"/>
      <c r="BE103" s="32"/>
      <c r="BF103" s="54"/>
      <c r="BG103" s="21" t="str">
        <f>IFERROR(VLOOKUP(February[[#This Row],[Drug Name6]],'Data Options'!$R$1:$S$100,2,FALSE), " ")</f>
        <v xml:space="preserve"> </v>
      </c>
      <c r="BH103" s="55"/>
      <c r="BI103" s="32"/>
      <c r="BJ103" s="32"/>
      <c r="BK103" s="55"/>
      <c r="BL103" s="32"/>
      <c r="BM103" s="32"/>
      <c r="BN103" s="32"/>
      <c r="BO103" s="32"/>
      <c r="BP103" s="32"/>
      <c r="BQ103" s="31"/>
      <c r="BR103" s="31"/>
      <c r="BS103" s="54"/>
      <c r="BT103" s="21" t="str">
        <f>IFERROR(VLOOKUP(February[[#This Row],[Drug Name7]],'Data Options'!$R$1:$S$100,2,FALSE), " ")</f>
        <v xml:space="preserve"> </v>
      </c>
      <c r="BU103" s="55"/>
      <c r="BV103" s="32"/>
      <c r="BW103" s="32"/>
      <c r="BX103" s="55"/>
      <c r="BY103" s="32"/>
      <c r="BZ103" s="54"/>
      <c r="CA103" s="21" t="str">
        <f>IFERROR(VLOOKUP(February[[#This Row],[Drug Name8]],'Data Options'!$R$1:$S$100,2,FALSE), " ")</f>
        <v xml:space="preserve"> </v>
      </c>
      <c r="CB103" s="55"/>
      <c r="CC103" s="32"/>
      <c r="CD103" s="32"/>
      <c r="CE103" s="55"/>
      <c r="CF103" s="32"/>
      <c r="CG103" s="54"/>
      <c r="CH103" s="21" t="str">
        <f>IFERROR(VLOOKUP(February[[#This Row],[Drug Name9]],'Data Options'!$R$1:$S$100,2,FALSE), " ")</f>
        <v xml:space="preserve"> </v>
      </c>
      <c r="CI103" s="55"/>
      <c r="CJ103" s="32"/>
      <c r="CK103" s="32"/>
      <c r="CL103" s="55"/>
      <c r="CM103" s="32"/>
    </row>
    <row r="104" spans="1:91">
      <c r="A104" s="5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Q104" s="54"/>
      <c r="R104" s="21" t="str">
        <f>IFERROR(VLOOKUP(February[[#This Row],[Drug Name]],'Data Options'!$R$1:$S$100,2,FALSE), " ")</f>
        <v xml:space="preserve"> </v>
      </c>
      <c r="S104" s="55"/>
      <c r="T104" s="32"/>
      <c r="U104" s="32"/>
      <c r="V104" s="55"/>
      <c r="W104" s="32"/>
      <c r="X104" s="54"/>
      <c r="Y104" s="21" t="str">
        <f>IFERROR(VLOOKUP(February[[#This Row],[Drug Name2]],'Data Options'!$R$1:$S$100,2,FALSE), " ")</f>
        <v xml:space="preserve"> </v>
      </c>
      <c r="Z104" s="55"/>
      <c r="AA104" s="32"/>
      <c r="AB104" s="32"/>
      <c r="AC104" s="55"/>
      <c r="AD104" s="32"/>
      <c r="AE104" s="54"/>
      <c r="AF104" s="21" t="str">
        <f>IFERROR(VLOOKUP(February[[#This Row],[Drug Name3]],'Data Options'!$R$1:$S$100,2,FALSE), " ")</f>
        <v xml:space="preserve"> </v>
      </c>
      <c r="AG104" s="55"/>
      <c r="AH104" s="32"/>
      <c r="AI104" s="32"/>
      <c r="AJ104" s="55"/>
      <c r="AK104" s="32"/>
      <c r="AL104" s="32"/>
      <c r="AM104" s="32"/>
      <c r="AN104" s="32"/>
      <c r="AO104" s="32"/>
      <c r="AP104" s="31"/>
      <c r="AQ104" s="31"/>
      <c r="AR104" s="54"/>
      <c r="AS104" s="21" t="str">
        <f>IFERROR(VLOOKUP(February[[#This Row],[Drug Name4]],'Data Options'!$R$1:$S$100,2,FALSE), " ")</f>
        <v xml:space="preserve"> </v>
      </c>
      <c r="AT104" s="55"/>
      <c r="AU104" s="32"/>
      <c r="AV104" s="32"/>
      <c r="AW104" s="55"/>
      <c r="AX104" s="32"/>
      <c r="AY104" s="54"/>
      <c r="AZ104" s="21" t="str">
        <f>IFERROR(VLOOKUP(February[[#This Row],[Drug Name5]],'Data Options'!$R$1:$S$100,2,FALSE), " ")</f>
        <v xml:space="preserve"> </v>
      </c>
      <c r="BA104" s="55"/>
      <c r="BB104" s="32"/>
      <c r="BC104" s="32"/>
      <c r="BD104" s="55"/>
      <c r="BE104" s="32"/>
      <c r="BF104" s="54"/>
      <c r="BG104" s="21" t="str">
        <f>IFERROR(VLOOKUP(February[[#This Row],[Drug Name6]],'Data Options'!$R$1:$S$100,2,FALSE), " ")</f>
        <v xml:space="preserve"> </v>
      </c>
      <c r="BH104" s="55"/>
      <c r="BI104" s="32"/>
      <c r="BJ104" s="32"/>
      <c r="BK104" s="55"/>
      <c r="BL104" s="32"/>
      <c r="BM104" s="32"/>
      <c r="BN104" s="32"/>
      <c r="BO104" s="32"/>
      <c r="BP104" s="32"/>
      <c r="BQ104" s="31"/>
      <c r="BR104" s="31"/>
      <c r="BS104" s="54"/>
      <c r="BT104" s="21" t="str">
        <f>IFERROR(VLOOKUP(February[[#This Row],[Drug Name7]],'Data Options'!$R$1:$S$100,2,FALSE), " ")</f>
        <v xml:space="preserve"> </v>
      </c>
      <c r="BU104" s="55"/>
      <c r="BV104" s="32"/>
      <c r="BW104" s="32"/>
      <c r="BX104" s="55"/>
      <c r="BY104" s="32"/>
      <c r="BZ104" s="54"/>
      <c r="CA104" s="21" t="str">
        <f>IFERROR(VLOOKUP(February[[#This Row],[Drug Name8]],'Data Options'!$R$1:$S$100,2,FALSE), " ")</f>
        <v xml:space="preserve"> </v>
      </c>
      <c r="CB104" s="55"/>
      <c r="CC104" s="32"/>
      <c r="CD104" s="32"/>
      <c r="CE104" s="55"/>
      <c r="CF104" s="32"/>
      <c r="CG104" s="54"/>
      <c r="CH104" s="21" t="str">
        <f>IFERROR(VLOOKUP(February[[#This Row],[Drug Name9]],'Data Options'!$R$1:$S$100,2,FALSE), " ")</f>
        <v xml:space="preserve"> </v>
      </c>
      <c r="CI104" s="55"/>
      <c r="CJ104" s="32"/>
      <c r="CK104" s="32"/>
      <c r="CL104" s="55"/>
      <c r="CM104" s="32"/>
    </row>
    <row r="105" spans="1:91">
      <c r="A105" s="5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1"/>
      <c r="Q105" s="54"/>
      <c r="R105" s="21" t="str">
        <f>IFERROR(VLOOKUP(February[[#This Row],[Drug Name]],'Data Options'!$R$1:$S$100,2,FALSE), " ")</f>
        <v xml:space="preserve"> </v>
      </c>
      <c r="S105" s="55"/>
      <c r="T105" s="32"/>
      <c r="U105" s="32"/>
      <c r="V105" s="55"/>
      <c r="W105" s="32"/>
      <c r="X105" s="54"/>
      <c r="Y105" s="21" t="str">
        <f>IFERROR(VLOOKUP(February[[#This Row],[Drug Name2]],'Data Options'!$R$1:$S$100,2,FALSE), " ")</f>
        <v xml:space="preserve"> </v>
      </c>
      <c r="Z105" s="55"/>
      <c r="AA105" s="32"/>
      <c r="AB105" s="32"/>
      <c r="AC105" s="55"/>
      <c r="AD105" s="32"/>
      <c r="AE105" s="54"/>
      <c r="AF105" s="21" t="str">
        <f>IFERROR(VLOOKUP(February[[#This Row],[Drug Name3]],'Data Options'!$R$1:$S$100,2,FALSE), " ")</f>
        <v xml:space="preserve"> </v>
      </c>
      <c r="AG105" s="55"/>
      <c r="AH105" s="32"/>
      <c r="AI105" s="32"/>
      <c r="AJ105" s="55"/>
      <c r="AK105" s="32"/>
      <c r="AL105" s="32"/>
      <c r="AM105" s="32"/>
      <c r="AN105" s="32"/>
      <c r="AO105" s="32"/>
      <c r="AP105" s="31"/>
      <c r="AQ105" s="31"/>
      <c r="AR105" s="54"/>
      <c r="AS105" s="21" t="str">
        <f>IFERROR(VLOOKUP(February[[#This Row],[Drug Name4]],'Data Options'!$R$1:$S$100,2,FALSE), " ")</f>
        <v xml:space="preserve"> </v>
      </c>
      <c r="AT105" s="55"/>
      <c r="AU105" s="32"/>
      <c r="AV105" s="32"/>
      <c r="AW105" s="55"/>
      <c r="AX105" s="32"/>
      <c r="AY105" s="54"/>
      <c r="AZ105" s="21" t="str">
        <f>IFERROR(VLOOKUP(February[[#This Row],[Drug Name5]],'Data Options'!$R$1:$S$100,2,FALSE), " ")</f>
        <v xml:space="preserve"> </v>
      </c>
      <c r="BA105" s="55"/>
      <c r="BB105" s="32"/>
      <c r="BC105" s="32"/>
      <c r="BD105" s="55"/>
      <c r="BE105" s="32"/>
      <c r="BF105" s="54"/>
      <c r="BG105" s="21" t="str">
        <f>IFERROR(VLOOKUP(February[[#This Row],[Drug Name6]],'Data Options'!$R$1:$S$100,2,FALSE), " ")</f>
        <v xml:space="preserve"> </v>
      </c>
      <c r="BH105" s="55"/>
      <c r="BI105" s="32"/>
      <c r="BJ105" s="32"/>
      <c r="BK105" s="55"/>
      <c r="BL105" s="32"/>
      <c r="BM105" s="32"/>
      <c r="BN105" s="32"/>
      <c r="BO105" s="32"/>
      <c r="BP105" s="32"/>
      <c r="BQ105" s="31"/>
      <c r="BR105" s="31"/>
      <c r="BS105" s="54"/>
      <c r="BT105" s="21" t="str">
        <f>IFERROR(VLOOKUP(February[[#This Row],[Drug Name7]],'Data Options'!$R$1:$S$100,2,FALSE), " ")</f>
        <v xml:space="preserve"> </v>
      </c>
      <c r="BU105" s="55"/>
      <c r="BV105" s="32"/>
      <c r="BW105" s="32"/>
      <c r="BX105" s="55"/>
      <c r="BY105" s="32"/>
      <c r="BZ105" s="54"/>
      <c r="CA105" s="21" t="str">
        <f>IFERROR(VLOOKUP(February[[#This Row],[Drug Name8]],'Data Options'!$R$1:$S$100,2,FALSE), " ")</f>
        <v xml:space="preserve"> </v>
      </c>
      <c r="CB105" s="55"/>
      <c r="CC105" s="32"/>
      <c r="CD105" s="32"/>
      <c r="CE105" s="55"/>
      <c r="CF105" s="32"/>
      <c r="CG105" s="54"/>
      <c r="CH105" s="21" t="str">
        <f>IFERROR(VLOOKUP(February[[#This Row],[Drug Name9]],'Data Options'!$R$1:$S$100,2,FALSE), " ")</f>
        <v xml:space="preserve"> </v>
      </c>
      <c r="CI105" s="55"/>
      <c r="CJ105" s="32"/>
      <c r="CK105" s="32"/>
      <c r="CL105" s="55"/>
      <c r="CM105" s="32"/>
    </row>
    <row r="106" spans="1:91">
      <c r="A106" s="5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1"/>
      <c r="P106" s="31"/>
      <c r="Q106" s="54"/>
      <c r="R106" s="21" t="str">
        <f>IFERROR(VLOOKUP(February[[#This Row],[Drug Name]],'Data Options'!$R$1:$S$100,2,FALSE), " ")</f>
        <v xml:space="preserve"> </v>
      </c>
      <c r="S106" s="55"/>
      <c r="T106" s="32"/>
      <c r="U106" s="32"/>
      <c r="V106" s="55"/>
      <c r="W106" s="32"/>
      <c r="X106" s="54"/>
      <c r="Y106" s="21" t="str">
        <f>IFERROR(VLOOKUP(February[[#This Row],[Drug Name2]],'Data Options'!$R$1:$S$100,2,FALSE), " ")</f>
        <v xml:space="preserve"> </v>
      </c>
      <c r="Z106" s="55"/>
      <c r="AA106" s="32"/>
      <c r="AB106" s="32"/>
      <c r="AC106" s="55"/>
      <c r="AD106" s="32"/>
      <c r="AE106" s="54"/>
      <c r="AF106" s="21" t="str">
        <f>IFERROR(VLOOKUP(February[[#This Row],[Drug Name3]],'Data Options'!$R$1:$S$100,2,FALSE), " ")</f>
        <v xml:space="preserve"> </v>
      </c>
      <c r="AG106" s="55"/>
      <c r="AH106" s="32"/>
      <c r="AI106" s="32"/>
      <c r="AJ106" s="55"/>
      <c r="AK106" s="32"/>
      <c r="AL106" s="32"/>
      <c r="AM106" s="32"/>
      <c r="AN106" s="32"/>
      <c r="AO106" s="32"/>
      <c r="AP106" s="31"/>
      <c r="AQ106" s="31"/>
      <c r="AR106" s="54"/>
      <c r="AS106" s="21" t="str">
        <f>IFERROR(VLOOKUP(February[[#This Row],[Drug Name4]],'Data Options'!$R$1:$S$100,2,FALSE), " ")</f>
        <v xml:space="preserve"> </v>
      </c>
      <c r="AT106" s="55"/>
      <c r="AU106" s="32"/>
      <c r="AV106" s="32"/>
      <c r="AW106" s="55"/>
      <c r="AX106" s="32"/>
      <c r="AY106" s="54"/>
      <c r="AZ106" s="21" t="str">
        <f>IFERROR(VLOOKUP(February[[#This Row],[Drug Name5]],'Data Options'!$R$1:$S$100,2,FALSE), " ")</f>
        <v xml:space="preserve"> </v>
      </c>
      <c r="BA106" s="55"/>
      <c r="BB106" s="32"/>
      <c r="BC106" s="32"/>
      <c r="BD106" s="55"/>
      <c r="BE106" s="32"/>
      <c r="BF106" s="54"/>
      <c r="BG106" s="21" t="str">
        <f>IFERROR(VLOOKUP(February[[#This Row],[Drug Name6]],'Data Options'!$R$1:$S$100,2,FALSE), " ")</f>
        <v xml:space="preserve"> </v>
      </c>
      <c r="BH106" s="55"/>
      <c r="BI106" s="32"/>
      <c r="BJ106" s="32"/>
      <c r="BK106" s="55"/>
      <c r="BL106" s="32"/>
      <c r="BM106" s="32"/>
      <c r="BN106" s="32"/>
      <c r="BO106" s="32"/>
      <c r="BP106" s="32"/>
      <c r="BQ106" s="31"/>
      <c r="BR106" s="31"/>
      <c r="BS106" s="54"/>
      <c r="BT106" s="21" t="str">
        <f>IFERROR(VLOOKUP(February[[#This Row],[Drug Name7]],'Data Options'!$R$1:$S$100,2,FALSE), " ")</f>
        <v xml:space="preserve"> </v>
      </c>
      <c r="BU106" s="55"/>
      <c r="BV106" s="32"/>
      <c r="BW106" s="32"/>
      <c r="BX106" s="55"/>
      <c r="BY106" s="32"/>
      <c r="BZ106" s="54"/>
      <c r="CA106" s="21" t="str">
        <f>IFERROR(VLOOKUP(February[[#This Row],[Drug Name8]],'Data Options'!$R$1:$S$100,2,FALSE), " ")</f>
        <v xml:space="preserve"> </v>
      </c>
      <c r="CB106" s="55"/>
      <c r="CC106" s="32"/>
      <c r="CD106" s="32"/>
      <c r="CE106" s="55"/>
      <c r="CF106" s="32"/>
      <c r="CG106" s="54"/>
      <c r="CH106" s="21" t="str">
        <f>IFERROR(VLOOKUP(February[[#This Row],[Drug Name9]],'Data Options'!$R$1:$S$100,2,FALSE), " ")</f>
        <v xml:space="preserve"> </v>
      </c>
      <c r="CI106" s="55"/>
      <c r="CJ106" s="32"/>
      <c r="CK106" s="32"/>
      <c r="CL106" s="55"/>
      <c r="CM106" s="32"/>
    </row>
    <row r="107" spans="1:91">
      <c r="A107" s="5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1"/>
      <c r="P107" s="31"/>
      <c r="Q107" s="54"/>
      <c r="R107" s="21" t="str">
        <f>IFERROR(VLOOKUP(February[[#This Row],[Drug Name]],'Data Options'!$R$1:$S$100,2,FALSE), " ")</f>
        <v xml:space="preserve"> </v>
      </c>
      <c r="S107" s="55"/>
      <c r="T107" s="32"/>
      <c r="U107" s="32"/>
      <c r="V107" s="55"/>
      <c r="W107" s="32"/>
      <c r="X107" s="54"/>
      <c r="Y107" s="21" t="str">
        <f>IFERROR(VLOOKUP(February[[#This Row],[Drug Name2]],'Data Options'!$R$1:$S$100,2,FALSE), " ")</f>
        <v xml:space="preserve"> </v>
      </c>
      <c r="Z107" s="55"/>
      <c r="AA107" s="32"/>
      <c r="AB107" s="32"/>
      <c r="AC107" s="55"/>
      <c r="AD107" s="32"/>
      <c r="AE107" s="54"/>
      <c r="AF107" s="21" t="str">
        <f>IFERROR(VLOOKUP(February[[#This Row],[Drug Name3]],'Data Options'!$R$1:$S$100,2,FALSE), " ")</f>
        <v xml:space="preserve"> </v>
      </c>
      <c r="AG107" s="55"/>
      <c r="AH107" s="32"/>
      <c r="AI107" s="32"/>
      <c r="AJ107" s="55"/>
      <c r="AK107" s="32"/>
      <c r="AL107" s="32"/>
      <c r="AM107" s="32"/>
      <c r="AN107" s="32"/>
      <c r="AO107" s="32"/>
      <c r="AP107" s="31"/>
      <c r="AQ107" s="31"/>
      <c r="AR107" s="54"/>
      <c r="AS107" s="21" t="str">
        <f>IFERROR(VLOOKUP(February[[#This Row],[Drug Name4]],'Data Options'!$R$1:$S$100,2,FALSE), " ")</f>
        <v xml:space="preserve"> </v>
      </c>
      <c r="AT107" s="55"/>
      <c r="AU107" s="32"/>
      <c r="AV107" s="32"/>
      <c r="AW107" s="55"/>
      <c r="AX107" s="32"/>
      <c r="AY107" s="54"/>
      <c r="AZ107" s="21" t="str">
        <f>IFERROR(VLOOKUP(February[[#This Row],[Drug Name5]],'Data Options'!$R$1:$S$100,2,FALSE), " ")</f>
        <v xml:space="preserve"> </v>
      </c>
      <c r="BA107" s="55"/>
      <c r="BB107" s="32"/>
      <c r="BC107" s="32"/>
      <c r="BD107" s="55"/>
      <c r="BE107" s="32"/>
      <c r="BF107" s="54"/>
      <c r="BG107" s="21" t="str">
        <f>IFERROR(VLOOKUP(February[[#This Row],[Drug Name6]],'Data Options'!$R$1:$S$100,2,FALSE), " ")</f>
        <v xml:space="preserve"> </v>
      </c>
      <c r="BH107" s="55"/>
      <c r="BI107" s="32"/>
      <c r="BJ107" s="32"/>
      <c r="BK107" s="55"/>
      <c r="BL107" s="32"/>
      <c r="BM107" s="32"/>
      <c r="BN107" s="32"/>
      <c r="BO107" s="32"/>
      <c r="BP107" s="32"/>
      <c r="BQ107" s="31"/>
      <c r="BR107" s="31"/>
      <c r="BS107" s="54"/>
      <c r="BT107" s="21" t="str">
        <f>IFERROR(VLOOKUP(February[[#This Row],[Drug Name7]],'Data Options'!$R$1:$S$100,2,FALSE), " ")</f>
        <v xml:space="preserve"> </v>
      </c>
      <c r="BU107" s="55"/>
      <c r="BV107" s="32"/>
      <c r="BW107" s="32"/>
      <c r="BX107" s="55"/>
      <c r="BY107" s="32"/>
      <c r="BZ107" s="54"/>
      <c r="CA107" s="21" t="str">
        <f>IFERROR(VLOOKUP(February[[#This Row],[Drug Name8]],'Data Options'!$R$1:$S$100,2,FALSE), " ")</f>
        <v xml:space="preserve"> </v>
      </c>
      <c r="CB107" s="55"/>
      <c r="CC107" s="32"/>
      <c r="CD107" s="32"/>
      <c r="CE107" s="55"/>
      <c r="CF107" s="32"/>
      <c r="CG107" s="54"/>
      <c r="CH107" s="21" t="str">
        <f>IFERROR(VLOOKUP(February[[#This Row],[Drug Name9]],'Data Options'!$R$1:$S$100,2,FALSE), " ")</f>
        <v xml:space="preserve"> </v>
      </c>
      <c r="CI107" s="55"/>
      <c r="CJ107" s="32"/>
      <c r="CK107" s="32"/>
      <c r="CL107" s="55"/>
      <c r="CM107" s="32"/>
    </row>
    <row r="108" spans="1:91">
      <c r="A108" s="5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1"/>
      <c r="P108" s="31"/>
      <c r="Q108" s="54"/>
      <c r="R108" s="21" t="str">
        <f>IFERROR(VLOOKUP(February[[#This Row],[Drug Name]],'Data Options'!$R$1:$S$100,2,FALSE), " ")</f>
        <v xml:space="preserve"> </v>
      </c>
      <c r="S108" s="55"/>
      <c r="T108" s="32"/>
      <c r="U108" s="32"/>
      <c r="V108" s="55"/>
      <c r="W108" s="32"/>
      <c r="X108" s="54"/>
      <c r="Y108" s="21" t="str">
        <f>IFERROR(VLOOKUP(February[[#This Row],[Drug Name2]],'Data Options'!$R$1:$S$100,2,FALSE), " ")</f>
        <v xml:space="preserve"> </v>
      </c>
      <c r="Z108" s="55"/>
      <c r="AA108" s="32"/>
      <c r="AB108" s="32"/>
      <c r="AC108" s="55"/>
      <c r="AD108" s="32"/>
      <c r="AE108" s="54"/>
      <c r="AF108" s="21" t="str">
        <f>IFERROR(VLOOKUP(February[[#This Row],[Drug Name3]],'Data Options'!$R$1:$S$100,2,FALSE), " ")</f>
        <v xml:space="preserve"> </v>
      </c>
      <c r="AG108" s="55"/>
      <c r="AH108" s="32"/>
      <c r="AI108" s="32"/>
      <c r="AJ108" s="55"/>
      <c r="AK108" s="32"/>
      <c r="AL108" s="32"/>
      <c r="AM108" s="32"/>
      <c r="AN108" s="32"/>
      <c r="AO108" s="32"/>
      <c r="AP108" s="31"/>
      <c r="AQ108" s="31"/>
      <c r="AR108" s="54"/>
      <c r="AS108" s="21" t="str">
        <f>IFERROR(VLOOKUP(February[[#This Row],[Drug Name4]],'Data Options'!$R$1:$S$100,2,FALSE), " ")</f>
        <v xml:space="preserve"> </v>
      </c>
      <c r="AT108" s="55"/>
      <c r="AU108" s="32"/>
      <c r="AV108" s="32"/>
      <c r="AW108" s="55"/>
      <c r="AX108" s="32"/>
      <c r="AY108" s="54"/>
      <c r="AZ108" s="21" t="str">
        <f>IFERROR(VLOOKUP(February[[#This Row],[Drug Name5]],'Data Options'!$R$1:$S$100,2,FALSE), " ")</f>
        <v xml:space="preserve"> </v>
      </c>
      <c r="BA108" s="55"/>
      <c r="BB108" s="32"/>
      <c r="BC108" s="32"/>
      <c r="BD108" s="55"/>
      <c r="BE108" s="32"/>
      <c r="BF108" s="54"/>
      <c r="BG108" s="21" t="str">
        <f>IFERROR(VLOOKUP(February[[#This Row],[Drug Name6]],'Data Options'!$R$1:$S$100,2,FALSE), " ")</f>
        <v xml:space="preserve"> </v>
      </c>
      <c r="BH108" s="55"/>
      <c r="BI108" s="32"/>
      <c r="BJ108" s="32"/>
      <c r="BK108" s="55"/>
      <c r="BL108" s="32"/>
      <c r="BM108" s="32"/>
      <c r="BN108" s="32"/>
      <c r="BO108" s="32"/>
      <c r="BP108" s="32"/>
      <c r="BQ108" s="31"/>
      <c r="BR108" s="31"/>
      <c r="BS108" s="54"/>
      <c r="BT108" s="21" t="str">
        <f>IFERROR(VLOOKUP(February[[#This Row],[Drug Name7]],'Data Options'!$R$1:$S$100,2,FALSE), " ")</f>
        <v xml:space="preserve"> </v>
      </c>
      <c r="BU108" s="55"/>
      <c r="BV108" s="32"/>
      <c r="BW108" s="32"/>
      <c r="BX108" s="55"/>
      <c r="BY108" s="32"/>
      <c r="BZ108" s="54"/>
      <c r="CA108" s="21" t="str">
        <f>IFERROR(VLOOKUP(February[[#This Row],[Drug Name8]],'Data Options'!$R$1:$S$100,2,FALSE), " ")</f>
        <v xml:space="preserve"> </v>
      </c>
      <c r="CB108" s="55"/>
      <c r="CC108" s="32"/>
      <c r="CD108" s="32"/>
      <c r="CE108" s="55"/>
      <c r="CF108" s="32"/>
      <c r="CG108" s="54"/>
      <c r="CH108" s="21" t="str">
        <f>IFERROR(VLOOKUP(February[[#This Row],[Drug Name9]],'Data Options'!$R$1:$S$100,2,FALSE), " ")</f>
        <v xml:space="preserve"> </v>
      </c>
      <c r="CI108" s="55"/>
      <c r="CJ108" s="32"/>
      <c r="CK108" s="32"/>
      <c r="CL108" s="55"/>
      <c r="CM108" s="32"/>
    </row>
    <row r="109" spans="1:91">
      <c r="A109" s="5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1"/>
      <c r="P109" s="31"/>
      <c r="Q109" s="54"/>
      <c r="R109" s="21" t="str">
        <f>IFERROR(VLOOKUP(February[[#This Row],[Drug Name]],'Data Options'!$R$1:$S$100,2,FALSE), " ")</f>
        <v xml:space="preserve"> </v>
      </c>
      <c r="S109" s="55"/>
      <c r="T109" s="32"/>
      <c r="U109" s="32"/>
      <c r="V109" s="55"/>
      <c r="W109" s="32"/>
      <c r="X109" s="54"/>
      <c r="Y109" s="21" t="str">
        <f>IFERROR(VLOOKUP(February[[#This Row],[Drug Name2]],'Data Options'!$R$1:$S$100,2,FALSE), " ")</f>
        <v xml:space="preserve"> </v>
      </c>
      <c r="Z109" s="55"/>
      <c r="AA109" s="32"/>
      <c r="AB109" s="32"/>
      <c r="AC109" s="55"/>
      <c r="AD109" s="32"/>
      <c r="AE109" s="54"/>
      <c r="AF109" s="21" t="str">
        <f>IFERROR(VLOOKUP(February[[#This Row],[Drug Name3]],'Data Options'!$R$1:$S$100,2,FALSE), " ")</f>
        <v xml:space="preserve"> </v>
      </c>
      <c r="AG109" s="55"/>
      <c r="AH109" s="32"/>
      <c r="AI109" s="32"/>
      <c r="AJ109" s="55"/>
      <c r="AK109" s="32"/>
      <c r="AL109" s="32"/>
      <c r="AM109" s="32"/>
      <c r="AN109" s="32"/>
      <c r="AO109" s="32"/>
      <c r="AP109" s="31"/>
      <c r="AQ109" s="31"/>
      <c r="AR109" s="54"/>
      <c r="AS109" s="21" t="str">
        <f>IFERROR(VLOOKUP(February[[#This Row],[Drug Name4]],'Data Options'!$R$1:$S$100,2,FALSE), " ")</f>
        <v xml:space="preserve"> </v>
      </c>
      <c r="AT109" s="55"/>
      <c r="AU109" s="32"/>
      <c r="AV109" s="32"/>
      <c r="AW109" s="55"/>
      <c r="AX109" s="32"/>
      <c r="AY109" s="54"/>
      <c r="AZ109" s="21" t="str">
        <f>IFERROR(VLOOKUP(February[[#This Row],[Drug Name5]],'Data Options'!$R$1:$S$100,2,FALSE), " ")</f>
        <v xml:space="preserve"> </v>
      </c>
      <c r="BA109" s="55"/>
      <c r="BB109" s="32"/>
      <c r="BC109" s="32"/>
      <c r="BD109" s="55"/>
      <c r="BE109" s="32"/>
      <c r="BF109" s="54"/>
      <c r="BG109" s="21" t="str">
        <f>IFERROR(VLOOKUP(February[[#This Row],[Drug Name6]],'Data Options'!$R$1:$S$100,2,FALSE), " ")</f>
        <v xml:space="preserve"> </v>
      </c>
      <c r="BH109" s="55"/>
      <c r="BI109" s="32"/>
      <c r="BJ109" s="32"/>
      <c r="BK109" s="55"/>
      <c r="BL109" s="32"/>
      <c r="BM109" s="32"/>
      <c r="BN109" s="32"/>
      <c r="BO109" s="32"/>
      <c r="BP109" s="32"/>
      <c r="BQ109" s="31"/>
      <c r="BR109" s="31"/>
      <c r="BS109" s="54"/>
      <c r="BT109" s="21" t="str">
        <f>IFERROR(VLOOKUP(February[[#This Row],[Drug Name7]],'Data Options'!$R$1:$S$100,2,FALSE), " ")</f>
        <v xml:space="preserve"> </v>
      </c>
      <c r="BU109" s="55"/>
      <c r="BV109" s="32"/>
      <c r="BW109" s="32"/>
      <c r="BX109" s="55"/>
      <c r="BY109" s="32"/>
      <c r="BZ109" s="54"/>
      <c r="CA109" s="21" t="str">
        <f>IFERROR(VLOOKUP(February[[#This Row],[Drug Name8]],'Data Options'!$R$1:$S$100,2,FALSE), " ")</f>
        <v xml:space="preserve"> </v>
      </c>
      <c r="CB109" s="55"/>
      <c r="CC109" s="32"/>
      <c r="CD109" s="32"/>
      <c r="CE109" s="55"/>
      <c r="CF109" s="32"/>
      <c r="CG109" s="54"/>
      <c r="CH109" s="21" t="str">
        <f>IFERROR(VLOOKUP(February[[#This Row],[Drug Name9]],'Data Options'!$R$1:$S$100,2,FALSE), " ")</f>
        <v xml:space="preserve"> </v>
      </c>
      <c r="CI109" s="55"/>
      <c r="CJ109" s="32"/>
      <c r="CK109" s="32"/>
      <c r="CL109" s="55"/>
      <c r="CM109" s="32"/>
    </row>
    <row r="110" spans="1:91">
      <c r="A110" s="5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54"/>
      <c r="R110" s="21" t="str">
        <f>IFERROR(VLOOKUP(February[[#This Row],[Drug Name]],'Data Options'!$R$1:$S$100,2,FALSE), " ")</f>
        <v xml:space="preserve"> </v>
      </c>
      <c r="S110" s="55"/>
      <c r="T110" s="32"/>
      <c r="U110" s="32"/>
      <c r="V110" s="55"/>
      <c r="W110" s="32"/>
      <c r="X110" s="54"/>
      <c r="Y110" s="21" t="str">
        <f>IFERROR(VLOOKUP(February[[#This Row],[Drug Name2]],'Data Options'!$R$1:$S$100,2,FALSE), " ")</f>
        <v xml:space="preserve"> </v>
      </c>
      <c r="Z110" s="55"/>
      <c r="AA110" s="32"/>
      <c r="AB110" s="32"/>
      <c r="AC110" s="55"/>
      <c r="AD110" s="32"/>
      <c r="AE110" s="54"/>
      <c r="AF110" s="21" t="str">
        <f>IFERROR(VLOOKUP(February[[#This Row],[Drug Name3]],'Data Options'!$R$1:$S$100,2,FALSE), " ")</f>
        <v xml:space="preserve"> </v>
      </c>
      <c r="AG110" s="55"/>
      <c r="AH110" s="32"/>
      <c r="AI110" s="32"/>
      <c r="AJ110" s="55"/>
      <c r="AK110" s="32"/>
      <c r="AL110" s="32"/>
      <c r="AM110" s="32"/>
      <c r="AN110" s="32"/>
      <c r="AO110" s="32"/>
      <c r="AP110" s="31"/>
      <c r="AQ110" s="31"/>
      <c r="AR110" s="54"/>
      <c r="AS110" s="21" t="str">
        <f>IFERROR(VLOOKUP(February[[#This Row],[Drug Name4]],'Data Options'!$R$1:$S$100,2,FALSE), " ")</f>
        <v xml:space="preserve"> </v>
      </c>
      <c r="AT110" s="55"/>
      <c r="AU110" s="32"/>
      <c r="AV110" s="32"/>
      <c r="AW110" s="55"/>
      <c r="AX110" s="32"/>
      <c r="AY110" s="54"/>
      <c r="AZ110" s="21" t="str">
        <f>IFERROR(VLOOKUP(February[[#This Row],[Drug Name5]],'Data Options'!$R$1:$S$100,2,FALSE), " ")</f>
        <v xml:space="preserve"> </v>
      </c>
      <c r="BA110" s="55"/>
      <c r="BB110" s="32"/>
      <c r="BC110" s="32"/>
      <c r="BD110" s="55"/>
      <c r="BE110" s="32"/>
      <c r="BF110" s="54"/>
      <c r="BG110" s="21" t="str">
        <f>IFERROR(VLOOKUP(February[[#This Row],[Drug Name6]],'Data Options'!$R$1:$S$100,2,FALSE), " ")</f>
        <v xml:space="preserve"> </v>
      </c>
      <c r="BH110" s="55"/>
      <c r="BI110" s="32"/>
      <c r="BJ110" s="32"/>
      <c r="BK110" s="55"/>
      <c r="BL110" s="32"/>
      <c r="BM110" s="32"/>
      <c r="BN110" s="32"/>
      <c r="BO110" s="32"/>
      <c r="BP110" s="32"/>
      <c r="BQ110" s="31"/>
      <c r="BR110" s="31"/>
      <c r="BS110" s="54"/>
      <c r="BT110" s="21" t="str">
        <f>IFERROR(VLOOKUP(February[[#This Row],[Drug Name7]],'Data Options'!$R$1:$S$100,2,FALSE), " ")</f>
        <v xml:space="preserve"> </v>
      </c>
      <c r="BU110" s="55"/>
      <c r="BV110" s="32"/>
      <c r="BW110" s="32"/>
      <c r="BX110" s="55"/>
      <c r="BY110" s="32"/>
      <c r="BZ110" s="54"/>
      <c r="CA110" s="21" t="str">
        <f>IFERROR(VLOOKUP(February[[#This Row],[Drug Name8]],'Data Options'!$R$1:$S$100,2,FALSE), " ")</f>
        <v xml:space="preserve"> </v>
      </c>
      <c r="CB110" s="55"/>
      <c r="CC110" s="32"/>
      <c r="CD110" s="32"/>
      <c r="CE110" s="55"/>
      <c r="CF110" s="32"/>
      <c r="CG110" s="54"/>
      <c r="CH110" s="21" t="str">
        <f>IFERROR(VLOOKUP(February[[#This Row],[Drug Name9]],'Data Options'!$R$1:$S$100,2,FALSE), " ")</f>
        <v xml:space="preserve"> </v>
      </c>
      <c r="CI110" s="55"/>
      <c r="CJ110" s="32"/>
      <c r="CK110" s="32"/>
      <c r="CL110" s="55"/>
      <c r="CM110" s="32"/>
    </row>
    <row r="111" spans="1:91">
      <c r="A111" s="5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1"/>
      <c r="P111" s="31"/>
      <c r="Q111" s="54"/>
      <c r="R111" s="21" t="str">
        <f>IFERROR(VLOOKUP(February[[#This Row],[Drug Name]],'Data Options'!$R$1:$S$100,2,FALSE), " ")</f>
        <v xml:space="preserve"> </v>
      </c>
      <c r="S111" s="55"/>
      <c r="T111" s="32"/>
      <c r="U111" s="32"/>
      <c r="V111" s="55"/>
      <c r="W111" s="32"/>
      <c r="X111" s="54"/>
      <c r="Y111" s="21" t="str">
        <f>IFERROR(VLOOKUP(February[[#This Row],[Drug Name2]],'Data Options'!$R$1:$S$100,2,FALSE), " ")</f>
        <v xml:space="preserve"> </v>
      </c>
      <c r="Z111" s="55"/>
      <c r="AA111" s="32"/>
      <c r="AB111" s="32"/>
      <c r="AC111" s="55"/>
      <c r="AD111" s="32"/>
      <c r="AE111" s="54"/>
      <c r="AF111" s="21" t="str">
        <f>IFERROR(VLOOKUP(February[[#This Row],[Drug Name3]],'Data Options'!$R$1:$S$100,2,FALSE), " ")</f>
        <v xml:space="preserve"> </v>
      </c>
      <c r="AG111" s="55"/>
      <c r="AH111" s="32"/>
      <c r="AI111" s="32"/>
      <c r="AJ111" s="55"/>
      <c r="AK111" s="32"/>
      <c r="AL111" s="32"/>
      <c r="AM111" s="32"/>
      <c r="AN111" s="32"/>
      <c r="AO111" s="32"/>
      <c r="AP111" s="31"/>
      <c r="AQ111" s="31"/>
      <c r="AR111" s="54"/>
      <c r="AS111" s="21" t="str">
        <f>IFERROR(VLOOKUP(February[[#This Row],[Drug Name4]],'Data Options'!$R$1:$S$100,2,FALSE), " ")</f>
        <v xml:space="preserve"> </v>
      </c>
      <c r="AT111" s="55"/>
      <c r="AU111" s="32"/>
      <c r="AV111" s="32"/>
      <c r="AW111" s="55"/>
      <c r="AX111" s="32"/>
      <c r="AY111" s="54"/>
      <c r="AZ111" s="21" t="str">
        <f>IFERROR(VLOOKUP(February[[#This Row],[Drug Name5]],'Data Options'!$R$1:$S$100,2,FALSE), " ")</f>
        <v xml:space="preserve"> </v>
      </c>
      <c r="BA111" s="55"/>
      <c r="BB111" s="32"/>
      <c r="BC111" s="32"/>
      <c r="BD111" s="55"/>
      <c r="BE111" s="32"/>
      <c r="BF111" s="54"/>
      <c r="BG111" s="21" t="str">
        <f>IFERROR(VLOOKUP(February[[#This Row],[Drug Name6]],'Data Options'!$R$1:$S$100,2,FALSE), " ")</f>
        <v xml:space="preserve"> </v>
      </c>
      <c r="BH111" s="55"/>
      <c r="BI111" s="32"/>
      <c r="BJ111" s="32"/>
      <c r="BK111" s="55"/>
      <c r="BL111" s="32"/>
      <c r="BM111" s="32"/>
      <c r="BN111" s="32"/>
      <c r="BO111" s="32"/>
      <c r="BP111" s="32"/>
      <c r="BQ111" s="31"/>
      <c r="BR111" s="31"/>
      <c r="BS111" s="54"/>
      <c r="BT111" s="21" t="str">
        <f>IFERROR(VLOOKUP(February[[#This Row],[Drug Name7]],'Data Options'!$R$1:$S$100,2,FALSE), " ")</f>
        <v xml:space="preserve"> </v>
      </c>
      <c r="BU111" s="55"/>
      <c r="BV111" s="32"/>
      <c r="BW111" s="32"/>
      <c r="BX111" s="55"/>
      <c r="BY111" s="32"/>
      <c r="BZ111" s="54"/>
      <c r="CA111" s="21" t="str">
        <f>IFERROR(VLOOKUP(February[[#This Row],[Drug Name8]],'Data Options'!$R$1:$S$100,2,FALSE), " ")</f>
        <v xml:space="preserve"> </v>
      </c>
      <c r="CB111" s="55"/>
      <c r="CC111" s="32"/>
      <c r="CD111" s="32"/>
      <c r="CE111" s="55"/>
      <c r="CF111" s="32"/>
      <c r="CG111" s="54"/>
      <c r="CH111" s="21" t="str">
        <f>IFERROR(VLOOKUP(February[[#This Row],[Drug Name9]],'Data Options'!$R$1:$S$100,2,FALSE), " ")</f>
        <v xml:space="preserve"> </v>
      </c>
      <c r="CI111" s="55"/>
      <c r="CJ111" s="32"/>
      <c r="CK111" s="32"/>
      <c r="CL111" s="55"/>
      <c r="CM111" s="32"/>
    </row>
    <row r="112" spans="1:91">
      <c r="A112" s="5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1"/>
      <c r="P112" s="31"/>
      <c r="Q112" s="54"/>
      <c r="R112" s="21" t="str">
        <f>IFERROR(VLOOKUP(February[[#This Row],[Drug Name]],'Data Options'!$R$1:$S$100,2,FALSE), " ")</f>
        <v xml:space="preserve"> </v>
      </c>
      <c r="S112" s="55"/>
      <c r="T112" s="32"/>
      <c r="U112" s="32"/>
      <c r="V112" s="55"/>
      <c r="W112" s="32"/>
      <c r="X112" s="54"/>
      <c r="Y112" s="21" t="str">
        <f>IFERROR(VLOOKUP(February[[#This Row],[Drug Name2]],'Data Options'!$R$1:$S$100,2,FALSE), " ")</f>
        <v xml:space="preserve"> </v>
      </c>
      <c r="Z112" s="55"/>
      <c r="AA112" s="32"/>
      <c r="AB112" s="32"/>
      <c r="AC112" s="55"/>
      <c r="AD112" s="32"/>
      <c r="AE112" s="54"/>
      <c r="AF112" s="21" t="str">
        <f>IFERROR(VLOOKUP(February[[#This Row],[Drug Name3]],'Data Options'!$R$1:$S$100,2,FALSE), " ")</f>
        <v xml:space="preserve"> </v>
      </c>
      <c r="AG112" s="55"/>
      <c r="AH112" s="32"/>
      <c r="AI112" s="32"/>
      <c r="AJ112" s="55"/>
      <c r="AK112" s="32"/>
      <c r="AL112" s="32"/>
      <c r="AM112" s="32"/>
      <c r="AN112" s="32"/>
      <c r="AO112" s="32"/>
      <c r="AP112" s="31"/>
      <c r="AQ112" s="31"/>
      <c r="AR112" s="54"/>
      <c r="AS112" s="21" t="str">
        <f>IFERROR(VLOOKUP(February[[#This Row],[Drug Name4]],'Data Options'!$R$1:$S$100,2,FALSE), " ")</f>
        <v xml:space="preserve"> </v>
      </c>
      <c r="AT112" s="55"/>
      <c r="AU112" s="32"/>
      <c r="AV112" s="32"/>
      <c r="AW112" s="55"/>
      <c r="AX112" s="32"/>
      <c r="AY112" s="54"/>
      <c r="AZ112" s="21" t="str">
        <f>IFERROR(VLOOKUP(February[[#This Row],[Drug Name5]],'Data Options'!$R$1:$S$100,2,FALSE), " ")</f>
        <v xml:space="preserve"> </v>
      </c>
      <c r="BA112" s="55"/>
      <c r="BB112" s="32"/>
      <c r="BC112" s="32"/>
      <c r="BD112" s="55"/>
      <c r="BE112" s="32"/>
      <c r="BF112" s="54"/>
      <c r="BG112" s="21" t="str">
        <f>IFERROR(VLOOKUP(February[[#This Row],[Drug Name6]],'Data Options'!$R$1:$S$100,2,FALSE), " ")</f>
        <v xml:space="preserve"> </v>
      </c>
      <c r="BH112" s="55"/>
      <c r="BI112" s="32"/>
      <c r="BJ112" s="32"/>
      <c r="BK112" s="55"/>
      <c r="BL112" s="32"/>
      <c r="BM112" s="32"/>
      <c r="BN112" s="32"/>
      <c r="BO112" s="32"/>
      <c r="BP112" s="32"/>
      <c r="BQ112" s="31"/>
      <c r="BR112" s="31"/>
      <c r="BS112" s="54"/>
      <c r="BT112" s="21" t="str">
        <f>IFERROR(VLOOKUP(February[[#This Row],[Drug Name7]],'Data Options'!$R$1:$S$100,2,FALSE), " ")</f>
        <v xml:space="preserve"> </v>
      </c>
      <c r="BU112" s="55"/>
      <c r="BV112" s="32"/>
      <c r="BW112" s="32"/>
      <c r="BX112" s="55"/>
      <c r="BY112" s="32"/>
      <c r="BZ112" s="54"/>
      <c r="CA112" s="21" t="str">
        <f>IFERROR(VLOOKUP(February[[#This Row],[Drug Name8]],'Data Options'!$R$1:$S$100,2,FALSE), " ")</f>
        <v xml:space="preserve"> </v>
      </c>
      <c r="CB112" s="55"/>
      <c r="CC112" s="32"/>
      <c r="CD112" s="32"/>
      <c r="CE112" s="55"/>
      <c r="CF112" s="32"/>
      <c r="CG112" s="54"/>
      <c r="CH112" s="21" t="str">
        <f>IFERROR(VLOOKUP(February[[#This Row],[Drug Name9]],'Data Options'!$R$1:$S$100,2,FALSE), " ")</f>
        <v xml:space="preserve"> </v>
      </c>
      <c r="CI112" s="55"/>
      <c r="CJ112" s="32"/>
      <c r="CK112" s="32"/>
      <c r="CL112" s="55"/>
      <c r="CM112" s="32"/>
    </row>
    <row r="113" spans="1:91">
      <c r="A113" s="5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1"/>
      <c r="P113" s="31"/>
      <c r="Q113" s="54"/>
      <c r="R113" s="21" t="str">
        <f>IFERROR(VLOOKUP(February[[#This Row],[Drug Name]],'Data Options'!$R$1:$S$100,2,FALSE), " ")</f>
        <v xml:space="preserve"> </v>
      </c>
      <c r="S113" s="55"/>
      <c r="T113" s="32"/>
      <c r="U113" s="32"/>
      <c r="V113" s="55"/>
      <c r="W113" s="32"/>
      <c r="X113" s="54"/>
      <c r="Y113" s="21" t="str">
        <f>IFERROR(VLOOKUP(February[[#This Row],[Drug Name2]],'Data Options'!$R$1:$S$100,2,FALSE), " ")</f>
        <v xml:space="preserve"> </v>
      </c>
      <c r="Z113" s="55"/>
      <c r="AA113" s="32"/>
      <c r="AB113" s="32"/>
      <c r="AC113" s="55"/>
      <c r="AD113" s="32"/>
      <c r="AE113" s="54"/>
      <c r="AF113" s="21" t="str">
        <f>IFERROR(VLOOKUP(February[[#This Row],[Drug Name3]],'Data Options'!$R$1:$S$100,2,FALSE), " ")</f>
        <v xml:space="preserve"> </v>
      </c>
      <c r="AG113" s="55"/>
      <c r="AH113" s="32"/>
      <c r="AI113" s="32"/>
      <c r="AJ113" s="55"/>
      <c r="AK113" s="32"/>
      <c r="AL113" s="32"/>
      <c r="AM113" s="32"/>
      <c r="AN113" s="32"/>
      <c r="AO113" s="32"/>
      <c r="AP113" s="31"/>
      <c r="AQ113" s="31"/>
      <c r="AR113" s="54"/>
      <c r="AS113" s="21" t="str">
        <f>IFERROR(VLOOKUP(February[[#This Row],[Drug Name4]],'Data Options'!$R$1:$S$100,2,FALSE), " ")</f>
        <v xml:space="preserve"> </v>
      </c>
      <c r="AT113" s="55"/>
      <c r="AU113" s="32"/>
      <c r="AV113" s="32"/>
      <c r="AW113" s="55"/>
      <c r="AX113" s="32"/>
      <c r="AY113" s="54"/>
      <c r="AZ113" s="21" t="str">
        <f>IFERROR(VLOOKUP(February[[#This Row],[Drug Name5]],'Data Options'!$R$1:$S$100,2,FALSE), " ")</f>
        <v xml:space="preserve"> </v>
      </c>
      <c r="BA113" s="55"/>
      <c r="BB113" s="32"/>
      <c r="BC113" s="32"/>
      <c r="BD113" s="55"/>
      <c r="BE113" s="32"/>
      <c r="BF113" s="54"/>
      <c r="BG113" s="21" t="str">
        <f>IFERROR(VLOOKUP(February[[#This Row],[Drug Name6]],'Data Options'!$R$1:$S$100,2,FALSE), " ")</f>
        <v xml:space="preserve"> </v>
      </c>
      <c r="BH113" s="55"/>
      <c r="BI113" s="32"/>
      <c r="BJ113" s="32"/>
      <c r="BK113" s="55"/>
      <c r="BL113" s="32"/>
      <c r="BM113" s="32"/>
      <c r="BN113" s="32"/>
      <c r="BO113" s="32"/>
      <c r="BP113" s="32"/>
      <c r="BQ113" s="31"/>
      <c r="BR113" s="31"/>
      <c r="BS113" s="54"/>
      <c r="BT113" s="21" t="str">
        <f>IFERROR(VLOOKUP(February[[#This Row],[Drug Name7]],'Data Options'!$R$1:$S$100,2,FALSE), " ")</f>
        <v xml:space="preserve"> </v>
      </c>
      <c r="BU113" s="55"/>
      <c r="BV113" s="32"/>
      <c r="BW113" s="32"/>
      <c r="BX113" s="55"/>
      <c r="BY113" s="32"/>
      <c r="BZ113" s="54"/>
      <c r="CA113" s="21" t="str">
        <f>IFERROR(VLOOKUP(February[[#This Row],[Drug Name8]],'Data Options'!$R$1:$S$100,2,FALSE), " ")</f>
        <v xml:space="preserve"> </v>
      </c>
      <c r="CB113" s="55"/>
      <c r="CC113" s="32"/>
      <c r="CD113" s="32"/>
      <c r="CE113" s="55"/>
      <c r="CF113" s="32"/>
      <c r="CG113" s="54"/>
      <c r="CH113" s="21" t="str">
        <f>IFERROR(VLOOKUP(February[[#This Row],[Drug Name9]],'Data Options'!$R$1:$S$100,2,FALSE), " ")</f>
        <v xml:space="preserve"> </v>
      </c>
      <c r="CI113" s="55"/>
      <c r="CJ113" s="32"/>
      <c r="CK113" s="32"/>
      <c r="CL113" s="55"/>
      <c r="CM113" s="32"/>
    </row>
    <row r="114" spans="1:91">
      <c r="A114" s="5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1"/>
      <c r="P114" s="31"/>
      <c r="Q114" s="54"/>
      <c r="R114" s="21" t="str">
        <f>IFERROR(VLOOKUP(February[[#This Row],[Drug Name]],'Data Options'!$R$1:$S$100,2,FALSE), " ")</f>
        <v xml:space="preserve"> </v>
      </c>
      <c r="S114" s="55"/>
      <c r="T114" s="32"/>
      <c r="U114" s="32"/>
      <c r="V114" s="55"/>
      <c r="W114" s="32"/>
      <c r="X114" s="54"/>
      <c r="Y114" s="21" t="str">
        <f>IFERROR(VLOOKUP(February[[#This Row],[Drug Name2]],'Data Options'!$R$1:$S$100,2,FALSE), " ")</f>
        <v xml:space="preserve"> </v>
      </c>
      <c r="Z114" s="55"/>
      <c r="AA114" s="32"/>
      <c r="AB114" s="32"/>
      <c r="AC114" s="55"/>
      <c r="AD114" s="32"/>
      <c r="AE114" s="54"/>
      <c r="AF114" s="21" t="str">
        <f>IFERROR(VLOOKUP(February[[#This Row],[Drug Name3]],'Data Options'!$R$1:$S$100,2,FALSE), " ")</f>
        <v xml:space="preserve"> </v>
      </c>
      <c r="AG114" s="55"/>
      <c r="AH114" s="32"/>
      <c r="AI114" s="32"/>
      <c r="AJ114" s="55"/>
      <c r="AK114" s="32"/>
      <c r="AL114" s="32"/>
      <c r="AM114" s="32"/>
      <c r="AN114" s="32"/>
      <c r="AO114" s="32"/>
      <c r="AP114" s="31"/>
      <c r="AQ114" s="31"/>
      <c r="AR114" s="54"/>
      <c r="AS114" s="21" t="str">
        <f>IFERROR(VLOOKUP(February[[#This Row],[Drug Name4]],'Data Options'!$R$1:$S$100,2,FALSE), " ")</f>
        <v xml:space="preserve"> </v>
      </c>
      <c r="AT114" s="55"/>
      <c r="AU114" s="32"/>
      <c r="AV114" s="32"/>
      <c r="AW114" s="55"/>
      <c r="AX114" s="32"/>
      <c r="AY114" s="54"/>
      <c r="AZ114" s="21" t="str">
        <f>IFERROR(VLOOKUP(February[[#This Row],[Drug Name5]],'Data Options'!$R$1:$S$100,2,FALSE), " ")</f>
        <v xml:space="preserve"> </v>
      </c>
      <c r="BA114" s="55"/>
      <c r="BB114" s="32"/>
      <c r="BC114" s="32"/>
      <c r="BD114" s="55"/>
      <c r="BE114" s="32"/>
      <c r="BF114" s="54"/>
      <c r="BG114" s="21" t="str">
        <f>IFERROR(VLOOKUP(February[[#This Row],[Drug Name6]],'Data Options'!$R$1:$S$100,2,FALSE), " ")</f>
        <v xml:space="preserve"> </v>
      </c>
      <c r="BH114" s="55"/>
      <c r="BI114" s="32"/>
      <c r="BJ114" s="32"/>
      <c r="BK114" s="55"/>
      <c r="BL114" s="32"/>
      <c r="BM114" s="32"/>
      <c r="BN114" s="32"/>
      <c r="BO114" s="32"/>
      <c r="BP114" s="32"/>
      <c r="BQ114" s="31"/>
      <c r="BR114" s="31"/>
      <c r="BS114" s="54"/>
      <c r="BT114" s="21" t="str">
        <f>IFERROR(VLOOKUP(February[[#This Row],[Drug Name7]],'Data Options'!$R$1:$S$100,2,FALSE), " ")</f>
        <v xml:space="preserve"> </v>
      </c>
      <c r="BU114" s="55"/>
      <c r="BV114" s="32"/>
      <c r="BW114" s="32"/>
      <c r="BX114" s="55"/>
      <c r="BY114" s="32"/>
      <c r="BZ114" s="54"/>
      <c r="CA114" s="21" t="str">
        <f>IFERROR(VLOOKUP(February[[#This Row],[Drug Name8]],'Data Options'!$R$1:$S$100,2,FALSE), " ")</f>
        <v xml:space="preserve"> </v>
      </c>
      <c r="CB114" s="55"/>
      <c r="CC114" s="32"/>
      <c r="CD114" s="32"/>
      <c r="CE114" s="55"/>
      <c r="CF114" s="32"/>
      <c r="CG114" s="54"/>
      <c r="CH114" s="21" t="str">
        <f>IFERROR(VLOOKUP(February[[#This Row],[Drug Name9]],'Data Options'!$R$1:$S$100,2,FALSE), " ")</f>
        <v xml:space="preserve"> </v>
      </c>
      <c r="CI114" s="55"/>
      <c r="CJ114" s="32"/>
      <c r="CK114" s="32"/>
      <c r="CL114" s="55"/>
      <c r="CM114" s="32"/>
    </row>
    <row r="115" spans="1:91">
      <c r="A115" s="5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1"/>
      <c r="P115" s="31"/>
      <c r="Q115" s="54"/>
      <c r="R115" s="21" t="str">
        <f>IFERROR(VLOOKUP(February[[#This Row],[Drug Name]],'Data Options'!$R$1:$S$100,2,FALSE), " ")</f>
        <v xml:space="preserve"> </v>
      </c>
      <c r="S115" s="55"/>
      <c r="T115" s="32"/>
      <c r="U115" s="32"/>
      <c r="V115" s="55"/>
      <c r="W115" s="32"/>
      <c r="X115" s="54"/>
      <c r="Y115" s="21" t="str">
        <f>IFERROR(VLOOKUP(February[[#This Row],[Drug Name2]],'Data Options'!$R$1:$S$100,2,FALSE), " ")</f>
        <v xml:space="preserve"> </v>
      </c>
      <c r="Z115" s="55"/>
      <c r="AA115" s="32"/>
      <c r="AB115" s="32"/>
      <c r="AC115" s="55"/>
      <c r="AD115" s="32"/>
      <c r="AE115" s="54"/>
      <c r="AF115" s="21" t="str">
        <f>IFERROR(VLOOKUP(February[[#This Row],[Drug Name3]],'Data Options'!$R$1:$S$100,2,FALSE), " ")</f>
        <v xml:space="preserve"> </v>
      </c>
      <c r="AG115" s="55"/>
      <c r="AH115" s="32"/>
      <c r="AI115" s="32"/>
      <c r="AJ115" s="55"/>
      <c r="AK115" s="32"/>
      <c r="AL115" s="32"/>
      <c r="AM115" s="32"/>
      <c r="AN115" s="32"/>
      <c r="AO115" s="32"/>
      <c r="AP115" s="31"/>
      <c r="AQ115" s="31"/>
      <c r="AR115" s="54"/>
      <c r="AS115" s="21" t="str">
        <f>IFERROR(VLOOKUP(February[[#This Row],[Drug Name4]],'Data Options'!$R$1:$S$100,2,FALSE), " ")</f>
        <v xml:space="preserve"> </v>
      </c>
      <c r="AT115" s="55"/>
      <c r="AU115" s="32"/>
      <c r="AV115" s="32"/>
      <c r="AW115" s="55"/>
      <c r="AX115" s="32"/>
      <c r="AY115" s="54"/>
      <c r="AZ115" s="21" t="str">
        <f>IFERROR(VLOOKUP(February[[#This Row],[Drug Name5]],'Data Options'!$R$1:$S$100,2,FALSE), " ")</f>
        <v xml:space="preserve"> </v>
      </c>
      <c r="BA115" s="55"/>
      <c r="BB115" s="32"/>
      <c r="BC115" s="32"/>
      <c r="BD115" s="55"/>
      <c r="BE115" s="32"/>
      <c r="BF115" s="54"/>
      <c r="BG115" s="21" t="str">
        <f>IFERROR(VLOOKUP(February[[#This Row],[Drug Name6]],'Data Options'!$R$1:$S$100,2,FALSE), " ")</f>
        <v xml:space="preserve"> </v>
      </c>
      <c r="BH115" s="55"/>
      <c r="BI115" s="32"/>
      <c r="BJ115" s="32"/>
      <c r="BK115" s="55"/>
      <c r="BL115" s="32"/>
      <c r="BM115" s="32"/>
      <c r="BN115" s="32"/>
      <c r="BO115" s="32"/>
      <c r="BP115" s="32"/>
      <c r="BQ115" s="31"/>
      <c r="BR115" s="31"/>
      <c r="BS115" s="54"/>
      <c r="BT115" s="21" t="str">
        <f>IFERROR(VLOOKUP(February[[#This Row],[Drug Name7]],'Data Options'!$R$1:$S$100,2,FALSE), " ")</f>
        <v xml:space="preserve"> </v>
      </c>
      <c r="BU115" s="55"/>
      <c r="BV115" s="32"/>
      <c r="BW115" s="32"/>
      <c r="BX115" s="55"/>
      <c r="BY115" s="32"/>
      <c r="BZ115" s="54"/>
      <c r="CA115" s="21" t="str">
        <f>IFERROR(VLOOKUP(February[[#This Row],[Drug Name8]],'Data Options'!$R$1:$S$100,2,FALSE), " ")</f>
        <v xml:space="preserve"> </v>
      </c>
      <c r="CB115" s="55"/>
      <c r="CC115" s="32"/>
      <c r="CD115" s="32"/>
      <c r="CE115" s="55"/>
      <c r="CF115" s="32"/>
      <c r="CG115" s="54"/>
      <c r="CH115" s="21" t="str">
        <f>IFERROR(VLOOKUP(February[[#This Row],[Drug Name9]],'Data Options'!$R$1:$S$100,2,FALSE), " ")</f>
        <v xml:space="preserve"> </v>
      </c>
      <c r="CI115" s="55"/>
      <c r="CJ115" s="32"/>
      <c r="CK115" s="32"/>
      <c r="CL115" s="55"/>
      <c r="CM115" s="32"/>
    </row>
    <row r="116" spans="1:91">
      <c r="A116" s="5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1"/>
      <c r="P116" s="31"/>
      <c r="Q116" s="54"/>
      <c r="R116" s="21" t="str">
        <f>IFERROR(VLOOKUP(February[[#This Row],[Drug Name]],'Data Options'!$R$1:$S$100,2,FALSE), " ")</f>
        <v xml:space="preserve"> </v>
      </c>
      <c r="S116" s="55"/>
      <c r="T116" s="32"/>
      <c r="U116" s="32"/>
      <c r="V116" s="55"/>
      <c r="W116" s="32"/>
      <c r="X116" s="54"/>
      <c r="Y116" s="21" t="str">
        <f>IFERROR(VLOOKUP(February[[#This Row],[Drug Name2]],'Data Options'!$R$1:$S$100,2,FALSE), " ")</f>
        <v xml:space="preserve"> </v>
      </c>
      <c r="Z116" s="55"/>
      <c r="AA116" s="32"/>
      <c r="AB116" s="32"/>
      <c r="AC116" s="55"/>
      <c r="AD116" s="32"/>
      <c r="AE116" s="54"/>
      <c r="AF116" s="21" t="str">
        <f>IFERROR(VLOOKUP(February[[#This Row],[Drug Name3]],'Data Options'!$R$1:$S$100,2,FALSE), " ")</f>
        <v xml:space="preserve"> </v>
      </c>
      <c r="AG116" s="55"/>
      <c r="AH116" s="32"/>
      <c r="AI116" s="32"/>
      <c r="AJ116" s="55"/>
      <c r="AK116" s="32"/>
      <c r="AL116" s="32"/>
      <c r="AM116" s="32"/>
      <c r="AN116" s="32"/>
      <c r="AO116" s="32"/>
      <c r="AP116" s="31"/>
      <c r="AQ116" s="31"/>
      <c r="AR116" s="54"/>
      <c r="AS116" s="21" t="str">
        <f>IFERROR(VLOOKUP(February[[#This Row],[Drug Name4]],'Data Options'!$R$1:$S$100,2,FALSE), " ")</f>
        <v xml:space="preserve"> </v>
      </c>
      <c r="AT116" s="55"/>
      <c r="AU116" s="32"/>
      <c r="AV116" s="32"/>
      <c r="AW116" s="55"/>
      <c r="AX116" s="32"/>
      <c r="AY116" s="54"/>
      <c r="AZ116" s="21" t="str">
        <f>IFERROR(VLOOKUP(February[[#This Row],[Drug Name5]],'Data Options'!$R$1:$S$100,2,FALSE), " ")</f>
        <v xml:space="preserve"> </v>
      </c>
      <c r="BA116" s="55"/>
      <c r="BB116" s="32"/>
      <c r="BC116" s="32"/>
      <c r="BD116" s="55"/>
      <c r="BE116" s="32"/>
      <c r="BF116" s="54"/>
      <c r="BG116" s="21" t="str">
        <f>IFERROR(VLOOKUP(February[[#This Row],[Drug Name6]],'Data Options'!$R$1:$S$100,2,FALSE), " ")</f>
        <v xml:space="preserve"> </v>
      </c>
      <c r="BH116" s="55"/>
      <c r="BI116" s="32"/>
      <c r="BJ116" s="32"/>
      <c r="BK116" s="55"/>
      <c r="BL116" s="32"/>
      <c r="BM116" s="32"/>
      <c r="BN116" s="32"/>
      <c r="BO116" s="32"/>
      <c r="BP116" s="32"/>
      <c r="BQ116" s="31"/>
      <c r="BR116" s="31"/>
      <c r="BS116" s="54"/>
      <c r="BT116" s="21" t="str">
        <f>IFERROR(VLOOKUP(February[[#This Row],[Drug Name7]],'Data Options'!$R$1:$S$100,2,FALSE), " ")</f>
        <v xml:space="preserve"> </v>
      </c>
      <c r="BU116" s="55"/>
      <c r="BV116" s="32"/>
      <c r="BW116" s="32"/>
      <c r="BX116" s="55"/>
      <c r="BY116" s="32"/>
      <c r="BZ116" s="54"/>
      <c r="CA116" s="21" t="str">
        <f>IFERROR(VLOOKUP(February[[#This Row],[Drug Name8]],'Data Options'!$R$1:$S$100,2,FALSE), " ")</f>
        <v xml:space="preserve"> </v>
      </c>
      <c r="CB116" s="55"/>
      <c r="CC116" s="32"/>
      <c r="CD116" s="32"/>
      <c r="CE116" s="55"/>
      <c r="CF116" s="32"/>
      <c r="CG116" s="54"/>
      <c r="CH116" s="21" t="str">
        <f>IFERROR(VLOOKUP(February[[#This Row],[Drug Name9]],'Data Options'!$R$1:$S$100,2,FALSE), " ")</f>
        <v xml:space="preserve"> </v>
      </c>
      <c r="CI116" s="55"/>
      <c r="CJ116" s="32"/>
      <c r="CK116" s="32"/>
      <c r="CL116" s="55"/>
      <c r="CM116" s="32"/>
    </row>
    <row r="117" spans="1:91">
      <c r="A117" s="5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1"/>
      <c r="P117" s="31"/>
      <c r="Q117" s="54"/>
      <c r="R117" s="21" t="str">
        <f>IFERROR(VLOOKUP(February[[#This Row],[Drug Name]],'Data Options'!$R$1:$S$100,2,FALSE), " ")</f>
        <v xml:space="preserve"> </v>
      </c>
      <c r="S117" s="55"/>
      <c r="T117" s="32"/>
      <c r="U117" s="32"/>
      <c r="V117" s="55"/>
      <c r="W117" s="32"/>
      <c r="X117" s="54"/>
      <c r="Y117" s="21" t="str">
        <f>IFERROR(VLOOKUP(February[[#This Row],[Drug Name2]],'Data Options'!$R$1:$S$100,2,FALSE), " ")</f>
        <v xml:space="preserve"> </v>
      </c>
      <c r="Z117" s="55"/>
      <c r="AA117" s="32"/>
      <c r="AB117" s="32"/>
      <c r="AC117" s="55"/>
      <c r="AD117" s="32"/>
      <c r="AE117" s="54"/>
      <c r="AF117" s="21" t="str">
        <f>IFERROR(VLOOKUP(February[[#This Row],[Drug Name3]],'Data Options'!$R$1:$S$100,2,FALSE), " ")</f>
        <v xml:space="preserve"> </v>
      </c>
      <c r="AG117" s="55"/>
      <c r="AH117" s="32"/>
      <c r="AI117" s="32"/>
      <c r="AJ117" s="55"/>
      <c r="AK117" s="32"/>
      <c r="AL117" s="32"/>
      <c r="AM117" s="32"/>
      <c r="AN117" s="32"/>
      <c r="AO117" s="32"/>
      <c r="AP117" s="31"/>
      <c r="AQ117" s="31"/>
      <c r="AR117" s="54"/>
      <c r="AS117" s="21" t="str">
        <f>IFERROR(VLOOKUP(February[[#This Row],[Drug Name4]],'Data Options'!$R$1:$S$100,2,FALSE), " ")</f>
        <v xml:space="preserve"> </v>
      </c>
      <c r="AT117" s="55"/>
      <c r="AU117" s="32"/>
      <c r="AV117" s="32"/>
      <c r="AW117" s="55"/>
      <c r="AX117" s="32"/>
      <c r="AY117" s="54"/>
      <c r="AZ117" s="21" t="str">
        <f>IFERROR(VLOOKUP(February[[#This Row],[Drug Name5]],'Data Options'!$R$1:$S$100,2,FALSE), " ")</f>
        <v xml:space="preserve"> </v>
      </c>
      <c r="BA117" s="55"/>
      <c r="BB117" s="32"/>
      <c r="BC117" s="32"/>
      <c r="BD117" s="55"/>
      <c r="BE117" s="32"/>
      <c r="BF117" s="54"/>
      <c r="BG117" s="21" t="str">
        <f>IFERROR(VLOOKUP(February[[#This Row],[Drug Name6]],'Data Options'!$R$1:$S$100,2,FALSE), " ")</f>
        <v xml:space="preserve"> </v>
      </c>
      <c r="BH117" s="55"/>
      <c r="BI117" s="32"/>
      <c r="BJ117" s="32"/>
      <c r="BK117" s="55"/>
      <c r="BL117" s="32"/>
      <c r="BM117" s="32"/>
      <c r="BN117" s="32"/>
      <c r="BO117" s="32"/>
      <c r="BP117" s="32"/>
      <c r="BQ117" s="31"/>
      <c r="BR117" s="31"/>
      <c r="BS117" s="54"/>
      <c r="BT117" s="21" t="str">
        <f>IFERROR(VLOOKUP(February[[#This Row],[Drug Name7]],'Data Options'!$R$1:$S$100,2,FALSE), " ")</f>
        <v xml:space="preserve"> </v>
      </c>
      <c r="BU117" s="55"/>
      <c r="BV117" s="32"/>
      <c r="BW117" s="32"/>
      <c r="BX117" s="55"/>
      <c r="BY117" s="32"/>
      <c r="BZ117" s="54"/>
      <c r="CA117" s="21" t="str">
        <f>IFERROR(VLOOKUP(February[[#This Row],[Drug Name8]],'Data Options'!$R$1:$S$100,2,FALSE), " ")</f>
        <v xml:space="preserve"> </v>
      </c>
      <c r="CB117" s="55"/>
      <c r="CC117" s="32"/>
      <c r="CD117" s="32"/>
      <c r="CE117" s="55"/>
      <c r="CF117" s="32"/>
      <c r="CG117" s="54"/>
      <c r="CH117" s="21" t="str">
        <f>IFERROR(VLOOKUP(February[[#This Row],[Drug Name9]],'Data Options'!$R$1:$S$100,2,FALSE), " ")</f>
        <v xml:space="preserve"> </v>
      </c>
      <c r="CI117" s="55"/>
      <c r="CJ117" s="32"/>
      <c r="CK117" s="32"/>
      <c r="CL117" s="55"/>
      <c r="CM117" s="32"/>
    </row>
    <row r="118" spans="1:91">
      <c r="A118" s="5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/>
      <c r="P118" s="31"/>
      <c r="Q118" s="54"/>
      <c r="R118" s="21" t="str">
        <f>IFERROR(VLOOKUP(February[[#This Row],[Drug Name]],'Data Options'!$R$1:$S$100,2,FALSE), " ")</f>
        <v xml:space="preserve"> </v>
      </c>
      <c r="S118" s="55"/>
      <c r="T118" s="32"/>
      <c r="U118" s="32"/>
      <c r="V118" s="55"/>
      <c r="W118" s="32"/>
      <c r="X118" s="54"/>
      <c r="Y118" s="21" t="str">
        <f>IFERROR(VLOOKUP(February[[#This Row],[Drug Name2]],'Data Options'!$R$1:$S$100,2,FALSE), " ")</f>
        <v xml:space="preserve"> </v>
      </c>
      <c r="Z118" s="55"/>
      <c r="AA118" s="32"/>
      <c r="AB118" s="32"/>
      <c r="AC118" s="55"/>
      <c r="AD118" s="32"/>
      <c r="AE118" s="54"/>
      <c r="AF118" s="21" t="str">
        <f>IFERROR(VLOOKUP(February[[#This Row],[Drug Name3]],'Data Options'!$R$1:$S$100,2,FALSE), " ")</f>
        <v xml:space="preserve"> </v>
      </c>
      <c r="AG118" s="55"/>
      <c r="AH118" s="32"/>
      <c r="AI118" s="32"/>
      <c r="AJ118" s="55"/>
      <c r="AK118" s="32"/>
      <c r="AL118" s="32"/>
      <c r="AM118" s="32"/>
      <c r="AN118" s="32"/>
      <c r="AO118" s="32"/>
      <c r="AP118" s="31"/>
      <c r="AQ118" s="31"/>
      <c r="AR118" s="54"/>
      <c r="AS118" s="21" t="str">
        <f>IFERROR(VLOOKUP(February[[#This Row],[Drug Name4]],'Data Options'!$R$1:$S$100,2,FALSE), " ")</f>
        <v xml:space="preserve"> </v>
      </c>
      <c r="AT118" s="55"/>
      <c r="AU118" s="32"/>
      <c r="AV118" s="32"/>
      <c r="AW118" s="55"/>
      <c r="AX118" s="32"/>
      <c r="AY118" s="54"/>
      <c r="AZ118" s="21" t="str">
        <f>IFERROR(VLOOKUP(February[[#This Row],[Drug Name5]],'Data Options'!$R$1:$S$100,2,FALSE), " ")</f>
        <v xml:space="preserve"> </v>
      </c>
      <c r="BA118" s="55"/>
      <c r="BB118" s="32"/>
      <c r="BC118" s="32"/>
      <c r="BD118" s="55"/>
      <c r="BE118" s="32"/>
      <c r="BF118" s="54"/>
      <c r="BG118" s="21" t="str">
        <f>IFERROR(VLOOKUP(February[[#This Row],[Drug Name6]],'Data Options'!$R$1:$S$100,2,FALSE), " ")</f>
        <v xml:space="preserve"> </v>
      </c>
      <c r="BH118" s="55"/>
      <c r="BI118" s="32"/>
      <c r="BJ118" s="32"/>
      <c r="BK118" s="55"/>
      <c r="BL118" s="32"/>
      <c r="BM118" s="32"/>
      <c r="BN118" s="32"/>
      <c r="BO118" s="32"/>
      <c r="BP118" s="32"/>
      <c r="BQ118" s="31"/>
      <c r="BR118" s="31"/>
      <c r="BS118" s="54"/>
      <c r="BT118" s="21" t="str">
        <f>IFERROR(VLOOKUP(February[[#This Row],[Drug Name7]],'Data Options'!$R$1:$S$100,2,FALSE), " ")</f>
        <v xml:space="preserve"> </v>
      </c>
      <c r="BU118" s="55"/>
      <c r="BV118" s="32"/>
      <c r="BW118" s="32"/>
      <c r="BX118" s="55"/>
      <c r="BY118" s="32"/>
      <c r="BZ118" s="54"/>
      <c r="CA118" s="21" t="str">
        <f>IFERROR(VLOOKUP(February[[#This Row],[Drug Name8]],'Data Options'!$R$1:$S$100,2,FALSE), " ")</f>
        <v xml:space="preserve"> </v>
      </c>
      <c r="CB118" s="55"/>
      <c r="CC118" s="32"/>
      <c r="CD118" s="32"/>
      <c r="CE118" s="55"/>
      <c r="CF118" s="32"/>
      <c r="CG118" s="54"/>
      <c r="CH118" s="21" t="str">
        <f>IFERROR(VLOOKUP(February[[#This Row],[Drug Name9]],'Data Options'!$R$1:$S$100,2,FALSE), " ")</f>
        <v xml:space="preserve"> </v>
      </c>
      <c r="CI118" s="55"/>
      <c r="CJ118" s="32"/>
      <c r="CK118" s="32"/>
      <c r="CL118" s="55"/>
      <c r="CM118" s="32"/>
    </row>
    <row r="119" spans="1:91">
      <c r="A119" s="5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1"/>
      <c r="P119" s="31"/>
      <c r="Q119" s="54"/>
      <c r="R119" s="21" t="str">
        <f>IFERROR(VLOOKUP(February[[#This Row],[Drug Name]],'Data Options'!$R$1:$S$100,2,FALSE), " ")</f>
        <v xml:space="preserve"> </v>
      </c>
      <c r="S119" s="55"/>
      <c r="T119" s="32"/>
      <c r="U119" s="32"/>
      <c r="V119" s="55"/>
      <c r="W119" s="32"/>
      <c r="X119" s="54"/>
      <c r="Y119" s="21" t="str">
        <f>IFERROR(VLOOKUP(February[[#This Row],[Drug Name2]],'Data Options'!$R$1:$S$100,2,FALSE), " ")</f>
        <v xml:space="preserve"> </v>
      </c>
      <c r="Z119" s="55"/>
      <c r="AA119" s="32"/>
      <c r="AB119" s="32"/>
      <c r="AC119" s="55"/>
      <c r="AD119" s="32"/>
      <c r="AE119" s="54"/>
      <c r="AF119" s="21" t="str">
        <f>IFERROR(VLOOKUP(February[[#This Row],[Drug Name3]],'Data Options'!$R$1:$S$100,2,FALSE), " ")</f>
        <v xml:space="preserve"> </v>
      </c>
      <c r="AG119" s="55"/>
      <c r="AH119" s="32"/>
      <c r="AI119" s="32"/>
      <c r="AJ119" s="55"/>
      <c r="AK119" s="32"/>
      <c r="AL119" s="32"/>
      <c r="AM119" s="32"/>
      <c r="AN119" s="32"/>
      <c r="AO119" s="32"/>
      <c r="AP119" s="31"/>
      <c r="AQ119" s="31"/>
      <c r="AR119" s="54"/>
      <c r="AS119" s="21" t="str">
        <f>IFERROR(VLOOKUP(February[[#This Row],[Drug Name4]],'Data Options'!$R$1:$S$100,2,FALSE), " ")</f>
        <v xml:space="preserve"> </v>
      </c>
      <c r="AT119" s="55"/>
      <c r="AU119" s="32"/>
      <c r="AV119" s="32"/>
      <c r="AW119" s="55"/>
      <c r="AX119" s="32"/>
      <c r="AY119" s="54"/>
      <c r="AZ119" s="21" t="str">
        <f>IFERROR(VLOOKUP(February[[#This Row],[Drug Name5]],'Data Options'!$R$1:$S$100,2,FALSE), " ")</f>
        <v xml:space="preserve"> </v>
      </c>
      <c r="BA119" s="55"/>
      <c r="BB119" s="32"/>
      <c r="BC119" s="32"/>
      <c r="BD119" s="55"/>
      <c r="BE119" s="32"/>
      <c r="BF119" s="54"/>
      <c r="BG119" s="21" t="str">
        <f>IFERROR(VLOOKUP(February[[#This Row],[Drug Name6]],'Data Options'!$R$1:$S$100,2,FALSE), " ")</f>
        <v xml:space="preserve"> </v>
      </c>
      <c r="BH119" s="55"/>
      <c r="BI119" s="32"/>
      <c r="BJ119" s="32"/>
      <c r="BK119" s="55"/>
      <c r="BL119" s="32"/>
      <c r="BM119" s="32"/>
      <c r="BN119" s="32"/>
      <c r="BO119" s="32"/>
      <c r="BP119" s="32"/>
      <c r="BQ119" s="31"/>
      <c r="BR119" s="31"/>
      <c r="BS119" s="54"/>
      <c r="BT119" s="21" t="str">
        <f>IFERROR(VLOOKUP(February[[#This Row],[Drug Name7]],'Data Options'!$R$1:$S$100,2,FALSE), " ")</f>
        <v xml:space="preserve"> </v>
      </c>
      <c r="BU119" s="55"/>
      <c r="BV119" s="32"/>
      <c r="BW119" s="32"/>
      <c r="BX119" s="55"/>
      <c r="BY119" s="32"/>
      <c r="BZ119" s="54"/>
      <c r="CA119" s="21" t="str">
        <f>IFERROR(VLOOKUP(February[[#This Row],[Drug Name8]],'Data Options'!$R$1:$S$100,2,FALSE), " ")</f>
        <v xml:space="preserve"> </v>
      </c>
      <c r="CB119" s="55"/>
      <c r="CC119" s="32"/>
      <c r="CD119" s="32"/>
      <c r="CE119" s="55"/>
      <c r="CF119" s="32"/>
      <c r="CG119" s="54"/>
      <c r="CH119" s="21" t="str">
        <f>IFERROR(VLOOKUP(February[[#This Row],[Drug Name9]],'Data Options'!$R$1:$S$100,2,FALSE), " ")</f>
        <v xml:space="preserve"> </v>
      </c>
      <c r="CI119" s="55"/>
      <c r="CJ119" s="32"/>
      <c r="CK119" s="32"/>
      <c r="CL119" s="55"/>
      <c r="CM119" s="32"/>
    </row>
    <row r="120" spans="1:91">
      <c r="A120" s="5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/>
      <c r="P120" s="31"/>
      <c r="Q120" s="54"/>
      <c r="R120" s="21" t="str">
        <f>IFERROR(VLOOKUP(February[[#This Row],[Drug Name]],'Data Options'!$R$1:$S$100,2,FALSE), " ")</f>
        <v xml:space="preserve"> </v>
      </c>
      <c r="S120" s="55"/>
      <c r="T120" s="32"/>
      <c r="U120" s="32"/>
      <c r="V120" s="55"/>
      <c r="W120" s="32"/>
      <c r="X120" s="54"/>
      <c r="Y120" s="21" t="str">
        <f>IFERROR(VLOOKUP(February[[#This Row],[Drug Name2]],'Data Options'!$R$1:$S$100,2,FALSE), " ")</f>
        <v xml:space="preserve"> </v>
      </c>
      <c r="Z120" s="55"/>
      <c r="AA120" s="32"/>
      <c r="AB120" s="32"/>
      <c r="AC120" s="55"/>
      <c r="AD120" s="32"/>
      <c r="AE120" s="54"/>
      <c r="AF120" s="21" t="str">
        <f>IFERROR(VLOOKUP(February[[#This Row],[Drug Name3]],'Data Options'!$R$1:$S$100,2,FALSE), " ")</f>
        <v xml:space="preserve"> </v>
      </c>
      <c r="AG120" s="55"/>
      <c r="AH120" s="32"/>
      <c r="AI120" s="32"/>
      <c r="AJ120" s="55"/>
      <c r="AK120" s="32"/>
      <c r="AL120" s="32"/>
      <c r="AM120" s="32"/>
      <c r="AN120" s="32"/>
      <c r="AO120" s="32"/>
      <c r="AP120" s="31"/>
      <c r="AQ120" s="31"/>
      <c r="AR120" s="54"/>
      <c r="AS120" s="21" t="str">
        <f>IFERROR(VLOOKUP(February[[#This Row],[Drug Name4]],'Data Options'!$R$1:$S$100,2,FALSE), " ")</f>
        <v xml:space="preserve"> </v>
      </c>
      <c r="AT120" s="55"/>
      <c r="AU120" s="32"/>
      <c r="AV120" s="32"/>
      <c r="AW120" s="55"/>
      <c r="AX120" s="32"/>
      <c r="AY120" s="54"/>
      <c r="AZ120" s="21" t="str">
        <f>IFERROR(VLOOKUP(February[[#This Row],[Drug Name5]],'Data Options'!$R$1:$S$100,2,FALSE), " ")</f>
        <v xml:space="preserve"> </v>
      </c>
      <c r="BA120" s="55"/>
      <c r="BB120" s="32"/>
      <c r="BC120" s="32"/>
      <c r="BD120" s="55"/>
      <c r="BE120" s="32"/>
      <c r="BF120" s="54"/>
      <c r="BG120" s="21" t="str">
        <f>IFERROR(VLOOKUP(February[[#This Row],[Drug Name6]],'Data Options'!$R$1:$S$100,2,FALSE), " ")</f>
        <v xml:space="preserve"> </v>
      </c>
      <c r="BH120" s="55"/>
      <c r="BI120" s="32"/>
      <c r="BJ120" s="32"/>
      <c r="BK120" s="55"/>
      <c r="BL120" s="32"/>
      <c r="BM120" s="32"/>
      <c r="BN120" s="32"/>
      <c r="BO120" s="32"/>
      <c r="BP120" s="32"/>
      <c r="BQ120" s="31"/>
      <c r="BR120" s="31"/>
      <c r="BS120" s="54"/>
      <c r="BT120" s="21" t="str">
        <f>IFERROR(VLOOKUP(February[[#This Row],[Drug Name7]],'Data Options'!$R$1:$S$100,2,FALSE), " ")</f>
        <v xml:space="preserve"> </v>
      </c>
      <c r="BU120" s="55"/>
      <c r="BV120" s="32"/>
      <c r="BW120" s="32"/>
      <c r="BX120" s="55"/>
      <c r="BY120" s="32"/>
      <c r="BZ120" s="54"/>
      <c r="CA120" s="21" t="str">
        <f>IFERROR(VLOOKUP(February[[#This Row],[Drug Name8]],'Data Options'!$R$1:$S$100,2,FALSE), " ")</f>
        <v xml:space="preserve"> </v>
      </c>
      <c r="CB120" s="55"/>
      <c r="CC120" s="32"/>
      <c r="CD120" s="32"/>
      <c r="CE120" s="55"/>
      <c r="CF120" s="32"/>
      <c r="CG120" s="54"/>
      <c r="CH120" s="21" t="str">
        <f>IFERROR(VLOOKUP(February[[#This Row],[Drug Name9]],'Data Options'!$R$1:$S$100,2,FALSE), " ")</f>
        <v xml:space="preserve"> </v>
      </c>
      <c r="CI120" s="55"/>
      <c r="CJ120" s="32"/>
      <c r="CK120" s="32"/>
      <c r="CL120" s="55"/>
      <c r="CM120" s="32"/>
    </row>
    <row r="121" spans="1:91">
      <c r="A121" s="5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1"/>
      <c r="P121" s="31"/>
      <c r="Q121" s="54"/>
      <c r="R121" s="21" t="str">
        <f>IFERROR(VLOOKUP(February[[#This Row],[Drug Name]],'Data Options'!$R$1:$S$100,2,FALSE), " ")</f>
        <v xml:space="preserve"> </v>
      </c>
      <c r="S121" s="55"/>
      <c r="T121" s="32"/>
      <c r="U121" s="32"/>
      <c r="V121" s="55"/>
      <c r="W121" s="32"/>
      <c r="X121" s="54"/>
      <c r="Y121" s="21" t="str">
        <f>IFERROR(VLOOKUP(February[[#This Row],[Drug Name2]],'Data Options'!$R$1:$S$100,2,FALSE), " ")</f>
        <v xml:space="preserve"> </v>
      </c>
      <c r="Z121" s="55"/>
      <c r="AA121" s="32"/>
      <c r="AB121" s="32"/>
      <c r="AC121" s="55"/>
      <c r="AD121" s="32"/>
      <c r="AE121" s="54"/>
      <c r="AF121" s="21" t="str">
        <f>IFERROR(VLOOKUP(February[[#This Row],[Drug Name3]],'Data Options'!$R$1:$S$100,2,FALSE), " ")</f>
        <v xml:space="preserve"> </v>
      </c>
      <c r="AG121" s="55"/>
      <c r="AH121" s="32"/>
      <c r="AI121" s="32"/>
      <c r="AJ121" s="55"/>
      <c r="AK121" s="32"/>
      <c r="AL121" s="32"/>
      <c r="AM121" s="32"/>
      <c r="AN121" s="32"/>
      <c r="AO121" s="32"/>
      <c r="AP121" s="31"/>
      <c r="AQ121" s="31"/>
      <c r="AR121" s="54"/>
      <c r="AS121" s="21" t="str">
        <f>IFERROR(VLOOKUP(February[[#This Row],[Drug Name4]],'Data Options'!$R$1:$S$100,2,FALSE), " ")</f>
        <v xml:space="preserve"> </v>
      </c>
      <c r="AT121" s="55"/>
      <c r="AU121" s="32"/>
      <c r="AV121" s="32"/>
      <c r="AW121" s="55"/>
      <c r="AX121" s="32"/>
      <c r="AY121" s="54"/>
      <c r="AZ121" s="21" t="str">
        <f>IFERROR(VLOOKUP(February[[#This Row],[Drug Name5]],'Data Options'!$R$1:$S$100,2,FALSE), " ")</f>
        <v xml:space="preserve"> </v>
      </c>
      <c r="BA121" s="55"/>
      <c r="BB121" s="32"/>
      <c r="BC121" s="32"/>
      <c r="BD121" s="55"/>
      <c r="BE121" s="32"/>
      <c r="BF121" s="54"/>
      <c r="BG121" s="21" t="str">
        <f>IFERROR(VLOOKUP(February[[#This Row],[Drug Name6]],'Data Options'!$R$1:$S$100,2,FALSE), " ")</f>
        <v xml:space="preserve"> </v>
      </c>
      <c r="BH121" s="55"/>
      <c r="BI121" s="32"/>
      <c r="BJ121" s="32"/>
      <c r="BK121" s="55"/>
      <c r="BL121" s="32"/>
      <c r="BM121" s="32"/>
      <c r="BN121" s="32"/>
      <c r="BO121" s="32"/>
      <c r="BP121" s="32"/>
      <c r="BQ121" s="31"/>
      <c r="BR121" s="31"/>
      <c r="BS121" s="54"/>
      <c r="BT121" s="21" t="str">
        <f>IFERROR(VLOOKUP(February[[#This Row],[Drug Name7]],'Data Options'!$R$1:$S$100,2,FALSE), " ")</f>
        <v xml:space="preserve"> </v>
      </c>
      <c r="BU121" s="55"/>
      <c r="BV121" s="32"/>
      <c r="BW121" s="32"/>
      <c r="BX121" s="55"/>
      <c r="BY121" s="32"/>
      <c r="BZ121" s="54"/>
      <c r="CA121" s="21" t="str">
        <f>IFERROR(VLOOKUP(February[[#This Row],[Drug Name8]],'Data Options'!$R$1:$S$100,2,FALSE), " ")</f>
        <v xml:space="preserve"> </v>
      </c>
      <c r="CB121" s="55"/>
      <c r="CC121" s="32"/>
      <c r="CD121" s="32"/>
      <c r="CE121" s="55"/>
      <c r="CF121" s="32"/>
      <c r="CG121" s="54"/>
      <c r="CH121" s="21" t="str">
        <f>IFERROR(VLOOKUP(February[[#This Row],[Drug Name9]],'Data Options'!$R$1:$S$100,2,FALSE), " ")</f>
        <v xml:space="preserve"> </v>
      </c>
      <c r="CI121" s="55"/>
      <c r="CJ121" s="32"/>
      <c r="CK121" s="32"/>
      <c r="CL121" s="55"/>
      <c r="CM121" s="32"/>
    </row>
    <row r="122" spans="1:91">
      <c r="A122" s="5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1"/>
      <c r="P122" s="31"/>
      <c r="Q122" s="54"/>
      <c r="R122" s="21" t="str">
        <f>IFERROR(VLOOKUP(February[[#This Row],[Drug Name]],'Data Options'!$R$1:$S$100,2,FALSE), " ")</f>
        <v xml:space="preserve"> </v>
      </c>
      <c r="S122" s="55"/>
      <c r="T122" s="32"/>
      <c r="U122" s="32"/>
      <c r="V122" s="55"/>
      <c r="W122" s="32"/>
      <c r="X122" s="54"/>
      <c r="Y122" s="21" t="str">
        <f>IFERROR(VLOOKUP(February[[#This Row],[Drug Name2]],'Data Options'!$R$1:$S$100,2,FALSE), " ")</f>
        <v xml:space="preserve"> </v>
      </c>
      <c r="Z122" s="55"/>
      <c r="AA122" s="32"/>
      <c r="AB122" s="32"/>
      <c r="AC122" s="55"/>
      <c r="AD122" s="32"/>
      <c r="AE122" s="54"/>
      <c r="AF122" s="21" t="str">
        <f>IFERROR(VLOOKUP(February[[#This Row],[Drug Name3]],'Data Options'!$R$1:$S$100,2,FALSE), " ")</f>
        <v xml:space="preserve"> </v>
      </c>
      <c r="AG122" s="55"/>
      <c r="AH122" s="32"/>
      <c r="AI122" s="32"/>
      <c r="AJ122" s="55"/>
      <c r="AK122" s="32"/>
      <c r="AL122" s="32"/>
      <c r="AM122" s="32"/>
      <c r="AN122" s="32"/>
      <c r="AO122" s="32"/>
      <c r="AP122" s="31"/>
      <c r="AQ122" s="31"/>
      <c r="AR122" s="54"/>
      <c r="AS122" s="21" t="str">
        <f>IFERROR(VLOOKUP(February[[#This Row],[Drug Name4]],'Data Options'!$R$1:$S$100,2,FALSE), " ")</f>
        <v xml:space="preserve"> </v>
      </c>
      <c r="AT122" s="55"/>
      <c r="AU122" s="32"/>
      <c r="AV122" s="32"/>
      <c r="AW122" s="55"/>
      <c r="AX122" s="32"/>
      <c r="AY122" s="54"/>
      <c r="AZ122" s="21" t="str">
        <f>IFERROR(VLOOKUP(February[[#This Row],[Drug Name5]],'Data Options'!$R$1:$S$100,2,FALSE), " ")</f>
        <v xml:space="preserve"> </v>
      </c>
      <c r="BA122" s="55"/>
      <c r="BB122" s="32"/>
      <c r="BC122" s="32"/>
      <c r="BD122" s="55"/>
      <c r="BE122" s="32"/>
      <c r="BF122" s="54"/>
      <c r="BG122" s="21" t="str">
        <f>IFERROR(VLOOKUP(February[[#This Row],[Drug Name6]],'Data Options'!$R$1:$S$100,2,FALSE), " ")</f>
        <v xml:space="preserve"> </v>
      </c>
      <c r="BH122" s="55"/>
      <c r="BI122" s="32"/>
      <c r="BJ122" s="32"/>
      <c r="BK122" s="55"/>
      <c r="BL122" s="32"/>
      <c r="BM122" s="32"/>
      <c r="BN122" s="32"/>
      <c r="BO122" s="32"/>
      <c r="BP122" s="32"/>
      <c r="BQ122" s="31"/>
      <c r="BR122" s="31"/>
      <c r="BS122" s="54"/>
      <c r="BT122" s="21" t="str">
        <f>IFERROR(VLOOKUP(February[[#This Row],[Drug Name7]],'Data Options'!$R$1:$S$100,2,FALSE), " ")</f>
        <v xml:space="preserve"> </v>
      </c>
      <c r="BU122" s="55"/>
      <c r="BV122" s="32"/>
      <c r="BW122" s="32"/>
      <c r="BX122" s="55"/>
      <c r="BY122" s="32"/>
      <c r="BZ122" s="54"/>
      <c r="CA122" s="21" t="str">
        <f>IFERROR(VLOOKUP(February[[#This Row],[Drug Name8]],'Data Options'!$R$1:$S$100,2,FALSE), " ")</f>
        <v xml:space="preserve"> </v>
      </c>
      <c r="CB122" s="55"/>
      <c r="CC122" s="32"/>
      <c r="CD122" s="32"/>
      <c r="CE122" s="55"/>
      <c r="CF122" s="32"/>
      <c r="CG122" s="54"/>
      <c r="CH122" s="21" t="str">
        <f>IFERROR(VLOOKUP(February[[#This Row],[Drug Name9]],'Data Options'!$R$1:$S$100,2,FALSE), " ")</f>
        <v xml:space="preserve"> </v>
      </c>
      <c r="CI122" s="55"/>
      <c r="CJ122" s="32"/>
      <c r="CK122" s="32"/>
      <c r="CL122" s="55"/>
      <c r="CM122" s="32"/>
    </row>
    <row r="123" spans="1:91">
      <c r="A123" s="5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1"/>
      <c r="P123" s="31"/>
      <c r="Q123" s="54"/>
      <c r="R123" s="21" t="str">
        <f>IFERROR(VLOOKUP(February[[#This Row],[Drug Name]],'Data Options'!$R$1:$S$100,2,FALSE), " ")</f>
        <v xml:space="preserve"> </v>
      </c>
      <c r="S123" s="55"/>
      <c r="T123" s="32"/>
      <c r="U123" s="32"/>
      <c r="V123" s="55"/>
      <c r="W123" s="32"/>
      <c r="X123" s="54"/>
      <c r="Y123" s="21" t="str">
        <f>IFERROR(VLOOKUP(February[[#This Row],[Drug Name2]],'Data Options'!$R$1:$S$100,2,FALSE), " ")</f>
        <v xml:space="preserve"> </v>
      </c>
      <c r="Z123" s="55"/>
      <c r="AA123" s="32"/>
      <c r="AB123" s="32"/>
      <c r="AC123" s="55"/>
      <c r="AD123" s="32"/>
      <c r="AE123" s="54"/>
      <c r="AF123" s="21" t="str">
        <f>IFERROR(VLOOKUP(February[[#This Row],[Drug Name3]],'Data Options'!$R$1:$S$100,2,FALSE), " ")</f>
        <v xml:space="preserve"> </v>
      </c>
      <c r="AG123" s="55"/>
      <c r="AH123" s="32"/>
      <c r="AI123" s="32"/>
      <c r="AJ123" s="55"/>
      <c r="AK123" s="32"/>
      <c r="AL123" s="32"/>
      <c r="AM123" s="32"/>
      <c r="AN123" s="32"/>
      <c r="AO123" s="32"/>
      <c r="AP123" s="31"/>
      <c r="AQ123" s="31"/>
      <c r="AR123" s="54"/>
      <c r="AS123" s="21" t="str">
        <f>IFERROR(VLOOKUP(February[[#This Row],[Drug Name4]],'Data Options'!$R$1:$S$100,2,FALSE), " ")</f>
        <v xml:space="preserve"> </v>
      </c>
      <c r="AT123" s="55"/>
      <c r="AU123" s="32"/>
      <c r="AV123" s="32"/>
      <c r="AW123" s="55"/>
      <c r="AX123" s="32"/>
      <c r="AY123" s="54"/>
      <c r="AZ123" s="21" t="str">
        <f>IFERROR(VLOOKUP(February[[#This Row],[Drug Name5]],'Data Options'!$R$1:$S$100,2,FALSE), " ")</f>
        <v xml:space="preserve"> </v>
      </c>
      <c r="BA123" s="55"/>
      <c r="BB123" s="32"/>
      <c r="BC123" s="32"/>
      <c r="BD123" s="55"/>
      <c r="BE123" s="32"/>
      <c r="BF123" s="54"/>
      <c r="BG123" s="21" t="str">
        <f>IFERROR(VLOOKUP(February[[#This Row],[Drug Name6]],'Data Options'!$R$1:$S$100,2,FALSE), " ")</f>
        <v xml:space="preserve"> </v>
      </c>
      <c r="BH123" s="55"/>
      <c r="BI123" s="32"/>
      <c r="BJ123" s="32"/>
      <c r="BK123" s="55"/>
      <c r="BL123" s="32"/>
      <c r="BM123" s="32"/>
      <c r="BN123" s="32"/>
      <c r="BO123" s="32"/>
      <c r="BP123" s="32"/>
      <c r="BQ123" s="31"/>
      <c r="BR123" s="31"/>
      <c r="BS123" s="54"/>
      <c r="BT123" s="21" t="str">
        <f>IFERROR(VLOOKUP(February[[#This Row],[Drug Name7]],'Data Options'!$R$1:$S$100,2,FALSE), " ")</f>
        <v xml:space="preserve"> </v>
      </c>
      <c r="BU123" s="55"/>
      <c r="BV123" s="32"/>
      <c r="BW123" s="32"/>
      <c r="BX123" s="55"/>
      <c r="BY123" s="32"/>
      <c r="BZ123" s="54"/>
      <c r="CA123" s="21" t="str">
        <f>IFERROR(VLOOKUP(February[[#This Row],[Drug Name8]],'Data Options'!$R$1:$S$100,2,FALSE), " ")</f>
        <v xml:space="preserve"> </v>
      </c>
      <c r="CB123" s="55"/>
      <c r="CC123" s="32"/>
      <c r="CD123" s="32"/>
      <c r="CE123" s="55"/>
      <c r="CF123" s="32"/>
      <c r="CG123" s="54"/>
      <c r="CH123" s="21" t="str">
        <f>IFERROR(VLOOKUP(February[[#This Row],[Drug Name9]],'Data Options'!$R$1:$S$100,2,FALSE), " ")</f>
        <v xml:space="preserve"> </v>
      </c>
      <c r="CI123" s="55"/>
      <c r="CJ123" s="32"/>
      <c r="CK123" s="32"/>
      <c r="CL123" s="55"/>
      <c r="CM123" s="32"/>
    </row>
    <row r="124" spans="1:91">
      <c r="A124" s="5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1"/>
      <c r="P124" s="31"/>
      <c r="Q124" s="54"/>
      <c r="R124" s="21" t="str">
        <f>IFERROR(VLOOKUP(February[[#This Row],[Drug Name]],'Data Options'!$R$1:$S$100,2,FALSE), " ")</f>
        <v xml:space="preserve"> </v>
      </c>
      <c r="S124" s="55"/>
      <c r="T124" s="32"/>
      <c r="U124" s="32"/>
      <c r="V124" s="55"/>
      <c r="W124" s="32"/>
      <c r="X124" s="54"/>
      <c r="Y124" s="21" t="str">
        <f>IFERROR(VLOOKUP(February[[#This Row],[Drug Name2]],'Data Options'!$R$1:$S$100,2,FALSE), " ")</f>
        <v xml:space="preserve"> </v>
      </c>
      <c r="Z124" s="55"/>
      <c r="AA124" s="32"/>
      <c r="AB124" s="32"/>
      <c r="AC124" s="55"/>
      <c r="AD124" s="32"/>
      <c r="AE124" s="54"/>
      <c r="AF124" s="21" t="str">
        <f>IFERROR(VLOOKUP(February[[#This Row],[Drug Name3]],'Data Options'!$R$1:$S$100,2,FALSE), " ")</f>
        <v xml:space="preserve"> </v>
      </c>
      <c r="AG124" s="55"/>
      <c r="AH124" s="32"/>
      <c r="AI124" s="32"/>
      <c r="AJ124" s="55"/>
      <c r="AK124" s="32"/>
      <c r="AL124" s="32"/>
      <c r="AM124" s="32"/>
      <c r="AN124" s="32"/>
      <c r="AO124" s="32"/>
      <c r="AP124" s="31"/>
      <c r="AQ124" s="31"/>
      <c r="AR124" s="54"/>
      <c r="AS124" s="21" t="str">
        <f>IFERROR(VLOOKUP(February[[#This Row],[Drug Name4]],'Data Options'!$R$1:$S$100,2,FALSE), " ")</f>
        <v xml:space="preserve"> </v>
      </c>
      <c r="AT124" s="55"/>
      <c r="AU124" s="32"/>
      <c r="AV124" s="32"/>
      <c r="AW124" s="55"/>
      <c r="AX124" s="32"/>
      <c r="AY124" s="54"/>
      <c r="AZ124" s="21" t="str">
        <f>IFERROR(VLOOKUP(February[[#This Row],[Drug Name5]],'Data Options'!$R$1:$S$100,2,FALSE), " ")</f>
        <v xml:space="preserve"> </v>
      </c>
      <c r="BA124" s="55"/>
      <c r="BB124" s="32"/>
      <c r="BC124" s="32"/>
      <c r="BD124" s="55"/>
      <c r="BE124" s="32"/>
      <c r="BF124" s="54"/>
      <c r="BG124" s="21" t="str">
        <f>IFERROR(VLOOKUP(February[[#This Row],[Drug Name6]],'Data Options'!$R$1:$S$100,2,FALSE), " ")</f>
        <v xml:space="preserve"> </v>
      </c>
      <c r="BH124" s="55"/>
      <c r="BI124" s="32"/>
      <c r="BJ124" s="32"/>
      <c r="BK124" s="55"/>
      <c r="BL124" s="32"/>
      <c r="BM124" s="32"/>
      <c r="BN124" s="32"/>
      <c r="BO124" s="32"/>
      <c r="BP124" s="32"/>
      <c r="BQ124" s="31"/>
      <c r="BR124" s="31"/>
      <c r="BS124" s="54"/>
      <c r="BT124" s="21" t="str">
        <f>IFERROR(VLOOKUP(February[[#This Row],[Drug Name7]],'Data Options'!$R$1:$S$100,2,FALSE), " ")</f>
        <v xml:space="preserve"> </v>
      </c>
      <c r="BU124" s="55"/>
      <c r="BV124" s="32"/>
      <c r="BW124" s="32"/>
      <c r="BX124" s="55"/>
      <c r="BY124" s="32"/>
      <c r="BZ124" s="54"/>
      <c r="CA124" s="21" t="str">
        <f>IFERROR(VLOOKUP(February[[#This Row],[Drug Name8]],'Data Options'!$R$1:$S$100,2,FALSE), " ")</f>
        <v xml:space="preserve"> </v>
      </c>
      <c r="CB124" s="55"/>
      <c r="CC124" s="32"/>
      <c r="CD124" s="32"/>
      <c r="CE124" s="55"/>
      <c r="CF124" s="32"/>
      <c r="CG124" s="54"/>
      <c r="CH124" s="21" t="str">
        <f>IFERROR(VLOOKUP(February[[#This Row],[Drug Name9]],'Data Options'!$R$1:$S$100,2,FALSE), " ")</f>
        <v xml:space="preserve"> </v>
      </c>
      <c r="CI124" s="55"/>
      <c r="CJ124" s="32"/>
      <c r="CK124" s="32"/>
      <c r="CL124" s="55"/>
      <c r="CM124" s="32"/>
    </row>
    <row r="125" spans="1:91">
      <c r="A125" s="5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1"/>
      <c r="P125" s="31"/>
      <c r="Q125" s="54"/>
      <c r="R125" s="21" t="str">
        <f>IFERROR(VLOOKUP(February[[#This Row],[Drug Name]],'Data Options'!$R$1:$S$100,2,FALSE), " ")</f>
        <v xml:space="preserve"> </v>
      </c>
      <c r="S125" s="55"/>
      <c r="T125" s="32"/>
      <c r="U125" s="32"/>
      <c r="V125" s="55"/>
      <c r="W125" s="32"/>
      <c r="X125" s="54"/>
      <c r="Y125" s="21" t="str">
        <f>IFERROR(VLOOKUP(February[[#This Row],[Drug Name2]],'Data Options'!$R$1:$S$100,2,FALSE), " ")</f>
        <v xml:space="preserve"> </v>
      </c>
      <c r="Z125" s="55"/>
      <c r="AA125" s="32"/>
      <c r="AB125" s="32"/>
      <c r="AC125" s="55"/>
      <c r="AD125" s="32"/>
      <c r="AE125" s="54"/>
      <c r="AF125" s="21" t="str">
        <f>IFERROR(VLOOKUP(February[[#This Row],[Drug Name3]],'Data Options'!$R$1:$S$100,2,FALSE), " ")</f>
        <v xml:space="preserve"> </v>
      </c>
      <c r="AG125" s="55"/>
      <c r="AH125" s="32"/>
      <c r="AI125" s="32"/>
      <c r="AJ125" s="55"/>
      <c r="AK125" s="32"/>
      <c r="AL125" s="32"/>
      <c r="AM125" s="32"/>
      <c r="AN125" s="32"/>
      <c r="AO125" s="32"/>
      <c r="AP125" s="31"/>
      <c r="AQ125" s="31"/>
      <c r="AR125" s="54"/>
      <c r="AS125" s="21" t="str">
        <f>IFERROR(VLOOKUP(February[[#This Row],[Drug Name4]],'Data Options'!$R$1:$S$100,2,FALSE), " ")</f>
        <v xml:space="preserve"> </v>
      </c>
      <c r="AT125" s="55"/>
      <c r="AU125" s="32"/>
      <c r="AV125" s="32"/>
      <c r="AW125" s="55"/>
      <c r="AX125" s="32"/>
      <c r="AY125" s="54"/>
      <c r="AZ125" s="21" t="str">
        <f>IFERROR(VLOOKUP(February[[#This Row],[Drug Name5]],'Data Options'!$R$1:$S$100,2,FALSE), " ")</f>
        <v xml:space="preserve"> </v>
      </c>
      <c r="BA125" s="55"/>
      <c r="BB125" s="32"/>
      <c r="BC125" s="32"/>
      <c r="BD125" s="55"/>
      <c r="BE125" s="32"/>
      <c r="BF125" s="54"/>
      <c r="BG125" s="21" t="str">
        <f>IFERROR(VLOOKUP(February[[#This Row],[Drug Name6]],'Data Options'!$R$1:$S$100,2,FALSE), " ")</f>
        <v xml:space="preserve"> </v>
      </c>
      <c r="BH125" s="55"/>
      <c r="BI125" s="32"/>
      <c r="BJ125" s="32"/>
      <c r="BK125" s="55"/>
      <c r="BL125" s="32"/>
      <c r="BM125" s="32"/>
      <c r="BN125" s="32"/>
      <c r="BO125" s="32"/>
      <c r="BP125" s="32"/>
      <c r="BQ125" s="31"/>
      <c r="BR125" s="31"/>
      <c r="BS125" s="54"/>
      <c r="BT125" s="21" t="str">
        <f>IFERROR(VLOOKUP(February[[#This Row],[Drug Name7]],'Data Options'!$R$1:$S$100,2,FALSE), " ")</f>
        <v xml:space="preserve"> </v>
      </c>
      <c r="BU125" s="55"/>
      <c r="BV125" s="32"/>
      <c r="BW125" s="32"/>
      <c r="BX125" s="55"/>
      <c r="BY125" s="32"/>
      <c r="BZ125" s="54"/>
      <c r="CA125" s="21" t="str">
        <f>IFERROR(VLOOKUP(February[[#This Row],[Drug Name8]],'Data Options'!$R$1:$S$100,2,FALSE), " ")</f>
        <v xml:space="preserve"> </v>
      </c>
      <c r="CB125" s="55"/>
      <c r="CC125" s="32"/>
      <c r="CD125" s="32"/>
      <c r="CE125" s="55"/>
      <c r="CF125" s="32"/>
      <c r="CG125" s="54"/>
      <c r="CH125" s="21" t="str">
        <f>IFERROR(VLOOKUP(February[[#This Row],[Drug Name9]],'Data Options'!$R$1:$S$100,2,FALSE), " ")</f>
        <v xml:space="preserve"> </v>
      </c>
      <c r="CI125" s="55"/>
      <c r="CJ125" s="32"/>
      <c r="CK125" s="32"/>
      <c r="CL125" s="55"/>
      <c r="CM125" s="32"/>
    </row>
    <row r="126" spans="1:91">
      <c r="A126" s="5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1"/>
      <c r="P126" s="31"/>
      <c r="Q126" s="54"/>
      <c r="R126" s="21" t="str">
        <f>IFERROR(VLOOKUP(February[[#This Row],[Drug Name]],'Data Options'!$R$1:$S$100,2,FALSE), " ")</f>
        <v xml:space="preserve"> </v>
      </c>
      <c r="S126" s="55"/>
      <c r="T126" s="32"/>
      <c r="U126" s="32"/>
      <c r="V126" s="55"/>
      <c r="W126" s="32"/>
      <c r="X126" s="54"/>
      <c r="Y126" s="21" t="str">
        <f>IFERROR(VLOOKUP(February[[#This Row],[Drug Name2]],'Data Options'!$R$1:$S$100,2,FALSE), " ")</f>
        <v xml:space="preserve"> </v>
      </c>
      <c r="Z126" s="55"/>
      <c r="AA126" s="32"/>
      <c r="AB126" s="32"/>
      <c r="AC126" s="55"/>
      <c r="AD126" s="32"/>
      <c r="AE126" s="54"/>
      <c r="AF126" s="21" t="str">
        <f>IFERROR(VLOOKUP(February[[#This Row],[Drug Name3]],'Data Options'!$R$1:$S$100,2,FALSE), " ")</f>
        <v xml:space="preserve"> </v>
      </c>
      <c r="AG126" s="55"/>
      <c r="AH126" s="32"/>
      <c r="AI126" s="32"/>
      <c r="AJ126" s="55"/>
      <c r="AK126" s="32"/>
      <c r="AL126" s="32"/>
      <c r="AM126" s="32"/>
      <c r="AN126" s="32"/>
      <c r="AO126" s="32"/>
      <c r="AP126" s="31"/>
      <c r="AQ126" s="31"/>
      <c r="AR126" s="54"/>
      <c r="AS126" s="21" t="str">
        <f>IFERROR(VLOOKUP(February[[#This Row],[Drug Name4]],'Data Options'!$R$1:$S$100,2,FALSE), " ")</f>
        <v xml:space="preserve"> </v>
      </c>
      <c r="AT126" s="55"/>
      <c r="AU126" s="32"/>
      <c r="AV126" s="32"/>
      <c r="AW126" s="55"/>
      <c r="AX126" s="32"/>
      <c r="AY126" s="54"/>
      <c r="AZ126" s="21" t="str">
        <f>IFERROR(VLOOKUP(February[[#This Row],[Drug Name5]],'Data Options'!$R$1:$S$100,2,FALSE), " ")</f>
        <v xml:space="preserve"> </v>
      </c>
      <c r="BA126" s="55"/>
      <c r="BB126" s="32"/>
      <c r="BC126" s="32"/>
      <c r="BD126" s="55"/>
      <c r="BE126" s="32"/>
      <c r="BF126" s="54"/>
      <c r="BG126" s="21" t="str">
        <f>IFERROR(VLOOKUP(February[[#This Row],[Drug Name6]],'Data Options'!$R$1:$S$100,2,FALSE), " ")</f>
        <v xml:space="preserve"> </v>
      </c>
      <c r="BH126" s="55"/>
      <c r="BI126" s="32"/>
      <c r="BJ126" s="32"/>
      <c r="BK126" s="55"/>
      <c r="BL126" s="32"/>
      <c r="BM126" s="32"/>
      <c r="BN126" s="32"/>
      <c r="BO126" s="32"/>
      <c r="BP126" s="32"/>
      <c r="BQ126" s="31"/>
      <c r="BR126" s="31"/>
      <c r="BS126" s="54"/>
      <c r="BT126" s="21" t="str">
        <f>IFERROR(VLOOKUP(February[[#This Row],[Drug Name7]],'Data Options'!$R$1:$S$100,2,FALSE), " ")</f>
        <v xml:space="preserve"> </v>
      </c>
      <c r="BU126" s="55"/>
      <c r="BV126" s="32"/>
      <c r="BW126" s="32"/>
      <c r="BX126" s="55"/>
      <c r="BY126" s="32"/>
      <c r="BZ126" s="54"/>
      <c r="CA126" s="21" t="str">
        <f>IFERROR(VLOOKUP(February[[#This Row],[Drug Name8]],'Data Options'!$R$1:$S$100,2,FALSE), " ")</f>
        <v xml:space="preserve"> </v>
      </c>
      <c r="CB126" s="55"/>
      <c r="CC126" s="32"/>
      <c r="CD126" s="32"/>
      <c r="CE126" s="55"/>
      <c r="CF126" s="32"/>
      <c r="CG126" s="54"/>
      <c r="CH126" s="21" t="str">
        <f>IFERROR(VLOOKUP(February[[#This Row],[Drug Name9]],'Data Options'!$R$1:$S$100,2,FALSE), " ")</f>
        <v xml:space="preserve"> </v>
      </c>
      <c r="CI126" s="55"/>
      <c r="CJ126" s="32"/>
      <c r="CK126" s="32"/>
      <c r="CL126" s="55"/>
      <c r="CM126" s="32"/>
    </row>
    <row r="127" spans="1:91">
      <c r="A127" s="5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1"/>
      <c r="P127" s="31"/>
      <c r="Q127" s="54"/>
      <c r="R127" s="21" t="str">
        <f>IFERROR(VLOOKUP(February[[#This Row],[Drug Name]],'Data Options'!$R$1:$S$100,2,FALSE), " ")</f>
        <v xml:space="preserve"> </v>
      </c>
      <c r="S127" s="55"/>
      <c r="T127" s="32"/>
      <c r="U127" s="32"/>
      <c r="V127" s="55"/>
      <c r="W127" s="32"/>
      <c r="X127" s="54"/>
      <c r="Y127" s="21" t="str">
        <f>IFERROR(VLOOKUP(February[[#This Row],[Drug Name2]],'Data Options'!$R$1:$S$100,2,FALSE), " ")</f>
        <v xml:space="preserve"> </v>
      </c>
      <c r="Z127" s="55"/>
      <c r="AA127" s="32"/>
      <c r="AB127" s="32"/>
      <c r="AC127" s="55"/>
      <c r="AD127" s="32"/>
      <c r="AE127" s="54"/>
      <c r="AF127" s="21" t="str">
        <f>IFERROR(VLOOKUP(February[[#This Row],[Drug Name3]],'Data Options'!$R$1:$S$100,2,FALSE), " ")</f>
        <v xml:space="preserve"> </v>
      </c>
      <c r="AG127" s="55"/>
      <c r="AH127" s="32"/>
      <c r="AI127" s="32"/>
      <c r="AJ127" s="55"/>
      <c r="AK127" s="32"/>
      <c r="AL127" s="32"/>
      <c r="AM127" s="32"/>
      <c r="AN127" s="32"/>
      <c r="AO127" s="32"/>
      <c r="AP127" s="31"/>
      <c r="AQ127" s="31"/>
      <c r="AR127" s="54"/>
      <c r="AS127" s="21" t="str">
        <f>IFERROR(VLOOKUP(February[[#This Row],[Drug Name4]],'Data Options'!$R$1:$S$100,2,FALSE), " ")</f>
        <v xml:space="preserve"> </v>
      </c>
      <c r="AT127" s="55"/>
      <c r="AU127" s="32"/>
      <c r="AV127" s="32"/>
      <c r="AW127" s="55"/>
      <c r="AX127" s="32"/>
      <c r="AY127" s="54"/>
      <c r="AZ127" s="21" t="str">
        <f>IFERROR(VLOOKUP(February[[#This Row],[Drug Name5]],'Data Options'!$R$1:$S$100,2,FALSE), " ")</f>
        <v xml:space="preserve"> </v>
      </c>
      <c r="BA127" s="55"/>
      <c r="BB127" s="32"/>
      <c r="BC127" s="32"/>
      <c r="BD127" s="55"/>
      <c r="BE127" s="32"/>
      <c r="BF127" s="54"/>
      <c r="BG127" s="21" t="str">
        <f>IFERROR(VLOOKUP(February[[#This Row],[Drug Name6]],'Data Options'!$R$1:$S$100,2,FALSE), " ")</f>
        <v xml:space="preserve"> </v>
      </c>
      <c r="BH127" s="55"/>
      <c r="BI127" s="32"/>
      <c r="BJ127" s="32"/>
      <c r="BK127" s="55"/>
      <c r="BL127" s="32"/>
      <c r="BM127" s="32"/>
      <c r="BN127" s="32"/>
      <c r="BO127" s="32"/>
      <c r="BP127" s="32"/>
      <c r="BQ127" s="31"/>
      <c r="BR127" s="31"/>
      <c r="BS127" s="54"/>
      <c r="BT127" s="21" t="str">
        <f>IFERROR(VLOOKUP(February[[#This Row],[Drug Name7]],'Data Options'!$R$1:$S$100,2,FALSE), " ")</f>
        <v xml:space="preserve"> </v>
      </c>
      <c r="BU127" s="55"/>
      <c r="BV127" s="32"/>
      <c r="BW127" s="32"/>
      <c r="BX127" s="55"/>
      <c r="BY127" s="32"/>
      <c r="BZ127" s="54"/>
      <c r="CA127" s="21" t="str">
        <f>IFERROR(VLOOKUP(February[[#This Row],[Drug Name8]],'Data Options'!$R$1:$S$100,2,FALSE), " ")</f>
        <v xml:space="preserve"> </v>
      </c>
      <c r="CB127" s="55"/>
      <c r="CC127" s="32"/>
      <c r="CD127" s="32"/>
      <c r="CE127" s="55"/>
      <c r="CF127" s="32"/>
      <c r="CG127" s="54"/>
      <c r="CH127" s="21" t="str">
        <f>IFERROR(VLOOKUP(February[[#This Row],[Drug Name9]],'Data Options'!$R$1:$S$100,2,FALSE), " ")</f>
        <v xml:space="preserve"> </v>
      </c>
      <c r="CI127" s="55"/>
      <c r="CJ127" s="32"/>
      <c r="CK127" s="32"/>
      <c r="CL127" s="55"/>
      <c r="CM127" s="32"/>
    </row>
    <row r="128" spans="1:91">
      <c r="A128" s="5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1"/>
      <c r="P128" s="31"/>
      <c r="Q128" s="54"/>
      <c r="R128" s="21" t="str">
        <f>IFERROR(VLOOKUP(February[[#This Row],[Drug Name]],'Data Options'!$R$1:$S$100,2,FALSE), " ")</f>
        <v xml:space="preserve"> </v>
      </c>
      <c r="S128" s="55"/>
      <c r="T128" s="32"/>
      <c r="U128" s="32"/>
      <c r="V128" s="55"/>
      <c r="W128" s="32"/>
      <c r="X128" s="54"/>
      <c r="Y128" s="21" t="str">
        <f>IFERROR(VLOOKUP(February[[#This Row],[Drug Name2]],'Data Options'!$R$1:$S$100,2,FALSE), " ")</f>
        <v xml:space="preserve"> </v>
      </c>
      <c r="Z128" s="55"/>
      <c r="AA128" s="32"/>
      <c r="AB128" s="32"/>
      <c r="AC128" s="55"/>
      <c r="AD128" s="32"/>
      <c r="AE128" s="54"/>
      <c r="AF128" s="21" t="str">
        <f>IFERROR(VLOOKUP(February[[#This Row],[Drug Name3]],'Data Options'!$R$1:$S$100,2,FALSE), " ")</f>
        <v xml:space="preserve"> </v>
      </c>
      <c r="AG128" s="55"/>
      <c r="AH128" s="32"/>
      <c r="AI128" s="32"/>
      <c r="AJ128" s="55"/>
      <c r="AK128" s="32"/>
      <c r="AL128" s="32"/>
      <c r="AM128" s="32"/>
      <c r="AN128" s="32"/>
      <c r="AO128" s="32"/>
      <c r="AP128" s="31"/>
      <c r="AQ128" s="31"/>
      <c r="AR128" s="54"/>
      <c r="AS128" s="21" t="str">
        <f>IFERROR(VLOOKUP(February[[#This Row],[Drug Name4]],'Data Options'!$R$1:$S$100,2,FALSE), " ")</f>
        <v xml:space="preserve"> </v>
      </c>
      <c r="AT128" s="55"/>
      <c r="AU128" s="32"/>
      <c r="AV128" s="32"/>
      <c r="AW128" s="55"/>
      <c r="AX128" s="32"/>
      <c r="AY128" s="54"/>
      <c r="AZ128" s="21" t="str">
        <f>IFERROR(VLOOKUP(February[[#This Row],[Drug Name5]],'Data Options'!$R$1:$S$100,2,FALSE), " ")</f>
        <v xml:space="preserve"> </v>
      </c>
      <c r="BA128" s="55"/>
      <c r="BB128" s="32"/>
      <c r="BC128" s="32"/>
      <c r="BD128" s="55"/>
      <c r="BE128" s="32"/>
      <c r="BF128" s="54"/>
      <c r="BG128" s="21" t="str">
        <f>IFERROR(VLOOKUP(February[[#This Row],[Drug Name6]],'Data Options'!$R$1:$S$100,2,FALSE), " ")</f>
        <v xml:space="preserve"> </v>
      </c>
      <c r="BH128" s="55"/>
      <c r="BI128" s="32"/>
      <c r="BJ128" s="32"/>
      <c r="BK128" s="55"/>
      <c r="BL128" s="32"/>
      <c r="BM128" s="32"/>
      <c r="BN128" s="32"/>
      <c r="BO128" s="32"/>
      <c r="BP128" s="32"/>
      <c r="BQ128" s="31"/>
      <c r="BR128" s="31"/>
      <c r="BS128" s="54"/>
      <c r="BT128" s="21" t="str">
        <f>IFERROR(VLOOKUP(February[[#This Row],[Drug Name7]],'Data Options'!$R$1:$S$100,2,FALSE), " ")</f>
        <v xml:space="preserve"> </v>
      </c>
      <c r="BU128" s="55"/>
      <c r="BV128" s="32"/>
      <c r="BW128" s="32"/>
      <c r="BX128" s="55"/>
      <c r="BY128" s="32"/>
      <c r="BZ128" s="54"/>
      <c r="CA128" s="21" t="str">
        <f>IFERROR(VLOOKUP(February[[#This Row],[Drug Name8]],'Data Options'!$R$1:$S$100,2,FALSE), " ")</f>
        <v xml:space="preserve"> </v>
      </c>
      <c r="CB128" s="55"/>
      <c r="CC128" s="32"/>
      <c r="CD128" s="32"/>
      <c r="CE128" s="55"/>
      <c r="CF128" s="32"/>
      <c r="CG128" s="54"/>
      <c r="CH128" s="21" t="str">
        <f>IFERROR(VLOOKUP(February[[#This Row],[Drug Name9]],'Data Options'!$R$1:$S$100,2,FALSE), " ")</f>
        <v xml:space="preserve"> </v>
      </c>
      <c r="CI128" s="55"/>
      <c r="CJ128" s="32"/>
      <c r="CK128" s="32"/>
      <c r="CL128" s="55"/>
      <c r="CM128" s="32"/>
    </row>
    <row r="129" spans="1:91">
      <c r="A129" s="5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1"/>
      <c r="P129" s="31"/>
      <c r="Q129" s="54"/>
      <c r="R129" s="21" t="str">
        <f>IFERROR(VLOOKUP(February[[#This Row],[Drug Name]],'Data Options'!$R$1:$S$100,2,FALSE), " ")</f>
        <v xml:space="preserve"> </v>
      </c>
      <c r="S129" s="55"/>
      <c r="T129" s="32"/>
      <c r="U129" s="32"/>
      <c r="V129" s="55"/>
      <c r="W129" s="32"/>
      <c r="X129" s="54"/>
      <c r="Y129" s="21" t="str">
        <f>IFERROR(VLOOKUP(February[[#This Row],[Drug Name2]],'Data Options'!$R$1:$S$100,2,FALSE), " ")</f>
        <v xml:space="preserve"> </v>
      </c>
      <c r="Z129" s="55"/>
      <c r="AA129" s="32"/>
      <c r="AB129" s="32"/>
      <c r="AC129" s="55"/>
      <c r="AD129" s="32"/>
      <c r="AE129" s="54"/>
      <c r="AF129" s="21" t="str">
        <f>IFERROR(VLOOKUP(February[[#This Row],[Drug Name3]],'Data Options'!$R$1:$S$100,2,FALSE), " ")</f>
        <v xml:space="preserve"> </v>
      </c>
      <c r="AG129" s="55"/>
      <c r="AH129" s="32"/>
      <c r="AI129" s="32"/>
      <c r="AJ129" s="55"/>
      <c r="AK129" s="32"/>
      <c r="AL129" s="32"/>
      <c r="AM129" s="32"/>
      <c r="AN129" s="32"/>
      <c r="AO129" s="32"/>
      <c r="AP129" s="31"/>
      <c r="AQ129" s="31"/>
      <c r="AR129" s="54"/>
      <c r="AS129" s="21" t="str">
        <f>IFERROR(VLOOKUP(February[[#This Row],[Drug Name4]],'Data Options'!$R$1:$S$100,2,FALSE), " ")</f>
        <v xml:space="preserve"> </v>
      </c>
      <c r="AT129" s="55"/>
      <c r="AU129" s="32"/>
      <c r="AV129" s="32"/>
      <c r="AW129" s="55"/>
      <c r="AX129" s="32"/>
      <c r="AY129" s="54"/>
      <c r="AZ129" s="21" t="str">
        <f>IFERROR(VLOOKUP(February[[#This Row],[Drug Name5]],'Data Options'!$R$1:$S$100,2,FALSE), " ")</f>
        <v xml:space="preserve"> </v>
      </c>
      <c r="BA129" s="55"/>
      <c r="BB129" s="32"/>
      <c r="BC129" s="32"/>
      <c r="BD129" s="55"/>
      <c r="BE129" s="32"/>
      <c r="BF129" s="54"/>
      <c r="BG129" s="21" t="str">
        <f>IFERROR(VLOOKUP(February[[#This Row],[Drug Name6]],'Data Options'!$R$1:$S$100,2,FALSE), " ")</f>
        <v xml:space="preserve"> </v>
      </c>
      <c r="BH129" s="55"/>
      <c r="BI129" s="32"/>
      <c r="BJ129" s="32"/>
      <c r="BK129" s="55"/>
      <c r="BL129" s="32"/>
      <c r="BM129" s="32"/>
      <c r="BN129" s="32"/>
      <c r="BO129" s="32"/>
      <c r="BP129" s="32"/>
      <c r="BQ129" s="31"/>
      <c r="BR129" s="31"/>
      <c r="BS129" s="54"/>
      <c r="BT129" s="21" t="str">
        <f>IFERROR(VLOOKUP(February[[#This Row],[Drug Name7]],'Data Options'!$R$1:$S$100,2,FALSE), " ")</f>
        <v xml:space="preserve"> </v>
      </c>
      <c r="BU129" s="55"/>
      <c r="BV129" s="32"/>
      <c r="BW129" s="32"/>
      <c r="BX129" s="55"/>
      <c r="BY129" s="32"/>
      <c r="BZ129" s="54"/>
      <c r="CA129" s="21" t="str">
        <f>IFERROR(VLOOKUP(February[[#This Row],[Drug Name8]],'Data Options'!$R$1:$S$100,2,FALSE), " ")</f>
        <v xml:space="preserve"> </v>
      </c>
      <c r="CB129" s="55"/>
      <c r="CC129" s="32"/>
      <c r="CD129" s="32"/>
      <c r="CE129" s="55"/>
      <c r="CF129" s="32"/>
      <c r="CG129" s="54"/>
      <c r="CH129" s="21" t="str">
        <f>IFERROR(VLOOKUP(February[[#This Row],[Drug Name9]],'Data Options'!$R$1:$S$100,2,FALSE), " ")</f>
        <v xml:space="preserve"> </v>
      </c>
      <c r="CI129" s="55"/>
      <c r="CJ129" s="32"/>
      <c r="CK129" s="32"/>
      <c r="CL129" s="55"/>
      <c r="CM129" s="32"/>
    </row>
    <row r="130" spans="1:91">
      <c r="A130" s="5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1"/>
      <c r="P130" s="31"/>
      <c r="Q130" s="54"/>
      <c r="R130" s="21" t="str">
        <f>IFERROR(VLOOKUP(February[[#This Row],[Drug Name]],'Data Options'!$R$1:$S$100,2,FALSE), " ")</f>
        <v xml:space="preserve"> </v>
      </c>
      <c r="S130" s="55"/>
      <c r="T130" s="32"/>
      <c r="U130" s="32"/>
      <c r="V130" s="55"/>
      <c r="W130" s="32"/>
      <c r="X130" s="54"/>
      <c r="Y130" s="21" t="str">
        <f>IFERROR(VLOOKUP(February[[#This Row],[Drug Name2]],'Data Options'!$R$1:$S$100,2,FALSE), " ")</f>
        <v xml:space="preserve"> </v>
      </c>
      <c r="Z130" s="55"/>
      <c r="AA130" s="32"/>
      <c r="AB130" s="32"/>
      <c r="AC130" s="55"/>
      <c r="AD130" s="32"/>
      <c r="AE130" s="54"/>
      <c r="AF130" s="21" t="str">
        <f>IFERROR(VLOOKUP(February[[#This Row],[Drug Name3]],'Data Options'!$R$1:$S$100,2,FALSE), " ")</f>
        <v xml:space="preserve"> </v>
      </c>
      <c r="AG130" s="55"/>
      <c r="AH130" s="32"/>
      <c r="AI130" s="32"/>
      <c r="AJ130" s="55"/>
      <c r="AK130" s="32"/>
      <c r="AL130" s="32"/>
      <c r="AM130" s="32"/>
      <c r="AN130" s="32"/>
      <c r="AO130" s="32"/>
      <c r="AP130" s="31"/>
      <c r="AQ130" s="31"/>
      <c r="AR130" s="54"/>
      <c r="AS130" s="21" t="str">
        <f>IFERROR(VLOOKUP(February[[#This Row],[Drug Name4]],'Data Options'!$R$1:$S$100,2,FALSE), " ")</f>
        <v xml:space="preserve"> </v>
      </c>
      <c r="AT130" s="55"/>
      <c r="AU130" s="32"/>
      <c r="AV130" s="32"/>
      <c r="AW130" s="55"/>
      <c r="AX130" s="32"/>
      <c r="AY130" s="54"/>
      <c r="AZ130" s="21" t="str">
        <f>IFERROR(VLOOKUP(February[[#This Row],[Drug Name5]],'Data Options'!$R$1:$S$100,2,FALSE), " ")</f>
        <v xml:space="preserve"> </v>
      </c>
      <c r="BA130" s="55"/>
      <c r="BB130" s="32"/>
      <c r="BC130" s="32"/>
      <c r="BD130" s="55"/>
      <c r="BE130" s="32"/>
      <c r="BF130" s="54"/>
      <c r="BG130" s="21" t="str">
        <f>IFERROR(VLOOKUP(February[[#This Row],[Drug Name6]],'Data Options'!$R$1:$S$100,2,FALSE), " ")</f>
        <v xml:space="preserve"> </v>
      </c>
      <c r="BH130" s="55"/>
      <c r="BI130" s="32"/>
      <c r="BJ130" s="32"/>
      <c r="BK130" s="55"/>
      <c r="BL130" s="32"/>
      <c r="BM130" s="32"/>
      <c r="BN130" s="32"/>
      <c r="BO130" s="32"/>
      <c r="BP130" s="32"/>
      <c r="BQ130" s="31"/>
      <c r="BR130" s="31"/>
      <c r="BS130" s="54"/>
      <c r="BT130" s="21" t="str">
        <f>IFERROR(VLOOKUP(February[[#This Row],[Drug Name7]],'Data Options'!$R$1:$S$100,2,FALSE), " ")</f>
        <v xml:space="preserve"> </v>
      </c>
      <c r="BU130" s="55"/>
      <c r="BV130" s="32"/>
      <c r="BW130" s="32"/>
      <c r="BX130" s="55"/>
      <c r="BY130" s="32"/>
      <c r="BZ130" s="54"/>
      <c r="CA130" s="21" t="str">
        <f>IFERROR(VLOOKUP(February[[#This Row],[Drug Name8]],'Data Options'!$R$1:$S$100,2,FALSE), " ")</f>
        <v xml:space="preserve"> </v>
      </c>
      <c r="CB130" s="55"/>
      <c r="CC130" s="32"/>
      <c r="CD130" s="32"/>
      <c r="CE130" s="55"/>
      <c r="CF130" s="32"/>
      <c r="CG130" s="54"/>
      <c r="CH130" s="21" t="str">
        <f>IFERROR(VLOOKUP(February[[#This Row],[Drug Name9]],'Data Options'!$R$1:$S$100,2,FALSE), " ")</f>
        <v xml:space="preserve"> </v>
      </c>
      <c r="CI130" s="55"/>
      <c r="CJ130" s="32"/>
      <c r="CK130" s="32"/>
      <c r="CL130" s="55"/>
      <c r="CM130" s="32"/>
    </row>
    <row r="131" spans="1:91">
      <c r="A131" s="5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1"/>
      <c r="P131" s="31"/>
      <c r="Q131" s="54"/>
      <c r="R131" s="21" t="str">
        <f>IFERROR(VLOOKUP(February[[#This Row],[Drug Name]],'Data Options'!$R$1:$S$100,2,FALSE), " ")</f>
        <v xml:space="preserve"> </v>
      </c>
      <c r="S131" s="55"/>
      <c r="T131" s="32"/>
      <c r="U131" s="32"/>
      <c r="V131" s="55"/>
      <c r="W131" s="32"/>
      <c r="X131" s="54"/>
      <c r="Y131" s="21" t="str">
        <f>IFERROR(VLOOKUP(February[[#This Row],[Drug Name2]],'Data Options'!$R$1:$S$100,2,FALSE), " ")</f>
        <v xml:space="preserve"> </v>
      </c>
      <c r="Z131" s="55"/>
      <c r="AA131" s="32"/>
      <c r="AB131" s="32"/>
      <c r="AC131" s="55"/>
      <c r="AD131" s="32"/>
      <c r="AE131" s="54"/>
      <c r="AF131" s="21" t="str">
        <f>IFERROR(VLOOKUP(February[[#This Row],[Drug Name3]],'Data Options'!$R$1:$S$100,2,FALSE), " ")</f>
        <v xml:space="preserve"> </v>
      </c>
      <c r="AG131" s="55"/>
      <c r="AH131" s="32"/>
      <c r="AI131" s="32"/>
      <c r="AJ131" s="55"/>
      <c r="AK131" s="32"/>
      <c r="AL131" s="32"/>
      <c r="AM131" s="32"/>
      <c r="AN131" s="32"/>
      <c r="AO131" s="32"/>
      <c r="AP131" s="31"/>
      <c r="AQ131" s="31"/>
      <c r="AR131" s="54"/>
      <c r="AS131" s="21" t="str">
        <f>IFERROR(VLOOKUP(February[[#This Row],[Drug Name4]],'Data Options'!$R$1:$S$100,2,FALSE), " ")</f>
        <v xml:space="preserve"> </v>
      </c>
      <c r="AT131" s="55"/>
      <c r="AU131" s="32"/>
      <c r="AV131" s="32"/>
      <c r="AW131" s="55"/>
      <c r="AX131" s="32"/>
      <c r="AY131" s="54"/>
      <c r="AZ131" s="21" t="str">
        <f>IFERROR(VLOOKUP(February[[#This Row],[Drug Name5]],'Data Options'!$R$1:$S$100,2,FALSE), " ")</f>
        <v xml:space="preserve"> </v>
      </c>
      <c r="BA131" s="55"/>
      <c r="BB131" s="32"/>
      <c r="BC131" s="32"/>
      <c r="BD131" s="55"/>
      <c r="BE131" s="32"/>
      <c r="BF131" s="54"/>
      <c r="BG131" s="21" t="str">
        <f>IFERROR(VLOOKUP(February[[#This Row],[Drug Name6]],'Data Options'!$R$1:$S$100,2,FALSE), " ")</f>
        <v xml:space="preserve"> </v>
      </c>
      <c r="BH131" s="55"/>
      <c r="BI131" s="32"/>
      <c r="BJ131" s="32"/>
      <c r="BK131" s="55"/>
      <c r="BL131" s="32"/>
      <c r="BM131" s="32"/>
      <c r="BN131" s="32"/>
      <c r="BO131" s="32"/>
      <c r="BP131" s="32"/>
      <c r="BQ131" s="31"/>
      <c r="BR131" s="31"/>
      <c r="BS131" s="54"/>
      <c r="BT131" s="21" t="str">
        <f>IFERROR(VLOOKUP(February[[#This Row],[Drug Name7]],'Data Options'!$R$1:$S$100,2,FALSE), " ")</f>
        <v xml:space="preserve"> </v>
      </c>
      <c r="BU131" s="55"/>
      <c r="BV131" s="32"/>
      <c r="BW131" s="32"/>
      <c r="BX131" s="55"/>
      <c r="BY131" s="32"/>
      <c r="BZ131" s="54"/>
      <c r="CA131" s="21" t="str">
        <f>IFERROR(VLOOKUP(February[[#This Row],[Drug Name8]],'Data Options'!$R$1:$S$100,2,FALSE), " ")</f>
        <v xml:space="preserve"> </v>
      </c>
      <c r="CB131" s="55"/>
      <c r="CC131" s="32"/>
      <c r="CD131" s="32"/>
      <c r="CE131" s="55"/>
      <c r="CF131" s="32"/>
      <c r="CG131" s="54"/>
      <c r="CH131" s="21" t="str">
        <f>IFERROR(VLOOKUP(February[[#This Row],[Drug Name9]],'Data Options'!$R$1:$S$100,2,FALSE), " ")</f>
        <v xml:space="preserve"> </v>
      </c>
      <c r="CI131" s="55"/>
      <c r="CJ131" s="32"/>
      <c r="CK131" s="32"/>
      <c r="CL131" s="55"/>
      <c r="CM131" s="32"/>
    </row>
    <row r="132" spans="1:91">
      <c r="A132" s="5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1"/>
      <c r="P132" s="31"/>
      <c r="Q132" s="54"/>
      <c r="R132" s="21" t="str">
        <f>IFERROR(VLOOKUP(February[[#This Row],[Drug Name]],'Data Options'!$R$1:$S$100,2,FALSE), " ")</f>
        <v xml:space="preserve"> </v>
      </c>
      <c r="S132" s="55"/>
      <c r="T132" s="32"/>
      <c r="U132" s="32"/>
      <c r="V132" s="55"/>
      <c r="W132" s="32"/>
      <c r="X132" s="54"/>
      <c r="Y132" s="21" t="str">
        <f>IFERROR(VLOOKUP(February[[#This Row],[Drug Name2]],'Data Options'!$R$1:$S$100,2,FALSE), " ")</f>
        <v xml:space="preserve"> </v>
      </c>
      <c r="Z132" s="55"/>
      <c r="AA132" s="32"/>
      <c r="AB132" s="32"/>
      <c r="AC132" s="55"/>
      <c r="AD132" s="32"/>
      <c r="AE132" s="54"/>
      <c r="AF132" s="21" t="str">
        <f>IFERROR(VLOOKUP(February[[#This Row],[Drug Name3]],'Data Options'!$R$1:$S$100,2,FALSE), " ")</f>
        <v xml:space="preserve"> </v>
      </c>
      <c r="AG132" s="55"/>
      <c r="AH132" s="32"/>
      <c r="AI132" s="32"/>
      <c r="AJ132" s="55"/>
      <c r="AK132" s="32"/>
      <c r="AL132" s="32"/>
      <c r="AM132" s="32"/>
      <c r="AN132" s="32"/>
      <c r="AO132" s="32"/>
      <c r="AP132" s="31"/>
      <c r="AQ132" s="31"/>
      <c r="AR132" s="54"/>
      <c r="AS132" s="21" t="str">
        <f>IFERROR(VLOOKUP(February[[#This Row],[Drug Name4]],'Data Options'!$R$1:$S$100,2,FALSE), " ")</f>
        <v xml:space="preserve"> </v>
      </c>
      <c r="AT132" s="55"/>
      <c r="AU132" s="32"/>
      <c r="AV132" s="32"/>
      <c r="AW132" s="55"/>
      <c r="AX132" s="32"/>
      <c r="AY132" s="54"/>
      <c r="AZ132" s="21" t="str">
        <f>IFERROR(VLOOKUP(February[[#This Row],[Drug Name5]],'Data Options'!$R$1:$S$100,2,FALSE), " ")</f>
        <v xml:space="preserve"> </v>
      </c>
      <c r="BA132" s="55"/>
      <c r="BB132" s="32"/>
      <c r="BC132" s="32"/>
      <c r="BD132" s="55"/>
      <c r="BE132" s="32"/>
      <c r="BF132" s="54"/>
      <c r="BG132" s="21" t="str">
        <f>IFERROR(VLOOKUP(February[[#This Row],[Drug Name6]],'Data Options'!$R$1:$S$100,2,FALSE), " ")</f>
        <v xml:space="preserve"> </v>
      </c>
      <c r="BH132" s="55"/>
      <c r="BI132" s="32"/>
      <c r="BJ132" s="32"/>
      <c r="BK132" s="55"/>
      <c r="BL132" s="32"/>
      <c r="BM132" s="32"/>
      <c r="BN132" s="32"/>
      <c r="BO132" s="32"/>
      <c r="BP132" s="32"/>
      <c r="BQ132" s="31"/>
      <c r="BR132" s="31"/>
      <c r="BS132" s="54"/>
      <c r="BT132" s="21" t="str">
        <f>IFERROR(VLOOKUP(February[[#This Row],[Drug Name7]],'Data Options'!$R$1:$S$100,2,FALSE), " ")</f>
        <v xml:space="preserve"> </v>
      </c>
      <c r="BU132" s="55"/>
      <c r="BV132" s="32"/>
      <c r="BW132" s="32"/>
      <c r="BX132" s="55"/>
      <c r="BY132" s="32"/>
      <c r="BZ132" s="54"/>
      <c r="CA132" s="21" t="str">
        <f>IFERROR(VLOOKUP(February[[#This Row],[Drug Name8]],'Data Options'!$R$1:$S$100,2,FALSE), " ")</f>
        <v xml:space="preserve"> </v>
      </c>
      <c r="CB132" s="55"/>
      <c r="CC132" s="32"/>
      <c r="CD132" s="32"/>
      <c r="CE132" s="55"/>
      <c r="CF132" s="32"/>
      <c r="CG132" s="54"/>
      <c r="CH132" s="21" t="str">
        <f>IFERROR(VLOOKUP(February[[#This Row],[Drug Name9]],'Data Options'!$R$1:$S$100,2,FALSE), " ")</f>
        <v xml:space="preserve"> </v>
      </c>
      <c r="CI132" s="55"/>
      <c r="CJ132" s="32"/>
      <c r="CK132" s="32"/>
      <c r="CL132" s="55"/>
      <c r="CM132" s="32"/>
    </row>
    <row r="133" spans="1:91">
      <c r="A133" s="5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54"/>
      <c r="R133" s="21" t="str">
        <f>IFERROR(VLOOKUP(February[[#This Row],[Drug Name]],'Data Options'!$R$1:$S$100,2,FALSE), " ")</f>
        <v xml:space="preserve"> </v>
      </c>
      <c r="S133" s="55"/>
      <c r="T133" s="32"/>
      <c r="U133" s="32"/>
      <c r="V133" s="55"/>
      <c r="W133" s="32"/>
      <c r="X133" s="54"/>
      <c r="Y133" s="21" t="str">
        <f>IFERROR(VLOOKUP(February[[#This Row],[Drug Name2]],'Data Options'!$R$1:$S$100,2,FALSE), " ")</f>
        <v xml:space="preserve"> </v>
      </c>
      <c r="Z133" s="55"/>
      <c r="AA133" s="32"/>
      <c r="AB133" s="32"/>
      <c r="AC133" s="55"/>
      <c r="AD133" s="32"/>
      <c r="AE133" s="54"/>
      <c r="AF133" s="21" t="str">
        <f>IFERROR(VLOOKUP(February[[#This Row],[Drug Name3]],'Data Options'!$R$1:$S$100,2,FALSE), " ")</f>
        <v xml:space="preserve"> </v>
      </c>
      <c r="AG133" s="55"/>
      <c r="AH133" s="32"/>
      <c r="AI133" s="32"/>
      <c r="AJ133" s="55"/>
      <c r="AK133" s="32"/>
      <c r="AL133" s="32"/>
      <c r="AM133" s="32"/>
      <c r="AN133" s="32"/>
      <c r="AO133" s="32"/>
      <c r="AP133" s="31"/>
      <c r="AQ133" s="31"/>
      <c r="AR133" s="54"/>
      <c r="AS133" s="21" t="str">
        <f>IFERROR(VLOOKUP(February[[#This Row],[Drug Name4]],'Data Options'!$R$1:$S$100,2,FALSE), " ")</f>
        <v xml:space="preserve"> </v>
      </c>
      <c r="AT133" s="55"/>
      <c r="AU133" s="32"/>
      <c r="AV133" s="32"/>
      <c r="AW133" s="55"/>
      <c r="AX133" s="32"/>
      <c r="AY133" s="54"/>
      <c r="AZ133" s="21" t="str">
        <f>IFERROR(VLOOKUP(February[[#This Row],[Drug Name5]],'Data Options'!$R$1:$S$100,2,FALSE), " ")</f>
        <v xml:space="preserve"> </v>
      </c>
      <c r="BA133" s="55"/>
      <c r="BB133" s="32"/>
      <c r="BC133" s="32"/>
      <c r="BD133" s="55"/>
      <c r="BE133" s="32"/>
      <c r="BF133" s="54"/>
      <c r="BG133" s="21" t="str">
        <f>IFERROR(VLOOKUP(February[[#This Row],[Drug Name6]],'Data Options'!$R$1:$S$100,2,FALSE), " ")</f>
        <v xml:space="preserve"> </v>
      </c>
      <c r="BH133" s="55"/>
      <c r="BI133" s="32"/>
      <c r="BJ133" s="32"/>
      <c r="BK133" s="55"/>
      <c r="BL133" s="32"/>
      <c r="BM133" s="32"/>
      <c r="BN133" s="32"/>
      <c r="BO133" s="32"/>
      <c r="BP133" s="32"/>
      <c r="BQ133" s="31"/>
      <c r="BR133" s="31"/>
      <c r="BS133" s="54"/>
      <c r="BT133" s="21" t="str">
        <f>IFERROR(VLOOKUP(February[[#This Row],[Drug Name7]],'Data Options'!$R$1:$S$100,2,FALSE), " ")</f>
        <v xml:space="preserve"> </v>
      </c>
      <c r="BU133" s="55"/>
      <c r="BV133" s="32"/>
      <c r="BW133" s="32"/>
      <c r="BX133" s="55"/>
      <c r="BY133" s="32"/>
      <c r="BZ133" s="54"/>
      <c r="CA133" s="21" t="str">
        <f>IFERROR(VLOOKUP(February[[#This Row],[Drug Name8]],'Data Options'!$R$1:$S$100,2,FALSE), " ")</f>
        <v xml:space="preserve"> </v>
      </c>
      <c r="CB133" s="55"/>
      <c r="CC133" s="32"/>
      <c r="CD133" s="32"/>
      <c r="CE133" s="55"/>
      <c r="CF133" s="32"/>
      <c r="CG133" s="54"/>
      <c r="CH133" s="21" t="str">
        <f>IFERROR(VLOOKUP(February[[#This Row],[Drug Name9]],'Data Options'!$R$1:$S$100,2,FALSE), " ")</f>
        <v xml:space="preserve"> </v>
      </c>
      <c r="CI133" s="55"/>
      <c r="CJ133" s="32"/>
      <c r="CK133" s="32"/>
      <c r="CL133" s="55"/>
      <c r="CM133" s="32"/>
    </row>
    <row r="134" spans="1:91">
      <c r="A134" s="5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54"/>
      <c r="R134" s="21" t="str">
        <f>IFERROR(VLOOKUP(February[[#This Row],[Drug Name]],'Data Options'!$R$1:$S$100,2,FALSE), " ")</f>
        <v xml:space="preserve"> </v>
      </c>
      <c r="S134" s="55"/>
      <c r="T134" s="32"/>
      <c r="U134" s="32"/>
      <c r="V134" s="55"/>
      <c r="W134" s="32"/>
      <c r="X134" s="54"/>
      <c r="Y134" s="21" t="str">
        <f>IFERROR(VLOOKUP(February[[#This Row],[Drug Name2]],'Data Options'!$R$1:$S$100,2,FALSE), " ")</f>
        <v xml:space="preserve"> </v>
      </c>
      <c r="Z134" s="55"/>
      <c r="AA134" s="32"/>
      <c r="AB134" s="32"/>
      <c r="AC134" s="55"/>
      <c r="AD134" s="32"/>
      <c r="AE134" s="54"/>
      <c r="AF134" s="21" t="str">
        <f>IFERROR(VLOOKUP(February[[#This Row],[Drug Name3]],'Data Options'!$R$1:$S$100,2,FALSE), " ")</f>
        <v xml:space="preserve"> </v>
      </c>
      <c r="AG134" s="55"/>
      <c r="AH134" s="32"/>
      <c r="AI134" s="32"/>
      <c r="AJ134" s="55"/>
      <c r="AK134" s="32"/>
      <c r="AL134" s="32"/>
      <c r="AM134" s="32"/>
      <c r="AN134" s="32"/>
      <c r="AO134" s="32"/>
      <c r="AP134" s="31"/>
      <c r="AQ134" s="31"/>
      <c r="AR134" s="54"/>
      <c r="AS134" s="21" t="str">
        <f>IFERROR(VLOOKUP(February[[#This Row],[Drug Name4]],'Data Options'!$R$1:$S$100,2,FALSE), " ")</f>
        <v xml:space="preserve"> </v>
      </c>
      <c r="AT134" s="55"/>
      <c r="AU134" s="32"/>
      <c r="AV134" s="32"/>
      <c r="AW134" s="55"/>
      <c r="AX134" s="32"/>
      <c r="AY134" s="54"/>
      <c r="AZ134" s="21" t="str">
        <f>IFERROR(VLOOKUP(February[[#This Row],[Drug Name5]],'Data Options'!$R$1:$S$100,2,FALSE), " ")</f>
        <v xml:space="preserve"> </v>
      </c>
      <c r="BA134" s="55"/>
      <c r="BB134" s="32"/>
      <c r="BC134" s="32"/>
      <c r="BD134" s="55"/>
      <c r="BE134" s="32"/>
      <c r="BF134" s="54"/>
      <c r="BG134" s="21" t="str">
        <f>IFERROR(VLOOKUP(February[[#This Row],[Drug Name6]],'Data Options'!$R$1:$S$100,2,FALSE), " ")</f>
        <v xml:space="preserve"> </v>
      </c>
      <c r="BH134" s="55"/>
      <c r="BI134" s="32"/>
      <c r="BJ134" s="32"/>
      <c r="BK134" s="55"/>
      <c r="BL134" s="32"/>
      <c r="BM134" s="32"/>
      <c r="BN134" s="32"/>
      <c r="BO134" s="32"/>
      <c r="BP134" s="32"/>
      <c r="BQ134" s="31"/>
      <c r="BR134" s="31"/>
      <c r="BS134" s="54"/>
      <c r="BT134" s="21" t="str">
        <f>IFERROR(VLOOKUP(February[[#This Row],[Drug Name7]],'Data Options'!$R$1:$S$100,2,FALSE), " ")</f>
        <v xml:space="preserve"> </v>
      </c>
      <c r="BU134" s="55"/>
      <c r="BV134" s="32"/>
      <c r="BW134" s="32"/>
      <c r="BX134" s="55"/>
      <c r="BY134" s="32"/>
      <c r="BZ134" s="54"/>
      <c r="CA134" s="21" t="str">
        <f>IFERROR(VLOOKUP(February[[#This Row],[Drug Name8]],'Data Options'!$R$1:$S$100,2,FALSE), " ")</f>
        <v xml:space="preserve"> </v>
      </c>
      <c r="CB134" s="55"/>
      <c r="CC134" s="32"/>
      <c r="CD134" s="32"/>
      <c r="CE134" s="55"/>
      <c r="CF134" s="32"/>
      <c r="CG134" s="54"/>
      <c r="CH134" s="21" t="str">
        <f>IFERROR(VLOOKUP(February[[#This Row],[Drug Name9]],'Data Options'!$R$1:$S$100,2,FALSE), " ")</f>
        <v xml:space="preserve"> </v>
      </c>
      <c r="CI134" s="55"/>
      <c r="CJ134" s="32"/>
      <c r="CK134" s="32"/>
      <c r="CL134" s="55"/>
      <c r="CM134" s="32"/>
    </row>
    <row r="135" spans="1:91">
      <c r="A135" s="5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1"/>
      <c r="P135" s="31"/>
      <c r="Q135" s="54"/>
      <c r="R135" s="21" t="str">
        <f>IFERROR(VLOOKUP(February[[#This Row],[Drug Name]],'Data Options'!$R$1:$S$100,2,FALSE), " ")</f>
        <v xml:space="preserve"> </v>
      </c>
      <c r="S135" s="55"/>
      <c r="T135" s="32"/>
      <c r="U135" s="32"/>
      <c r="V135" s="55"/>
      <c r="W135" s="32"/>
      <c r="X135" s="54"/>
      <c r="Y135" s="21" t="str">
        <f>IFERROR(VLOOKUP(February[[#This Row],[Drug Name2]],'Data Options'!$R$1:$S$100,2,FALSE), " ")</f>
        <v xml:space="preserve"> </v>
      </c>
      <c r="Z135" s="55"/>
      <c r="AA135" s="32"/>
      <c r="AB135" s="32"/>
      <c r="AC135" s="55"/>
      <c r="AD135" s="32"/>
      <c r="AE135" s="54"/>
      <c r="AF135" s="21" t="str">
        <f>IFERROR(VLOOKUP(February[[#This Row],[Drug Name3]],'Data Options'!$R$1:$S$100,2,FALSE), " ")</f>
        <v xml:space="preserve"> </v>
      </c>
      <c r="AG135" s="55"/>
      <c r="AH135" s="32"/>
      <c r="AI135" s="32"/>
      <c r="AJ135" s="55"/>
      <c r="AK135" s="32"/>
      <c r="AL135" s="32"/>
      <c r="AM135" s="32"/>
      <c r="AN135" s="32"/>
      <c r="AO135" s="32"/>
      <c r="AP135" s="31"/>
      <c r="AQ135" s="31"/>
      <c r="AR135" s="54"/>
      <c r="AS135" s="21" t="str">
        <f>IFERROR(VLOOKUP(February[[#This Row],[Drug Name4]],'Data Options'!$R$1:$S$100,2,FALSE), " ")</f>
        <v xml:space="preserve"> </v>
      </c>
      <c r="AT135" s="55"/>
      <c r="AU135" s="32"/>
      <c r="AV135" s="32"/>
      <c r="AW135" s="55"/>
      <c r="AX135" s="32"/>
      <c r="AY135" s="54"/>
      <c r="AZ135" s="21" t="str">
        <f>IFERROR(VLOOKUP(February[[#This Row],[Drug Name5]],'Data Options'!$R$1:$S$100,2,FALSE), " ")</f>
        <v xml:space="preserve"> </v>
      </c>
      <c r="BA135" s="55"/>
      <c r="BB135" s="32"/>
      <c r="BC135" s="32"/>
      <c r="BD135" s="55"/>
      <c r="BE135" s="32"/>
      <c r="BF135" s="54"/>
      <c r="BG135" s="21" t="str">
        <f>IFERROR(VLOOKUP(February[[#This Row],[Drug Name6]],'Data Options'!$R$1:$S$100,2,FALSE), " ")</f>
        <v xml:space="preserve"> </v>
      </c>
      <c r="BH135" s="55"/>
      <c r="BI135" s="32"/>
      <c r="BJ135" s="32"/>
      <c r="BK135" s="55"/>
      <c r="BL135" s="32"/>
      <c r="BM135" s="32"/>
      <c r="BN135" s="32"/>
      <c r="BO135" s="32"/>
      <c r="BP135" s="32"/>
      <c r="BQ135" s="31"/>
      <c r="BR135" s="31"/>
      <c r="BS135" s="54"/>
      <c r="BT135" s="21" t="str">
        <f>IFERROR(VLOOKUP(February[[#This Row],[Drug Name7]],'Data Options'!$R$1:$S$100,2,FALSE), " ")</f>
        <v xml:space="preserve"> </v>
      </c>
      <c r="BU135" s="55"/>
      <c r="BV135" s="32"/>
      <c r="BW135" s="32"/>
      <c r="BX135" s="55"/>
      <c r="BY135" s="32"/>
      <c r="BZ135" s="54"/>
      <c r="CA135" s="21" t="str">
        <f>IFERROR(VLOOKUP(February[[#This Row],[Drug Name8]],'Data Options'!$R$1:$S$100,2,FALSE), " ")</f>
        <v xml:space="preserve"> </v>
      </c>
      <c r="CB135" s="55"/>
      <c r="CC135" s="32"/>
      <c r="CD135" s="32"/>
      <c r="CE135" s="55"/>
      <c r="CF135" s="32"/>
      <c r="CG135" s="54"/>
      <c r="CH135" s="21" t="str">
        <f>IFERROR(VLOOKUP(February[[#This Row],[Drug Name9]],'Data Options'!$R$1:$S$100,2,FALSE), " ")</f>
        <v xml:space="preserve"> </v>
      </c>
      <c r="CI135" s="55"/>
      <c r="CJ135" s="32"/>
      <c r="CK135" s="32"/>
      <c r="CL135" s="55"/>
      <c r="CM135" s="32"/>
    </row>
    <row r="136" spans="1:91">
      <c r="A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1"/>
      <c r="P136" s="31"/>
      <c r="Q136" s="54"/>
      <c r="R136" s="21" t="str">
        <f>IFERROR(VLOOKUP(February[[#This Row],[Drug Name]],'Data Options'!$R$1:$S$100,2,FALSE), " ")</f>
        <v xml:space="preserve"> </v>
      </c>
      <c r="S136" s="55"/>
      <c r="T136" s="32"/>
      <c r="U136" s="32"/>
      <c r="V136" s="55"/>
      <c r="W136" s="32"/>
      <c r="X136" s="54"/>
      <c r="Y136" s="21" t="str">
        <f>IFERROR(VLOOKUP(February[[#This Row],[Drug Name2]],'Data Options'!$R$1:$S$100,2,FALSE), " ")</f>
        <v xml:space="preserve"> </v>
      </c>
      <c r="Z136" s="55"/>
      <c r="AA136" s="32"/>
      <c r="AB136" s="32"/>
      <c r="AC136" s="55"/>
      <c r="AD136" s="32"/>
      <c r="AE136" s="54"/>
      <c r="AF136" s="21" t="str">
        <f>IFERROR(VLOOKUP(February[[#This Row],[Drug Name3]],'Data Options'!$R$1:$S$100,2,FALSE), " ")</f>
        <v xml:space="preserve"> </v>
      </c>
      <c r="AG136" s="55"/>
      <c r="AH136" s="32"/>
      <c r="AI136" s="32"/>
      <c r="AJ136" s="55"/>
      <c r="AK136" s="32"/>
      <c r="AL136" s="32"/>
      <c r="AM136" s="32"/>
      <c r="AN136" s="32"/>
      <c r="AO136" s="32"/>
      <c r="AP136" s="31"/>
      <c r="AQ136" s="31"/>
      <c r="AR136" s="54"/>
      <c r="AS136" s="21" t="str">
        <f>IFERROR(VLOOKUP(February[[#This Row],[Drug Name4]],'Data Options'!$R$1:$S$100,2,FALSE), " ")</f>
        <v xml:space="preserve"> </v>
      </c>
      <c r="AT136" s="55"/>
      <c r="AU136" s="32"/>
      <c r="AV136" s="32"/>
      <c r="AW136" s="55"/>
      <c r="AX136" s="32"/>
      <c r="AY136" s="54"/>
      <c r="AZ136" s="21" t="str">
        <f>IFERROR(VLOOKUP(February[[#This Row],[Drug Name5]],'Data Options'!$R$1:$S$100,2,FALSE), " ")</f>
        <v xml:space="preserve"> </v>
      </c>
      <c r="BA136" s="55"/>
      <c r="BB136" s="32"/>
      <c r="BC136" s="32"/>
      <c r="BD136" s="55"/>
      <c r="BE136" s="32"/>
      <c r="BF136" s="54"/>
      <c r="BG136" s="21" t="str">
        <f>IFERROR(VLOOKUP(February[[#This Row],[Drug Name6]],'Data Options'!$R$1:$S$100,2,FALSE), " ")</f>
        <v xml:space="preserve"> </v>
      </c>
      <c r="BH136" s="55"/>
      <c r="BI136" s="32"/>
      <c r="BJ136" s="32"/>
      <c r="BK136" s="55"/>
      <c r="BL136" s="32"/>
      <c r="BM136" s="32"/>
      <c r="BN136" s="32"/>
      <c r="BO136" s="32"/>
      <c r="BP136" s="32"/>
      <c r="BQ136" s="31"/>
      <c r="BR136" s="31"/>
      <c r="BS136" s="54"/>
      <c r="BT136" s="21" t="str">
        <f>IFERROR(VLOOKUP(February[[#This Row],[Drug Name7]],'Data Options'!$R$1:$S$100,2,FALSE), " ")</f>
        <v xml:space="preserve"> </v>
      </c>
      <c r="BU136" s="55"/>
      <c r="BV136" s="32"/>
      <c r="BW136" s="32"/>
      <c r="BX136" s="55"/>
      <c r="BY136" s="32"/>
      <c r="BZ136" s="54"/>
      <c r="CA136" s="21" t="str">
        <f>IFERROR(VLOOKUP(February[[#This Row],[Drug Name8]],'Data Options'!$R$1:$S$100,2,FALSE), " ")</f>
        <v xml:space="preserve"> </v>
      </c>
      <c r="CB136" s="55"/>
      <c r="CC136" s="32"/>
      <c r="CD136" s="32"/>
      <c r="CE136" s="55"/>
      <c r="CF136" s="32"/>
      <c r="CG136" s="54"/>
      <c r="CH136" s="21" t="str">
        <f>IFERROR(VLOOKUP(February[[#This Row],[Drug Name9]],'Data Options'!$R$1:$S$100,2,FALSE), " ")</f>
        <v xml:space="preserve"> </v>
      </c>
      <c r="CI136" s="55"/>
      <c r="CJ136" s="32"/>
      <c r="CK136" s="32"/>
      <c r="CL136" s="55"/>
      <c r="CM136" s="32"/>
    </row>
    <row r="137" spans="1:91">
      <c r="A137" s="5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/>
      <c r="P137" s="31"/>
      <c r="Q137" s="54"/>
      <c r="R137" s="21" t="str">
        <f>IFERROR(VLOOKUP(February[[#This Row],[Drug Name]],'Data Options'!$R$1:$S$100,2,FALSE), " ")</f>
        <v xml:space="preserve"> </v>
      </c>
      <c r="S137" s="55"/>
      <c r="T137" s="32"/>
      <c r="U137" s="32"/>
      <c r="V137" s="55"/>
      <c r="W137" s="32"/>
      <c r="X137" s="54"/>
      <c r="Y137" s="21" t="str">
        <f>IFERROR(VLOOKUP(February[[#This Row],[Drug Name2]],'Data Options'!$R$1:$S$100,2,FALSE), " ")</f>
        <v xml:space="preserve"> </v>
      </c>
      <c r="Z137" s="55"/>
      <c r="AA137" s="32"/>
      <c r="AB137" s="32"/>
      <c r="AC137" s="55"/>
      <c r="AD137" s="32"/>
      <c r="AE137" s="54"/>
      <c r="AF137" s="21" t="str">
        <f>IFERROR(VLOOKUP(February[[#This Row],[Drug Name3]],'Data Options'!$R$1:$S$100,2,FALSE), " ")</f>
        <v xml:space="preserve"> </v>
      </c>
      <c r="AG137" s="55"/>
      <c r="AH137" s="32"/>
      <c r="AI137" s="32"/>
      <c r="AJ137" s="55"/>
      <c r="AK137" s="32"/>
      <c r="AL137" s="32"/>
      <c r="AM137" s="32"/>
      <c r="AN137" s="32"/>
      <c r="AO137" s="32"/>
      <c r="AP137" s="31"/>
      <c r="AQ137" s="31"/>
      <c r="AR137" s="54"/>
      <c r="AS137" s="21" t="str">
        <f>IFERROR(VLOOKUP(February[[#This Row],[Drug Name4]],'Data Options'!$R$1:$S$100,2,FALSE), " ")</f>
        <v xml:space="preserve"> </v>
      </c>
      <c r="AT137" s="55"/>
      <c r="AU137" s="32"/>
      <c r="AV137" s="32"/>
      <c r="AW137" s="55"/>
      <c r="AX137" s="32"/>
      <c r="AY137" s="54"/>
      <c r="AZ137" s="21" t="str">
        <f>IFERROR(VLOOKUP(February[[#This Row],[Drug Name5]],'Data Options'!$R$1:$S$100,2,FALSE), " ")</f>
        <v xml:space="preserve"> </v>
      </c>
      <c r="BA137" s="55"/>
      <c r="BB137" s="32"/>
      <c r="BC137" s="32"/>
      <c r="BD137" s="55"/>
      <c r="BE137" s="32"/>
      <c r="BF137" s="54"/>
      <c r="BG137" s="21" t="str">
        <f>IFERROR(VLOOKUP(February[[#This Row],[Drug Name6]],'Data Options'!$R$1:$S$100,2,FALSE), " ")</f>
        <v xml:space="preserve"> </v>
      </c>
      <c r="BH137" s="55"/>
      <c r="BI137" s="32"/>
      <c r="BJ137" s="32"/>
      <c r="BK137" s="55"/>
      <c r="BL137" s="32"/>
      <c r="BM137" s="32"/>
      <c r="BN137" s="32"/>
      <c r="BO137" s="32"/>
      <c r="BP137" s="32"/>
      <c r="BQ137" s="31"/>
      <c r="BR137" s="31"/>
      <c r="BS137" s="54"/>
      <c r="BT137" s="21" t="str">
        <f>IFERROR(VLOOKUP(February[[#This Row],[Drug Name7]],'Data Options'!$R$1:$S$100,2,FALSE), " ")</f>
        <v xml:space="preserve"> </v>
      </c>
      <c r="BU137" s="55"/>
      <c r="BV137" s="32"/>
      <c r="BW137" s="32"/>
      <c r="BX137" s="55"/>
      <c r="BY137" s="32"/>
      <c r="BZ137" s="54"/>
      <c r="CA137" s="21" t="str">
        <f>IFERROR(VLOOKUP(February[[#This Row],[Drug Name8]],'Data Options'!$R$1:$S$100,2,FALSE), " ")</f>
        <v xml:space="preserve"> </v>
      </c>
      <c r="CB137" s="55"/>
      <c r="CC137" s="32"/>
      <c r="CD137" s="32"/>
      <c r="CE137" s="55"/>
      <c r="CF137" s="32"/>
      <c r="CG137" s="54"/>
      <c r="CH137" s="21" t="str">
        <f>IFERROR(VLOOKUP(February[[#This Row],[Drug Name9]],'Data Options'!$R$1:$S$100,2,FALSE), " ")</f>
        <v xml:space="preserve"> </v>
      </c>
      <c r="CI137" s="55"/>
      <c r="CJ137" s="32"/>
      <c r="CK137" s="32"/>
      <c r="CL137" s="55"/>
      <c r="CM137" s="32"/>
    </row>
    <row r="138" spans="1:91">
      <c r="A138" s="5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1"/>
      <c r="P138" s="31"/>
      <c r="Q138" s="54"/>
      <c r="R138" s="21" t="str">
        <f>IFERROR(VLOOKUP(February[[#This Row],[Drug Name]],'Data Options'!$R$1:$S$100,2,FALSE), " ")</f>
        <v xml:space="preserve"> </v>
      </c>
      <c r="S138" s="55"/>
      <c r="T138" s="32"/>
      <c r="U138" s="32"/>
      <c r="V138" s="55"/>
      <c r="W138" s="32"/>
      <c r="X138" s="54"/>
      <c r="Y138" s="21" t="str">
        <f>IFERROR(VLOOKUP(February[[#This Row],[Drug Name2]],'Data Options'!$R$1:$S$100,2,FALSE), " ")</f>
        <v xml:space="preserve"> </v>
      </c>
      <c r="Z138" s="55"/>
      <c r="AA138" s="32"/>
      <c r="AB138" s="32"/>
      <c r="AC138" s="55"/>
      <c r="AD138" s="32"/>
      <c r="AE138" s="54"/>
      <c r="AF138" s="21" t="str">
        <f>IFERROR(VLOOKUP(February[[#This Row],[Drug Name3]],'Data Options'!$R$1:$S$100,2,FALSE), " ")</f>
        <v xml:space="preserve"> </v>
      </c>
      <c r="AG138" s="55"/>
      <c r="AH138" s="32"/>
      <c r="AI138" s="32"/>
      <c r="AJ138" s="55"/>
      <c r="AK138" s="32"/>
      <c r="AL138" s="32"/>
      <c r="AM138" s="32"/>
      <c r="AN138" s="32"/>
      <c r="AO138" s="32"/>
      <c r="AP138" s="31"/>
      <c r="AQ138" s="31"/>
      <c r="AR138" s="54"/>
      <c r="AS138" s="21" t="str">
        <f>IFERROR(VLOOKUP(February[[#This Row],[Drug Name4]],'Data Options'!$R$1:$S$100,2,FALSE), " ")</f>
        <v xml:space="preserve"> </v>
      </c>
      <c r="AT138" s="55"/>
      <c r="AU138" s="32"/>
      <c r="AV138" s="32"/>
      <c r="AW138" s="55"/>
      <c r="AX138" s="32"/>
      <c r="AY138" s="54"/>
      <c r="AZ138" s="21" t="str">
        <f>IFERROR(VLOOKUP(February[[#This Row],[Drug Name5]],'Data Options'!$R$1:$S$100,2,FALSE), " ")</f>
        <v xml:space="preserve"> </v>
      </c>
      <c r="BA138" s="55"/>
      <c r="BB138" s="32"/>
      <c r="BC138" s="32"/>
      <c r="BD138" s="55"/>
      <c r="BE138" s="32"/>
      <c r="BF138" s="54"/>
      <c r="BG138" s="21" t="str">
        <f>IFERROR(VLOOKUP(February[[#This Row],[Drug Name6]],'Data Options'!$R$1:$S$100,2,FALSE), " ")</f>
        <v xml:space="preserve"> </v>
      </c>
      <c r="BH138" s="55"/>
      <c r="BI138" s="32"/>
      <c r="BJ138" s="32"/>
      <c r="BK138" s="55"/>
      <c r="BL138" s="32"/>
      <c r="BM138" s="32"/>
      <c r="BN138" s="32"/>
      <c r="BO138" s="32"/>
      <c r="BP138" s="32"/>
      <c r="BQ138" s="31"/>
      <c r="BR138" s="31"/>
      <c r="BS138" s="54"/>
      <c r="BT138" s="21" t="str">
        <f>IFERROR(VLOOKUP(February[[#This Row],[Drug Name7]],'Data Options'!$R$1:$S$100,2,FALSE), " ")</f>
        <v xml:space="preserve"> </v>
      </c>
      <c r="BU138" s="55"/>
      <c r="BV138" s="32"/>
      <c r="BW138" s="32"/>
      <c r="BX138" s="55"/>
      <c r="BY138" s="32"/>
      <c r="BZ138" s="54"/>
      <c r="CA138" s="21" t="str">
        <f>IFERROR(VLOOKUP(February[[#This Row],[Drug Name8]],'Data Options'!$R$1:$S$100,2,FALSE), " ")</f>
        <v xml:space="preserve"> </v>
      </c>
      <c r="CB138" s="55"/>
      <c r="CC138" s="32"/>
      <c r="CD138" s="32"/>
      <c r="CE138" s="55"/>
      <c r="CF138" s="32"/>
      <c r="CG138" s="54"/>
      <c r="CH138" s="21" t="str">
        <f>IFERROR(VLOOKUP(February[[#This Row],[Drug Name9]],'Data Options'!$R$1:$S$100,2,FALSE), " ")</f>
        <v xml:space="preserve"> </v>
      </c>
      <c r="CI138" s="55"/>
      <c r="CJ138" s="32"/>
      <c r="CK138" s="32"/>
      <c r="CL138" s="55"/>
      <c r="CM138" s="32"/>
    </row>
    <row r="139" spans="1:91">
      <c r="A139" s="5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1"/>
      <c r="P139" s="31"/>
      <c r="Q139" s="54"/>
      <c r="R139" s="21" t="str">
        <f>IFERROR(VLOOKUP(February[[#This Row],[Drug Name]],'Data Options'!$R$1:$S$100,2,FALSE), " ")</f>
        <v xml:space="preserve"> </v>
      </c>
      <c r="S139" s="55"/>
      <c r="T139" s="32"/>
      <c r="U139" s="32"/>
      <c r="V139" s="55"/>
      <c r="W139" s="32"/>
      <c r="X139" s="54"/>
      <c r="Y139" s="21" t="str">
        <f>IFERROR(VLOOKUP(February[[#This Row],[Drug Name2]],'Data Options'!$R$1:$S$100,2,FALSE), " ")</f>
        <v xml:space="preserve"> </v>
      </c>
      <c r="Z139" s="55"/>
      <c r="AA139" s="32"/>
      <c r="AB139" s="32"/>
      <c r="AC139" s="55"/>
      <c r="AD139" s="32"/>
      <c r="AE139" s="54"/>
      <c r="AF139" s="21" t="str">
        <f>IFERROR(VLOOKUP(February[[#This Row],[Drug Name3]],'Data Options'!$R$1:$S$100,2,FALSE), " ")</f>
        <v xml:space="preserve"> </v>
      </c>
      <c r="AG139" s="55"/>
      <c r="AH139" s="32"/>
      <c r="AI139" s="32"/>
      <c r="AJ139" s="55"/>
      <c r="AK139" s="32"/>
      <c r="AL139" s="32"/>
      <c r="AM139" s="32"/>
      <c r="AN139" s="32"/>
      <c r="AO139" s="32"/>
      <c r="AP139" s="31"/>
      <c r="AQ139" s="31"/>
      <c r="AR139" s="54"/>
      <c r="AS139" s="21" t="str">
        <f>IFERROR(VLOOKUP(February[[#This Row],[Drug Name4]],'Data Options'!$R$1:$S$100,2,FALSE), " ")</f>
        <v xml:space="preserve"> </v>
      </c>
      <c r="AT139" s="55"/>
      <c r="AU139" s="32"/>
      <c r="AV139" s="32"/>
      <c r="AW139" s="55"/>
      <c r="AX139" s="32"/>
      <c r="AY139" s="54"/>
      <c r="AZ139" s="21" t="str">
        <f>IFERROR(VLOOKUP(February[[#This Row],[Drug Name5]],'Data Options'!$R$1:$S$100,2,FALSE), " ")</f>
        <v xml:space="preserve"> </v>
      </c>
      <c r="BA139" s="55"/>
      <c r="BB139" s="32"/>
      <c r="BC139" s="32"/>
      <c r="BD139" s="55"/>
      <c r="BE139" s="32"/>
      <c r="BF139" s="54"/>
      <c r="BG139" s="21" t="str">
        <f>IFERROR(VLOOKUP(February[[#This Row],[Drug Name6]],'Data Options'!$R$1:$S$100,2,FALSE), " ")</f>
        <v xml:space="preserve"> </v>
      </c>
      <c r="BH139" s="55"/>
      <c r="BI139" s="32"/>
      <c r="BJ139" s="32"/>
      <c r="BK139" s="55"/>
      <c r="BL139" s="32"/>
      <c r="BM139" s="32"/>
      <c r="BN139" s="32"/>
      <c r="BO139" s="32"/>
      <c r="BP139" s="32"/>
      <c r="BQ139" s="31"/>
      <c r="BR139" s="31"/>
      <c r="BS139" s="54"/>
      <c r="BT139" s="21" t="str">
        <f>IFERROR(VLOOKUP(February[[#This Row],[Drug Name7]],'Data Options'!$R$1:$S$100,2,FALSE), " ")</f>
        <v xml:space="preserve"> </v>
      </c>
      <c r="BU139" s="55"/>
      <c r="BV139" s="32"/>
      <c r="BW139" s="32"/>
      <c r="BX139" s="55"/>
      <c r="BY139" s="32"/>
      <c r="BZ139" s="54"/>
      <c r="CA139" s="21" t="str">
        <f>IFERROR(VLOOKUP(February[[#This Row],[Drug Name8]],'Data Options'!$R$1:$S$100,2,FALSE), " ")</f>
        <v xml:space="preserve"> </v>
      </c>
      <c r="CB139" s="55"/>
      <c r="CC139" s="32"/>
      <c r="CD139" s="32"/>
      <c r="CE139" s="55"/>
      <c r="CF139" s="32"/>
      <c r="CG139" s="54"/>
      <c r="CH139" s="21" t="str">
        <f>IFERROR(VLOOKUP(February[[#This Row],[Drug Name9]],'Data Options'!$R$1:$S$100,2,FALSE), " ")</f>
        <v xml:space="preserve"> </v>
      </c>
      <c r="CI139" s="55"/>
      <c r="CJ139" s="32"/>
      <c r="CK139" s="32"/>
      <c r="CL139" s="55"/>
      <c r="CM139" s="32"/>
    </row>
    <row r="140" spans="1:91">
      <c r="A140" s="5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1"/>
      <c r="P140" s="31"/>
      <c r="Q140" s="54"/>
      <c r="R140" s="21" t="str">
        <f>IFERROR(VLOOKUP(February[[#This Row],[Drug Name]],'Data Options'!$R$1:$S$100,2,FALSE), " ")</f>
        <v xml:space="preserve"> </v>
      </c>
      <c r="S140" s="55"/>
      <c r="T140" s="32"/>
      <c r="U140" s="32"/>
      <c r="V140" s="55"/>
      <c r="W140" s="32"/>
      <c r="X140" s="54"/>
      <c r="Y140" s="21" t="str">
        <f>IFERROR(VLOOKUP(February[[#This Row],[Drug Name2]],'Data Options'!$R$1:$S$100,2,FALSE), " ")</f>
        <v xml:space="preserve"> </v>
      </c>
      <c r="Z140" s="55"/>
      <c r="AA140" s="32"/>
      <c r="AB140" s="32"/>
      <c r="AC140" s="55"/>
      <c r="AD140" s="32"/>
      <c r="AE140" s="54"/>
      <c r="AF140" s="21" t="str">
        <f>IFERROR(VLOOKUP(February[[#This Row],[Drug Name3]],'Data Options'!$R$1:$S$100,2,FALSE), " ")</f>
        <v xml:space="preserve"> </v>
      </c>
      <c r="AG140" s="55"/>
      <c r="AH140" s="32"/>
      <c r="AI140" s="32"/>
      <c r="AJ140" s="55"/>
      <c r="AK140" s="32"/>
      <c r="AL140" s="32"/>
      <c r="AM140" s="32"/>
      <c r="AN140" s="32"/>
      <c r="AO140" s="32"/>
      <c r="AP140" s="31"/>
      <c r="AQ140" s="31"/>
      <c r="AR140" s="54"/>
      <c r="AS140" s="21" t="str">
        <f>IFERROR(VLOOKUP(February[[#This Row],[Drug Name4]],'Data Options'!$R$1:$S$100,2,FALSE), " ")</f>
        <v xml:space="preserve"> </v>
      </c>
      <c r="AT140" s="55"/>
      <c r="AU140" s="32"/>
      <c r="AV140" s="32"/>
      <c r="AW140" s="55"/>
      <c r="AX140" s="32"/>
      <c r="AY140" s="54"/>
      <c r="AZ140" s="21" t="str">
        <f>IFERROR(VLOOKUP(February[[#This Row],[Drug Name5]],'Data Options'!$R$1:$S$100,2,FALSE), " ")</f>
        <v xml:space="preserve"> </v>
      </c>
      <c r="BA140" s="55"/>
      <c r="BB140" s="32"/>
      <c r="BC140" s="32"/>
      <c r="BD140" s="55"/>
      <c r="BE140" s="32"/>
      <c r="BF140" s="54"/>
      <c r="BG140" s="21" t="str">
        <f>IFERROR(VLOOKUP(February[[#This Row],[Drug Name6]],'Data Options'!$R$1:$S$100,2,FALSE), " ")</f>
        <v xml:space="preserve"> </v>
      </c>
      <c r="BH140" s="55"/>
      <c r="BI140" s="32"/>
      <c r="BJ140" s="32"/>
      <c r="BK140" s="55"/>
      <c r="BL140" s="32"/>
      <c r="BM140" s="32"/>
      <c r="BN140" s="32"/>
      <c r="BO140" s="32"/>
      <c r="BP140" s="32"/>
      <c r="BQ140" s="31"/>
      <c r="BR140" s="31"/>
      <c r="BS140" s="54"/>
      <c r="BT140" s="21" t="str">
        <f>IFERROR(VLOOKUP(February[[#This Row],[Drug Name7]],'Data Options'!$R$1:$S$100,2,FALSE), " ")</f>
        <v xml:space="preserve"> </v>
      </c>
      <c r="BU140" s="55"/>
      <c r="BV140" s="32"/>
      <c r="BW140" s="32"/>
      <c r="BX140" s="55"/>
      <c r="BY140" s="32"/>
      <c r="BZ140" s="54"/>
      <c r="CA140" s="21" t="str">
        <f>IFERROR(VLOOKUP(February[[#This Row],[Drug Name8]],'Data Options'!$R$1:$S$100,2,FALSE), " ")</f>
        <v xml:space="preserve"> </v>
      </c>
      <c r="CB140" s="55"/>
      <c r="CC140" s="32"/>
      <c r="CD140" s="32"/>
      <c r="CE140" s="55"/>
      <c r="CF140" s="32"/>
      <c r="CG140" s="54"/>
      <c r="CH140" s="21" t="str">
        <f>IFERROR(VLOOKUP(February[[#This Row],[Drug Name9]],'Data Options'!$R$1:$S$100,2,FALSE), " ")</f>
        <v xml:space="preserve"> </v>
      </c>
      <c r="CI140" s="55"/>
      <c r="CJ140" s="32"/>
      <c r="CK140" s="32"/>
      <c r="CL140" s="55"/>
      <c r="CM140" s="32"/>
    </row>
    <row r="141" spans="1:91">
      <c r="A141" s="5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1"/>
      <c r="Q141" s="54"/>
      <c r="R141" s="21" t="str">
        <f>IFERROR(VLOOKUP(February[[#This Row],[Drug Name]],'Data Options'!$R$1:$S$100,2,FALSE), " ")</f>
        <v xml:space="preserve"> </v>
      </c>
      <c r="S141" s="55"/>
      <c r="T141" s="32"/>
      <c r="U141" s="32"/>
      <c r="V141" s="55"/>
      <c r="W141" s="32"/>
      <c r="X141" s="54"/>
      <c r="Y141" s="21" t="str">
        <f>IFERROR(VLOOKUP(February[[#This Row],[Drug Name2]],'Data Options'!$R$1:$S$100,2,FALSE), " ")</f>
        <v xml:space="preserve"> </v>
      </c>
      <c r="Z141" s="55"/>
      <c r="AA141" s="32"/>
      <c r="AB141" s="32"/>
      <c r="AC141" s="55"/>
      <c r="AD141" s="32"/>
      <c r="AE141" s="54"/>
      <c r="AF141" s="21" t="str">
        <f>IFERROR(VLOOKUP(February[[#This Row],[Drug Name3]],'Data Options'!$R$1:$S$100,2,FALSE), " ")</f>
        <v xml:space="preserve"> </v>
      </c>
      <c r="AG141" s="55"/>
      <c r="AH141" s="32"/>
      <c r="AI141" s="32"/>
      <c r="AJ141" s="55"/>
      <c r="AK141" s="32"/>
      <c r="AL141" s="32"/>
      <c r="AM141" s="32"/>
      <c r="AN141" s="32"/>
      <c r="AO141" s="32"/>
      <c r="AP141" s="31"/>
      <c r="AQ141" s="31"/>
      <c r="AR141" s="54"/>
      <c r="AS141" s="21" t="str">
        <f>IFERROR(VLOOKUP(February[[#This Row],[Drug Name4]],'Data Options'!$R$1:$S$100,2,FALSE), " ")</f>
        <v xml:space="preserve"> </v>
      </c>
      <c r="AT141" s="55"/>
      <c r="AU141" s="32"/>
      <c r="AV141" s="32"/>
      <c r="AW141" s="55"/>
      <c r="AX141" s="32"/>
      <c r="AY141" s="54"/>
      <c r="AZ141" s="21" t="str">
        <f>IFERROR(VLOOKUP(February[[#This Row],[Drug Name5]],'Data Options'!$R$1:$S$100,2,FALSE), " ")</f>
        <v xml:space="preserve"> </v>
      </c>
      <c r="BA141" s="55"/>
      <c r="BB141" s="32"/>
      <c r="BC141" s="32"/>
      <c r="BD141" s="55"/>
      <c r="BE141" s="32"/>
      <c r="BF141" s="54"/>
      <c r="BG141" s="21" t="str">
        <f>IFERROR(VLOOKUP(February[[#This Row],[Drug Name6]],'Data Options'!$R$1:$S$100,2,FALSE), " ")</f>
        <v xml:space="preserve"> </v>
      </c>
      <c r="BH141" s="55"/>
      <c r="BI141" s="32"/>
      <c r="BJ141" s="32"/>
      <c r="BK141" s="55"/>
      <c r="BL141" s="32"/>
      <c r="BM141" s="32"/>
      <c r="BN141" s="32"/>
      <c r="BO141" s="32"/>
      <c r="BP141" s="32"/>
      <c r="BQ141" s="31"/>
      <c r="BR141" s="31"/>
      <c r="BS141" s="54"/>
      <c r="BT141" s="21" t="str">
        <f>IFERROR(VLOOKUP(February[[#This Row],[Drug Name7]],'Data Options'!$R$1:$S$100,2,FALSE), " ")</f>
        <v xml:space="preserve"> </v>
      </c>
      <c r="BU141" s="55"/>
      <c r="BV141" s="32"/>
      <c r="BW141" s="32"/>
      <c r="BX141" s="55"/>
      <c r="BY141" s="32"/>
      <c r="BZ141" s="54"/>
      <c r="CA141" s="21" t="str">
        <f>IFERROR(VLOOKUP(February[[#This Row],[Drug Name8]],'Data Options'!$R$1:$S$100,2,FALSE), " ")</f>
        <v xml:space="preserve"> </v>
      </c>
      <c r="CB141" s="55"/>
      <c r="CC141" s="32"/>
      <c r="CD141" s="32"/>
      <c r="CE141" s="55"/>
      <c r="CF141" s="32"/>
      <c r="CG141" s="54"/>
      <c r="CH141" s="21" t="str">
        <f>IFERROR(VLOOKUP(February[[#This Row],[Drug Name9]],'Data Options'!$R$1:$S$100,2,FALSE), " ")</f>
        <v xml:space="preserve"> </v>
      </c>
      <c r="CI141" s="55"/>
      <c r="CJ141" s="32"/>
      <c r="CK141" s="32"/>
      <c r="CL141" s="55"/>
      <c r="CM141" s="32"/>
    </row>
    <row r="142" spans="1:91">
      <c r="A142" s="5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1"/>
      <c r="P142" s="31"/>
      <c r="Q142" s="54"/>
      <c r="R142" s="21" t="str">
        <f>IFERROR(VLOOKUP(February[[#This Row],[Drug Name]],'Data Options'!$R$1:$S$100,2,FALSE), " ")</f>
        <v xml:space="preserve"> </v>
      </c>
      <c r="S142" s="55"/>
      <c r="T142" s="32"/>
      <c r="U142" s="32"/>
      <c r="V142" s="55"/>
      <c r="W142" s="32"/>
      <c r="X142" s="54"/>
      <c r="Y142" s="21" t="str">
        <f>IFERROR(VLOOKUP(February[[#This Row],[Drug Name2]],'Data Options'!$R$1:$S$100,2,FALSE), " ")</f>
        <v xml:space="preserve"> </v>
      </c>
      <c r="Z142" s="55"/>
      <c r="AA142" s="32"/>
      <c r="AB142" s="32"/>
      <c r="AC142" s="55"/>
      <c r="AD142" s="32"/>
      <c r="AE142" s="54"/>
      <c r="AF142" s="21" t="str">
        <f>IFERROR(VLOOKUP(February[[#This Row],[Drug Name3]],'Data Options'!$R$1:$S$100,2,FALSE), " ")</f>
        <v xml:space="preserve"> </v>
      </c>
      <c r="AG142" s="55"/>
      <c r="AH142" s="32"/>
      <c r="AI142" s="32"/>
      <c r="AJ142" s="55"/>
      <c r="AK142" s="32"/>
      <c r="AL142" s="32"/>
      <c r="AM142" s="32"/>
      <c r="AN142" s="32"/>
      <c r="AO142" s="32"/>
      <c r="AP142" s="31"/>
      <c r="AQ142" s="31"/>
      <c r="AR142" s="54"/>
      <c r="AS142" s="21" t="str">
        <f>IFERROR(VLOOKUP(February[[#This Row],[Drug Name4]],'Data Options'!$R$1:$S$100,2,FALSE), " ")</f>
        <v xml:space="preserve"> </v>
      </c>
      <c r="AT142" s="55"/>
      <c r="AU142" s="32"/>
      <c r="AV142" s="32"/>
      <c r="AW142" s="55"/>
      <c r="AX142" s="32"/>
      <c r="AY142" s="54"/>
      <c r="AZ142" s="21" t="str">
        <f>IFERROR(VLOOKUP(February[[#This Row],[Drug Name5]],'Data Options'!$R$1:$S$100,2,FALSE), " ")</f>
        <v xml:space="preserve"> </v>
      </c>
      <c r="BA142" s="55"/>
      <c r="BB142" s="32"/>
      <c r="BC142" s="32"/>
      <c r="BD142" s="55"/>
      <c r="BE142" s="32"/>
      <c r="BF142" s="54"/>
      <c r="BG142" s="21" t="str">
        <f>IFERROR(VLOOKUP(February[[#This Row],[Drug Name6]],'Data Options'!$R$1:$S$100,2,FALSE), " ")</f>
        <v xml:space="preserve"> </v>
      </c>
      <c r="BH142" s="55"/>
      <c r="BI142" s="32"/>
      <c r="BJ142" s="32"/>
      <c r="BK142" s="55"/>
      <c r="BL142" s="32"/>
      <c r="BM142" s="32"/>
      <c r="BN142" s="32"/>
      <c r="BO142" s="32"/>
      <c r="BP142" s="32"/>
      <c r="BQ142" s="31"/>
      <c r="BR142" s="31"/>
      <c r="BS142" s="54"/>
      <c r="BT142" s="21" t="str">
        <f>IFERROR(VLOOKUP(February[[#This Row],[Drug Name7]],'Data Options'!$R$1:$S$100,2,FALSE), " ")</f>
        <v xml:space="preserve"> </v>
      </c>
      <c r="BU142" s="55"/>
      <c r="BV142" s="32"/>
      <c r="BW142" s="32"/>
      <c r="BX142" s="55"/>
      <c r="BY142" s="32"/>
      <c r="BZ142" s="54"/>
      <c r="CA142" s="21" t="str">
        <f>IFERROR(VLOOKUP(February[[#This Row],[Drug Name8]],'Data Options'!$R$1:$S$100,2,FALSE), " ")</f>
        <v xml:space="preserve"> </v>
      </c>
      <c r="CB142" s="55"/>
      <c r="CC142" s="32"/>
      <c r="CD142" s="32"/>
      <c r="CE142" s="55"/>
      <c r="CF142" s="32"/>
      <c r="CG142" s="54"/>
      <c r="CH142" s="21" t="str">
        <f>IFERROR(VLOOKUP(February[[#This Row],[Drug Name9]],'Data Options'!$R$1:$S$100,2,FALSE), " ")</f>
        <v xml:space="preserve"> </v>
      </c>
      <c r="CI142" s="55"/>
      <c r="CJ142" s="32"/>
      <c r="CK142" s="32"/>
      <c r="CL142" s="55"/>
      <c r="CM142" s="32"/>
    </row>
    <row r="143" spans="1:91">
      <c r="A143" s="5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1"/>
      <c r="P143" s="31"/>
      <c r="Q143" s="54"/>
      <c r="R143" s="21" t="str">
        <f>IFERROR(VLOOKUP(February[[#This Row],[Drug Name]],'Data Options'!$R$1:$S$100,2,FALSE), " ")</f>
        <v xml:space="preserve"> </v>
      </c>
      <c r="S143" s="55"/>
      <c r="T143" s="32"/>
      <c r="U143" s="32"/>
      <c r="V143" s="55"/>
      <c r="W143" s="32"/>
      <c r="X143" s="54"/>
      <c r="Y143" s="21" t="str">
        <f>IFERROR(VLOOKUP(February[[#This Row],[Drug Name2]],'Data Options'!$R$1:$S$100,2,FALSE), " ")</f>
        <v xml:space="preserve"> </v>
      </c>
      <c r="Z143" s="55"/>
      <c r="AA143" s="32"/>
      <c r="AB143" s="32"/>
      <c r="AC143" s="55"/>
      <c r="AD143" s="32"/>
      <c r="AE143" s="54"/>
      <c r="AF143" s="21" t="str">
        <f>IFERROR(VLOOKUP(February[[#This Row],[Drug Name3]],'Data Options'!$R$1:$S$100,2,FALSE), " ")</f>
        <v xml:space="preserve"> </v>
      </c>
      <c r="AG143" s="55"/>
      <c r="AH143" s="32"/>
      <c r="AI143" s="32"/>
      <c r="AJ143" s="55"/>
      <c r="AK143" s="32"/>
      <c r="AL143" s="32"/>
      <c r="AM143" s="32"/>
      <c r="AN143" s="32"/>
      <c r="AO143" s="32"/>
      <c r="AP143" s="31"/>
      <c r="AQ143" s="31"/>
      <c r="AR143" s="54"/>
      <c r="AS143" s="21" t="str">
        <f>IFERROR(VLOOKUP(February[[#This Row],[Drug Name4]],'Data Options'!$R$1:$S$100,2,FALSE), " ")</f>
        <v xml:space="preserve"> </v>
      </c>
      <c r="AT143" s="55"/>
      <c r="AU143" s="32"/>
      <c r="AV143" s="32"/>
      <c r="AW143" s="55"/>
      <c r="AX143" s="32"/>
      <c r="AY143" s="54"/>
      <c r="AZ143" s="21" t="str">
        <f>IFERROR(VLOOKUP(February[[#This Row],[Drug Name5]],'Data Options'!$R$1:$S$100,2,FALSE), " ")</f>
        <v xml:space="preserve"> </v>
      </c>
      <c r="BA143" s="55"/>
      <c r="BB143" s="32"/>
      <c r="BC143" s="32"/>
      <c r="BD143" s="55"/>
      <c r="BE143" s="32"/>
      <c r="BF143" s="54"/>
      <c r="BG143" s="21" t="str">
        <f>IFERROR(VLOOKUP(February[[#This Row],[Drug Name6]],'Data Options'!$R$1:$S$100,2,FALSE), " ")</f>
        <v xml:space="preserve"> </v>
      </c>
      <c r="BH143" s="55"/>
      <c r="BI143" s="32"/>
      <c r="BJ143" s="32"/>
      <c r="BK143" s="55"/>
      <c r="BL143" s="32"/>
      <c r="BM143" s="32"/>
      <c r="BN143" s="32"/>
      <c r="BO143" s="32"/>
      <c r="BP143" s="32"/>
      <c r="BQ143" s="31"/>
      <c r="BR143" s="31"/>
      <c r="BS143" s="54"/>
      <c r="BT143" s="21" t="str">
        <f>IFERROR(VLOOKUP(February[[#This Row],[Drug Name7]],'Data Options'!$R$1:$S$100,2,FALSE), " ")</f>
        <v xml:space="preserve"> </v>
      </c>
      <c r="BU143" s="55"/>
      <c r="BV143" s="32"/>
      <c r="BW143" s="32"/>
      <c r="BX143" s="55"/>
      <c r="BY143" s="32"/>
      <c r="BZ143" s="54"/>
      <c r="CA143" s="21" t="str">
        <f>IFERROR(VLOOKUP(February[[#This Row],[Drug Name8]],'Data Options'!$R$1:$S$100,2,FALSE), " ")</f>
        <v xml:space="preserve"> </v>
      </c>
      <c r="CB143" s="55"/>
      <c r="CC143" s="32"/>
      <c r="CD143" s="32"/>
      <c r="CE143" s="55"/>
      <c r="CF143" s="32"/>
      <c r="CG143" s="54"/>
      <c r="CH143" s="21" t="str">
        <f>IFERROR(VLOOKUP(February[[#This Row],[Drug Name9]],'Data Options'!$R$1:$S$100,2,FALSE), " ")</f>
        <v xml:space="preserve"> </v>
      </c>
      <c r="CI143" s="55"/>
      <c r="CJ143" s="32"/>
      <c r="CK143" s="32"/>
      <c r="CL143" s="55"/>
      <c r="CM143" s="32"/>
    </row>
    <row r="144" spans="1:91">
      <c r="A144" s="5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1"/>
      <c r="P144" s="31"/>
      <c r="Q144" s="54"/>
      <c r="R144" s="21" t="str">
        <f>IFERROR(VLOOKUP(February[[#This Row],[Drug Name]],'Data Options'!$R$1:$S$100,2,FALSE), " ")</f>
        <v xml:space="preserve"> </v>
      </c>
      <c r="S144" s="55"/>
      <c r="T144" s="32"/>
      <c r="U144" s="32"/>
      <c r="V144" s="55"/>
      <c r="W144" s="32"/>
      <c r="X144" s="54"/>
      <c r="Y144" s="21" t="str">
        <f>IFERROR(VLOOKUP(February[[#This Row],[Drug Name2]],'Data Options'!$R$1:$S$100,2,FALSE), " ")</f>
        <v xml:space="preserve"> </v>
      </c>
      <c r="Z144" s="55"/>
      <c r="AA144" s="32"/>
      <c r="AB144" s="32"/>
      <c r="AC144" s="55"/>
      <c r="AD144" s="32"/>
      <c r="AE144" s="54"/>
      <c r="AF144" s="21" t="str">
        <f>IFERROR(VLOOKUP(February[[#This Row],[Drug Name3]],'Data Options'!$R$1:$S$100,2,FALSE), " ")</f>
        <v xml:space="preserve"> </v>
      </c>
      <c r="AG144" s="55"/>
      <c r="AH144" s="32"/>
      <c r="AI144" s="32"/>
      <c r="AJ144" s="55"/>
      <c r="AK144" s="32"/>
      <c r="AL144" s="32"/>
      <c r="AM144" s="32"/>
      <c r="AN144" s="32"/>
      <c r="AO144" s="32"/>
      <c r="AP144" s="31"/>
      <c r="AQ144" s="31"/>
      <c r="AR144" s="54"/>
      <c r="AS144" s="21" t="str">
        <f>IFERROR(VLOOKUP(February[[#This Row],[Drug Name4]],'Data Options'!$R$1:$S$100,2,FALSE), " ")</f>
        <v xml:space="preserve"> </v>
      </c>
      <c r="AT144" s="55"/>
      <c r="AU144" s="32"/>
      <c r="AV144" s="32"/>
      <c r="AW144" s="55"/>
      <c r="AX144" s="32"/>
      <c r="AY144" s="54"/>
      <c r="AZ144" s="21" t="str">
        <f>IFERROR(VLOOKUP(February[[#This Row],[Drug Name5]],'Data Options'!$R$1:$S$100,2,FALSE), " ")</f>
        <v xml:space="preserve"> </v>
      </c>
      <c r="BA144" s="55"/>
      <c r="BB144" s="32"/>
      <c r="BC144" s="32"/>
      <c r="BD144" s="55"/>
      <c r="BE144" s="32"/>
      <c r="BF144" s="54"/>
      <c r="BG144" s="21" t="str">
        <f>IFERROR(VLOOKUP(February[[#This Row],[Drug Name6]],'Data Options'!$R$1:$S$100,2,FALSE), " ")</f>
        <v xml:space="preserve"> </v>
      </c>
      <c r="BH144" s="55"/>
      <c r="BI144" s="32"/>
      <c r="BJ144" s="32"/>
      <c r="BK144" s="55"/>
      <c r="BL144" s="32"/>
      <c r="BM144" s="32"/>
      <c r="BN144" s="32"/>
      <c r="BO144" s="32"/>
      <c r="BP144" s="32"/>
      <c r="BQ144" s="31"/>
      <c r="BR144" s="31"/>
      <c r="BS144" s="54"/>
      <c r="BT144" s="21" t="str">
        <f>IFERROR(VLOOKUP(February[[#This Row],[Drug Name7]],'Data Options'!$R$1:$S$100,2,FALSE), " ")</f>
        <v xml:space="preserve"> </v>
      </c>
      <c r="BU144" s="55"/>
      <c r="BV144" s="32"/>
      <c r="BW144" s="32"/>
      <c r="BX144" s="55"/>
      <c r="BY144" s="32"/>
      <c r="BZ144" s="54"/>
      <c r="CA144" s="21" t="str">
        <f>IFERROR(VLOOKUP(February[[#This Row],[Drug Name8]],'Data Options'!$R$1:$S$100,2,FALSE), " ")</f>
        <v xml:space="preserve"> </v>
      </c>
      <c r="CB144" s="55"/>
      <c r="CC144" s="32"/>
      <c r="CD144" s="32"/>
      <c r="CE144" s="55"/>
      <c r="CF144" s="32"/>
      <c r="CG144" s="54"/>
      <c r="CH144" s="21" t="str">
        <f>IFERROR(VLOOKUP(February[[#This Row],[Drug Name9]],'Data Options'!$R$1:$S$100,2,FALSE), " ")</f>
        <v xml:space="preserve"> </v>
      </c>
      <c r="CI144" s="55"/>
      <c r="CJ144" s="32"/>
      <c r="CK144" s="32"/>
      <c r="CL144" s="55"/>
      <c r="CM144" s="32"/>
    </row>
    <row r="145" spans="1:91">
      <c r="A145" s="5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1"/>
      <c r="P145" s="31"/>
      <c r="Q145" s="54"/>
      <c r="R145" s="21" t="str">
        <f>IFERROR(VLOOKUP(February[[#This Row],[Drug Name]],'Data Options'!$R$1:$S$100,2,FALSE), " ")</f>
        <v xml:space="preserve"> </v>
      </c>
      <c r="S145" s="55"/>
      <c r="T145" s="32"/>
      <c r="U145" s="32"/>
      <c r="V145" s="55"/>
      <c r="W145" s="32"/>
      <c r="X145" s="54"/>
      <c r="Y145" s="21" t="str">
        <f>IFERROR(VLOOKUP(February[[#This Row],[Drug Name2]],'Data Options'!$R$1:$S$100,2,FALSE), " ")</f>
        <v xml:space="preserve"> </v>
      </c>
      <c r="Z145" s="55"/>
      <c r="AA145" s="32"/>
      <c r="AB145" s="32"/>
      <c r="AC145" s="55"/>
      <c r="AD145" s="32"/>
      <c r="AE145" s="54"/>
      <c r="AF145" s="21" t="str">
        <f>IFERROR(VLOOKUP(February[[#This Row],[Drug Name3]],'Data Options'!$R$1:$S$100,2,FALSE), " ")</f>
        <v xml:space="preserve"> </v>
      </c>
      <c r="AG145" s="55"/>
      <c r="AH145" s="32"/>
      <c r="AI145" s="32"/>
      <c r="AJ145" s="55"/>
      <c r="AK145" s="32"/>
      <c r="AL145" s="32"/>
      <c r="AM145" s="32"/>
      <c r="AN145" s="32"/>
      <c r="AO145" s="32"/>
      <c r="AP145" s="31"/>
      <c r="AQ145" s="31"/>
      <c r="AR145" s="54"/>
      <c r="AS145" s="21" t="str">
        <f>IFERROR(VLOOKUP(February[[#This Row],[Drug Name4]],'Data Options'!$R$1:$S$100,2,FALSE), " ")</f>
        <v xml:space="preserve"> </v>
      </c>
      <c r="AT145" s="55"/>
      <c r="AU145" s="32"/>
      <c r="AV145" s="32"/>
      <c r="AW145" s="55"/>
      <c r="AX145" s="32"/>
      <c r="AY145" s="54"/>
      <c r="AZ145" s="21" t="str">
        <f>IFERROR(VLOOKUP(February[[#This Row],[Drug Name5]],'Data Options'!$R$1:$S$100,2,FALSE), " ")</f>
        <v xml:space="preserve"> </v>
      </c>
      <c r="BA145" s="55"/>
      <c r="BB145" s="32"/>
      <c r="BC145" s="32"/>
      <c r="BD145" s="55"/>
      <c r="BE145" s="32"/>
      <c r="BF145" s="54"/>
      <c r="BG145" s="21" t="str">
        <f>IFERROR(VLOOKUP(February[[#This Row],[Drug Name6]],'Data Options'!$R$1:$S$100,2,FALSE), " ")</f>
        <v xml:space="preserve"> </v>
      </c>
      <c r="BH145" s="55"/>
      <c r="BI145" s="32"/>
      <c r="BJ145" s="32"/>
      <c r="BK145" s="55"/>
      <c r="BL145" s="32"/>
      <c r="BM145" s="32"/>
      <c r="BN145" s="32"/>
      <c r="BO145" s="32"/>
      <c r="BP145" s="32"/>
      <c r="BQ145" s="31"/>
      <c r="BR145" s="31"/>
      <c r="BS145" s="54"/>
      <c r="BT145" s="21" t="str">
        <f>IFERROR(VLOOKUP(February[[#This Row],[Drug Name7]],'Data Options'!$R$1:$S$100,2,FALSE), " ")</f>
        <v xml:space="preserve"> </v>
      </c>
      <c r="BU145" s="55"/>
      <c r="BV145" s="32"/>
      <c r="BW145" s="32"/>
      <c r="BX145" s="55"/>
      <c r="BY145" s="32"/>
      <c r="BZ145" s="54"/>
      <c r="CA145" s="21" t="str">
        <f>IFERROR(VLOOKUP(February[[#This Row],[Drug Name8]],'Data Options'!$R$1:$S$100,2,FALSE), " ")</f>
        <v xml:space="preserve"> </v>
      </c>
      <c r="CB145" s="55"/>
      <c r="CC145" s="32"/>
      <c r="CD145" s="32"/>
      <c r="CE145" s="55"/>
      <c r="CF145" s="32"/>
      <c r="CG145" s="54"/>
      <c r="CH145" s="21" t="str">
        <f>IFERROR(VLOOKUP(February[[#This Row],[Drug Name9]],'Data Options'!$R$1:$S$100,2,FALSE), " ")</f>
        <v xml:space="preserve"> </v>
      </c>
      <c r="CI145" s="55"/>
      <c r="CJ145" s="32"/>
      <c r="CK145" s="32"/>
      <c r="CL145" s="55"/>
      <c r="CM145" s="32"/>
    </row>
    <row r="146" spans="1:91">
      <c r="A146" s="5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1"/>
      <c r="P146" s="31"/>
      <c r="Q146" s="54"/>
      <c r="R146" s="21" t="str">
        <f>IFERROR(VLOOKUP(February[[#This Row],[Drug Name]],'Data Options'!$R$1:$S$100,2,FALSE), " ")</f>
        <v xml:space="preserve"> </v>
      </c>
      <c r="S146" s="55"/>
      <c r="T146" s="32"/>
      <c r="U146" s="32"/>
      <c r="V146" s="55"/>
      <c r="W146" s="32"/>
      <c r="X146" s="54"/>
      <c r="Y146" s="21" t="str">
        <f>IFERROR(VLOOKUP(February[[#This Row],[Drug Name2]],'Data Options'!$R$1:$S$100,2,FALSE), " ")</f>
        <v xml:space="preserve"> </v>
      </c>
      <c r="Z146" s="55"/>
      <c r="AA146" s="32"/>
      <c r="AB146" s="32"/>
      <c r="AC146" s="55"/>
      <c r="AD146" s="32"/>
      <c r="AE146" s="54"/>
      <c r="AF146" s="21" t="str">
        <f>IFERROR(VLOOKUP(February[[#This Row],[Drug Name3]],'Data Options'!$R$1:$S$100,2,FALSE), " ")</f>
        <v xml:space="preserve"> </v>
      </c>
      <c r="AG146" s="55"/>
      <c r="AH146" s="32"/>
      <c r="AI146" s="32"/>
      <c r="AJ146" s="55"/>
      <c r="AK146" s="32"/>
      <c r="AL146" s="32"/>
      <c r="AM146" s="32"/>
      <c r="AN146" s="32"/>
      <c r="AO146" s="32"/>
      <c r="AP146" s="31"/>
      <c r="AQ146" s="31"/>
      <c r="AR146" s="54"/>
      <c r="AS146" s="21" t="str">
        <f>IFERROR(VLOOKUP(February[[#This Row],[Drug Name4]],'Data Options'!$R$1:$S$100,2,FALSE), " ")</f>
        <v xml:space="preserve"> </v>
      </c>
      <c r="AT146" s="55"/>
      <c r="AU146" s="32"/>
      <c r="AV146" s="32"/>
      <c r="AW146" s="55"/>
      <c r="AX146" s="32"/>
      <c r="AY146" s="54"/>
      <c r="AZ146" s="21" t="str">
        <f>IFERROR(VLOOKUP(February[[#This Row],[Drug Name5]],'Data Options'!$R$1:$S$100,2,FALSE), " ")</f>
        <v xml:space="preserve"> </v>
      </c>
      <c r="BA146" s="55"/>
      <c r="BB146" s="32"/>
      <c r="BC146" s="32"/>
      <c r="BD146" s="55"/>
      <c r="BE146" s="32"/>
      <c r="BF146" s="54"/>
      <c r="BG146" s="21" t="str">
        <f>IFERROR(VLOOKUP(February[[#This Row],[Drug Name6]],'Data Options'!$R$1:$S$100,2,FALSE), " ")</f>
        <v xml:space="preserve"> </v>
      </c>
      <c r="BH146" s="55"/>
      <c r="BI146" s="32"/>
      <c r="BJ146" s="32"/>
      <c r="BK146" s="55"/>
      <c r="BL146" s="32"/>
      <c r="BM146" s="32"/>
      <c r="BN146" s="32"/>
      <c r="BO146" s="32"/>
      <c r="BP146" s="32"/>
      <c r="BQ146" s="31"/>
      <c r="BR146" s="31"/>
      <c r="BS146" s="54"/>
      <c r="BT146" s="21" t="str">
        <f>IFERROR(VLOOKUP(February[[#This Row],[Drug Name7]],'Data Options'!$R$1:$S$100,2,FALSE), " ")</f>
        <v xml:space="preserve"> </v>
      </c>
      <c r="BU146" s="55"/>
      <c r="BV146" s="32"/>
      <c r="BW146" s="32"/>
      <c r="BX146" s="55"/>
      <c r="BY146" s="32"/>
      <c r="BZ146" s="54"/>
      <c r="CA146" s="21" t="str">
        <f>IFERROR(VLOOKUP(February[[#This Row],[Drug Name8]],'Data Options'!$R$1:$S$100,2,FALSE), " ")</f>
        <v xml:space="preserve"> </v>
      </c>
      <c r="CB146" s="55"/>
      <c r="CC146" s="32"/>
      <c r="CD146" s="32"/>
      <c r="CE146" s="55"/>
      <c r="CF146" s="32"/>
      <c r="CG146" s="54"/>
      <c r="CH146" s="21" t="str">
        <f>IFERROR(VLOOKUP(February[[#This Row],[Drug Name9]],'Data Options'!$R$1:$S$100,2,FALSE), " ")</f>
        <v xml:space="preserve"> </v>
      </c>
      <c r="CI146" s="55"/>
      <c r="CJ146" s="32"/>
      <c r="CK146" s="32"/>
      <c r="CL146" s="55"/>
      <c r="CM146" s="32"/>
    </row>
    <row r="147" spans="1:91">
      <c r="A147" s="5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1"/>
      <c r="P147" s="31"/>
      <c r="Q147" s="54"/>
      <c r="R147" s="21" t="str">
        <f>IFERROR(VLOOKUP(February[[#This Row],[Drug Name]],'Data Options'!$R$1:$S$100,2,FALSE), " ")</f>
        <v xml:space="preserve"> </v>
      </c>
      <c r="S147" s="55"/>
      <c r="T147" s="32"/>
      <c r="U147" s="32"/>
      <c r="V147" s="55"/>
      <c r="W147" s="32"/>
      <c r="X147" s="54"/>
      <c r="Y147" s="21" t="str">
        <f>IFERROR(VLOOKUP(February[[#This Row],[Drug Name2]],'Data Options'!$R$1:$S$100,2,FALSE), " ")</f>
        <v xml:space="preserve"> </v>
      </c>
      <c r="Z147" s="55"/>
      <c r="AA147" s="32"/>
      <c r="AB147" s="32"/>
      <c r="AC147" s="55"/>
      <c r="AD147" s="32"/>
      <c r="AE147" s="54"/>
      <c r="AF147" s="21" t="str">
        <f>IFERROR(VLOOKUP(February[[#This Row],[Drug Name3]],'Data Options'!$R$1:$S$100,2,FALSE), " ")</f>
        <v xml:space="preserve"> </v>
      </c>
      <c r="AG147" s="55"/>
      <c r="AH147" s="32"/>
      <c r="AI147" s="32"/>
      <c r="AJ147" s="55"/>
      <c r="AK147" s="32"/>
      <c r="AL147" s="32"/>
      <c r="AM147" s="32"/>
      <c r="AN147" s="32"/>
      <c r="AO147" s="32"/>
      <c r="AP147" s="31"/>
      <c r="AQ147" s="31"/>
      <c r="AR147" s="54"/>
      <c r="AS147" s="21" t="str">
        <f>IFERROR(VLOOKUP(February[[#This Row],[Drug Name4]],'Data Options'!$R$1:$S$100,2,FALSE), " ")</f>
        <v xml:space="preserve"> </v>
      </c>
      <c r="AT147" s="55"/>
      <c r="AU147" s="32"/>
      <c r="AV147" s="32"/>
      <c r="AW147" s="55"/>
      <c r="AX147" s="32"/>
      <c r="AY147" s="54"/>
      <c r="AZ147" s="21" t="str">
        <f>IFERROR(VLOOKUP(February[[#This Row],[Drug Name5]],'Data Options'!$R$1:$S$100,2,FALSE), " ")</f>
        <v xml:space="preserve"> </v>
      </c>
      <c r="BA147" s="55"/>
      <c r="BB147" s="32"/>
      <c r="BC147" s="32"/>
      <c r="BD147" s="55"/>
      <c r="BE147" s="32"/>
      <c r="BF147" s="54"/>
      <c r="BG147" s="21" t="str">
        <f>IFERROR(VLOOKUP(February[[#This Row],[Drug Name6]],'Data Options'!$R$1:$S$100,2,FALSE), " ")</f>
        <v xml:space="preserve"> </v>
      </c>
      <c r="BH147" s="55"/>
      <c r="BI147" s="32"/>
      <c r="BJ147" s="32"/>
      <c r="BK147" s="55"/>
      <c r="BL147" s="32"/>
      <c r="BM147" s="32"/>
      <c r="BN147" s="32"/>
      <c r="BO147" s="32"/>
      <c r="BP147" s="32"/>
      <c r="BQ147" s="31"/>
      <c r="BR147" s="31"/>
      <c r="BS147" s="54"/>
      <c r="BT147" s="21" t="str">
        <f>IFERROR(VLOOKUP(February[[#This Row],[Drug Name7]],'Data Options'!$R$1:$S$100,2,FALSE), " ")</f>
        <v xml:space="preserve"> </v>
      </c>
      <c r="BU147" s="55"/>
      <c r="BV147" s="32"/>
      <c r="BW147" s="32"/>
      <c r="BX147" s="55"/>
      <c r="BY147" s="32"/>
      <c r="BZ147" s="54"/>
      <c r="CA147" s="21" t="str">
        <f>IFERROR(VLOOKUP(February[[#This Row],[Drug Name8]],'Data Options'!$R$1:$S$100,2,FALSE), " ")</f>
        <v xml:space="preserve"> </v>
      </c>
      <c r="CB147" s="55"/>
      <c r="CC147" s="32"/>
      <c r="CD147" s="32"/>
      <c r="CE147" s="55"/>
      <c r="CF147" s="32"/>
      <c r="CG147" s="54"/>
      <c r="CH147" s="21" t="str">
        <f>IFERROR(VLOOKUP(February[[#This Row],[Drug Name9]],'Data Options'!$R$1:$S$100,2,FALSE), " ")</f>
        <v xml:space="preserve"> </v>
      </c>
      <c r="CI147" s="55"/>
      <c r="CJ147" s="32"/>
      <c r="CK147" s="32"/>
      <c r="CL147" s="55"/>
      <c r="CM147" s="32"/>
    </row>
    <row r="148" spans="1:91">
      <c r="A148" s="5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1"/>
      <c r="P148" s="31"/>
      <c r="Q148" s="54"/>
      <c r="R148" s="21" t="str">
        <f>IFERROR(VLOOKUP(February[[#This Row],[Drug Name]],'Data Options'!$R$1:$S$100,2,FALSE), " ")</f>
        <v xml:space="preserve"> </v>
      </c>
      <c r="S148" s="55"/>
      <c r="T148" s="32"/>
      <c r="U148" s="32"/>
      <c r="V148" s="55"/>
      <c r="W148" s="32"/>
      <c r="X148" s="54"/>
      <c r="Y148" s="21" t="str">
        <f>IFERROR(VLOOKUP(February[[#This Row],[Drug Name2]],'Data Options'!$R$1:$S$100,2,FALSE), " ")</f>
        <v xml:space="preserve"> </v>
      </c>
      <c r="Z148" s="55"/>
      <c r="AA148" s="32"/>
      <c r="AB148" s="32"/>
      <c r="AC148" s="55"/>
      <c r="AD148" s="32"/>
      <c r="AE148" s="54"/>
      <c r="AF148" s="21" t="str">
        <f>IFERROR(VLOOKUP(February[[#This Row],[Drug Name3]],'Data Options'!$R$1:$S$100,2,FALSE), " ")</f>
        <v xml:space="preserve"> </v>
      </c>
      <c r="AG148" s="55"/>
      <c r="AH148" s="32"/>
      <c r="AI148" s="32"/>
      <c r="AJ148" s="55"/>
      <c r="AK148" s="32"/>
      <c r="AL148" s="32"/>
      <c r="AM148" s="32"/>
      <c r="AN148" s="32"/>
      <c r="AO148" s="32"/>
      <c r="AP148" s="31"/>
      <c r="AQ148" s="31"/>
      <c r="AR148" s="54"/>
      <c r="AS148" s="21" t="str">
        <f>IFERROR(VLOOKUP(February[[#This Row],[Drug Name4]],'Data Options'!$R$1:$S$100,2,FALSE), " ")</f>
        <v xml:space="preserve"> </v>
      </c>
      <c r="AT148" s="55"/>
      <c r="AU148" s="32"/>
      <c r="AV148" s="32"/>
      <c r="AW148" s="55"/>
      <c r="AX148" s="32"/>
      <c r="AY148" s="54"/>
      <c r="AZ148" s="21" t="str">
        <f>IFERROR(VLOOKUP(February[[#This Row],[Drug Name5]],'Data Options'!$R$1:$S$100,2,FALSE), " ")</f>
        <v xml:space="preserve"> </v>
      </c>
      <c r="BA148" s="55"/>
      <c r="BB148" s="32"/>
      <c r="BC148" s="32"/>
      <c r="BD148" s="55"/>
      <c r="BE148" s="32"/>
      <c r="BF148" s="54"/>
      <c r="BG148" s="21" t="str">
        <f>IFERROR(VLOOKUP(February[[#This Row],[Drug Name6]],'Data Options'!$R$1:$S$100,2,FALSE), " ")</f>
        <v xml:space="preserve"> </v>
      </c>
      <c r="BH148" s="55"/>
      <c r="BI148" s="32"/>
      <c r="BJ148" s="32"/>
      <c r="BK148" s="55"/>
      <c r="BL148" s="32"/>
      <c r="BM148" s="32"/>
      <c r="BN148" s="32"/>
      <c r="BO148" s="32"/>
      <c r="BP148" s="32"/>
      <c r="BQ148" s="31"/>
      <c r="BR148" s="31"/>
      <c r="BS148" s="54"/>
      <c r="BT148" s="21" t="str">
        <f>IFERROR(VLOOKUP(February[[#This Row],[Drug Name7]],'Data Options'!$R$1:$S$100,2,FALSE), " ")</f>
        <v xml:space="preserve"> </v>
      </c>
      <c r="BU148" s="55"/>
      <c r="BV148" s="32"/>
      <c r="BW148" s="32"/>
      <c r="BX148" s="55"/>
      <c r="BY148" s="32"/>
      <c r="BZ148" s="54"/>
      <c r="CA148" s="21" t="str">
        <f>IFERROR(VLOOKUP(February[[#This Row],[Drug Name8]],'Data Options'!$R$1:$S$100,2,FALSE), " ")</f>
        <v xml:space="preserve"> </v>
      </c>
      <c r="CB148" s="55"/>
      <c r="CC148" s="32"/>
      <c r="CD148" s="32"/>
      <c r="CE148" s="55"/>
      <c r="CF148" s="32"/>
      <c r="CG148" s="54"/>
      <c r="CH148" s="21" t="str">
        <f>IFERROR(VLOOKUP(February[[#This Row],[Drug Name9]],'Data Options'!$R$1:$S$100,2,FALSE), " ")</f>
        <v xml:space="preserve"> </v>
      </c>
      <c r="CI148" s="55"/>
      <c r="CJ148" s="32"/>
      <c r="CK148" s="32"/>
      <c r="CL148" s="55"/>
      <c r="CM148" s="32"/>
    </row>
    <row r="149" spans="1:91">
      <c r="A149" s="5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1"/>
      <c r="P149" s="31"/>
      <c r="Q149" s="54"/>
      <c r="R149" s="21" t="str">
        <f>IFERROR(VLOOKUP(February[[#This Row],[Drug Name]],'Data Options'!$R$1:$S$100,2,FALSE), " ")</f>
        <v xml:space="preserve"> </v>
      </c>
      <c r="S149" s="55"/>
      <c r="T149" s="32"/>
      <c r="U149" s="32"/>
      <c r="V149" s="55"/>
      <c r="W149" s="32"/>
      <c r="X149" s="54"/>
      <c r="Y149" s="21" t="str">
        <f>IFERROR(VLOOKUP(February[[#This Row],[Drug Name2]],'Data Options'!$R$1:$S$100,2,FALSE), " ")</f>
        <v xml:space="preserve"> </v>
      </c>
      <c r="Z149" s="55"/>
      <c r="AA149" s="32"/>
      <c r="AB149" s="32"/>
      <c r="AC149" s="55"/>
      <c r="AD149" s="32"/>
      <c r="AE149" s="54"/>
      <c r="AF149" s="21" t="str">
        <f>IFERROR(VLOOKUP(February[[#This Row],[Drug Name3]],'Data Options'!$R$1:$S$100,2,FALSE), " ")</f>
        <v xml:space="preserve"> </v>
      </c>
      <c r="AG149" s="55"/>
      <c r="AH149" s="32"/>
      <c r="AI149" s="32"/>
      <c r="AJ149" s="55"/>
      <c r="AK149" s="32"/>
      <c r="AL149" s="32"/>
      <c r="AM149" s="32"/>
      <c r="AN149" s="32"/>
      <c r="AO149" s="32"/>
      <c r="AP149" s="31"/>
      <c r="AQ149" s="31"/>
      <c r="AR149" s="54"/>
      <c r="AS149" s="21" t="str">
        <f>IFERROR(VLOOKUP(February[[#This Row],[Drug Name4]],'Data Options'!$R$1:$S$100,2,FALSE), " ")</f>
        <v xml:space="preserve"> </v>
      </c>
      <c r="AT149" s="55"/>
      <c r="AU149" s="32"/>
      <c r="AV149" s="32"/>
      <c r="AW149" s="55"/>
      <c r="AX149" s="32"/>
      <c r="AY149" s="54"/>
      <c r="AZ149" s="21" t="str">
        <f>IFERROR(VLOOKUP(February[[#This Row],[Drug Name5]],'Data Options'!$R$1:$S$100,2,FALSE), " ")</f>
        <v xml:space="preserve"> </v>
      </c>
      <c r="BA149" s="55"/>
      <c r="BB149" s="32"/>
      <c r="BC149" s="32"/>
      <c r="BD149" s="55"/>
      <c r="BE149" s="32"/>
      <c r="BF149" s="54"/>
      <c r="BG149" s="21" t="str">
        <f>IFERROR(VLOOKUP(February[[#This Row],[Drug Name6]],'Data Options'!$R$1:$S$100,2,FALSE), " ")</f>
        <v xml:space="preserve"> </v>
      </c>
      <c r="BH149" s="55"/>
      <c r="BI149" s="32"/>
      <c r="BJ149" s="32"/>
      <c r="BK149" s="55"/>
      <c r="BL149" s="32"/>
      <c r="BM149" s="32"/>
      <c r="BN149" s="32"/>
      <c r="BO149" s="32"/>
      <c r="BP149" s="32"/>
      <c r="BQ149" s="31"/>
      <c r="BR149" s="31"/>
      <c r="BS149" s="54"/>
      <c r="BT149" s="21" t="str">
        <f>IFERROR(VLOOKUP(February[[#This Row],[Drug Name7]],'Data Options'!$R$1:$S$100,2,FALSE), " ")</f>
        <v xml:space="preserve"> </v>
      </c>
      <c r="BU149" s="55"/>
      <c r="BV149" s="32"/>
      <c r="BW149" s="32"/>
      <c r="BX149" s="55"/>
      <c r="BY149" s="32"/>
      <c r="BZ149" s="54"/>
      <c r="CA149" s="21" t="str">
        <f>IFERROR(VLOOKUP(February[[#This Row],[Drug Name8]],'Data Options'!$R$1:$S$100,2,FALSE), " ")</f>
        <v xml:space="preserve"> </v>
      </c>
      <c r="CB149" s="55"/>
      <c r="CC149" s="32"/>
      <c r="CD149" s="32"/>
      <c r="CE149" s="55"/>
      <c r="CF149" s="32"/>
      <c r="CG149" s="54"/>
      <c r="CH149" s="21" t="str">
        <f>IFERROR(VLOOKUP(February[[#This Row],[Drug Name9]],'Data Options'!$R$1:$S$100,2,FALSE), " ")</f>
        <v xml:space="preserve"> </v>
      </c>
      <c r="CI149" s="55"/>
      <c r="CJ149" s="32"/>
      <c r="CK149" s="32"/>
      <c r="CL149" s="55"/>
      <c r="CM149" s="32"/>
    </row>
    <row r="150" spans="1:91">
      <c r="A150" s="5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1"/>
      <c r="P150" s="31"/>
      <c r="Q150" s="54"/>
      <c r="R150" s="21" t="str">
        <f>IFERROR(VLOOKUP(February[[#This Row],[Drug Name]],'Data Options'!$R$1:$S$100,2,FALSE), " ")</f>
        <v xml:space="preserve"> </v>
      </c>
      <c r="S150" s="55"/>
      <c r="T150" s="32"/>
      <c r="U150" s="32"/>
      <c r="V150" s="55"/>
      <c r="W150" s="32"/>
      <c r="X150" s="54"/>
      <c r="Y150" s="21" t="str">
        <f>IFERROR(VLOOKUP(February[[#This Row],[Drug Name2]],'Data Options'!$R$1:$S$100,2,FALSE), " ")</f>
        <v xml:space="preserve"> </v>
      </c>
      <c r="Z150" s="55"/>
      <c r="AA150" s="32"/>
      <c r="AB150" s="32"/>
      <c r="AC150" s="55"/>
      <c r="AD150" s="32"/>
      <c r="AE150" s="54"/>
      <c r="AF150" s="21" t="str">
        <f>IFERROR(VLOOKUP(February[[#This Row],[Drug Name3]],'Data Options'!$R$1:$S$100,2,FALSE), " ")</f>
        <v xml:space="preserve"> </v>
      </c>
      <c r="AG150" s="55"/>
      <c r="AH150" s="32"/>
      <c r="AI150" s="32"/>
      <c r="AJ150" s="55"/>
      <c r="AK150" s="32"/>
      <c r="AL150" s="32"/>
      <c r="AM150" s="32"/>
      <c r="AN150" s="32"/>
      <c r="AO150" s="32"/>
      <c r="AP150" s="31"/>
      <c r="AQ150" s="31"/>
      <c r="AR150" s="54"/>
      <c r="AS150" s="21" t="str">
        <f>IFERROR(VLOOKUP(February[[#This Row],[Drug Name4]],'Data Options'!$R$1:$S$100,2,FALSE), " ")</f>
        <v xml:space="preserve"> </v>
      </c>
      <c r="AT150" s="55"/>
      <c r="AU150" s="32"/>
      <c r="AV150" s="32"/>
      <c r="AW150" s="55"/>
      <c r="AX150" s="32"/>
      <c r="AY150" s="54"/>
      <c r="AZ150" s="21" t="str">
        <f>IFERROR(VLOOKUP(February[[#This Row],[Drug Name5]],'Data Options'!$R$1:$S$100,2,FALSE), " ")</f>
        <v xml:space="preserve"> </v>
      </c>
      <c r="BA150" s="55"/>
      <c r="BB150" s="32"/>
      <c r="BC150" s="32"/>
      <c r="BD150" s="55"/>
      <c r="BE150" s="32"/>
      <c r="BF150" s="54"/>
      <c r="BG150" s="21" t="str">
        <f>IFERROR(VLOOKUP(February[[#This Row],[Drug Name6]],'Data Options'!$R$1:$S$100,2,FALSE), " ")</f>
        <v xml:space="preserve"> </v>
      </c>
      <c r="BH150" s="55"/>
      <c r="BI150" s="32"/>
      <c r="BJ150" s="32"/>
      <c r="BK150" s="55"/>
      <c r="BL150" s="32"/>
      <c r="BM150" s="32"/>
      <c r="BN150" s="32"/>
      <c r="BO150" s="32"/>
      <c r="BP150" s="32"/>
      <c r="BQ150" s="31"/>
      <c r="BR150" s="31"/>
      <c r="BS150" s="54"/>
      <c r="BT150" s="21" t="str">
        <f>IFERROR(VLOOKUP(February[[#This Row],[Drug Name7]],'Data Options'!$R$1:$S$100,2,FALSE), " ")</f>
        <v xml:space="preserve"> </v>
      </c>
      <c r="BU150" s="55"/>
      <c r="BV150" s="32"/>
      <c r="BW150" s="32"/>
      <c r="BX150" s="55"/>
      <c r="BY150" s="32"/>
      <c r="BZ150" s="54"/>
      <c r="CA150" s="21" t="str">
        <f>IFERROR(VLOOKUP(February[[#This Row],[Drug Name8]],'Data Options'!$R$1:$S$100,2,FALSE), " ")</f>
        <v xml:space="preserve"> </v>
      </c>
      <c r="CB150" s="55"/>
      <c r="CC150" s="32"/>
      <c r="CD150" s="32"/>
      <c r="CE150" s="55"/>
      <c r="CF150" s="32"/>
      <c r="CG150" s="54"/>
      <c r="CH150" s="21" t="str">
        <f>IFERROR(VLOOKUP(February[[#This Row],[Drug Name9]],'Data Options'!$R$1:$S$100,2,FALSE), " ")</f>
        <v xml:space="preserve"> </v>
      </c>
      <c r="CI150" s="55"/>
      <c r="CJ150" s="32"/>
      <c r="CK150" s="32"/>
      <c r="CL150" s="55"/>
      <c r="CM150" s="32"/>
    </row>
    <row r="151" spans="1:91">
      <c r="A151" s="5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1"/>
      <c r="P151" s="31"/>
      <c r="Q151" s="54"/>
      <c r="R151" s="21" t="str">
        <f>IFERROR(VLOOKUP(February[[#This Row],[Drug Name]],'Data Options'!$R$1:$S$100,2,FALSE), " ")</f>
        <v xml:space="preserve"> </v>
      </c>
      <c r="S151" s="55"/>
      <c r="T151" s="32"/>
      <c r="U151" s="32"/>
      <c r="V151" s="55"/>
      <c r="W151" s="32"/>
      <c r="X151" s="54"/>
      <c r="Y151" s="21" t="str">
        <f>IFERROR(VLOOKUP(February[[#This Row],[Drug Name2]],'Data Options'!$R$1:$S$100,2,FALSE), " ")</f>
        <v xml:space="preserve"> </v>
      </c>
      <c r="Z151" s="55"/>
      <c r="AA151" s="32"/>
      <c r="AB151" s="32"/>
      <c r="AC151" s="55"/>
      <c r="AD151" s="32"/>
      <c r="AE151" s="54"/>
      <c r="AF151" s="21" t="str">
        <f>IFERROR(VLOOKUP(February[[#This Row],[Drug Name3]],'Data Options'!$R$1:$S$100,2,FALSE), " ")</f>
        <v xml:space="preserve"> </v>
      </c>
      <c r="AG151" s="55"/>
      <c r="AH151" s="32"/>
      <c r="AI151" s="32"/>
      <c r="AJ151" s="55"/>
      <c r="AK151" s="32"/>
      <c r="AL151" s="32"/>
      <c r="AM151" s="32"/>
      <c r="AN151" s="32"/>
      <c r="AO151" s="32"/>
      <c r="AP151" s="31"/>
      <c r="AQ151" s="31"/>
      <c r="AR151" s="54"/>
      <c r="AS151" s="21" t="str">
        <f>IFERROR(VLOOKUP(February[[#This Row],[Drug Name4]],'Data Options'!$R$1:$S$100,2,FALSE), " ")</f>
        <v xml:space="preserve"> </v>
      </c>
      <c r="AT151" s="55"/>
      <c r="AU151" s="32"/>
      <c r="AV151" s="32"/>
      <c r="AW151" s="55"/>
      <c r="AX151" s="32"/>
      <c r="AY151" s="54"/>
      <c r="AZ151" s="21" t="str">
        <f>IFERROR(VLOOKUP(February[[#This Row],[Drug Name5]],'Data Options'!$R$1:$S$100,2,FALSE), " ")</f>
        <v xml:space="preserve"> </v>
      </c>
      <c r="BA151" s="55"/>
      <c r="BB151" s="32"/>
      <c r="BC151" s="32"/>
      <c r="BD151" s="55"/>
      <c r="BE151" s="32"/>
      <c r="BF151" s="54"/>
      <c r="BG151" s="21" t="str">
        <f>IFERROR(VLOOKUP(February[[#This Row],[Drug Name6]],'Data Options'!$R$1:$S$100,2,FALSE), " ")</f>
        <v xml:space="preserve"> </v>
      </c>
      <c r="BH151" s="55"/>
      <c r="BI151" s="32"/>
      <c r="BJ151" s="32"/>
      <c r="BK151" s="55"/>
      <c r="BL151" s="32"/>
      <c r="BM151" s="32"/>
      <c r="BN151" s="32"/>
      <c r="BO151" s="32"/>
      <c r="BP151" s="32"/>
      <c r="BQ151" s="31"/>
      <c r="BR151" s="31"/>
      <c r="BS151" s="54"/>
      <c r="BT151" s="21" t="str">
        <f>IFERROR(VLOOKUP(February[[#This Row],[Drug Name7]],'Data Options'!$R$1:$S$100,2,FALSE), " ")</f>
        <v xml:space="preserve"> </v>
      </c>
      <c r="BU151" s="55"/>
      <c r="BV151" s="32"/>
      <c r="BW151" s="32"/>
      <c r="BX151" s="55"/>
      <c r="BY151" s="32"/>
      <c r="BZ151" s="54"/>
      <c r="CA151" s="21" t="str">
        <f>IFERROR(VLOOKUP(February[[#This Row],[Drug Name8]],'Data Options'!$R$1:$S$100,2,FALSE), " ")</f>
        <v xml:space="preserve"> </v>
      </c>
      <c r="CB151" s="55"/>
      <c r="CC151" s="32"/>
      <c r="CD151" s="32"/>
      <c r="CE151" s="55"/>
      <c r="CF151" s="32"/>
      <c r="CG151" s="54"/>
      <c r="CH151" s="21" t="str">
        <f>IFERROR(VLOOKUP(February[[#This Row],[Drug Name9]],'Data Options'!$R$1:$S$100,2,FALSE), " ")</f>
        <v xml:space="preserve"> </v>
      </c>
      <c r="CI151" s="55"/>
      <c r="CJ151" s="32"/>
      <c r="CK151" s="32"/>
      <c r="CL151" s="55"/>
      <c r="CM151" s="32"/>
    </row>
    <row r="152" spans="1:91">
      <c r="A152" s="5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1"/>
      <c r="P152" s="31"/>
      <c r="Q152" s="54"/>
      <c r="R152" s="21" t="str">
        <f>IFERROR(VLOOKUP(February[[#This Row],[Drug Name]],'Data Options'!$R$1:$S$100,2,FALSE), " ")</f>
        <v xml:space="preserve"> </v>
      </c>
      <c r="S152" s="55"/>
      <c r="T152" s="32"/>
      <c r="U152" s="32"/>
      <c r="V152" s="55"/>
      <c r="W152" s="32"/>
      <c r="X152" s="54"/>
      <c r="Y152" s="21" t="str">
        <f>IFERROR(VLOOKUP(February[[#This Row],[Drug Name2]],'Data Options'!$R$1:$S$100,2,FALSE), " ")</f>
        <v xml:space="preserve"> </v>
      </c>
      <c r="Z152" s="55"/>
      <c r="AA152" s="32"/>
      <c r="AB152" s="32"/>
      <c r="AC152" s="55"/>
      <c r="AD152" s="32"/>
      <c r="AE152" s="54"/>
      <c r="AF152" s="21" t="str">
        <f>IFERROR(VLOOKUP(February[[#This Row],[Drug Name3]],'Data Options'!$R$1:$S$100,2,FALSE), " ")</f>
        <v xml:space="preserve"> </v>
      </c>
      <c r="AG152" s="55"/>
      <c r="AH152" s="32"/>
      <c r="AI152" s="32"/>
      <c r="AJ152" s="55"/>
      <c r="AK152" s="32"/>
      <c r="AL152" s="32"/>
      <c r="AM152" s="32"/>
      <c r="AN152" s="32"/>
      <c r="AO152" s="32"/>
      <c r="AP152" s="31"/>
      <c r="AQ152" s="31"/>
      <c r="AR152" s="54"/>
      <c r="AS152" s="21" t="str">
        <f>IFERROR(VLOOKUP(February[[#This Row],[Drug Name4]],'Data Options'!$R$1:$S$100,2,FALSE), " ")</f>
        <v xml:space="preserve"> </v>
      </c>
      <c r="AT152" s="55"/>
      <c r="AU152" s="32"/>
      <c r="AV152" s="32"/>
      <c r="AW152" s="55"/>
      <c r="AX152" s="32"/>
      <c r="AY152" s="54"/>
      <c r="AZ152" s="21" t="str">
        <f>IFERROR(VLOOKUP(February[[#This Row],[Drug Name5]],'Data Options'!$R$1:$S$100,2,FALSE), " ")</f>
        <v xml:space="preserve"> </v>
      </c>
      <c r="BA152" s="55"/>
      <c r="BB152" s="32"/>
      <c r="BC152" s="32"/>
      <c r="BD152" s="55"/>
      <c r="BE152" s="32"/>
      <c r="BF152" s="54"/>
      <c r="BG152" s="21" t="str">
        <f>IFERROR(VLOOKUP(February[[#This Row],[Drug Name6]],'Data Options'!$R$1:$S$100,2,FALSE), " ")</f>
        <v xml:space="preserve"> </v>
      </c>
      <c r="BH152" s="55"/>
      <c r="BI152" s="32"/>
      <c r="BJ152" s="32"/>
      <c r="BK152" s="55"/>
      <c r="BL152" s="32"/>
      <c r="BM152" s="32"/>
      <c r="BN152" s="32"/>
      <c r="BO152" s="32"/>
      <c r="BP152" s="32"/>
      <c r="BQ152" s="31"/>
      <c r="BR152" s="31"/>
      <c r="BS152" s="54"/>
      <c r="BT152" s="21" t="str">
        <f>IFERROR(VLOOKUP(February[[#This Row],[Drug Name7]],'Data Options'!$R$1:$S$100,2,FALSE), " ")</f>
        <v xml:space="preserve"> </v>
      </c>
      <c r="BU152" s="55"/>
      <c r="BV152" s="32"/>
      <c r="BW152" s="32"/>
      <c r="BX152" s="55"/>
      <c r="BY152" s="32"/>
      <c r="BZ152" s="54"/>
      <c r="CA152" s="21" t="str">
        <f>IFERROR(VLOOKUP(February[[#This Row],[Drug Name8]],'Data Options'!$R$1:$S$100,2,FALSE), " ")</f>
        <v xml:space="preserve"> </v>
      </c>
      <c r="CB152" s="55"/>
      <c r="CC152" s="32"/>
      <c r="CD152" s="32"/>
      <c r="CE152" s="55"/>
      <c r="CF152" s="32"/>
      <c r="CG152" s="54"/>
      <c r="CH152" s="21" t="str">
        <f>IFERROR(VLOOKUP(February[[#This Row],[Drug Name9]],'Data Options'!$R$1:$S$100,2,FALSE), " ")</f>
        <v xml:space="preserve"> </v>
      </c>
      <c r="CI152" s="55"/>
      <c r="CJ152" s="32"/>
      <c r="CK152" s="32"/>
      <c r="CL152" s="55"/>
      <c r="CM152" s="32"/>
    </row>
    <row r="153" spans="1:91">
      <c r="A153" s="5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1"/>
      <c r="P153" s="31"/>
      <c r="Q153" s="54"/>
      <c r="R153" s="21" t="str">
        <f>IFERROR(VLOOKUP(February[[#This Row],[Drug Name]],'Data Options'!$R$1:$S$100,2,FALSE), " ")</f>
        <v xml:space="preserve"> </v>
      </c>
      <c r="S153" s="55"/>
      <c r="T153" s="32"/>
      <c r="U153" s="32"/>
      <c r="V153" s="55"/>
      <c r="W153" s="32"/>
      <c r="X153" s="54"/>
      <c r="Y153" s="21" t="str">
        <f>IFERROR(VLOOKUP(February[[#This Row],[Drug Name2]],'Data Options'!$R$1:$S$100,2,FALSE), " ")</f>
        <v xml:space="preserve"> </v>
      </c>
      <c r="Z153" s="55"/>
      <c r="AA153" s="32"/>
      <c r="AB153" s="32"/>
      <c r="AC153" s="55"/>
      <c r="AD153" s="32"/>
      <c r="AE153" s="54"/>
      <c r="AF153" s="21" t="str">
        <f>IFERROR(VLOOKUP(February[[#This Row],[Drug Name3]],'Data Options'!$R$1:$S$100,2,FALSE), " ")</f>
        <v xml:space="preserve"> </v>
      </c>
      <c r="AG153" s="55"/>
      <c r="AH153" s="32"/>
      <c r="AI153" s="32"/>
      <c r="AJ153" s="55"/>
      <c r="AK153" s="32"/>
      <c r="AL153" s="32"/>
      <c r="AM153" s="32"/>
      <c r="AN153" s="32"/>
      <c r="AO153" s="32"/>
      <c r="AP153" s="31"/>
      <c r="AQ153" s="31"/>
      <c r="AR153" s="54"/>
      <c r="AS153" s="21" t="str">
        <f>IFERROR(VLOOKUP(February[[#This Row],[Drug Name4]],'Data Options'!$R$1:$S$100,2,FALSE), " ")</f>
        <v xml:space="preserve"> </v>
      </c>
      <c r="AT153" s="55"/>
      <c r="AU153" s="32"/>
      <c r="AV153" s="32"/>
      <c r="AW153" s="55"/>
      <c r="AX153" s="32"/>
      <c r="AY153" s="54"/>
      <c r="AZ153" s="21" t="str">
        <f>IFERROR(VLOOKUP(February[[#This Row],[Drug Name5]],'Data Options'!$R$1:$S$100,2,FALSE), " ")</f>
        <v xml:space="preserve"> </v>
      </c>
      <c r="BA153" s="55"/>
      <c r="BB153" s="32"/>
      <c r="BC153" s="32"/>
      <c r="BD153" s="55"/>
      <c r="BE153" s="32"/>
      <c r="BF153" s="54"/>
      <c r="BG153" s="21" t="str">
        <f>IFERROR(VLOOKUP(February[[#This Row],[Drug Name6]],'Data Options'!$R$1:$S$100,2,FALSE), " ")</f>
        <v xml:space="preserve"> </v>
      </c>
      <c r="BH153" s="55"/>
      <c r="BI153" s="32"/>
      <c r="BJ153" s="32"/>
      <c r="BK153" s="55"/>
      <c r="BL153" s="32"/>
      <c r="BM153" s="32"/>
      <c r="BN153" s="32"/>
      <c r="BO153" s="32"/>
      <c r="BP153" s="32"/>
      <c r="BQ153" s="31"/>
      <c r="BR153" s="31"/>
      <c r="BS153" s="54"/>
      <c r="BT153" s="21" t="str">
        <f>IFERROR(VLOOKUP(February[[#This Row],[Drug Name7]],'Data Options'!$R$1:$S$100,2,FALSE), " ")</f>
        <v xml:space="preserve"> </v>
      </c>
      <c r="BU153" s="55"/>
      <c r="BV153" s="32"/>
      <c r="BW153" s="32"/>
      <c r="BX153" s="55"/>
      <c r="BY153" s="32"/>
      <c r="BZ153" s="54"/>
      <c r="CA153" s="21" t="str">
        <f>IFERROR(VLOOKUP(February[[#This Row],[Drug Name8]],'Data Options'!$R$1:$S$100,2,FALSE), " ")</f>
        <v xml:space="preserve"> </v>
      </c>
      <c r="CB153" s="55"/>
      <c r="CC153" s="32"/>
      <c r="CD153" s="32"/>
      <c r="CE153" s="55"/>
      <c r="CF153" s="32"/>
      <c r="CG153" s="54"/>
      <c r="CH153" s="21" t="str">
        <f>IFERROR(VLOOKUP(February[[#This Row],[Drug Name9]],'Data Options'!$R$1:$S$100,2,FALSE), " ")</f>
        <v xml:space="preserve"> </v>
      </c>
      <c r="CI153" s="55"/>
      <c r="CJ153" s="32"/>
      <c r="CK153" s="32"/>
      <c r="CL153" s="55"/>
      <c r="CM153" s="32"/>
    </row>
    <row r="154" spans="1:91">
      <c r="A154" s="5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1"/>
      <c r="P154" s="31"/>
      <c r="Q154" s="54"/>
      <c r="R154" s="21" t="str">
        <f>IFERROR(VLOOKUP(February[[#This Row],[Drug Name]],'Data Options'!$R$1:$S$100,2,FALSE), " ")</f>
        <v xml:space="preserve"> </v>
      </c>
      <c r="S154" s="55"/>
      <c r="T154" s="32"/>
      <c r="U154" s="32"/>
      <c r="V154" s="55"/>
      <c r="W154" s="32"/>
      <c r="X154" s="54"/>
      <c r="Y154" s="21" t="str">
        <f>IFERROR(VLOOKUP(February[[#This Row],[Drug Name2]],'Data Options'!$R$1:$S$100,2,FALSE), " ")</f>
        <v xml:space="preserve"> </v>
      </c>
      <c r="Z154" s="55"/>
      <c r="AA154" s="32"/>
      <c r="AB154" s="32"/>
      <c r="AC154" s="55"/>
      <c r="AD154" s="32"/>
      <c r="AE154" s="54"/>
      <c r="AF154" s="21" t="str">
        <f>IFERROR(VLOOKUP(February[[#This Row],[Drug Name3]],'Data Options'!$R$1:$S$100,2,FALSE), " ")</f>
        <v xml:space="preserve"> </v>
      </c>
      <c r="AG154" s="55"/>
      <c r="AH154" s="32"/>
      <c r="AI154" s="32"/>
      <c r="AJ154" s="55"/>
      <c r="AK154" s="32"/>
      <c r="AL154" s="32"/>
      <c r="AM154" s="32"/>
      <c r="AN154" s="32"/>
      <c r="AO154" s="32"/>
      <c r="AP154" s="31"/>
      <c r="AQ154" s="31"/>
      <c r="AR154" s="54"/>
      <c r="AS154" s="21" t="str">
        <f>IFERROR(VLOOKUP(February[[#This Row],[Drug Name4]],'Data Options'!$R$1:$S$100,2,FALSE), " ")</f>
        <v xml:space="preserve"> </v>
      </c>
      <c r="AT154" s="55"/>
      <c r="AU154" s="32"/>
      <c r="AV154" s="32"/>
      <c r="AW154" s="55"/>
      <c r="AX154" s="32"/>
      <c r="AY154" s="54"/>
      <c r="AZ154" s="21" t="str">
        <f>IFERROR(VLOOKUP(February[[#This Row],[Drug Name5]],'Data Options'!$R$1:$S$100,2,FALSE), " ")</f>
        <v xml:space="preserve"> </v>
      </c>
      <c r="BA154" s="55"/>
      <c r="BB154" s="32"/>
      <c r="BC154" s="32"/>
      <c r="BD154" s="55"/>
      <c r="BE154" s="32"/>
      <c r="BF154" s="54"/>
      <c r="BG154" s="21" t="str">
        <f>IFERROR(VLOOKUP(February[[#This Row],[Drug Name6]],'Data Options'!$R$1:$S$100,2,FALSE), " ")</f>
        <v xml:space="preserve"> </v>
      </c>
      <c r="BH154" s="55"/>
      <c r="BI154" s="32"/>
      <c r="BJ154" s="32"/>
      <c r="BK154" s="55"/>
      <c r="BL154" s="32"/>
      <c r="BM154" s="32"/>
      <c r="BN154" s="32"/>
      <c r="BO154" s="32"/>
      <c r="BP154" s="32"/>
      <c r="BQ154" s="31"/>
      <c r="BR154" s="31"/>
      <c r="BS154" s="54"/>
      <c r="BT154" s="21" t="str">
        <f>IFERROR(VLOOKUP(February[[#This Row],[Drug Name7]],'Data Options'!$R$1:$S$100,2,FALSE), " ")</f>
        <v xml:space="preserve"> </v>
      </c>
      <c r="BU154" s="55"/>
      <c r="BV154" s="32"/>
      <c r="BW154" s="32"/>
      <c r="BX154" s="55"/>
      <c r="BY154" s="32"/>
      <c r="BZ154" s="54"/>
      <c r="CA154" s="21" t="str">
        <f>IFERROR(VLOOKUP(February[[#This Row],[Drug Name8]],'Data Options'!$R$1:$S$100,2,FALSE), " ")</f>
        <v xml:space="preserve"> </v>
      </c>
      <c r="CB154" s="55"/>
      <c r="CC154" s="32"/>
      <c r="CD154" s="32"/>
      <c r="CE154" s="55"/>
      <c r="CF154" s="32"/>
      <c r="CG154" s="54"/>
      <c r="CH154" s="21" t="str">
        <f>IFERROR(VLOOKUP(February[[#This Row],[Drug Name9]],'Data Options'!$R$1:$S$100,2,FALSE), " ")</f>
        <v xml:space="preserve"> </v>
      </c>
      <c r="CI154" s="55"/>
      <c r="CJ154" s="32"/>
      <c r="CK154" s="32"/>
      <c r="CL154" s="55"/>
      <c r="CM154" s="32"/>
    </row>
    <row r="155" spans="1:91">
      <c r="A155" s="5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54"/>
      <c r="R155" s="21" t="str">
        <f>IFERROR(VLOOKUP(February[[#This Row],[Drug Name]],'Data Options'!$R$1:$S$100,2,FALSE), " ")</f>
        <v xml:space="preserve"> </v>
      </c>
      <c r="S155" s="55"/>
      <c r="T155" s="32"/>
      <c r="U155" s="32"/>
      <c r="V155" s="55"/>
      <c r="W155" s="32"/>
      <c r="X155" s="54"/>
      <c r="Y155" s="21" t="str">
        <f>IFERROR(VLOOKUP(February[[#This Row],[Drug Name2]],'Data Options'!$R$1:$S$100,2,FALSE), " ")</f>
        <v xml:space="preserve"> </v>
      </c>
      <c r="Z155" s="55"/>
      <c r="AA155" s="32"/>
      <c r="AB155" s="32"/>
      <c r="AC155" s="55"/>
      <c r="AD155" s="32"/>
      <c r="AE155" s="54"/>
      <c r="AF155" s="21" t="str">
        <f>IFERROR(VLOOKUP(February[[#This Row],[Drug Name3]],'Data Options'!$R$1:$S$100,2,FALSE), " ")</f>
        <v xml:space="preserve"> </v>
      </c>
      <c r="AG155" s="55"/>
      <c r="AH155" s="32"/>
      <c r="AI155" s="32"/>
      <c r="AJ155" s="55"/>
      <c r="AK155" s="32"/>
      <c r="AL155" s="32"/>
      <c r="AM155" s="32"/>
      <c r="AN155" s="32"/>
      <c r="AO155" s="32"/>
      <c r="AP155" s="31"/>
      <c r="AQ155" s="31"/>
      <c r="AR155" s="54"/>
      <c r="AS155" s="21" t="str">
        <f>IFERROR(VLOOKUP(February[[#This Row],[Drug Name4]],'Data Options'!$R$1:$S$100,2,FALSE), " ")</f>
        <v xml:space="preserve"> </v>
      </c>
      <c r="AT155" s="55"/>
      <c r="AU155" s="32"/>
      <c r="AV155" s="32"/>
      <c r="AW155" s="55"/>
      <c r="AX155" s="32"/>
      <c r="AY155" s="54"/>
      <c r="AZ155" s="21" t="str">
        <f>IFERROR(VLOOKUP(February[[#This Row],[Drug Name5]],'Data Options'!$R$1:$S$100,2,FALSE), " ")</f>
        <v xml:space="preserve"> </v>
      </c>
      <c r="BA155" s="55"/>
      <c r="BB155" s="32"/>
      <c r="BC155" s="32"/>
      <c r="BD155" s="55"/>
      <c r="BE155" s="32"/>
      <c r="BF155" s="54"/>
      <c r="BG155" s="21" t="str">
        <f>IFERROR(VLOOKUP(February[[#This Row],[Drug Name6]],'Data Options'!$R$1:$S$100,2,FALSE), " ")</f>
        <v xml:space="preserve"> </v>
      </c>
      <c r="BH155" s="55"/>
      <c r="BI155" s="32"/>
      <c r="BJ155" s="32"/>
      <c r="BK155" s="55"/>
      <c r="BL155" s="32"/>
      <c r="BM155" s="32"/>
      <c r="BN155" s="32"/>
      <c r="BO155" s="32"/>
      <c r="BP155" s="32"/>
      <c r="BQ155" s="31"/>
      <c r="BR155" s="31"/>
      <c r="BS155" s="54"/>
      <c r="BT155" s="21" t="str">
        <f>IFERROR(VLOOKUP(February[[#This Row],[Drug Name7]],'Data Options'!$R$1:$S$100,2,FALSE), " ")</f>
        <v xml:space="preserve"> </v>
      </c>
      <c r="BU155" s="55"/>
      <c r="BV155" s="32"/>
      <c r="BW155" s="32"/>
      <c r="BX155" s="55"/>
      <c r="BY155" s="32"/>
      <c r="BZ155" s="54"/>
      <c r="CA155" s="21" t="str">
        <f>IFERROR(VLOOKUP(February[[#This Row],[Drug Name8]],'Data Options'!$R$1:$S$100,2,FALSE), " ")</f>
        <v xml:space="preserve"> </v>
      </c>
      <c r="CB155" s="55"/>
      <c r="CC155" s="32"/>
      <c r="CD155" s="32"/>
      <c r="CE155" s="55"/>
      <c r="CF155" s="32"/>
      <c r="CG155" s="54"/>
      <c r="CH155" s="21" t="str">
        <f>IFERROR(VLOOKUP(February[[#This Row],[Drug Name9]],'Data Options'!$R$1:$S$100,2,FALSE), " ")</f>
        <v xml:space="preserve"> </v>
      </c>
      <c r="CI155" s="55"/>
      <c r="CJ155" s="32"/>
      <c r="CK155" s="32"/>
      <c r="CL155" s="55"/>
      <c r="CM155" s="32"/>
    </row>
    <row r="156" spans="1:91">
      <c r="A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1"/>
      <c r="P156" s="31"/>
      <c r="Q156" s="54"/>
      <c r="R156" s="21" t="str">
        <f>IFERROR(VLOOKUP(February[[#This Row],[Drug Name]],'Data Options'!$R$1:$S$100,2,FALSE), " ")</f>
        <v xml:space="preserve"> </v>
      </c>
      <c r="S156" s="55"/>
      <c r="T156" s="32"/>
      <c r="U156" s="32"/>
      <c r="V156" s="55"/>
      <c r="W156" s="32"/>
      <c r="X156" s="54"/>
      <c r="Y156" s="21" t="str">
        <f>IFERROR(VLOOKUP(February[[#This Row],[Drug Name2]],'Data Options'!$R$1:$S$100,2,FALSE), " ")</f>
        <v xml:space="preserve"> </v>
      </c>
      <c r="Z156" s="55"/>
      <c r="AA156" s="32"/>
      <c r="AB156" s="32"/>
      <c r="AC156" s="55"/>
      <c r="AD156" s="32"/>
      <c r="AE156" s="54"/>
      <c r="AF156" s="21" t="str">
        <f>IFERROR(VLOOKUP(February[[#This Row],[Drug Name3]],'Data Options'!$R$1:$S$100,2,FALSE), " ")</f>
        <v xml:space="preserve"> </v>
      </c>
      <c r="AG156" s="55"/>
      <c r="AH156" s="32"/>
      <c r="AI156" s="32"/>
      <c r="AJ156" s="55"/>
      <c r="AK156" s="32"/>
      <c r="AL156" s="32"/>
      <c r="AM156" s="32"/>
      <c r="AN156" s="32"/>
      <c r="AO156" s="32"/>
      <c r="AP156" s="31"/>
      <c r="AQ156" s="31"/>
      <c r="AR156" s="54"/>
      <c r="AS156" s="21" t="str">
        <f>IFERROR(VLOOKUP(February[[#This Row],[Drug Name4]],'Data Options'!$R$1:$S$100,2,FALSE), " ")</f>
        <v xml:space="preserve"> </v>
      </c>
      <c r="AT156" s="55"/>
      <c r="AU156" s="32"/>
      <c r="AV156" s="32"/>
      <c r="AW156" s="55"/>
      <c r="AX156" s="32"/>
      <c r="AY156" s="54"/>
      <c r="AZ156" s="21" t="str">
        <f>IFERROR(VLOOKUP(February[[#This Row],[Drug Name5]],'Data Options'!$R$1:$S$100,2,FALSE), " ")</f>
        <v xml:space="preserve"> </v>
      </c>
      <c r="BA156" s="55"/>
      <c r="BB156" s="32"/>
      <c r="BC156" s="32"/>
      <c r="BD156" s="55"/>
      <c r="BE156" s="32"/>
      <c r="BF156" s="54"/>
      <c r="BG156" s="21" t="str">
        <f>IFERROR(VLOOKUP(February[[#This Row],[Drug Name6]],'Data Options'!$R$1:$S$100,2,FALSE), " ")</f>
        <v xml:space="preserve"> </v>
      </c>
      <c r="BH156" s="55"/>
      <c r="BI156" s="32"/>
      <c r="BJ156" s="32"/>
      <c r="BK156" s="55"/>
      <c r="BL156" s="32"/>
      <c r="BM156" s="32"/>
      <c r="BN156" s="32"/>
      <c r="BO156" s="32"/>
      <c r="BP156" s="32"/>
      <c r="BQ156" s="31"/>
      <c r="BR156" s="31"/>
      <c r="BS156" s="54"/>
      <c r="BT156" s="21" t="str">
        <f>IFERROR(VLOOKUP(February[[#This Row],[Drug Name7]],'Data Options'!$R$1:$S$100,2,FALSE), " ")</f>
        <v xml:space="preserve"> </v>
      </c>
      <c r="BU156" s="55"/>
      <c r="BV156" s="32"/>
      <c r="BW156" s="32"/>
      <c r="BX156" s="55"/>
      <c r="BY156" s="32"/>
      <c r="BZ156" s="54"/>
      <c r="CA156" s="21" t="str">
        <f>IFERROR(VLOOKUP(February[[#This Row],[Drug Name8]],'Data Options'!$R$1:$S$100,2,FALSE), " ")</f>
        <v xml:space="preserve"> </v>
      </c>
      <c r="CB156" s="55"/>
      <c r="CC156" s="32"/>
      <c r="CD156" s="32"/>
      <c r="CE156" s="55"/>
      <c r="CF156" s="32"/>
      <c r="CG156" s="54"/>
      <c r="CH156" s="21" t="str">
        <f>IFERROR(VLOOKUP(February[[#This Row],[Drug Name9]],'Data Options'!$R$1:$S$100,2,FALSE), " ")</f>
        <v xml:space="preserve"> </v>
      </c>
      <c r="CI156" s="55"/>
      <c r="CJ156" s="32"/>
      <c r="CK156" s="32"/>
      <c r="CL156" s="55"/>
      <c r="CM156" s="32"/>
    </row>
    <row r="157" spans="1:91">
      <c r="A157" s="5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1"/>
      <c r="P157" s="31"/>
      <c r="Q157" s="54"/>
      <c r="R157" s="21" t="str">
        <f>IFERROR(VLOOKUP(February[[#This Row],[Drug Name]],'Data Options'!$R$1:$S$100,2,FALSE), " ")</f>
        <v xml:space="preserve"> </v>
      </c>
      <c r="S157" s="55"/>
      <c r="T157" s="32"/>
      <c r="U157" s="32"/>
      <c r="V157" s="55"/>
      <c r="W157" s="32"/>
      <c r="X157" s="54"/>
      <c r="Y157" s="21" t="str">
        <f>IFERROR(VLOOKUP(February[[#This Row],[Drug Name2]],'Data Options'!$R$1:$S$100,2,FALSE), " ")</f>
        <v xml:space="preserve"> </v>
      </c>
      <c r="Z157" s="55"/>
      <c r="AA157" s="32"/>
      <c r="AB157" s="32"/>
      <c r="AC157" s="55"/>
      <c r="AD157" s="32"/>
      <c r="AE157" s="54"/>
      <c r="AF157" s="21" t="str">
        <f>IFERROR(VLOOKUP(February[[#This Row],[Drug Name3]],'Data Options'!$R$1:$S$100,2,FALSE), " ")</f>
        <v xml:space="preserve"> </v>
      </c>
      <c r="AG157" s="55"/>
      <c r="AH157" s="32"/>
      <c r="AI157" s="32"/>
      <c r="AJ157" s="55"/>
      <c r="AK157" s="32"/>
      <c r="AL157" s="32"/>
      <c r="AM157" s="32"/>
      <c r="AN157" s="32"/>
      <c r="AO157" s="32"/>
      <c r="AP157" s="31"/>
      <c r="AQ157" s="31"/>
      <c r="AR157" s="54"/>
      <c r="AS157" s="21" t="str">
        <f>IFERROR(VLOOKUP(February[[#This Row],[Drug Name4]],'Data Options'!$R$1:$S$100,2,FALSE), " ")</f>
        <v xml:space="preserve"> </v>
      </c>
      <c r="AT157" s="55"/>
      <c r="AU157" s="32"/>
      <c r="AV157" s="32"/>
      <c r="AW157" s="55"/>
      <c r="AX157" s="32"/>
      <c r="AY157" s="54"/>
      <c r="AZ157" s="21" t="str">
        <f>IFERROR(VLOOKUP(February[[#This Row],[Drug Name5]],'Data Options'!$R$1:$S$100,2,FALSE), " ")</f>
        <v xml:space="preserve"> </v>
      </c>
      <c r="BA157" s="55"/>
      <c r="BB157" s="32"/>
      <c r="BC157" s="32"/>
      <c r="BD157" s="55"/>
      <c r="BE157" s="32"/>
      <c r="BF157" s="54"/>
      <c r="BG157" s="21" t="str">
        <f>IFERROR(VLOOKUP(February[[#This Row],[Drug Name6]],'Data Options'!$R$1:$S$100,2,FALSE), " ")</f>
        <v xml:space="preserve"> </v>
      </c>
      <c r="BH157" s="55"/>
      <c r="BI157" s="32"/>
      <c r="BJ157" s="32"/>
      <c r="BK157" s="55"/>
      <c r="BL157" s="32"/>
      <c r="BM157" s="32"/>
      <c r="BN157" s="32"/>
      <c r="BO157" s="32"/>
      <c r="BP157" s="32"/>
      <c r="BQ157" s="31"/>
      <c r="BR157" s="31"/>
      <c r="BS157" s="54"/>
      <c r="BT157" s="21" t="str">
        <f>IFERROR(VLOOKUP(February[[#This Row],[Drug Name7]],'Data Options'!$R$1:$S$100,2,FALSE), " ")</f>
        <v xml:space="preserve"> </v>
      </c>
      <c r="BU157" s="55"/>
      <c r="BV157" s="32"/>
      <c r="BW157" s="32"/>
      <c r="BX157" s="55"/>
      <c r="BY157" s="32"/>
      <c r="BZ157" s="54"/>
      <c r="CA157" s="21" t="str">
        <f>IFERROR(VLOOKUP(February[[#This Row],[Drug Name8]],'Data Options'!$R$1:$S$100,2,FALSE), " ")</f>
        <v xml:space="preserve"> </v>
      </c>
      <c r="CB157" s="55"/>
      <c r="CC157" s="32"/>
      <c r="CD157" s="32"/>
      <c r="CE157" s="55"/>
      <c r="CF157" s="32"/>
      <c r="CG157" s="54"/>
      <c r="CH157" s="21" t="str">
        <f>IFERROR(VLOOKUP(February[[#This Row],[Drug Name9]],'Data Options'!$R$1:$S$100,2,FALSE), " ")</f>
        <v xml:space="preserve"> </v>
      </c>
      <c r="CI157" s="55"/>
      <c r="CJ157" s="32"/>
      <c r="CK157" s="32"/>
      <c r="CL157" s="55"/>
      <c r="CM157" s="32"/>
    </row>
    <row r="158" spans="1:91">
      <c r="A158" s="5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1"/>
      <c r="P158" s="31"/>
      <c r="Q158" s="54"/>
      <c r="R158" s="21" t="str">
        <f>IFERROR(VLOOKUP(February[[#This Row],[Drug Name]],'Data Options'!$R$1:$S$100,2,FALSE), " ")</f>
        <v xml:space="preserve"> </v>
      </c>
      <c r="S158" s="55"/>
      <c r="T158" s="32"/>
      <c r="U158" s="32"/>
      <c r="V158" s="55"/>
      <c r="W158" s="32"/>
      <c r="X158" s="54"/>
      <c r="Y158" s="21" t="str">
        <f>IFERROR(VLOOKUP(February[[#This Row],[Drug Name2]],'Data Options'!$R$1:$S$100,2,FALSE), " ")</f>
        <v xml:space="preserve"> </v>
      </c>
      <c r="Z158" s="55"/>
      <c r="AA158" s="32"/>
      <c r="AB158" s="32"/>
      <c r="AC158" s="55"/>
      <c r="AD158" s="32"/>
      <c r="AE158" s="54"/>
      <c r="AF158" s="21" t="str">
        <f>IFERROR(VLOOKUP(February[[#This Row],[Drug Name3]],'Data Options'!$R$1:$S$100,2,FALSE), " ")</f>
        <v xml:space="preserve"> </v>
      </c>
      <c r="AG158" s="55"/>
      <c r="AH158" s="32"/>
      <c r="AI158" s="32"/>
      <c r="AJ158" s="55"/>
      <c r="AK158" s="32"/>
      <c r="AL158" s="32"/>
      <c r="AM158" s="32"/>
      <c r="AN158" s="32"/>
      <c r="AO158" s="32"/>
      <c r="AP158" s="31"/>
      <c r="AQ158" s="31"/>
      <c r="AR158" s="54"/>
      <c r="AS158" s="21" t="str">
        <f>IFERROR(VLOOKUP(February[[#This Row],[Drug Name4]],'Data Options'!$R$1:$S$100,2,FALSE), " ")</f>
        <v xml:space="preserve"> </v>
      </c>
      <c r="AT158" s="55"/>
      <c r="AU158" s="32"/>
      <c r="AV158" s="32"/>
      <c r="AW158" s="55"/>
      <c r="AX158" s="32"/>
      <c r="AY158" s="54"/>
      <c r="AZ158" s="21" t="str">
        <f>IFERROR(VLOOKUP(February[[#This Row],[Drug Name5]],'Data Options'!$R$1:$S$100,2,FALSE), " ")</f>
        <v xml:space="preserve"> </v>
      </c>
      <c r="BA158" s="55"/>
      <c r="BB158" s="32"/>
      <c r="BC158" s="32"/>
      <c r="BD158" s="55"/>
      <c r="BE158" s="32"/>
      <c r="BF158" s="54"/>
      <c r="BG158" s="21" t="str">
        <f>IFERROR(VLOOKUP(February[[#This Row],[Drug Name6]],'Data Options'!$R$1:$S$100,2,FALSE), " ")</f>
        <v xml:space="preserve"> </v>
      </c>
      <c r="BH158" s="55"/>
      <c r="BI158" s="32"/>
      <c r="BJ158" s="32"/>
      <c r="BK158" s="55"/>
      <c r="BL158" s="32"/>
      <c r="BM158" s="32"/>
      <c r="BN158" s="32"/>
      <c r="BO158" s="32"/>
      <c r="BP158" s="32"/>
      <c r="BQ158" s="31"/>
      <c r="BR158" s="31"/>
      <c r="BS158" s="54"/>
      <c r="BT158" s="21" t="str">
        <f>IFERROR(VLOOKUP(February[[#This Row],[Drug Name7]],'Data Options'!$R$1:$S$100,2,FALSE), " ")</f>
        <v xml:space="preserve"> </v>
      </c>
      <c r="BU158" s="55"/>
      <c r="BV158" s="32"/>
      <c r="BW158" s="32"/>
      <c r="BX158" s="55"/>
      <c r="BY158" s="32"/>
      <c r="BZ158" s="54"/>
      <c r="CA158" s="21" t="str">
        <f>IFERROR(VLOOKUP(February[[#This Row],[Drug Name8]],'Data Options'!$R$1:$S$100,2,FALSE), " ")</f>
        <v xml:space="preserve"> </v>
      </c>
      <c r="CB158" s="55"/>
      <c r="CC158" s="32"/>
      <c r="CD158" s="32"/>
      <c r="CE158" s="55"/>
      <c r="CF158" s="32"/>
      <c r="CG158" s="54"/>
      <c r="CH158" s="21" t="str">
        <f>IFERROR(VLOOKUP(February[[#This Row],[Drug Name9]],'Data Options'!$R$1:$S$100,2,FALSE), " ")</f>
        <v xml:space="preserve"> </v>
      </c>
      <c r="CI158" s="55"/>
      <c r="CJ158" s="32"/>
      <c r="CK158" s="32"/>
      <c r="CL158" s="55"/>
      <c r="CM158" s="32"/>
    </row>
    <row r="159" spans="1:91">
      <c r="A159" s="5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1"/>
      <c r="P159" s="31"/>
      <c r="Q159" s="54"/>
      <c r="R159" s="21" t="str">
        <f>IFERROR(VLOOKUP(February[[#This Row],[Drug Name]],'Data Options'!$R$1:$S$100,2,FALSE), " ")</f>
        <v xml:space="preserve"> </v>
      </c>
      <c r="S159" s="55"/>
      <c r="T159" s="32"/>
      <c r="U159" s="32"/>
      <c r="V159" s="55"/>
      <c r="W159" s="32"/>
      <c r="X159" s="54"/>
      <c r="Y159" s="21" t="str">
        <f>IFERROR(VLOOKUP(February[[#This Row],[Drug Name2]],'Data Options'!$R$1:$S$100,2,FALSE), " ")</f>
        <v xml:space="preserve"> </v>
      </c>
      <c r="Z159" s="55"/>
      <c r="AA159" s="32"/>
      <c r="AB159" s="32"/>
      <c r="AC159" s="55"/>
      <c r="AD159" s="32"/>
      <c r="AE159" s="54"/>
      <c r="AF159" s="21" t="str">
        <f>IFERROR(VLOOKUP(February[[#This Row],[Drug Name3]],'Data Options'!$R$1:$S$100,2,FALSE), " ")</f>
        <v xml:space="preserve"> </v>
      </c>
      <c r="AG159" s="55"/>
      <c r="AH159" s="32"/>
      <c r="AI159" s="32"/>
      <c r="AJ159" s="55"/>
      <c r="AK159" s="32"/>
      <c r="AL159" s="32"/>
      <c r="AM159" s="32"/>
      <c r="AN159" s="32"/>
      <c r="AO159" s="32"/>
      <c r="AP159" s="31"/>
      <c r="AQ159" s="31"/>
      <c r="AR159" s="54"/>
      <c r="AS159" s="21" t="str">
        <f>IFERROR(VLOOKUP(February[[#This Row],[Drug Name4]],'Data Options'!$R$1:$S$100,2,FALSE), " ")</f>
        <v xml:space="preserve"> </v>
      </c>
      <c r="AT159" s="55"/>
      <c r="AU159" s="32"/>
      <c r="AV159" s="32"/>
      <c r="AW159" s="55"/>
      <c r="AX159" s="32"/>
      <c r="AY159" s="54"/>
      <c r="AZ159" s="21" t="str">
        <f>IFERROR(VLOOKUP(February[[#This Row],[Drug Name5]],'Data Options'!$R$1:$S$100,2,FALSE), " ")</f>
        <v xml:space="preserve"> </v>
      </c>
      <c r="BA159" s="55"/>
      <c r="BB159" s="32"/>
      <c r="BC159" s="32"/>
      <c r="BD159" s="55"/>
      <c r="BE159" s="32"/>
      <c r="BF159" s="54"/>
      <c r="BG159" s="21" t="str">
        <f>IFERROR(VLOOKUP(February[[#This Row],[Drug Name6]],'Data Options'!$R$1:$S$100,2,FALSE), " ")</f>
        <v xml:space="preserve"> </v>
      </c>
      <c r="BH159" s="55"/>
      <c r="BI159" s="32"/>
      <c r="BJ159" s="32"/>
      <c r="BK159" s="55"/>
      <c r="BL159" s="32"/>
      <c r="BM159" s="32"/>
      <c r="BN159" s="32"/>
      <c r="BO159" s="32"/>
      <c r="BP159" s="32"/>
      <c r="BQ159" s="31"/>
      <c r="BR159" s="31"/>
      <c r="BS159" s="54"/>
      <c r="BT159" s="21" t="str">
        <f>IFERROR(VLOOKUP(February[[#This Row],[Drug Name7]],'Data Options'!$R$1:$S$100,2,FALSE), " ")</f>
        <v xml:space="preserve"> </v>
      </c>
      <c r="BU159" s="55"/>
      <c r="BV159" s="32"/>
      <c r="BW159" s="32"/>
      <c r="BX159" s="55"/>
      <c r="BY159" s="32"/>
      <c r="BZ159" s="54"/>
      <c r="CA159" s="21" t="str">
        <f>IFERROR(VLOOKUP(February[[#This Row],[Drug Name8]],'Data Options'!$R$1:$S$100,2,FALSE), " ")</f>
        <v xml:space="preserve"> </v>
      </c>
      <c r="CB159" s="55"/>
      <c r="CC159" s="32"/>
      <c r="CD159" s="32"/>
      <c r="CE159" s="55"/>
      <c r="CF159" s="32"/>
      <c r="CG159" s="54"/>
      <c r="CH159" s="21" t="str">
        <f>IFERROR(VLOOKUP(February[[#This Row],[Drug Name9]],'Data Options'!$R$1:$S$100,2,FALSE), " ")</f>
        <v xml:space="preserve"> </v>
      </c>
      <c r="CI159" s="55"/>
      <c r="CJ159" s="32"/>
      <c r="CK159" s="32"/>
      <c r="CL159" s="55"/>
      <c r="CM159" s="32"/>
    </row>
    <row r="160" spans="1:91">
      <c r="A160" s="5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1"/>
      <c r="P160" s="31"/>
      <c r="Q160" s="54"/>
      <c r="R160" s="21" t="str">
        <f>IFERROR(VLOOKUP(February[[#This Row],[Drug Name]],'Data Options'!$R$1:$S$100,2,FALSE), " ")</f>
        <v xml:space="preserve"> </v>
      </c>
      <c r="S160" s="55"/>
      <c r="T160" s="32"/>
      <c r="U160" s="32"/>
      <c r="V160" s="55"/>
      <c r="W160" s="32"/>
      <c r="X160" s="54"/>
      <c r="Y160" s="21" t="str">
        <f>IFERROR(VLOOKUP(February[[#This Row],[Drug Name2]],'Data Options'!$R$1:$S$100,2,FALSE), " ")</f>
        <v xml:space="preserve"> </v>
      </c>
      <c r="Z160" s="55"/>
      <c r="AA160" s="32"/>
      <c r="AB160" s="32"/>
      <c r="AC160" s="55"/>
      <c r="AD160" s="32"/>
      <c r="AE160" s="54"/>
      <c r="AF160" s="21" t="str">
        <f>IFERROR(VLOOKUP(February[[#This Row],[Drug Name3]],'Data Options'!$R$1:$S$100,2,FALSE), " ")</f>
        <v xml:space="preserve"> </v>
      </c>
      <c r="AG160" s="55"/>
      <c r="AH160" s="32"/>
      <c r="AI160" s="32"/>
      <c r="AJ160" s="55"/>
      <c r="AK160" s="32"/>
      <c r="AL160" s="32"/>
      <c r="AM160" s="32"/>
      <c r="AN160" s="32"/>
      <c r="AO160" s="32"/>
      <c r="AP160" s="31"/>
      <c r="AQ160" s="31"/>
      <c r="AR160" s="54"/>
      <c r="AS160" s="21" t="str">
        <f>IFERROR(VLOOKUP(February[[#This Row],[Drug Name4]],'Data Options'!$R$1:$S$100,2,FALSE), " ")</f>
        <v xml:space="preserve"> </v>
      </c>
      <c r="AT160" s="55"/>
      <c r="AU160" s="32"/>
      <c r="AV160" s="32"/>
      <c r="AW160" s="55"/>
      <c r="AX160" s="32"/>
      <c r="AY160" s="54"/>
      <c r="AZ160" s="21" t="str">
        <f>IFERROR(VLOOKUP(February[[#This Row],[Drug Name5]],'Data Options'!$R$1:$S$100,2,FALSE), " ")</f>
        <v xml:space="preserve"> </v>
      </c>
      <c r="BA160" s="55"/>
      <c r="BB160" s="32"/>
      <c r="BC160" s="32"/>
      <c r="BD160" s="55"/>
      <c r="BE160" s="32"/>
      <c r="BF160" s="54"/>
      <c r="BG160" s="21" t="str">
        <f>IFERROR(VLOOKUP(February[[#This Row],[Drug Name6]],'Data Options'!$R$1:$S$100,2,FALSE), " ")</f>
        <v xml:space="preserve"> </v>
      </c>
      <c r="BH160" s="55"/>
      <c r="BI160" s="32"/>
      <c r="BJ160" s="32"/>
      <c r="BK160" s="55"/>
      <c r="BL160" s="32"/>
      <c r="BM160" s="32"/>
      <c r="BN160" s="32"/>
      <c r="BO160" s="32"/>
      <c r="BP160" s="32"/>
      <c r="BQ160" s="31"/>
      <c r="BR160" s="31"/>
      <c r="BS160" s="54"/>
      <c r="BT160" s="21" t="str">
        <f>IFERROR(VLOOKUP(February[[#This Row],[Drug Name7]],'Data Options'!$R$1:$S$100,2,FALSE), " ")</f>
        <v xml:space="preserve"> </v>
      </c>
      <c r="BU160" s="55"/>
      <c r="BV160" s="32"/>
      <c r="BW160" s="32"/>
      <c r="BX160" s="55"/>
      <c r="BY160" s="32"/>
      <c r="BZ160" s="54"/>
      <c r="CA160" s="21" t="str">
        <f>IFERROR(VLOOKUP(February[[#This Row],[Drug Name8]],'Data Options'!$R$1:$S$100,2,FALSE), " ")</f>
        <v xml:space="preserve"> </v>
      </c>
      <c r="CB160" s="55"/>
      <c r="CC160" s="32"/>
      <c r="CD160" s="32"/>
      <c r="CE160" s="55"/>
      <c r="CF160" s="32"/>
      <c r="CG160" s="54"/>
      <c r="CH160" s="21" t="str">
        <f>IFERROR(VLOOKUP(February[[#This Row],[Drug Name9]],'Data Options'!$R$1:$S$100,2,FALSE), " ")</f>
        <v xml:space="preserve"> </v>
      </c>
      <c r="CI160" s="55"/>
      <c r="CJ160" s="32"/>
      <c r="CK160" s="32"/>
      <c r="CL160" s="55"/>
      <c r="CM160" s="32"/>
    </row>
    <row r="161" spans="1:91">
      <c r="A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1"/>
      <c r="P161" s="31"/>
      <c r="Q161" s="54"/>
      <c r="R161" s="21" t="str">
        <f>IFERROR(VLOOKUP(February[[#This Row],[Drug Name]],'Data Options'!$R$1:$S$100,2,FALSE), " ")</f>
        <v xml:space="preserve"> </v>
      </c>
      <c r="S161" s="55"/>
      <c r="T161" s="32"/>
      <c r="U161" s="32"/>
      <c r="V161" s="55"/>
      <c r="W161" s="32"/>
      <c r="X161" s="54"/>
      <c r="Y161" s="21" t="str">
        <f>IFERROR(VLOOKUP(February[[#This Row],[Drug Name2]],'Data Options'!$R$1:$S$100,2,FALSE), " ")</f>
        <v xml:space="preserve"> </v>
      </c>
      <c r="Z161" s="55"/>
      <c r="AA161" s="32"/>
      <c r="AB161" s="32"/>
      <c r="AC161" s="55"/>
      <c r="AD161" s="32"/>
      <c r="AE161" s="54"/>
      <c r="AF161" s="21" t="str">
        <f>IFERROR(VLOOKUP(February[[#This Row],[Drug Name3]],'Data Options'!$R$1:$S$100,2,FALSE), " ")</f>
        <v xml:space="preserve"> </v>
      </c>
      <c r="AG161" s="55"/>
      <c r="AH161" s="32"/>
      <c r="AI161" s="32"/>
      <c r="AJ161" s="55"/>
      <c r="AK161" s="32"/>
      <c r="AL161" s="32"/>
      <c r="AM161" s="32"/>
      <c r="AN161" s="32"/>
      <c r="AO161" s="32"/>
      <c r="AP161" s="31"/>
      <c r="AQ161" s="31"/>
      <c r="AR161" s="54"/>
      <c r="AS161" s="21" t="str">
        <f>IFERROR(VLOOKUP(February[[#This Row],[Drug Name4]],'Data Options'!$R$1:$S$100,2,FALSE), " ")</f>
        <v xml:space="preserve"> </v>
      </c>
      <c r="AT161" s="55"/>
      <c r="AU161" s="32"/>
      <c r="AV161" s="32"/>
      <c r="AW161" s="55"/>
      <c r="AX161" s="32"/>
      <c r="AY161" s="54"/>
      <c r="AZ161" s="21" t="str">
        <f>IFERROR(VLOOKUP(February[[#This Row],[Drug Name5]],'Data Options'!$R$1:$S$100,2,FALSE), " ")</f>
        <v xml:space="preserve"> </v>
      </c>
      <c r="BA161" s="55"/>
      <c r="BB161" s="32"/>
      <c r="BC161" s="32"/>
      <c r="BD161" s="55"/>
      <c r="BE161" s="32"/>
      <c r="BF161" s="54"/>
      <c r="BG161" s="21" t="str">
        <f>IFERROR(VLOOKUP(February[[#This Row],[Drug Name6]],'Data Options'!$R$1:$S$100,2,FALSE), " ")</f>
        <v xml:space="preserve"> </v>
      </c>
      <c r="BH161" s="55"/>
      <c r="BI161" s="32"/>
      <c r="BJ161" s="32"/>
      <c r="BK161" s="55"/>
      <c r="BL161" s="32"/>
      <c r="BM161" s="32"/>
      <c r="BN161" s="32"/>
      <c r="BO161" s="32"/>
      <c r="BP161" s="32"/>
      <c r="BQ161" s="31"/>
      <c r="BR161" s="31"/>
      <c r="BS161" s="54"/>
      <c r="BT161" s="21" t="str">
        <f>IFERROR(VLOOKUP(February[[#This Row],[Drug Name7]],'Data Options'!$R$1:$S$100,2,FALSE), " ")</f>
        <v xml:space="preserve"> </v>
      </c>
      <c r="BU161" s="55"/>
      <c r="BV161" s="32"/>
      <c r="BW161" s="32"/>
      <c r="BX161" s="55"/>
      <c r="BY161" s="32"/>
      <c r="BZ161" s="54"/>
      <c r="CA161" s="21" t="str">
        <f>IFERROR(VLOOKUP(February[[#This Row],[Drug Name8]],'Data Options'!$R$1:$S$100,2,FALSE), " ")</f>
        <v xml:space="preserve"> </v>
      </c>
      <c r="CB161" s="55"/>
      <c r="CC161" s="32"/>
      <c r="CD161" s="32"/>
      <c r="CE161" s="55"/>
      <c r="CF161" s="32"/>
      <c r="CG161" s="54"/>
      <c r="CH161" s="21" t="str">
        <f>IFERROR(VLOOKUP(February[[#This Row],[Drug Name9]],'Data Options'!$R$1:$S$100,2,FALSE), " ")</f>
        <v xml:space="preserve"> </v>
      </c>
      <c r="CI161" s="55"/>
      <c r="CJ161" s="32"/>
      <c r="CK161" s="32"/>
      <c r="CL161" s="55"/>
      <c r="CM161" s="32"/>
    </row>
    <row r="162" spans="1:91">
      <c r="A162" s="5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1"/>
      <c r="P162" s="31"/>
      <c r="Q162" s="54"/>
      <c r="R162" s="21" t="str">
        <f>IFERROR(VLOOKUP(February[[#This Row],[Drug Name]],'Data Options'!$R$1:$S$100,2,FALSE), " ")</f>
        <v xml:space="preserve"> </v>
      </c>
      <c r="S162" s="55"/>
      <c r="T162" s="32"/>
      <c r="U162" s="32"/>
      <c r="V162" s="55"/>
      <c r="W162" s="32"/>
      <c r="X162" s="54"/>
      <c r="Y162" s="21" t="str">
        <f>IFERROR(VLOOKUP(February[[#This Row],[Drug Name2]],'Data Options'!$R$1:$S$100,2,FALSE), " ")</f>
        <v xml:space="preserve"> </v>
      </c>
      <c r="Z162" s="55"/>
      <c r="AA162" s="32"/>
      <c r="AB162" s="32"/>
      <c r="AC162" s="55"/>
      <c r="AD162" s="32"/>
      <c r="AE162" s="54"/>
      <c r="AF162" s="21" t="str">
        <f>IFERROR(VLOOKUP(February[[#This Row],[Drug Name3]],'Data Options'!$R$1:$S$100,2,FALSE), " ")</f>
        <v xml:space="preserve"> </v>
      </c>
      <c r="AG162" s="55"/>
      <c r="AH162" s="32"/>
      <c r="AI162" s="32"/>
      <c r="AJ162" s="55"/>
      <c r="AK162" s="32"/>
      <c r="AL162" s="32"/>
      <c r="AM162" s="32"/>
      <c r="AN162" s="32"/>
      <c r="AO162" s="32"/>
      <c r="AP162" s="31"/>
      <c r="AQ162" s="31"/>
      <c r="AR162" s="54"/>
      <c r="AS162" s="21" t="str">
        <f>IFERROR(VLOOKUP(February[[#This Row],[Drug Name4]],'Data Options'!$R$1:$S$100,2,FALSE), " ")</f>
        <v xml:space="preserve"> </v>
      </c>
      <c r="AT162" s="55"/>
      <c r="AU162" s="32"/>
      <c r="AV162" s="32"/>
      <c r="AW162" s="55"/>
      <c r="AX162" s="32"/>
      <c r="AY162" s="54"/>
      <c r="AZ162" s="21" t="str">
        <f>IFERROR(VLOOKUP(February[[#This Row],[Drug Name5]],'Data Options'!$R$1:$S$100,2,FALSE), " ")</f>
        <v xml:space="preserve"> </v>
      </c>
      <c r="BA162" s="55"/>
      <c r="BB162" s="32"/>
      <c r="BC162" s="32"/>
      <c r="BD162" s="55"/>
      <c r="BE162" s="32"/>
      <c r="BF162" s="54"/>
      <c r="BG162" s="21" t="str">
        <f>IFERROR(VLOOKUP(February[[#This Row],[Drug Name6]],'Data Options'!$R$1:$S$100,2,FALSE), " ")</f>
        <v xml:space="preserve"> </v>
      </c>
      <c r="BH162" s="55"/>
      <c r="BI162" s="32"/>
      <c r="BJ162" s="32"/>
      <c r="BK162" s="55"/>
      <c r="BL162" s="32"/>
      <c r="BM162" s="32"/>
      <c r="BN162" s="32"/>
      <c r="BO162" s="32"/>
      <c r="BP162" s="32"/>
      <c r="BQ162" s="31"/>
      <c r="BR162" s="31"/>
      <c r="BS162" s="54"/>
      <c r="BT162" s="21" t="str">
        <f>IFERROR(VLOOKUP(February[[#This Row],[Drug Name7]],'Data Options'!$R$1:$S$100,2,FALSE), " ")</f>
        <v xml:space="preserve"> </v>
      </c>
      <c r="BU162" s="55"/>
      <c r="BV162" s="32"/>
      <c r="BW162" s="32"/>
      <c r="BX162" s="55"/>
      <c r="BY162" s="32"/>
      <c r="BZ162" s="54"/>
      <c r="CA162" s="21" t="str">
        <f>IFERROR(VLOOKUP(February[[#This Row],[Drug Name8]],'Data Options'!$R$1:$S$100,2,FALSE), " ")</f>
        <v xml:space="preserve"> </v>
      </c>
      <c r="CB162" s="55"/>
      <c r="CC162" s="32"/>
      <c r="CD162" s="32"/>
      <c r="CE162" s="55"/>
      <c r="CF162" s="32"/>
      <c r="CG162" s="54"/>
      <c r="CH162" s="21" t="str">
        <f>IFERROR(VLOOKUP(February[[#This Row],[Drug Name9]],'Data Options'!$R$1:$S$100,2,FALSE), " ")</f>
        <v xml:space="preserve"> </v>
      </c>
      <c r="CI162" s="55"/>
      <c r="CJ162" s="32"/>
      <c r="CK162" s="32"/>
      <c r="CL162" s="55"/>
      <c r="CM162" s="32"/>
    </row>
    <row r="163" spans="1:91">
      <c r="A163" s="5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1"/>
      <c r="P163" s="31"/>
      <c r="Q163" s="54"/>
      <c r="R163" s="21" t="str">
        <f>IFERROR(VLOOKUP(February[[#This Row],[Drug Name]],'Data Options'!$R$1:$S$100,2,FALSE), " ")</f>
        <v xml:space="preserve"> </v>
      </c>
      <c r="S163" s="55"/>
      <c r="T163" s="32"/>
      <c r="U163" s="32"/>
      <c r="V163" s="55"/>
      <c r="W163" s="32"/>
      <c r="X163" s="54"/>
      <c r="Y163" s="21" t="str">
        <f>IFERROR(VLOOKUP(February[[#This Row],[Drug Name2]],'Data Options'!$R$1:$S$100,2,FALSE), " ")</f>
        <v xml:space="preserve"> </v>
      </c>
      <c r="Z163" s="55"/>
      <c r="AA163" s="32"/>
      <c r="AB163" s="32"/>
      <c r="AC163" s="55"/>
      <c r="AD163" s="32"/>
      <c r="AE163" s="54"/>
      <c r="AF163" s="21" t="str">
        <f>IFERROR(VLOOKUP(February[[#This Row],[Drug Name3]],'Data Options'!$R$1:$S$100,2,FALSE), " ")</f>
        <v xml:space="preserve"> </v>
      </c>
      <c r="AG163" s="55"/>
      <c r="AH163" s="32"/>
      <c r="AI163" s="32"/>
      <c r="AJ163" s="55"/>
      <c r="AK163" s="32"/>
      <c r="AL163" s="32"/>
      <c r="AM163" s="32"/>
      <c r="AN163" s="32"/>
      <c r="AO163" s="32"/>
      <c r="AP163" s="31"/>
      <c r="AQ163" s="31"/>
      <c r="AR163" s="54"/>
      <c r="AS163" s="21" t="str">
        <f>IFERROR(VLOOKUP(February[[#This Row],[Drug Name4]],'Data Options'!$R$1:$S$100,2,FALSE), " ")</f>
        <v xml:space="preserve"> </v>
      </c>
      <c r="AT163" s="55"/>
      <c r="AU163" s="32"/>
      <c r="AV163" s="32"/>
      <c r="AW163" s="55"/>
      <c r="AX163" s="32"/>
      <c r="AY163" s="54"/>
      <c r="AZ163" s="21" t="str">
        <f>IFERROR(VLOOKUP(February[[#This Row],[Drug Name5]],'Data Options'!$R$1:$S$100,2,FALSE), " ")</f>
        <v xml:space="preserve"> </v>
      </c>
      <c r="BA163" s="55"/>
      <c r="BB163" s="32"/>
      <c r="BC163" s="32"/>
      <c r="BD163" s="55"/>
      <c r="BE163" s="32"/>
      <c r="BF163" s="54"/>
      <c r="BG163" s="21" t="str">
        <f>IFERROR(VLOOKUP(February[[#This Row],[Drug Name6]],'Data Options'!$R$1:$S$100,2,FALSE), " ")</f>
        <v xml:space="preserve"> </v>
      </c>
      <c r="BH163" s="55"/>
      <c r="BI163" s="32"/>
      <c r="BJ163" s="32"/>
      <c r="BK163" s="55"/>
      <c r="BL163" s="32"/>
      <c r="BM163" s="32"/>
      <c r="BN163" s="32"/>
      <c r="BO163" s="32"/>
      <c r="BP163" s="32"/>
      <c r="BQ163" s="31"/>
      <c r="BR163" s="31"/>
      <c r="BS163" s="54"/>
      <c r="BT163" s="21" t="str">
        <f>IFERROR(VLOOKUP(February[[#This Row],[Drug Name7]],'Data Options'!$R$1:$S$100,2,FALSE), " ")</f>
        <v xml:space="preserve"> </v>
      </c>
      <c r="BU163" s="55"/>
      <c r="BV163" s="32"/>
      <c r="BW163" s="32"/>
      <c r="BX163" s="55"/>
      <c r="BY163" s="32"/>
      <c r="BZ163" s="54"/>
      <c r="CA163" s="21" t="str">
        <f>IFERROR(VLOOKUP(February[[#This Row],[Drug Name8]],'Data Options'!$R$1:$S$100,2,FALSE), " ")</f>
        <v xml:space="preserve"> </v>
      </c>
      <c r="CB163" s="55"/>
      <c r="CC163" s="32"/>
      <c r="CD163" s="32"/>
      <c r="CE163" s="55"/>
      <c r="CF163" s="32"/>
      <c r="CG163" s="54"/>
      <c r="CH163" s="21" t="str">
        <f>IFERROR(VLOOKUP(February[[#This Row],[Drug Name9]],'Data Options'!$R$1:$S$100,2,FALSE), " ")</f>
        <v xml:space="preserve"> </v>
      </c>
      <c r="CI163" s="55"/>
      <c r="CJ163" s="32"/>
      <c r="CK163" s="32"/>
      <c r="CL163" s="55"/>
      <c r="CM163" s="32"/>
    </row>
    <row r="164" spans="1:91">
      <c r="A164" s="5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1"/>
      <c r="P164" s="31"/>
      <c r="Q164" s="54"/>
      <c r="R164" s="21" t="str">
        <f>IFERROR(VLOOKUP(February[[#This Row],[Drug Name]],'Data Options'!$R$1:$S$100,2,FALSE), " ")</f>
        <v xml:space="preserve"> </v>
      </c>
      <c r="S164" s="55"/>
      <c r="T164" s="32"/>
      <c r="U164" s="32"/>
      <c r="V164" s="55"/>
      <c r="W164" s="32"/>
      <c r="X164" s="54"/>
      <c r="Y164" s="21" t="str">
        <f>IFERROR(VLOOKUP(February[[#This Row],[Drug Name2]],'Data Options'!$R$1:$S$100,2,FALSE), " ")</f>
        <v xml:space="preserve"> </v>
      </c>
      <c r="Z164" s="55"/>
      <c r="AA164" s="32"/>
      <c r="AB164" s="32"/>
      <c r="AC164" s="55"/>
      <c r="AD164" s="32"/>
      <c r="AE164" s="54"/>
      <c r="AF164" s="21" t="str">
        <f>IFERROR(VLOOKUP(February[[#This Row],[Drug Name3]],'Data Options'!$R$1:$S$100,2,FALSE), " ")</f>
        <v xml:space="preserve"> </v>
      </c>
      <c r="AG164" s="55"/>
      <c r="AH164" s="32"/>
      <c r="AI164" s="32"/>
      <c r="AJ164" s="55"/>
      <c r="AK164" s="32"/>
      <c r="AL164" s="32"/>
      <c r="AM164" s="32"/>
      <c r="AN164" s="32"/>
      <c r="AO164" s="32"/>
      <c r="AP164" s="31"/>
      <c r="AQ164" s="31"/>
      <c r="AR164" s="54"/>
      <c r="AS164" s="21" t="str">
        <f>IFERROR(VLOOKUP(February[[#This Row],[Drug Name4]],'Data Options'!$R$1:$S$100,2,FALSE), " ")</f>
        <v xml:space="preserve"> </v>
      </c>
      <c r="AT164" s="55"/>
      <c r="AU164" s="32"/>
      <c r="AV164" s="32"/>
      <c r="AW164" s="55"/>
      <c r="AX164" s="32"/>
      <c r="AY164" s="54"/>
      <c r="AZ164" s="21" t="str">
        <f>IFERROR(VLOOKUP(February[[#This Row],[Drug Name5]],'Data Options'!$R$1:$S$100,2,FALSE), " ")</f>
        <v xml:space="preserve"> </v>
      </c>
      <c r="BA164" s="55"/>
      <c r="BB164" s="32"/>
      <c r="BC164" s="32"/>
      <c r="BD164" s="55"/>
      <c r="BE164" s="32"/>
      <c r="BF164" s="54"/>
      <c r="BG164" s="21" t="str">
        <f>IFERROR(VLOOKUP(February[[#This Row],[Drug Name6]],'Data Options'!$R$1:$S$100,2,FALSE), " ")</f>
        <v xml:space="preserve"> </v>
      </c>
      <c r="BH164" s="55"/>
      <c r="BI164" s="32"/>
      <c r="BJ164" s="32"/>
      <c r="BK164" s="55"/>
      <c r="BL164" s="32"/>
      <c r="BM164" s="32"/>
      <c r="BN164" s="32"/>
      <c r="BO164" s="32"/>
      <c r="BP164" s="32"/>
      <c r="BQ164" s="31"/>
      <c r="BR164" s="31"/>
      <c r="BS164" s="54"/>
      <c r="BT164" s="21" t="str">
        <f>IFERROR(VLOOKUP(February[[#This Row],[Drug Name7]],'Data Options'!$R$1:$S$100,2,FALSE), " ")</f>
        <v xml:space="preserve"> </v>
      </c>
      <c r="BU164" s="55"/>
      <c r="BV164" s="32"/>
      <c r="BW164" s="32"/>
      <c r="BX164" s="55"/>
      <c r="BY164" s="32"/>
      <c r="BZ164" s="54"/>
      <c r="CA164" s="21" t="str">
        <f>IFERROR(VLOOKUP(February[[#This Row],[Drug Name8]],'Data Options'!$R$1:$S$100,2,FALSE), " ")</f>
        <v xml:space="preserve"> </v>
      </c>
      <c r="CB164" s="55"/>
      <c r="CC164" s="32"/>
      <c r="CD164" s="32"/>
      <c r="CE164" s="55"/>
      <c r="CF164" s="32"/>
      <c r="CG164" s="54"/>
      <c r="CH164" s="21" t="str">
        <f>IFERROR(VLOOKUP(February[[#This Row],[Drug Name9]],'Data Options'!$R$1:$S$100,2,FALSE), " ")</f>
        <v xml:space="preserve"> </v>
      </c>
      <c r="CI164" s="55"/>
      <c r="CJ164" s="32"/>
      <c r="CK164" s="32"/>
      <c r="CL164" s="55"/>
      <c r="CM164" s="32"/>
    </row>
    <row r="165" spans="1:91">
      <c r="A165" s="5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1"/>
      <c r="P165" s="31"/>
      <c r="Q165" s="54"/>
      <c r="R165" s="21" t="str">
        <f>IFERROR(VLOOKUP(February[[#This Row],[Drug Name]],'Data Options'!$R$1:$S$100,2,FALSE), " ")</f>
        <v xml:space="preserve"> </v>
      </c>
      <c r="S165" s="55"/>
      <c r="T165" s="32"/>
      <c r="U165" s="32"/>
      <c r="V165" s="55"/>
      <c r="W165" s="32"/>
      <c r="X165" s="54"/>
      <c r="Y165" s="21" t="str">
        <f>IFERROR(VLOOKUP(February[[#This Row],[Drug Name2]],'Data Options'!$R$1:$S$100,2,FALSE), " ")</f>
        <v xml:space="preserve"> </v>
      </c>
      <c r="Z165" s="55"/>
      <c r="AA165" s="32"/>
      <c r="AB165" s="32"/>
      <c r="AC165" s="55"/>
      <c r="AD165" s="32"/>
      <c r="AE165" s="54"/>
      <c r="AF165" s="21" t="str">
        <f>IFERROR(VLOOKUP(February[[#This Row],[Drug Name3]],'Data Options'!$R$1:$S$100,2,FALSE), " ")</f>
        <v xml:space="preserve"> </v>
      </c>
      <c r="AG165" s="55"/>
      <c r="AH165" s="32"/>
      <c r="AI165" s="32"/>
      <c r="AJ165" s="55"/>
      <c r="AK165" s="32"/>
      <c r="AL165" s="32"/>
      <c r="AM165" s="32"/>
      <c r="AN165" s="32"/>
      <c r="AO165" s="32"/>
      <c r="AP165" s="31"/>
      <c r="AQ165" s="31"/>
      <c r="AR165" s="54"/>
      <c r="AS165" s="21" t="str">
        <f>IFERROR(VLOOKUP(February[[#This Row],[Drug Name4]],'Data Options'!$R$1:$S$100,2,FALSE), " ")</f>
        <v xml:space="preserve"> </v>
      </c>
      <c r="AT165" s="55"/>
      <c r="AU165" s="32"/>
      <c r="AV165" s="32"/>
      <c r="AW165" s="55"/>
      <c r="AX165" s="32"/>
      <c r="AY165" s="54"/>
      <c r="AZ165" s="21" t="str">
        <f>IFERROR(VLOOKUP(February[[#This Row],[Drug Name5]],'Data Options'!$R$1:$S$100,2,FALSE), " ")</f>
        <v xml:space="preserve"> </v>
      </c>
      <c r="BA165" s="55"/>
      <c r="BB165" s="32"/>
      <c r="BC165" s="32"/>
      <c r="BD165" s="55"/>
      <c r="BE165" s="32"/>
      <c r="BF165" s="54"/>
      <c r="BG165" s="21" t="str">
        <f>IFERROR(VLOOKUP(February[[#This Row],[Drug Name6]],'Data Options'!$R$1:$S$100,2,FALSE), " ")</f>
        <v xml:space="preserve"> </v>
      </c>
      <c r="BH165" s="55"/>
      <c r="BI165" s="32"/>
      <c r="BJ165" s="32"/>
      <c r="BK165" s="55"/>
      <c r="BL165" s="32"/>
      <c r="BM165" s="32"/>
      <c r="BN165" s="32"/>
      <c r="BO165" s="32"/>
      <c r="BP165" s="32"/>
      <c r="BQ165" s="31"/>
      <c r="BR165" s="31"/>
      <c r="BS165" s="54"/>
      <c r="BT165" s="21" t="str">
        <f>IFERROR(VLOOKUP(February[[#This Row],[Drug Name7]],'Data Options'!$R$1:$S$100,2,FALSE), " ")</f>
        <v xml:space="preserve"> </v>
      </c>
      <c r="BU165" s="55"/>
      <c r="BV165" s="32"/>
      <c r="BW165" s="32"/>
      <c r="BX165" s="55"/>
      <c r="BY165" s="32"/>
      <c r="BZ165" s="54"/>
      <c r="CA165" s="21" t="str">
        <f>IFERROR(VLOOKUP(February[[#This Row],[Drug Name8]],'Data Options'!$R$1:$S$100,2,FALSE), " ")</f>
        <v xml:space="preserve"> </v>
      </c>
      <c r="CB165" s="55"/>
      <c r="CC165" s="32"/>
      <c r="CD165" s="32"/>
      <c r="CE165" s="55"/>
      <c r="CF165" s="32"/>
      <c r="CG165" s="54"/>
      <c r="CH165" s="21" t="str">
        <f>IFERROR(VLOOKUP(February[[#This Row],[Drug Name9]],'Data Options'!$R$1:$S$100,2,FALSE), " ")</f>
        <v xml:space="preserve"> </v>
      </c>
      <c r="CI165" s="55"/>
      <c r="CJ165" s="32"/>
      <c r="CK165" s="32"/>
      <c r="CL165" s="55"/>
      <c r="CM165" s="32"/>
    </row>
    <row r="166" spans="1:91">
      <c r="A166" s="5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1"/>
      <c r="P166" s="31"/>
      <c r="Q166" s="54"/>
      <c r="R166" s="21" t="str">
        <f>IFERROR(VLOOKUP(February[[#This Row],[Drug Name]],'Data Options'!$R$1:$S$100,2,FALSE), " ")</f>
        <v xml:space="preserve"> </v>
      </c>
      <c r="S166" s="55"/>
      <c r="T166" s="32"/>
      <c r="U166" s="32"/>
      <c r="V166" s="55"/>
      <c r="W166" s="32"/>
      <c r="X166" s="54"/>
      <c r="Y166" s="21" t="str">
        <f>IFERROR(VLOOKUP(February[[#This Row],[Drug Name2]],'Data Options'!$R$1:$S$100,2,FALSE), " ")</f>
        <v xml:space="preserve"> </v>
      </c>
      <c r="Z166" s="55"/>
      <c r="AA166" s="32"/>
      <c r="AB166" s="32"/>
      <c r="AC166" s="55"/>
      <c r="AD166" s="32"/>
      <c r="AE166" s="54"/>
      <c r="AF166" s="21" t="str">
        <f>IFERROR(VLOOKUP(February[[#This Row],[Drug Name3]],'Data Options'!$R$1:$S$100,2,FALSE), " ")</f>
        <v xml:space="preserve"> </v>
      </c>
      <c r="AG166" s="55"/>
      <c r="AH166" s="32"/>
      <c r="AI166" s="32"/>
      <c r="AJ166" s="55"/>
      <c r="AK166" s="32"/>
      <c r="AL166" s="32"/>
      <c r="AM166" s="32"/>
      <c r="AN166" s="32"/>
      <c r="AO166" s="32"/>
      <c r="AP166" s="31"/>
      <c r="AQ166" s="31"/>
      <c r="AR166" s="54"/>
      <c r="AS166" s="21" t="str">
        <f>IFERROR(VLOOKUP(February[[#This Row],[Drug Name4]],'Data Options'!$R$1:$S$100,2,FALSE), " ")</f>
        <v xml:space="preserve"> </v>
      </c>
      <c r="AT166" s="55"/>
      <c r="AU166" s="32"/>
      <c r="AV166" s="32"/>
      <c r="AW166" s="55"/>
      <c r="AX166" s="32"/>
      <c r="AY166" s="54"/>
      <c r="AZ166" s="21" t="str">
        <f>IFERROR(VLOOKUP(February[[#This Row],[Drug Name5]],'Data Options'!$R$1:$S$100,2,FALSE), " ")</f>
        <v xml:space="preserve"> </v>
      </c>
      <c r="BA166" s="55"/>
      <c r="BB166" s="32"/>
      <c r="BC166" s="32"/>
      <c r="BD166" s="55"/>
      <c r="BE166" s="32"/>
      <c r="BF166" s="54"/>
      <c r="BG166" s="21" t="str">
        <f>IFERROR(VLOOKUP(February[[#This Row],[Drug Name6]],'Data Options'!$R$1:$S$100,2,FALSE), " ")</f>
        <v xml:space="preserve"> </v>
      </c>
      <c r="BH166" s="55"/>
      <c r="BI166" s="32"/>
      <c r="BJ166" s="32"/>
      <c r="BK166" s="55"/>
      <c r="BL166" s="32"/>
      <c r="BM166" s="32"/>
      <c r="BN166" s="32"/>
      <c r="BO166" s="32"/>
      <c r="BP166" s="32"/>
      <c r="BQ166" s="31"/>
      <c r="BR166" s="31"/>
      <c r="BS166" s="54"/>
      <c r="BT166" s="21" t="str">
        <f>IFERROR(VLOOKUP(February[[#This Row],[Drug Name7]],'Data Options'!$R$1:$S$100,2,FALSE), " ")</f>
        <v xml:space="preserve"> </v>
      </c>
      <c r="BU166" s="55"/>
      <c r="BV166" s="32"/>
      <c r="BW166" s="32"/>
      <c r="BX166" s="55"/>
      <c r="BY166" s="32"/>
      <c r="BZ166" s="54"/>
      <c r="CA166" s="21" t="str">
        <f>IFERROR(VLOOKUP(February[[#This Row],[Drug Name8]],'Data Options'!$R$1:$S$100,2,FALSE), " ")</f>
        <v xml:space="preserve"> </v>
      </c>
      <c r="CB166" s="55"/>
      <c r="CC166" s="32"/>
      <c r="CD166" s="32"/>
      <c r="CE166" s="55"/>
      <c r="CF166" s="32"/>
      <c r="CG166" s="54"/>
      <c r="CH166" s="21" t="str">
        <f>IFERROR(VLOOKUP(February[[#This Row],[Drug Name9]],'Data Options'!$R$1:$S$100,2,FALSE), " ")</f>
        <v xml:space="preserve"> </v>
      </c>
      <c r="CI166" s="55"/>
      <c r="CJ166" s="32"/>
      <c r="CK166" s="32"/>
      <c r="CL166" s="55"/>
      <c r="CM166" s="32"/>
    </row>
    <row r="167" spans="1:91">
      <c r="A167" s="5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1"/>
      <c r="P167" s="31"/>
      <c r="Q167" s="54"/>
      <c r="R167" s="21" t="str">
        <f>IFERROR(VLOOKUP(February[[#This Row],[Drug Name]],'Data Options'!$R$1:$S$100,2,FALSE), " ")</f>
        <v xml:space="preserve"> </v>
      </c>
      <c r="S167" s="55"/>
      <c r="T167" s="32"/>
      <c r="U167" s="32"/>
      <c r="V167" s="55"/>
      <c r="W167" s="32"/>
      <c r="X167" s="54"/>
      <c r="Y167" s="21" t="str">
        <f>IFERROR(VLOOKUP(February[[#This Row],[Drug Name2]],'Data Options'!$R$1:$S$100,2,FALSE), " ")</f>
        <v xml:space="preserve"> </v>
      </c>
      <c r="Z167" s="55"/>
      <c r="AA167" s="32"/>
      <c r="AB167" s="32"/>
      <c r="AC167" s="55"/>
      <c r="AD167" s="32"/>
      <c r="AE167" s="54"/>
      <c r="AF167" s="21" t="str">
        <f>IFERROR(VLOOKUP(February[[#This Row],[Drug Name3]],'Data Options'!$R$1:$S$100,2,FALSE), " ")</f>
        <v xml:space="preserve"> </v>
      </c>
      <c r="AG167" s="55"/>
      <c r="AH167" s="32"/>
      <c r="AI167" s="32"/>
      <c r="AJ167" s="55"/>
      <c r="AK167" s="32"/>
      <c r="AL167" s="32"/>
      <c r="AM167" s="32"/>
      <c r="AN167" s="32"/>
      <c r="AO167" s="32"/>
      <c r="AP167" s="31"/>
      <c r="AQ167" s="31"/>
      <c r="AR167" s="54"/>
      <c r="AS167" s="21" t="str">
        <f>IFERROR(VLOOKUP(February[[#This Row],[Drug Name4]],'Data Options'!$R$1:$S$100,2,FALSE), " ")</f>
        <v xml:space="preserve"> </v>
      </c>
      <c r="AT167" s="55"/>
      <c r="AU167" s="32"/>
      <c r="AV167" s="32"/>
      <c r="AW167" s="55"/>
      <c r="AX167" s="32"/>
      <c r="AY167" s="54"/>
      <c r="AZ167" s="21" t="str">
        <f>IFERROR(VLOOKUP(February[[#This Row],[Drug Name5]],'Data Options'!$R$1:$S$100,2,FALSE), " ")</f>
        <v xml:space="preserve"> </v>
      </c>
      <c r="BA167" s="55"/>
      <c r="BB167" s="32"/>
      <c r="BC167" s="32"/>
      <c r="BD167" s="55"/>
      <c r="BE167" s="32"/>
      <c r="BF167" s="54"/>
      <c r="BG167" s="21" t="str">
        <f>IFERROR(VLOOKUP(February[[#This Row],[Drug Name6]],'Data Options'!$R$1:$S$100,2,FALSE), " ")</f>
        <v xml:space="preserve"> </v>
      </c>
      <c r="BH167" s="55"/>
      <c r="BI167" s="32"/>
      <c r="BJ167" s="32"/>
      <c r="BK167" s="55"/>
      <c r="BL167" s="32"/>
      <c r="BM167" s="32"/>
      <c r="BN167" s="32"/>
      <c r="BO167" s="32"/>
      <c r="BP167" s="32"/>
      <c r="BQ167" s="31"/>
      <c r="BR167" s="31"/>
      <c r="BS167" s="54"/>
      <c r="BT167" s="21" t="str">
        <f>IFERROR(VLOOKUP(February[[#This Row],[Drug Name7]],'Data Options'!$R$1:$S$100,2,FALSE), " ")</f>
        <v xml:space="preserve"> </v>
      </c>
      <c r="BU167" s="55"/>
      <c r="BV167" s="32"/>
      <c r="BW167" s="32"/>
      <c r="BX167" s="55"/>
      <c r="BY167" s="32"/>
      <c r="BZ167" s="54"/>
      <c r="CA167" s="21" t="str">
        <f>IFERROR(VLOOKUP(February[[#This Row],[Drug Name8]],'Data Options'!$R$1:$S$100,2,FALSE), " ")</f>
        <v xml:space="preserve"> </v>
      </c>
      <c r="CB167" s="55"/>
      <c r="CC167" s="32"/>
      <c r="CD167" s="32"/>
      <c r="CE167" s="55"/>
      <c r="CF167" s="32"/>
      <c r="CG167" s="54"/>
      <c r="CH167" s="21" t="str">
        <f>IFERROR(VLOOKUP(February[[#This Row],[Drug Name9]],'Data Options'!$R$1:$S$100,2,FALSE), " ")</f>
        <v xml:space="preserve"> </v>
      </c>
      <c r="CI167" s="55"/>
      <c r="CJ167" s="32"/>
      <c r="CK167" s="32"/>
      <c r="CL167" s="55"/>
      <c r="CM167" s="32"/>
    </row>
    <row r="168" spans="1:91">
      <c r="A168" s="5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1"/>
      <c r="P168" s="31"/>
      <c r="Q168" s="54"/>
      <c r="R168" s="21" t="str">
        <f>IFERROR(VLOOKUP(February[[#This Row],[Drug Name]],'Data Options'!$R$1:$S$100,2,FALSE), " ")</f>
        <v xml:space="preserve"> </v>
      </c>
      <c r="S168" s="55"/>
      <c r="T168" s="32"/>
      <c r="U168" s="32"/>
      <c r="V168" s="55"/>
      <c r="W168" s="32"/>
      <c r="X168" s="54"/>
      <c r="Y168" s="21" t="str">
        <f>IFERROR(VLOOKUP(February[[#This Row],[Drug Name2]],'Data Options'!$R$1:$S$100,2,FALSE), " ")</f>
        <v xml:space="preserve"> </v>
      </c>
      <c r="Z168" s="55"/>
      <c r="AA168" s="32"/>
      <c r="AB168" s="32"/>
      <c r="AC168" s="55"/>
      <c r="AD168" s="32"/>
      <c r="AE168" s="54"/>
      <c r="AF168" s="21" t="str">
        <f>IFERROR(VLOOKUP(February[[#This Row],[Drug Name3]],'Data Options'!$R$1:$S$100,2,FALSE), " ")</f>
        <v xml:space="preserve"> </v>
      </c>
      <c r="AG168" s="55"/>
      <c r="AH168" s="32"/>
      <c r="AI168" s="32"/>
      <c r="AJ168" s="55"/>
      <c r="AK168" s="32"/>
      <c r="AL168" s="32"/>
      <c r="AM168" s="32"/>
      <c r="AN168" s="32"/>
      <c r="AO168" s="32"/>
      <c r="AP168" s="31"/>
      <c r="AQ168" s="31"/>
      <c r="AR168" s="54"/>
      <c r="AS168" s="21" t="str">
        <f>IFERROR(VLOOKUP(February[[#This Row],[Drug Name4]],'Data Options'!$R$1:$S$100,2,FALSE), " ")</f>
        <v xml:space="preserve"> </v>
      </c>
      <c r="AT168" s="55"/>
      <c r="AU168" s="32"/>
      <c r="AV168" s="32"/>
      <c r="AW168" s="55"/>
      <c r="AX168" s="32"/>
      <c r="AY168" s="54"/>
      <c r="AZ168" s="21" t="str">
        <f>IFERROR(VLOOKUP(February[[#This Row],[Drug Name5]],'Data Options'!$R$1:$S$100,2,FALSE), " ")</f>
        <v xml:space="preserve"> </v>
      </c>
      <c r="BA168" s="55"/>
      <c r="BB168" s="32"/>
      <c r="BC168" s="32"/>
      <c r="BD168" s="55"/>
      <c r="BE168" s="32"/>
      <c r="BF168" s="54"/>
      <c r="BG168" s="21" t="str">
        <f>IFERROR(VLOOKUP(February[[#This Row],[Drug Name6]],'Data Options'!$R$1:$S$100,2,FALSE), " ")</f>
        <v xml:space="preserve"> </v>
      </c>
      <c r="BH168" s="55"/>
      <c r="BI168" s="32"/>
      <c r="BJ168" s="32"/>
      <c r="BK168" s="55"/>
      <c r="BL168" s="32"/>
      <c r="BM168" s="32"/>
      <c r="BN168" s="32"/>
      <c r="BO168" s="32"/>
      <c r="BP168" s="32"/>
      <c r="BQ168" s="31"/>
      <c r="BR168" s="31"/>
      <c r="BS168" s="54"/>
      <c r="BT168" s="21" t="str">
        <f>IFERROR(VLOOKUP(February[[#This Row],[Drug Name7]],'Data Options'!$R$1:$S$100,2,FALSE), " ")</f>
        <v xml:space="preserve"> </v>
      </c>
      <c r="BU168" s="55"/>
      <c r="BV168" s="32"/>
      <c r="BW168" s="32"/>
      <c r="BX168" s="55"/>
      <c r="BY168" s="32"/>
      <c r="BZ168" s="54"/>
      <c r="CA168" s="21" t="str">
        <f>IFERROR(VLOOKUP(February[[#This Row],[Drug Name8]],'Data Options'!$R$1:$S$100,2,FALSE), " ")</f>
        <v xml:space="preserve"> </v>
      </c>
      <c r="CB168" s="55"/>
      <c r="CC168" s="32"/>
      <c r="CD168" s="32"/>
      <c r="CE168" s="55"/>
      <c r="CF168" s="32"/>
      <c r="CG168" s="54"/>
      <c r="CH168" s="21" t="str">
        <f>IFERROR(VLOOKUP(February[[#This Row],[Drug Name9]],'Data Options'!$R$1:$S$100,2,FALSE), " ")</f>
        <v xml:space="preserve"> </v>
      </c>
      <c r="CI168" s="55"/>
      <c r="CJ168" s="32"/>
      <c r="CK168" s="32"/>
      <c r="CL168" s="55"/>
      <c r="CM168" s="32"/>
    </row>
    <row r="169" spans="1:91">
      <c r="A169" s="5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1"/>
      <c r="P169" s="31"/>
      <c r="Q169" s="54"/>
      <c r="R169" s="21" t="str">
        <f>IFERROR(VLOOKUP(February[[#This Row],[Drug Name]],'Data Options'!$R$1:$S$100,2,FALSE), " ")</f>
        <v xml:space="preserve"> </v>
      </c>
      <c r="S169" s="55"/>
      <c r="T169" s="32"/>
      <c r="U169" s="32"/>
      <c r="V169" s="55"/>
      <c r="W169" s="32"/>
      <c r="X169" s="54"/>
      <c r="Y169" s="21" t="str">
        <f>IFERROR(VLOOKUP(February[[#This Row],[Drug Name2]],'Data Options'!$R$1:$S$100,2,FALSE), " ")</f>
        <v xml:space="preserve"> </v>
      </c>
      <c r="Z169" s="55"/>
      <c r="AA169" s="32"/>
      <c r="AB169" s="32"/>
      <c r="AC169" s="55"/>
      <c r="AD169" s="32"/>
      <c r="AE169" s="54"/>
      <c r="AF169" s="21" t="str">
        <f>IFERROR(VLOOKUP(February[[#This Row],[Drug Name3]],'Data Options'!$R$1:$S$100,2,FALSE), " ")</f>
        <v xml:space="preserve"> </v>
      </c>
      <c r="AG169" s="55"/>
      <c r="AH169" s="32"/>
      <c r="AI169" s="32"/>
      <c r="AJ169" s="55"/>
      <c r="AK169" s="32"/>
      <c r="AL169" s="32"/>
      <c r="AM169" s="32"/>
      <c r="AN169" s="32"/>
      <c r="AO169" s="32"/>
      <c r="AP169" s="31"/>
      <c r="AQ169" s="31"/>
      <c r="AR169" s="54"/>
      <c r="AS169" s="21" t="str">
        <f>IFERROR(VLOOKUP(February[[#This Row],[Drug Name4]],'Data Options'!$R$1:$S$100,2,FALSE), " ")</f>
        <v xml:space="preserve"> </v>
      </c>
      <c r="AT169" s="55"/>
      <c r="AU169" s="32"/>
      <c r="AV169" s="32"/>
      <c r="AW169" s="55"/>
      <c r="AX169" s="32"/>
      <c r="AY169" s="54"/>
      <c r="AZ169" s="21" t="str">
        <f>IFERROR(VLOOKUP(February[[#This Row],[Drug Name5]],'Data Options'!$R$1:$S$100,2,FALSE), " ")</f>
        <v xml:space="preserve"> </v>
      </c>
      <c r="BA169" s="55"/>
      <c r="BB169" s="32"/>
      <c r="BC169" s="32"/>
      <c r="BD169" s="55"/>
      <c r="BE169" s="32"/>
      <c r="BF169" s="54"/>
      <c r="BG169" s="21" t="str">
        <f>IFERROR(VLOOKUP(February[[#This Row],[Drug Name6]],'Data Options'!$R$1:$S$100,2,FALSE), " ")</f>
        <v xml:space="preserve"> </v>
      </c>
      <c r="BH169" s="55"/>
      <c r="BI169" s="32"/>
      <c r="BJ169" s="32"/>
      <c r="BK169" s="55"/>
      <c r="BL169" s="32"/>
      <c r="BM169" s="32"/>
      <c r="BN169" s="32"/>
      <c r="BO169" s="32"/>
      <c r="BP169" s="32"/>
      <c r="BQ169" s="31"/>
      <c r="BR169" s="31"/>
      <c r="BS169" s="54"/>
      <c r="BT169" s="21" t="str">
        <f>IFERROR(VLOOKUP(February[[#This Row],[Drug Name7]],'Data Options'!$R$1:$S$100,2,FALSE), " ")</f>
        <v xml:space="preserve"> </v>
      </c>
      <c r="BU169" s="55"/>
      <c r="BV169" s="32"/>
      <c r="BW169" s="32"/>
      <c r="BX169" s="55"/>
      <c r="BY169" s="32"/>
      <c r="BZ169" s="54"/>
      <c r="CA169" s="21" t="str">
        <f>IFERROR(VLOOKUP(February[[#This Row],[Drug Name8]],'Data Options'!$R$1:$S$100,2,FALSE), " ")</f>
        <v xml:space="preserve"> </v>
      </c>
      <c r="CB169" s="55"/>
      <c r="CC169" s="32"/>
      <c r="CD169" s="32"/>
      <c r="CE169" s="55"/>
      <c r="CF169" s="32"/>
      <c r="CG169" s="54"/>
      <c r="CH169" s="21" t="str">
        <f>IFERROR(VLOOKUP(February[[#This Row],[Drug Name9]],'Data Options'!$R$1:$S$100,2,FALSE), " ")</f>
        <v xml:space="preserve"> </v>
      </c>
      <c r="CI169" s="55"/>
      <c r="CJ169" s="32"/>
      <c r="CK169" s="32"/>
      <c r="CL169" s="55"/>
      <c r="CM169" s="32"/>
    </row>
    <row r="170" spans="1:91">
      <c r="A170" s="5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1"/>
      <c r="P170" s="31"/>
      <c r="Q170" s="54"/>
      <c r="R170" s="21" t="str">
        <f>IFERROR(VLOOKUP(February[[#This Row],[Drug Name]],'Data Options'!$R$1:$S$100,2,FALSE), " ")</f>
        <v xml:space="preserve"> </v>
      </c>
      <c r="S170" s="55"/>
      <c r="T170" s="32"/>
      <c r="U170" s="32"/>
      <c r="V170" s="55"/>
      <c r="W170" s="32"/>
      <c r="X170" s="54"/>
      <c r="Y170" s="21" t="str">
        <f>IFERROR(VLOOKUP(February[[#This Row],[Drug Name2]],'Data Options'!$R$1:$S$100,2,FALSE), " ")</f>
        <v xml:space="preserve"> </v>
      </c>
      <c r="Z170" s="55"/>
      <c r="AA170" s="32"/>
      <c r="AB170" s="32"/>
      <c r="AC170" s="55"/>
      <c r="AD170" s="32"/>
      <c r="AE170" s="54"/>
      <c r="AF170" s="21" t="str">
        <f>IFERROR(VLOOKUP(February[[#This Row],[Drug Name3]],'Data Options'!$R$1:$S$100,2,FALSE), " ")</f>
        <v xml:space="preserve"> </v>
      </c>
      <c r="AG170" s="55"/>
      <c r="AH170" s="32"/>
      <c r="AI170" s="32"/>
      <c r="AJ170" s="55"/>
      <c r="AK170" s="32"/>
      <c r="AL170" s="32"/>
      <c r="AM170" s="32"/>
      <c r="AN170" s="32"/>
      <c r="AO170" s="32"/>
      <c r="AP170" s="31"/>
      <c r="AQ170" s="31"/>
      <c r="AR170" s="54"/>
      <c r="AS170" s="21" t="str">
        <f>IFERROR(VLOOKUP(February[[#This Row],[Drug Name4]],'Data Options'!$R$1:$S$100,2,FALSE), " ")</f>
        <v xml:space="preserve"> </v>
      </c>
      <c r="AT170" s="55"/>
      <c r="AU170" s="32"/>
      <c r="AV170" s="32"/>
      <c r="AW170" s="55"/>
      <c r="AX170" s="32"/>
      <c r="AY170" s="54"/>
      <c r="AZ170" s="21" t="str">
        <f>IFERROR(VLOOKUP(February[[#This Row],[Drug Name5]],'Data Options'!$R$1:$S$100,2,FALSE), " ")</f>
        <v xml:space="preserve"> </v>
      </c>
      <c r="BA170" s="55"/>
      <c r="BB170" s="32"/>
      <c r="BC170" s="32"/>
      <c r="BD170" s="55"/>
      <c r="BE170" s="32"/>
      <c r="BF170" s="54"/>
      <c r="BG170" s="21" t="str">
        <f>IFERROR(VLOOKUP(February[[#This Row],[Drug Name6]],'Data Options'!$R$1:$S$100,2,FALSE), " ")</f>
        <v xml:space="preserve"> </v>
      </c>
      <c r="BH170" s="55"/>
      <c r="BI170" s="32"/>
      <c r="BJ170" s="32"/>
      <c r="BK170" s="55"/>
      <c r="BL170" s="32"/>
      <c r="BM170" s="32"/>
      <c r="BN170" s="32"/>
      <c r="BO170" s="32"/>
      <c r="BP170" s="32"/>
      <c r="BQ170" s="31"/>
      <c r="BR170" s="31"/>
      <c r="BS170" s="54"/>
      <c r="BT170" s="21" t="str">
        <f>IFERROR(VLOOKUP(February[[#This Row],[Drug Name7]],'Data Options'!$R$1:$S$100,2,FALSE), " ")</f>
        <v xml:space="preserve"> </v>
      </c>
      <c r="BU170" s="55"/>
      <c r="BV170" s="32"/>
      <c r="BW170" s="32"/>
      <c r="BX170" s="55"/>
      <c r="BY170" s="32"/>
      <c r="BZ170" s="54"/>
      <c r="CA170" s="21" t="str">
        <f>IFERROR(VLOOKUP(February[[#This Row],[Drug Name8]],'Data Options'!$R$1:$S$100,2,FALSE), " ")</f>
        <v xml:space="preserve"> </v>
      </c>
      <c r="CB170" s="55"/>
      <c r="CC170" s="32"/>
      <c r="CD170" s="32"/>
      <c r="CE170" s="55"/>
      <c r="CF170" s="32"/>
      <c r="CG170" s="54"/>
      <c r="CH170" s="21" t="str">
        <f>IFERROR(VLOOKUP(February[[#This Row],[Drug Name9]],'Data Options'!$R$1:$S$100,2,FALSE), " ")</f>
        <v xml:space="preserve"> </v>
      </c>
      <c r="CI170" s="55"/>
      <c r="CJ170" s="32"/>
      <c r="CK170" s="32"/>
      <c r="CL170" s="55"/>
      <c r="CM170" s="32"/>
    </row>
    <row r="171" spans="1:91">
      <c r="A171" s="5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1"/>
      <c r="P171" s="31"/>
      <c r="Q171" s="54"/>
      <c r="R171" s="21" t="str">
        <f>IFERROR(VLOOKUP(February[[#This Row],[Drug Name]],'Data Options'!$R$1:$S$100,2,FALSE), " ")</f>
        <v xml:space="preserve"> </v>
      </c>
      <c r="S171" s="55"/>
      <c r="T171" s="32"/>
      <c r="U171" s="32"/>
      <c r="V171" s="55"/>
      <c r="W171" s="32"/>
      <c r="X171" s="54"/>
      <c r="Y171" s="21" t="str">
        <f>IFERROR(VLOOKUP(February[[#This Row],[Drug Name2]],'Data Options'!$R$1:$S$100,2,FALSE), " ")</f>
        <v xml:space="preserve"> </v>
      </c>
      <c r="Z171" s="55"/>
      <c r="AA171" s="32"/>
      <c r="AB171" s="32"/>
      <c r="AC171" s="55"/>
      <c r="AD171" s="32"/>
      <c r="AE171" s="54"/>
      <c r="AF171" s="21" t="str">
        <f>IFERROR(VLOOKUP(February[[#This Row],[Drug Name3]],'Data Options'!$R$1:$S$100,2,FALSE), " ")</f>
        <v xml:space="preserve"> </v>
      </c>
      <c r="AG171" s="55"/>
      <c r="AH171" s="32"/>
      <c r="AI171" s="32"/>
      <c r="AJ171" s="55"/>
      <c r="AK171" s="32"/>
      <c r="AL171" s="32"/>
      <c r="AM171" s="32"/>
      <c r="AN171" s="32"/>
      <c r="AO171" s="32"/>
      <c r="AP171" s="31"/>
      <c r="AQ171" s="31"/>
      <c r="AR171" s="54"/>
      <c r="AS171" s="21" t="str">
        <f>IFERROR(VLOOKUP(February[[#This Row],[Drug Name4]],'Data Options'!$R$1:$S$100,2,FALSE), " ")</f>
        <v xml:space="preserve"> </v>
      </c>
      <c r="AT171" s="55"/>
      <c r="AU171" s="32"/>
      <c r="AV171" s="32"/>
      <c r="AW171" s="55"/>
      <c r="AX171" s="32"/>
      <c r="AY171" s="54"/>
      <c r="AZ171" s="21" t="str">
        <f>IFERROR(VLOOKUP(February[[#This Row],[Drug Name5]],'Data Options'!$R$1:$S$100,2,FALSE), " ")</f>
        <v xml:space="preserve"> </v>
      </c>
      <c r="BA171" s="55"/>
      <c r="BB171" s="32"/>
      <c r="BC171" s="32"/>
      <c r="BD171" s="55"/>
      <c r="BE171" s="32"/>
      <c r="BF171" s="54"/>
      <c r="BG171" s="21" t="str">
        <f>IFERROR(VLOOKUP(February[[#This Row],[Drug Name6]],'Data Options'!$R$1:$S$100,2,FALSE), " ")</f>
        <v xml:space="preserve"> </v>
      </c>
      <c r="BH171" s="55"/>
      <c r="BI171" s="32"/>
      <c r="BJ171" s="32"/>
      <c r="BK171" s="55"/>
      <c r="BL171" s="32"/>
      <c r="BM171" s="32"/>
      <c r="BN171" s="32"/>
      <c r="BO171" s="32"/>
      <c r="BP171" s="32"/>
      <c r="BQ171" s="31"/>
      <c r="BR171" s="31"/>
      <c r="BS171" s="54"/>
      <c r="BT171" s="21" t="str">
        <f>IFERROR(VLOOKUP(February[[#This Row],[Drug Name7]],'Data Options'!$R$1:$S$100,2,FALSE), " ")</f>
        <v xml:space="preserve"> </v>
      </c>
      <c r="BU171" s="55"/>
      <c r="BV171" s="32"/>
      <c r="BW171" s="32"/>
      <c r="BX171" s="55"/>
      <c r="BY171" s="32"/>
      <c r="BZ171" s="54"/>
      <c r="CA171" s="21" t="str">
        <f>IFERROR(VLOOKUP(February[[#This Row],[Drug Name8]],'Data Options'!$R$1:$S$100,2,FALSE), " ")</f>
        <v xml:space="preserve"> </v>
      </c>
      <c r="CB171" s="55"/>
      <c r="CC171" s="32"/>
      <c r="CD171" s="32"/>
      <c r="CE171" s="55"/>
      <c r="CF171" s="32"/>
      <c r="CG171" s="54"/>
      <c r="CH171" s="21" t="str">
        <f>IFERROR(VLOOKUP(February[[#This Row],[Drug Name9]],'Data Options'!$R$1:$S$100,2,FALSE), " ")</f>
        <v xml:space="preserve"> </v>
      </c>
      <c r="CI171" s="55"/>
      <c r="CJ171" s="32"/>
      <c r="CK171" s="32"/>
      <c r="CL171" s="55"/>
      <c r="CM171" s="32"/>
    </row>
    <row r="172" spans="1:91">
      <c r="A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1"/>
      <c r="P172" s="31"/>
      <c r="Q172" s="54"/>
      <c r="R172" s="21" t="str">
        <f>IFERROR(VLOOKUP(February[[#This Row],[Drug Name]],'Data Options'!$R$1:$S$100,2,FALSE), " ")</f>
        <v xml:space="preserve"> </v>
      </c>
      <c r="S172" s="55"/>
      <c r="T172" s="32"/>
      <c r="U172" s="32"/>
      <c r="V172" s="55"/>
      <c r="W172" s="32"/>
      <c r="X172" s="54"/>
      <c r="Y172" s="21" t="str">
        <f>IFERROR(VLOOKUP(February[[#This Row],[Drug Name2]],'Data Options'!$R$1:$S$100,2,FALSE), " ")</f>
        <v xml:space="preserve"> </v>
      </c>
      <c r="Z172" s="55"/>
      <c r="AA172" s="32"/>
      <c r="AB172" s="32"/>
      <c r="AC172" s="55"/>
      <c r="AD172" s="32"/>
      <c r="AE172" s="54"/>
      <c r="AF172" s="21" t="str">
        <f>IFERROR(VLOOKUP(February[[#This Row],[Drug Name3]],'Data Options'!$R$1:$S$100,2,FALSE), " ")</f>
        <v xml:space="preserve"> </v>
      </c>
      <c r="AG172" s="55"/>
      <c r="AH172" s="32"/>
      <c r="AI172" s="32"/>
      <c r="AJ172" s="55"/>
      <c r="AK172" s="32"/>
      <c r="AL172" s="32"/>
      <c r="AM172" s="32"/>
      <c r="AN172" s="32"/>
      <c r="AO172" s="32"/>
      <c r="AP172" s="31"/>
      <c r="AQ172" s="31"/>
      <c r="AR172" s="54"/>
      <c r="AS172" s="21" t="str">
        <f>IFERROR(VLOOKUP(February[[#This Row],[Drug Name4]],'Data Options'!$R$1:$S$100,2,FALSE), " ")</f>
        <v xml:space="preserve"> </v>
      </c>
      <c r="AT172" s="55"/>
      <c r="AU172" s="32"/>
      <c r="AV172" s="32"/>
      <c r="AW172" s="55"/>
      <c r="AX172" s="32"/>
      <c r="AY172" s="54"/>
      <c r="AZ172" s="21" t="str">
        <f>IFERROR(VLOOKUP(February[[#This Row],[Drug Name5]],'Data Options'!$R$1:$S$100,2,FALSE), " ")</f>
        <v xml:space="preserve"> </v>
      </c>
      <c r="BA172" s="55"/>
      <c r="BB172" s="32"/>
      <c r="BC172" s="32"/>
      <c r="BD172" s="55"/>
      <c r="BE172" s="32"/>
      <c r="BF172" s="54"/>
      <c r="BG172" s="21" t="str">
        <f>IFERROR(VLOOKUP(February[[#This Row],[Drug Name6]],'Data Options'!$R$1:$S$100,2,FALSE), " ")</f>
        <v xml:space="preserve"> </v>
      </c>
      <c r="BH172" s="55"/>
      <c r="BI172" s="32"/>
      <c r="BJ172" s="32"/>
      <c r="BK172" s="55"/>
      <c r="BL172" s="32"/>
      <c r="BM172" s="32"/>
      <c r="BN172" s="32"/>
      <c r="BO172" s="32"/>
      <c r="BP172" s="32"/>
      <c r="BQ172" s="31"/>
      <c r="BR172" s="31"/>
      <c r="BS172" s="54"/>
      <c r="BT172" s="21" t="str">
        <f>IFERROR(VLOOKUP(February[[#This Row],[Drug Name7]],'Data Options'!$R$1:$S$100,2,FALSE), " ")</f>
        <v xml:space="preserve"> </v>
      </c>
      <c r="BU172" s="55"/>
      <c r="BV172" s="32"/>
      <c r="BW172" s="32"/>
      <c r="BX172" s="55"/>
      <c r="BY172" s="32"/>
      <c r="BZ172" s="54"/>
      <c r="CA172" s="21" t="str">
        <f>IFERROR(VLOOKUP(February[[#This Row],[Drug Name8]],'Data Options'!$R$1:$S$100,2,FALSE), " ")</f>
        <v xml:space="preserve"> </v>
      </c>
      <c r="CB172" s="55"/>
      <c r="CC172" s="32"/>
      <c r="CD172" s="32"/>
      <c r="CE172" s="55"/>
      <c r="CF172" s="32"/>
      <c r="CG172" s="54"/>
      <c r="CH172" s="21" t="str">
        <f>IFERROR(VLOOKUP(February[[#This Row],[Drug Name9]],'Data Options'!$R$1:$S$100,2,FALSE), " ")</f>
        <v xml:space="preserve"> </v>
      </c>
      <c r="CI172" s="55"/>
      <c r="CJ172" s="32"/>
      <c r="CK172" s="32"/>
      <c r="CL172" s="55"/>
      <c r="CM172" s="32"/>
    </row>
    <row r="173" spans="1:91">
      <c r="A173" s="5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1"/>
      <c r="P173" s="31"/>
      <c r="Q173" s="54"/>
      <c r="R173" s="21" t="str">
        <f>IFERROR(VLOOKUP(February[[#This Row],[Drug Name]],'Data Options'!$R$1:$S$100,2,FALSE), " ")</f>
        <v xml:space="preserve"> </v>
      </c>
      <c r="S173" s="55"/>
      <c r="T173" s="32"/>
      <c r="U173" s="32"/>
      <c r="V173" s="55"/>
      <c r="W173" s="32"/>
      <c r="X173" s="54"/>
      <c r="Y173" s="21" t="str">
        <f>IFERROR(VLOOKUP(February[[#This Row],[Drug Name2]],'Data Options'!$R$1:$S$100,2,FALSE), " ")</f>
        <v xml:space="preserve"> </v>
      </c>
      <c r="Z173" s="55"/>
      <c r="AA173" s="32"/>
      <c r="AB173" s="32"/>
      <c r="AC173" s="55"/>
      <c r="AD173" s="32"/>
      <c r="AE173" s="54"/>
      <c r="AF173" s="21" t="str">
        <f>IFERROR(VLOOKUP(February[[#This Row],[Drug Name3]],'Data Options'!$R$1:$S$100,2,FALSE), " ")</f>
        <v xml:space="preserve"> </v>
      </c>
      <c r="AG173" s="55"/>
      <c r="AH173" s="32"/>
      <c r="AI173" s="32"/>
      <c r="AJ173" s="55"/>
      <c r="AK173" s="32"/>
      <c r="AL173" s="32"/>
      <c r="AM173" s="32"/>
      <c r="AN173" s="32"/>
      <c r="AO173" s="32"/>
      <c r="AP173" s="31"/>
      <c r="AQ173" s="31"/>
      <c r="AR173" s="54"/>
      <c r="AS173" s="21" t="str">
        <f>IFERROR(VLOOKUP(February[[#This Row],[Drug Name4]],'Data Options'!$R$1:$S$100,2,FALSE), " ")</f>
        <v xml:space="preserve"> </v>
      </c>
      <c r="AT173" s="55"/>
      <c r="AU173" s="32"/>
      <c r="AV173" s="32"/>
      <c r="AW173" s="55"/>
      <c r="AX173" s="32"/>
      <c r="AY173" s="54"/>
      <c r="AZ173" s="21" t="str">
        <f>IFERROR(VLOOKUP(February[[#This Row],[Drug Name5]],'Data Options'!$R$1:$S$100,2,FALSE), " ")</f>
        <v xml:space="preserve"> </v>
      </c>
      <c r="BA173" s="55"/>
      <c r="BB173" s="32"/>
      <c r="BC173" s="32"/>
      <c r="BD173" s="55"/>
      <c r="BE173" s="32"/>
      <c r="BF173" s="54"/>
      <c r="BG173" s="21" t="str">
        <f>IFERROR(VLOOKUP(February[[#This Row],[Drug Name6]],'Data Options'!$R$1:$S$100,2,FALSE), " ")</f>
        <v xml:space="preserve"> </v>
      </c>
      <c r="BH173" s="55"/>
      <c r="BI173" s="32"/>
      <c r="BJ173" s="32"/>
      <c r="BK173" s="55"/>
      <c r="BL173" s="32"/>
      <c r="BM173" s="32"/>
      <c r="BN173" s="32"/>
      <c r="BO173" s="32"/>
      <c r="BP173" s="32"/>
      <c r="BQ173" s="31"/>
      <c r="BR173" s="31"/>
      <c r="BS173" s="54"/>
      <c r="BT173" s="21" t="str">
        <f>IFERROR(VLOOKUP(February[[#This Row],[Drug Name7]],'Data Options'!$R$1:$S$100,2,FALSE), " ")</f>
        <v xml:space="preserve"> </v>
      </c>
      <c r="BU173" s="55"/>
      <c r="BV173" s="32"/>
      <c r="BW173" s="32"/>
      <c r="BX173" s="55"/>
      <c r="BY173" s="32"/>
      <c r="BZ173" s="54"/>
      <c r="CA173" s="21" t="str">
        <f>IFERROR(VLOOKUP(February[[#This Row],[Drug Name8]],'Data Options'!$R$1:$S$100,2,FALSE), " ")</f>
        <v xml:space="preserve"> </v>
      </c>
      <c r="CB173" s="55"/>
      <c r="CC173" s="32"/>
      <c r="CD173" s="32"/>
      <c r="CE173" s="55"/>
      <c r="CF173" s="32"/>
      <c r="CG173" s="54"/>
      <c r="CH173" s="21" t="str">
        <f>IFERROR(VLOOKUP(February[[#This Row],[Drug Name9]],'Data Options'!$R$1:$S$100,2,FALSE), " ")</f>
        <v xml:space="preserve"> </v>
      </c>
      <c r="CI173" s="55"/>
      <c r="CJ173" s="32"/>
      <c r="CK173" s="32"/>
      <c r="CL173" s="55"/>
      <c r="CM173" s="32"/>
    </row>
    <row r="174" spans="1:91">
      <c r="A174" s="5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1"/>
      <c r="P174" s="31"/>
      <c r="Q174" s="54"/>
      <c r="R174" s="21" t="str">
        <f>IFERROR(VLOOKUP(February[[#This Row],[Drug Name]],'Data Options'!$R$1:$S$100,2,FALSE), " ")</f>
        <v xml:space="preserve"> </v>
      </c>
      <c r="S174" s="55"/>
      <c r="T174" s="32"/>
      <c r="U174" s="32"/>
      <c r="V174" s="55"/>
      <c r="W174" s="32"/>
      <c r="X174" s="54"/>
      <c r="Y174" s="21" t="str">
        <f>IFERROR(VLOOKUP(February[[#This Row],[Drug Name2]],'Data Options'!$R$1:$S$100,2,FALSE), " ")</f>
        <v xml:space="preserve"> </v>
      </c>
      <c r="Z174" s="55"/>
      <c r="AA174" s="32"/>
      <c r="AB174" s="32"/>
      <c r="AC174" s="55"/>
      <c r="AD174" s="32"/>
      <c r="AE174" s="54"/>
      <c r="AF174" s="21" t="str">
        <f>IFERROR(VLOOKUP(February[[#This Row],[Drug Name3]],'Data Options'!$R$1:$S$100,2,FALSE), " ")</f>
        <v xml:space="preserve"> </v>
      </c>
      <c r="AG174" s="55"/>
      <c r="AH174" s="32"/>
      <c r="AI174" s="32"/>
      <c r="AJ174" s="55"/>
      <c r="AK174" s="32"/>
      <c r="AL174" s="32"/>
      <c r="AM174" s="32"/>
      <c r="AN174" s="32"/>
      <c r="AO174" s="32"/>
      <c r="AP174" s="31"/>
      <c r="AQ174" s="31"/>
      <c r="AR174" s="54"/>
      <c r="AS174" s="21" t="str">
        <f>IFERROR(VLOOKUP(February[[#This Row],[Drug Name4]],'Data Options'!$R$1:$S$100,2,FALSE), " ")</f>
        <v xml:space="preserve"> </v>
      </c>
      <c r="AT174" s="55"/>
      <c r="AU174" s="32"/>
      <c r="AV174" s="32"/>
      <c r="AW174" s="55"/>
      <c r="AX174" s="32"/>
      <c r="AY174" s="54"/>
      <c r="AZ174" s="21" t="str">
        <f>IFERROR(VLOOKUP(February[[#This Row],[Drug Name5]],'Data Options'!$R$1:$S$100,2,FALSE), " ")</f>
        <v xml:space="preserve"> </v>
      </c>
      <c r="BA174" s="55"/>
      <c r="BB174" s="32"/>
      <c r="BC174" s="32"/>
      <c r="BD174" s="55"/>
      <c r="BE174" s="32"/>
      <c r="BF174" s="54"/>
      <c r="BG174" s="21" t="str">
        <f>IFERROR(VLOOKUP(February[[#This Row],[Drug Name6]],'Data Options'!$R$1:$S$100,2,FALSE), " ")</f>
        <v xml:space="preserve"> </v>
      </c>
      <c r="BH174" s="55"/>
      <c r="BI174" s="32"/>
      <c r="BJ174" s="32"/>
      <c r="BK174" s="55"/>
      <c r="BL174" s="32"/>
      <c r="BM174" s="32"/>
      <c r="BN174" s="32"/>
      <c r="BO174" s="32"/>
      <c r="BP174" s="32"/>
      <c r="BQ174" s="31"/>
      <c r="BR174" s="31"/>
      <c r="BS174" s="54"/>
      <c r="BT174" s="21" t="str">
        <f>IFERROR(VLOOKUP(February[[#This Row],[Drug Name7]],'Data Options'!$R$1:$S$100,2,FALSE), " ")</f>
        <v xml:space="preserve"> </v>
      </c>
      <c r="BU174" s="55"/>
      <c r="BV174" s="32"/>
      <c r="BW174" s="32"/>
      <c r="BX174" s="55"/>
      <c r="BY174" s="32"/>
      <c r="BZ174" s="54"/>
      <c r="CA174" s="21" t="str">
        <f>IFERROR(VLOOKUP(February[[#This Row],[Drug Name8]],'Data Options'!$R$1:$S$100,2,FALSE), " ")</f>
        <v xml:space="preserve"> </v>
      </c>
      <c r="CB174" s="55"/>
      <c r="CC174" s="32"/>
      <c r="CD174" s="32"/>
      <c r="CE174" s="55"/>
      <c r="CF174" s="32"/>
      <c r="CG174" s="54"/>
      <c r="CH174" s="21" t="str">
        <f>IFERROR(VLOOKUP(February[[#This Row],[Drug Name9]],'Data Options'!$R$1:$S$100,2,FALSE), " ")</f>
        <v xml:space="preserve"> </v>
      </c>
      <c r="CI174" s="55"/>
      <c r="CJ174" s="32"/>
      <c r="CK174" s="32"/>
      <c r="CL174" s="55"/>
      <c r="CM174" s="32"/>
    </row>
    <row r="175" spans="1:91">
      <c r="A175" s="5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1"/>
      <c r="P175" s="31"/>
      <c r="Q175" s="54"/>
      <c r="R175" s="21" t="str">
        <f>IFERROR(VLOOKUP(February[[#This Row],[Drug Name]],'Data Options'!$R$1:$S$100,2,FALSE), " ")</f>
        <v xml:space="preserve"> </v>
      </c>
      <c r="S175" s="55"/>
      <c r="T175" s="32"/>
      <c r="U175" s="32"/>
      <c r="V175" s="55"/>
      <c r="W175" s="32"/>
      <c r="X175" s="54"/>
      <c r="Y175" s="21" t="str">
        <f>IFERROR(VLOOKUP(February[[#This Row],[Drug Name2]],'Data Options'!$R$1:$S$100,2,FALSE), " ")</f>
        <v xml:space="preserve"> </v>
      </c>
      <c r="Z175" s="55"/>
      <c r="AA175" s="32"/>
      <c r="AB175" s="32"/>
      <c r="AC175" s="55"/>
      <c r="AD175" s="32"/>
      <c r="AE175" s="54"/>
      <c r="AF175" s="21" t="str">
        <f>IFERROR(VLOOKUP(February[[#This Row],[Drug Name3]],'Data Options'!$R$1:$S$100,2,FALSE), " ")</f>
        <v xml:space="preserve"> </v>
      </c>
      <c r="AG175" s="55"/>
      <c r="AH175" s="32"/>
      <c r="AI175" s="32"/>
      <c r="AJ175" s="55"/>
      <c r="AK175" s="32"/>
      <c r="AL175" s="32"/>
      <c r="AM175" s="32"/>
      <c r="AN175" s="32"/>
      <c r="AO175" s="32"/>
      <c r="AP175" s="31"/>
      <c r="AQ175" s="31"/>
      <c r="AR175" s="54"/>
      <c r="AS175" s="21" t="str">
        <f>IFERROR(VLOOKUP(February[[#This Row],[Drug Name4]],'Data Options'!$R$1:$S$100,2,FALSE), " ")</f>
        <v xml:space="preserve"> </v>
      </c>
      <c r="AT175" s="55"/>
      <c r="AU175" s="32"/>
      <c r="AV175" s="32"/>
      <c r="AW175" s="55"/>
      <c r="AX175" s="32"/>
      <c r="AY175" s="54"/>
      <c r="AZ175" s="21" t="str">
        <f>IFERROR(VLOOKUP(February[[#This Row],[Drug Name5]],'Data Options'!$R$1:$S$100,2,FALSE), " ")</f>
        <v xml:space="preserve"> </v>
      </c>
      <c r="BA175" s="55"/>
      <c r="BB175" s="32"/>
      <c r="BC175" s="32"/>
      <c r="BD175" s="55"/>
      <c r="BE175" s="32"/>
      <c r="BF175" s="54"/>
      <c r="BG175" s="21" t="str">
        <f>IFERROR(VLOOKUP(February[[#This Row],[Drug Name6]],'Data Options'!$R$1:$S$100,2,FALSE), " ")</f>
        <v xml:space="preserve"> </v>
      </c>
      <c r="BH175" s="55"/>
      <c r="BI175" s="32"/>
      <c r="BJ175" s="32"/>
      <c r="BK175" s="55"/>
      <c r="BL175" s="32"/>
      <c r="BM175" s="32"/>
      <c r="BN175" s="32"/>
      <c r="BO175" s="32"/>
      <c r="BP175" s="32"/>
      <c r="BQ175" s="31"/>
      <c r="BR175" s="31"/>
      <c r="BS175" s="54"/>
      <c r="BT175" s="21" t="str">
        <f>IFERROR(VLOOKUP(February[[#This Row],[Drug Name7]],'Data Options'!$R$1:$S$100,2,FALSE), " ")</f>
        <v xml:space="preserve"> </v>
      </c>
      <c r="BU175" s="55"/>
      <c r="BV175" s="32"/>
      <c r="BW175" s="32"/>
      <c r="BX175" s="55"/>
      <c r="BY175" s="32"/>
      <c r="BZ175" s="54"/>
      <c r="CA175" s="21" t="str">
        <f>IFERROR(VLOOKUP(February[[#This Row],[Drug Name8]],'Data Options'!$R$1:$S$100,2,FALSE), " ")</f>
        <v xml:space="preserve"> </v>
      </c>
      <c r="CB175" s="55"/>
      <c r="CC175" s="32"/>
      <c r="CD175" s="32"/>
      <c r="CE175" s="55"/>
      <c r="CF175" s="32"/>
      <c r="CG175" s="54"/>
      <c r="CH175" s="21" t="str">
        <f>IFERROR(VLOOKUP(February[[#This Row],[Drug Name9]],'Data Options'!$R$1:$S$100,2,FALSE), " ")</f>
        <v xml:space="preserve"> </v>
      </c>
      <c r="CI175" s="55"/>
      <c r="CJ175" s="32"/>
      <c r="CK175" s="32"/>
      <c r="CL175" s="55"/>
      <c r="CM175" s="32"/>
    </row>
    <row r="176" spans="1:91">
      <c r="A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1"/>
      <c r="P176" s="31"/>
      <c r="Q176" s="54"/>
      <c r="R176" s="21" t="str">
        <f>IFERROR(VLOOKUP(February[[#This Row],[Drug Name]],'Data Options'!$R$1:$S$100,2,FALSE), " ")</f>
        <v xml:space="preserve"> </v>
      </c>
      <c r="S176" s="55"/>
      <c r="T176" s="32"/>
      <c r="U176" s="32"/>
      <c r="V176" s="55"/>
      <c r="W176" s="32"/>
      <c r="X176" s="54"/>
      <c r="Y176" s="21" t="str">
        <f>IFERROR(VLOOKUP(February[[#This Row],[Drug Name2]],'Data Options'!$R$1:$S$100,2,FALSE), " ")</f>
        <v xml:space="preserve"> </v>
      </c>
      <c r="Z176" s="55"/>
      <c r="AA176" s="32"/>
      <c r="AB176" s="32"/>
      <c r="AC176" s="55"/>
      <c r="AD176" s="32"/>
      <c r="AE176" s="54"/>
      <c r="AF176" s="21" t="str">
        <f>IFERROR(VLOOKUP(February[[#This Row],[Drug Name3]],'Data Options'!$R$1:$S$100,2,FALSE), " ")</f>
        <v xml:space="preserve"> </v>
      </c>
      <c r="AG176" s="55"/>
      <c r="AH176" s="32"/>
      <c r="AI176" s="32"/>
      <c r="AJ176" s="55"/>
      <c r="AK176" s="32"/>
      <c r="AL176" s="32"/>
      <c r="AM176" s="32"/>
      <c r="AN176" s="32"/>
      <c r="AO176" s="32"/>
      <c r="AP176" s="31"/>
      <c r="AQ176" s="31"/>
      <c r="AR176" s="54"/>
      <c r="AS176" s="21" t="str">
        <f>IFERROR(VLOOKUP(February[[#This Row],[Drug Name4]],'Data Options'!$R$1:$S$100,2,FALSE), " ")</f>
        <v xml:space="preserve"> </v>
      </c>
      <c r="AT176" s="55"/>
      <c r="AU176" s="32"/>
      <c r="AV176" s="32"/>
      <c r="AW176" s="55"/>
      <c r="AX176" s="32"/>
      <c r="AY176" s="54"/>
      <c r="AZ176" s="21" t="str">
        <f>IFERROR(VLOOKUP(February[[#This Row],[Drug Name5]],'Data Options'!$R$1:$S$100,2,FALSE), " ")</f>
        <v xml:space="preserve"> </v>
      </c>
      <c r="BA176" s="55"/>
      <c r="BB176" s="32"/>
      <c r="BC176" s="32"/>
      <c r="BD176" s="55"/>
      <c r="BE176" s="32"/>
      <c r="BF176" s="54"/>
      <c r="BG176" s="21" t="str">
        <f>IFERROR(VLOOKUP(February[[#This Row],[Drug Name6]],'Data Options'!$R$1:$S$100,2,FALSE), " ")</f>
        <v xml:space="preserve"> </v>
      </c>
      <c r="BH176" s="55"/>
      <c r="BI176" s="32"/>
      <c r="BJ176" s="32"/>
      <c r="BK176" s="55"/>
      <c r="BL176" s="32"/>
      <c r="BM176" s="32"/>
      <c r="BN176" s="32"/>
      <c r="BO176" s="32"/>
      <c r="BP176" s="32"/>
      <c r="BQ176" s="31"/>
      <c r="BR176" s="31"/>
      <c r="BS176" s="54"/>
      <c r="BT176" s="21" t="str">
        <f>IFERROR(VLOOKUP(February[[#This Row],[Drug Name7]],'Data Options'!$R$1:$S$100,2,FALSE), " ")</f>
        <v xml:space="preserve"> </v>
      </c>
      <c r="BU176" s="55"/>
      <c r="BV176" s="32"/>
      <c r="BW176" s="32"/>
      <c r="BX176" s="55"/>
      <c r="BY176" s="32"/>
      <c r="BZ176" s="54"/>
      <c r="CA176" s="21" t="str">
        <f>IFERROR(VLOOKUP(February[[#This Row],[Drug Name8]],'Data Options'!$R$1:$S$100,2,FALSE), " ")</f>
        <v xml:space="preserve"> </v>
      </c>
      <c r="CB176" s="55"/>
      <c r="CC176" s="32"/>
      <c r="CD176" s="32"/>
      <c r="CE176" s="55"/>
      <c r="CF176" s="32"/>
      <c r="CG176" s="54"/>
      <c r="CH176" s="21" t="str">
        <f>IFERROR(VLOOKUP(February[[#This Row],[Drug Name9]],'Data Options'!$R$1:$S$100,2,FALSE), " ")</f>
        <v xml:space="preserve"> </v>
      </c>
      <c r="CI176" s="55"/>
      <c r="CJ176" s="32"/>
      <c r="CK176" s="32"/>
      <c r="CL176" s="55"/>
      <c r="CM176" s="32"/>
    </row>
    <row r="177" spans="1:91">
      <c r="A177" s="5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1"/>
      <c r="P177" s="31"/>
      <c r="Q177" s="54"/>
      <c r="R177" s="21" t="str">
        <f>IFERROR(VLOOKUP(February[[#This Row],[Drug Name]],'Data Options'!$R$1:$S$100,2,FALSE), " ")</f>
        <v xml:space="preserve"> </v>
      </c>
      <c r="S177" s="55"/>
      <c r="T177" s="32"/>
      <c r="U177" s="32"/>
      <c r="V177" s="55"/>
      <c r="W177" s="32"/>
      <c r="X177" s="54"/>
      <c r="Y177" s="21" t="str">
        <f>IFERROR(VLOOKUP(February[[#This Row],[Drug Name2]],'Data Options'!$R$1:$S$100,2,FALSE), " ")</f>
        <v xml:space="preserve"> </v>
      </c>
      <c r="Z177" s="55"/>
      <c r="AA177" s="32"/>
      <c r="AB177" s="32"/>
      <c r="AC177" s="55"/>
      <c r="AD177" s="32"/>
      <c r="AE177" s="54"/>
      <c r="AF177" s="21" t="str">
        <f>IFERROR(VLOOKUP(February[[#This Row],[Drug Name3]],'Data Options'!$R$1:$S$100,2,FALSE), " ")</f>
        <v xml:space="preserve"> </v>
      </c>
      <c r="AG177" s="55"/>
      <c r="AH177" s="32"/>
      <c r="AI177" s="32"/>
      <c r="AJ177" s="55"/>
      <c r="AK177" s="32"/>
      <c r="AL177" s="32"/>
      <c r="AM177" s="32"/>
      <c r="AN177" s="32"/>
      <c r="AO177" s="32"/>
      <c r="AP177" s="31"/>
      <c r="AQ177" s="31"/>
      <c r="AR177" s="54"/>
      <c r="AS177" s="21" t="str">
        <f>IFERROR(VLOOKUP(February[[#This Row],[Drug Name4]],'Data Options'!$R$1:$S$100,2,FALSE), " ")</f>
        <v xml:space="preserve"> </v>
      </c>
      <c r="AT177" s="55"/>
      <c r="AU177" s="32"/>
      <c r="AV177" s="32"/>
      <c r="AW177" s="55"/>
      <c r="AX177" s="32"/>
      <c r="AY177" s="54"/>
      <c r="AZ177" s="21" t="str">
        <f>IFERROR(VLOOKUP(February[[#This Row],[Drug Name5]],'Data Options'!$R$1:$S$100,2,FALSE), " ")</f>
        <v xml:space="preserve"> </v>
      </c>
      <c r="BA177" s="55"/>
      <c r="BB177" s="32"/>
      <c r="BC177" s="32"/>
      <c r="BD177" s="55"/>
      <c r="BE177" s="32"/>
      <c r="BF177" s="54"/>
      <c r="BG177" s="21" t="str">
        <f>IFERROR(VLOOKUP(February[[#This Row],[Drug Name6]],'Data Options'!$R$1:$S$100,2,FALSE), " ")</f>
        <v xml:space="preserve"> </v>
      </c>
      <c r="BH177" s="55"/>
      <c r="BI177" s="32"/>
      <c r="BJ177" s="32"/>
      <c r="BK177" s="55"/>
      <c r="BL177" s="32"/>
      <c r="BM177" s="32"/>
      <c r="BN177" s="32"/>
      <c r="BO177" s="32"/>
      <c r="BP177" s="32"/>
      <c r="BQ177" s="31"/>
      <c r="BR177" s="31"/>
      <c r="BS177" s="54"/>
      <c r="BT177" s="21" t="str">
        <f>IFERROR(VLOOKUP(February[[#This Row],[Drug Name7]],'Data Options'!$R$1:$S$100,2,FALSE), " ")</f>
        <v xml:space="preserve"> </v>
      </c>
      <c r="BU177" s="55"/>
      <c r="BV177" s="32"/>
      <c r="BW177" s="32"/>
      <c r="BX177" s="55"/>
      <c r="BY177" s="32"/>
      <c r="BZ177" s="54"/>
      <c r="CA177" s="21" t="str">
        <f>IFERROR(VLOOKUP(February[[#This Row],[Drug Name8]],'Data Options'!$R$1:$S$100,2,FALSE), " ")</f>
        <v xml:space="preserve"> </v>
      </c>
      <c r="CB177" s="55"/>
      <c r="CC177" s="32"/>
      <c r="CD177" s="32"/>
      <c r="CE177" s="55"/>
      <c r="CF177" s="32"/>
      <c r="CG177" s="54"/>
      <c r="CH177" s="21" t="str">
        <f>IFERROR(VLOOKUP(February[[#This Row],[Drug Name9]],'Data Options'!$R$1:$S$100,2,FALSE), " ")</f>
        <v xml:space="preserve"> </v>
      </c>
      <c r="CI177" s="55"/>
      <c r="CJ177" s="32"/>
      <c r="CK177" s="32"/>
      <c r="CL177" s="55"/>
      <c r="CM177" s="32"/>
    </row>
    <row r="178" spans="1:91">
      <c r="A178" s="5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1"/>
      <c r="P178" s="31"/>
      <c r="Q178" s="54"/>
      <c r="R178" s="21" t="str">
        <f>IFERROR(VLOOKUP(February[[#This Row],[Drug Name]],'Data Options'!$R$1:$S$100,2,FALSE), " ")</f>
        <v xml:space="preserve"> </v>
      </c>
      <c r="S178" s="55"/>
      <c r="T178" s="32"/>
      <c r="U178" s="32"/>
      <c r="V178" s="55"/>
      <c r="W178" s="32"/>
      <c r="X178" s="54"/>
      <c r="Y178" s="21" t="str">
        <f>IFERROR(VLOOKUP(February[[#This Row],[Drug Name2]],'Data Options'!$R$1:$S$100,2,FALSE), " ")</f>
        <v xml:space="preserve"> </v>
      </c>
      <c r="Z178" s="55"/>
      <c r="AA178" s="32"/>
      <c r="AB178" s="32"/>
      <c r="AC178" s="55"/>
      <c r="AD178" s="32"/>
      <c r="AE178" s="54"/>
      <c r="AF178" s="21" t="str">
        <f>IFERROR(VLOOKUP(February[[#This Row],[Drug Name3]],'Data Options'!$R$1:$S$100,2,FALSE), " ")</f>
        <v xml:space="preserve"> </v>
      </c>
      <c r="AG178" s="55"/>
      <c r="AH178" s="32"/>
      <c r="AI178" s="32"/>
      <c r="AJ178" s="55"/>
      <c r="AK178" s="32"/>
      <c r="AL178" s="32"/>
      <c r="AM178" s="32"/>
      <c r="AN178" s="32"/>
      <c r="AO178" s="32"/>
      <c r="AP178" s="31"/>
      <c r="AQ178" s="31"/>
      <c r="AR178" s="54"/>
      <c r="AS178" s="21" t="str">
        <f>IFERROR(VLOOKUP(February[[#This Row],[Drug Name4]],'Data Options'!$R$1:$S$100,2,FALSE), " ")</f>
        <v xml:space="preserve"> </v>
      </c>
      <c r="AT178" s="55"/>
      <c r="AU178" s="32"/>
      <c r="AV178" s="32"/>
      <c r="AW178" s="55"/>
      <c r="AX178" s="32"/>
      <c r="AY178" s="54"/>
      <c r="AZ178" s="21" t="str">
        <f>IFERROR(VLOOKUP(February[[#This Row],[Drug Name5]],'Data Options'!$R$1:$S$100,2,FALSE), " ")</f>
        <v xml:space="preserve"> </v>
      </c>
      <c r="BA178" s="55"/>
      <c r="BB178" s="32"/>
      <c r="BC178" s="32"/>
      <c r="BD178" s="55"/>
      <c r="BE178" s="32"/>
      <c r="BF178" s="54"/>
      <c r="BG178" s="21" t="str">
        <f>IFERROR(VLOOKUP(February[[#This Row],[Drug Name6]],'Data Options'!$R$1:$S$100,2,FALSE), " ")</f>
        <v xml:space="preserve"> </v>
      </c>
      <c r="BH178" s="55"/>
      <c r="BI178" s="32"/>
      <c r="BJ178" s="32"/>
      <c r="BK178" s="55"/>
      <c r="BL178" s="32"/>
      <c r="BM178" s="32"/>
      <c r="BN178" s="32"/>
      <c r="BO178" s="32"/>
      <c r="BP178" s="32"/>
      <c r="BQ178" s="31"/>
      <c r="BR178" s="31"/>
      <c r="BS178" s="54"/>
      <c r="BT178" s="21" t="str">
        <f>IFERROR(VLOOKUP(February[[#This Row],[Drug Name7]],'Data Options'!$R$1:$S$100,2,FALSE), " ")</f>
        <v xml:space="preserve"> </v>
      </c>
      <c r="BU178" s="55"/>
      <c r="BV178" s="32"/>
      <c r="BW178" s="32"/>
      <c r="BX178" s="55"/>
      <c r="BY178" s="32"/>
      <c r="BZ178" s="54"/>
      <c r="CA178" s="21" t="str">
        <f>IFERROR(VLOOKUP(February[[#This Row],[Drug Name8]],'Data Options'!$R$1:$S$100,2,FALSE), " ")</f>
        <v xml:space="preserve"> </v>
      </c>
      <c r="CB178" s="55"/>
      <c r="CC178" s="32"/>
      <c r="CD178" s="32"/>
      <c r="CE178" s="55"/>
      <c r="CF178" s="32"/>
      <c r="CG178" s="54"/>
      <c r="CH178" s="21" t="str">
        <f>IFERROR(VLOOKUP(February[[#This Row],[Drug Name9]],'Data Options'!$R$1:$S$100,2,FALSE), " ")</f>
        <v xml:space="preserve"> </v>
      </c>
      <c r="CI178" s="55"/>
      <c r="CJ178" s="32"/>
      <c r="CK178" s="32"/>
      <c r="CL178" s="55"/>
      <c r="CM178" s="32"/>
    </row>
    <row r="179" spans="1:91">
      <c r="A179" s="5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1"/>
      <c r="P179" s="31"/>
      <c r="Q179" s="54"/>
      <c r="R179" s="21" t="str">
        <f>IFERROR(VLOOKUP(February[[#This Row],[Drug Name]],'Data Options'!$R$1:$S$100,2,FALSE), " ")</f>
        <v xml:space="preserve"> </v>
      </c>
      <c r="S179" s="55"/>
      <c r="T179" s="32"/>
      <c r="U179" s="32"/>
      <c r="V179" s="55"/>
      <c r="W179" s="32"/>
      <c r="X179" s="54"/>
      <c r="Y179" s="21" t="str">
        <f>IFERROR(VLOOKUP(February[[#This Row],[Drug Name2]],'Data Options'!$R$1:$S$100,2,FALSE), " ")</f>
        <v xml:space="preserve"> </v>
      </c>
      <c r="Z179" s="55"/>
      <c r="AA179" s="32"/>
      <c r="AB179" s="32"/>
      <c r="AC179" s="55"/>
      <c r="AD179" s="32"/>
      <c r="AE179" s="54"/>
      <c r="AF179" s="21" t="str">
        <f>IFERROR(VLOOKUP(February[[#This Row],[Drug Name3]],'Data Options'!$R$1:$S$100,2,FALSE), " ")</f>
        <v xml:space="preserve"> </v>
      </c>
      <c r="AG179" s="55"/>
      <c r="AH179" s="32"/>
      <c r="AI179" s="32"/>
      <c r="AJ179" s="55"/>
      <c r="AK179" s="32"/>
      <c r="AL179" s="32"/>
      <c r="AM179" s="32"/>
      <c r="AN179" s="32"/>
      <c r="AO179" s="32"/>
      <c r="AP179" s="31"/>
      <c r="AQ179" s="31"/>
      <c r="AR179" s="54"/>
      <c r="AS179" s="21" t="str">
        <f>IFERROR(VLOOKUP(February[[#This Row],[Drug Name4]],'Data Options'!$R$1:$S$100,2,FALSE), " ")</f>
        <v xml:space="preserve"> </v>
      </c>
      <c r="AT179" s="55"/>
      <c r="AU179" s="32"/>
      <c r="AV179" s="32"/>
      <c r="AW179" s="55"/>
      <c r="AX179" s="32"/>
      <c r="AY179" s="54"/>
      <c r="AZ179" s="21" t="str">
        <f>IFERROR(VLOOKUP(February[[#This Row],[Drug Name5]],'Data Options'!$R$1:$S$100,2,FALSE), " ")</f>
        <v xml:space="preserve"> </v>
      </c>
      <c r="BA179" s="55"/>
      <c r="BB179" s="32"/>
      <c r="BC179" s="32"/>
      <c r="BD179" s="55"/>
      <c r="BE179" s="32"/>
      <c r="BF179" s="54"/>
      <c r="BG179" s="21" t="str">
        <f>IFERROR(VLOOKUP(February[[#This Row],[Drug Name6]],'Data Options'!$R$1:$S$100,2,FALSE), " ")</f>
        <v xml:space="preserve"> </v>
      </c>
      <c r="BH179" s="55"/>
      <c r="BI179" s="32"/>
      <c r="BJ179" s="32"/>
      <c r="BK179" s="55"/>
      <c r="BL179" s="32"/>
      <c r="BM179" s="32"/>
      <c r="BN179" s="32"/>
      <c r="BO179" s="32"/>
      <c r="BP179" s="32"/>
      <c r="BQ179" s="31"/>
      <c r="BR179" s="31"/>
      <c r="BS179" s="54"/>
      <c r="BT179" s="21" t="str">
        <f>IFERROR(VLOOKUP(February[[#This Row],[Drug Name7]],'Data Options'!$R$1:$S$100,2,FALSE), " ")</f>
        <v xml:space="preserve"> </v>
      </c>
      <c r="BU179" s="55"/>
      <c r="BV179" s="32"/>
      <c r="BW179" s="32"/>
      <c r="BX179" s="55"/>
      <c r="BY179" s="32"/>
      <c r="BZ179" s="54"/>
      <c r="CA179" s="21" t="str">
        <f>IFERROR(VLOOKUP(February[[#This Row],[Drug Name8]],'Data Options'!$R$1:$S$100,2,FALSE), " ")</f>
        <v xml:space="preserve"> </v>
      </c>
      <c r="CB179" s="55"/>
      <c r="CC179" s="32"/>
      <c r="CD179" s="32"/>
      <c r="CE179" s="55"/>
      <c r="CF179" s="32"/>
      <c r="CG179" s="54"/>
      <c r="CH179" s="21" t="str">
        <f>IFERROR(VLOOKUP(February[[#This Row],[Drug Name9]],'Data Options'!$R$1:$S$100,2,FALSE), " ")</f>
        <v xml:space="preserve"> </v>
      </c>
      <c r="CI179" s="55"/>
      <c r="CJ179" s="32"/>
      <c r="CK179" s="32"/>
      <c r="CL179" s="55"/>
      <c r="CM179" s="32"/>
    </row>
    <row r="180" spans="1:91">
      <c r="A180" s="5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1"/>
      <c r="P180" s="31"/>
      <c r="Q180" s="54"/>
      <c r="R180" s="21" t="str">
        <f>IFERROR(VLOOKUP(February[[#This Row],[Drug Name]],'Data Options'!$R$1:$S$100,2,FALSE), " ")</f>
        <v xml:space="preserve"> </v>
      </c>
      <c r="S180" s="55"/>
      <c r="T180" s="32"/>
      <c r="U180" s="32"/>
      <c r="V180" s="55"/>
      <c r="W180" s="32"/>
      <c r="X180" s="54"/>
      <c r="Y180" s="21" t="str">
        <f>IFERROR(VLOOKUP(February[[#This Row],[Drug Name2]],'Data Options'!$R$1:$S$100,2,FALSE), " ")</f>
        <v xml:space="preserve"> </v>
      </c>
      <c r="Z180" s="55"/>
      <c r="AA180" s="32"/>
      <c r="AB180" s="32"/>
      <c r="AC180" s="55"/>
      <c r="AD180" s="32"/>
      <c r="AE180" s="54"/>
      <c r="AF180" s="21" t="str">
        <f>IFERROR(VLOOKUP(February[[#This Row],[Drug Name3]],'Data Options'!$R$1:$S$100,2,FALSE), " ")</f>
        <v xml:space="preserve"> </v>
      </c>
      <c r="AG180" s="55"/>
      <c r="AH180" s="32"/>
      <c r="AI180" s="32"/>
      <c r="AJ180" s="55"/>
      <c r="AK180" s="32"/>
      <c r="AL180" s="32"/>
      <c r="AM180" s="32"/>
      <c r="AN180" s="32"/>
      <c r="AO180" s="32"/>
      <c r="AP180" s="31"/>
      <c r="AQ180" s="31"/>
      <c r="AR180" s="54"/>
      <c r="AS180" s="21" t="str">
        <f>IFERROR(VLOOKUP(February[[#This Row],[Drug Name4]],'Data Options'!$R$1:$S$100,2,FALSE), " ")</f>
        <v xml:space="preserve"> </v>
      </c>
      <c r="AT180" s="55"/>
      <c r="AU180" s="32"/>
      <c r="AV180" s="32"/>
      <c r="AW180" s="55"/>
      <c r="AX180" s="32"/>
      <c r="AY180" s="54"/>
      <c r="AZ180" s="21" t="str">
        <f>IFERROR(VLOOKUP(February[[#This Row],[Drug Name5]],'Data Options'!$R$1:$S$100,2,FALSE), " ")</f>
        <v xml:space="preserve"> </v>
      </c>
      <c r="BA180" s="55"/>
      <c r="BB180" s="32"/>
      <c r="BC180" s="32"/>
      <c r="BD180" s="55"/>
      <c r="BE180" s="32"/>
      <c r="BF180" s="54"/>
      <c r="BG180" s="21" t="str">
        <f>IFERROR(VLOOKUP(February[[#This Row],[Drug Name6]],'Data Options'!$R$1:$S$100,2,FALSE), " ")</f>
        <v xml:space="preserve"> </v>
      </c>
      <c r="BH180" s="55"/>
      <c r="BI180" s="32"/>
      <c r="BJ180" s="32"/>
      <c r="BK180" s="55"/>
      <c r="BL180" s="32"/>
      <c r="BM180" s="32"/>
      <c r="BN180" s="32"/>
      <c r="BO180" s="32"/>
      <c r="BP180" s="32"/>
      <c r="BQ180" s="31"/>
      <c r="BR180" s="31"/>
      <c r="BS180" s="54"/>
      <c r="BT180" s="21" t="str">
        <f>IFERROR(VLOOKUP(February[[#This Row],[Drug Name7]],'Data Options'!$R$1:$S$100,2,FALSE), " ")</f>
        <v xml:space="preserve"> </v>
      </c>
      <c r="BU180" s="55"/>
      <c r="BV180" s="32"/>
      <c r="BW180" s="32"/>
      <c r="BX180" s="55"/>
      <c r="BY180" s="32"/>
      <c r="BZ180" s="54"/>
      <c r="CA180" s="21" t="str">
        <f>IFERROR(VLOOKUP(February[[#This Row],[Drug Name8]],'Data Options'!$R$1:$S$100,2,FALSE), " ")</f>
        <v xml:space="preserve"> </v>
      </c>
      <c r="CB180" s="55"/>
      <c r="CC180" s="32"/>
      <c r="CD180" s="32"/>
      <c r="CE180" s="55"/>
      <c r="CF180" s="32"/>
      <c r="CG180" s="54"/>
      <c r="CH180" s="21" t="str">
        <f>IFERROR(VLOOKUP(February[[#This Row],[Drug Name9]],'Data Options'!$R$1:$S$100,2,FALSE), " ")</f>
        <v xml:space="preserve"> </v>
      </c>
      <c r="CI180" s="55"/>
      <c r="CJ180" s="32"/>
      <c r="CK180" s="32"/>
      <c r="CL180" s="55"/>
      <c r="CM180" s="32"/>
    </row>
    <row r="181" spans="1:91">
      <c r="A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1"/>
      <c r="P181" s="31"/>
      <c r="Q181" s="54"/>
      <c r="R181" s="21" t="str">
        <f>IFERROR(VLOOKUP(February[[#This Row],[Drug Name]],'Data Options'!$R$1:$S$100,2,FALSE), " ")</f>
        <v xml:space="preserve"> </v>
      </c>
      <c r="S181" s="55"/>
      <c r="T181" s="32"/>
      <c r="U181" s="32"/>
      <c r="V181" s="55"/>
      <c r="W181" s="32"/>
      <c r="X181" s="54"/>
      <c r="Y181" s="21" t="str">
        <f>IFERROR(VLOOKUP(February[[#This Row],[Drug Name2]],'Data Options'!$R$1:$S$100,2,FALSE), " ")</f>
        <v xml:space="preserve"> </v>
      </c>
      <c r="Z181" s="55"/>
      <c r="AA181" s="32"/>
      <c r="AB181" s="32"/>
      <c r="AC181" s="55"/>
      <c r="AD181" s="32"/>
      <c r="AE181" s="54"/>
      <c r="AF181" s="21" t="str">
        <f>IFERROR(VLOOKUP(February[[#This Row],[Drug Name3]],'Data Options'!$R$1:$S$100,2,FALSE), " ")</f>
        <v xml:space="preserve"> </v>
      </c>
      <c r="AG181" s="55"/>
      <c r="AH181" s="32"/>
      <c r="AI181" s="32"/>
      <c r="AJ181" s="55"/>
      <c r="AK181" s="32"/>
      <c r="AL181" s="32"/>
      <c r="AM181" s="32"/>
      <c r="AN181" s="32"/>
      <c r="AO181" s="32"/>
      <c r="AP181" s="31"/>
      <c r="AQ181" s="31"/>
      <c r="AR181" s="54"/>
      <c r="AS181" s="21" t="str">
        <f>IFERROR(VLOOKUP(February[[#This Row],[Drug Name4]],'Data Options'!$R$1:$S$100,2,FALSE), " ")</f>
        <v xml:space="preserve"> </v>
      </c>
      <c r="AT181" s="55"/>
      <c r="AU181" s="32"/>
      <c r="AV181" s="32"/>
      <c r="AW181" s="55"/>
      <c r="AX181" s="32"/>
      <c r="AY181" s="54"/>
      <c r="AZ181" s="21" t="str">
        <f>IFERROR(VLOOKUP(February[[#This Row],[Drug Name5]],'Data Options'!$R$1:$S$100,2,FALSE), " ")</f>
        <v xml:space="preserve"> </v>
      </c>
      <c r="BA181" s="55"/>
      <c r="BB181" s="32"/>
      <c r="BC181" s="32"/>
      <c r="BD181" s="55"/>
      <c r="BE181" s="32"/>
      <c r="BF181" s="54"/>
      <c r="BG181" s="21" t="str">
        <f>IFERROR(VLOOKUP(February[[#This Row],[Drug Name6]],'Data Options'!$R$1:$S$100,2,FALSE), " ")</f>
        <v xml:space="preserve"> </v>
      </c>
      <c r="BH181" s="55"/>
      <c r="BI181" s="32"/>
      <c r="BJ181" s="32"/>
      <c r="BK181" s="55"/>
      <c r="BL181" s="32"/>
      <c r="BM181" s="32"/>
      <c r="BN181" s="32"/>
      <c r="BO181" s="32"/>
      <c r="BP181" s="32"/>
      <c r="BQ181" s="31"/>
      <c r="BR181" s="31"/>
      <c r="BS181" s="54"/>
      <c r="BT181" s="21" t="str">
        <f>IFERROR(VLOOKUP(February[[#This Row],[Drug Name7]],'Data Options'!$R$1:$S$100,2,FALSE), " ")</f>
        <v xml:space="preserve"> </v>
      </c>
      <c r="BU181" s="55"/>
      <c r="BV181" s="32"/>
      <c r="BW181" s="32"/>
      <c r="BX181" s="55"/>
      <c r="BY181" s="32"/>
      <c r="BZ181" s="54"/>
      <c r="CA181" s="21" t="str">
        <f>IFERROR(VLOOKUP(February[[#This Row],[Drug Name8]],'Data Options'!$R$1:$S$100,2,FALSE), " ")</f>
        <v xml:space="preserve"> </v>
      </c>
      <c r="CB181" s="55"/>
      <c r="CC181" s="32"/>
      <c r="CD181" s="32"/>
      <c r="CE181" s="55"/>
      <c r="CF181" s="32"/>
      <c r="CG181" s="54"/>
      <c r="CH181" s="21" t="str">
        <f>IFERROR(VLOOKUP(February[[#This Row],[Drug Name9]],'Data Options'!$R$1:$S$100,2,FALSE), " ")</f>
        <v xml:space="preserve"> </v>
      </c>
      <c r="CI181" s="55"/>
      <c r="CJ181" s="32"/>
      <c r="CK181" s="32"/>
      <c r="CL181" s="55"/>
      <c r="CM181" s="32"/>
    </row>
    <row r="182" spans="1:91">
      <c r="A182" s="5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1"/>
      <c r="P182" s="31"/>
      <c r="Q182" s="54"/>
      <c r="R182" s="21" t="str">
        <f>IFERROR(VLOOKUP(February[[#This Row],[Drug Name]],'Data Options'!$R$1:$S$100,2,FALSE), " ")</f>
        <v xml:space="preserve"> </v>
      </c>
      <c r="S182" s="55"/>
      <c r="T182" s="32"/>
      <c r="U182" s="32"/>
      <c r="V182" s="55"/>
      <c r="W182" s="32"/>
      <c r="X182" s="54"/>
      <c r="Y182" s="21" t="str">
        <f>IFERROR(VLOOKUP(February[[#This Row],[Drug Name2]],'Data Options'!$R$1:$S$100,2,FALSE), " ")</f>
        <v xml:space="preserve"> </v>
      </c>
      <c r="Z182" s="55"/>
      <c r="AA182" s="32"/>
      <c r="AB182" s="32"/>
      <c r="AC182" s="55"/>
      <c r="AD182" s="32"/>
      <c r="AE182" s="54"/>
      <c r="AF182" s="21" t="str">
        <f>IFERROR(VLOOKUP(February[[#This Row],[Drug Name3]],'Data Options'!$R$1:$S$100,2,FALSE), " ")</f>
        <v xml:space="preserve"> </v>
      </c>
      <c r="AG182" s="55"/>
      <c r="AH182" s="32"/>
      <c r="AI182" s="32"/>
      <c r="AJ182" s="55"/>
      <c r="AK182" s="32"/>
      <c r="AL182" s="32"/>
      <c r="AM182" s="32"/>
      <c r="AN182" s="32"/>
      <c r="AO182" s="32"/>
      <c r="AP182" s="31"/>
      <c r="AQ182" s="31"/>
      <c r="AR182" s="54"/>
      <c r="AS182" s="21" t="str">
        <f>IFERROR(VLOOKUP(February[[#This Row],[Drug Name4]],'Data Options'!$R$1:$S$100,2,FALSE), " ")</f>
        <v xml:space="preserve"> </v>
      </c>
      <c r="AT182" s="55"/>
      <c r="AU182" s="32"/>
      <c r="AV182" s="32"/>
      <c r="AW182" s="55"/>
      <c r="AX182" s="32"/>
      <c r="AY182" s="54"/>
      <c r="AZ182" s="21" t="str">
        <f>IFERROR(VLOOKUP(February[[#This Row],[Drug Name5]],'Data Options'!$R$1:$S$100,2,FALSE), " ")</f>
        <v xml:space="preserve"> </v>
      </c>
      <c r="BA182" s="55"/>
      <c r="BB182" s="32"/>
      <c r="BC182" s="32"/>
      <c r="BD182" s="55"/>
      <c r="BE182" s="32"/>
      <c r="BF182" s="54"/>
      <c r="BG182" s="21" t="str">
        <f>IFERROR(VLOOKUP(February[[#This Row],[Drug Name6]],'Data Options'!$R$1:$S$100,2,FALSE), " ")</f>
        <v xml:space="preserve"> </v>
      </c>
      <c r="BH182" s="55"/>
      <c r="BI182" s="32"/>
      <c r="BJ182" s="32"/>
      <c r="BK182" s="55"/>
      <c r="BL182" s="32"/>
      <c r="BM182" s="32"/>
      <c r="BN182" s="32"/>
      <c r="BO182" s="32"/>
      <c r="BP182" s="32"/>
      <c r="BQ182" s="31"/>
      <c r="BR182" s="31"/>
      <c r="BS182" s="54"/>
      <c r="BT182" s="21" t="str">
        <f>IFERROR(VLOOKUP(February[[#This Row],[Drug Name7]],'Data Options'!$R$1:$S$100,2,FALSE), " ")</f>
        <v xml:space="preserve"> </v>
      </c>
      <c r="BU182" s="55"/>
      <c r="BV182" s="32"/>
      <c r="BW182" s="32"/>
      <c r="BX182" s="55"/>
      <c r="BY182" s="32"/>
      <c r="BZ182" s="54"/>
      <c r="CA182" s="21" t="str">
        <f>IFERROR(VLOOKUP(February[[#This Row],[Drug Name8]],'Data Options'!$R$1:$S$100,2,FALSE), " ")</f>
        <v xml:space="preserve"> </v>
      </c>
      <c r="CB182" s="55"/>
      <c r="CC182" s="32"/>
      <c r="CD182" s="32"/>
      <c r="CE182" s="55"/>
      <c r="CF182" s="32"/>
      <c r="CG182" s="54"/>
      <c r="CH182" s="21" t="str">
        <f>IFERROR(VLOOKUP(February[[#This Row],[Drug Name9]],'Data Options'!$R$1:$S$100,2,FALSE), " ")</f>
        <v xml:space="preserve"> </v>
      </c>
      <c r="CI182" s="55"/>
      <c r="CJ182" s="32"/>
      <c r="CK182" s="32"/>
      <c r="CL182" s="55"/>
      <c r="CM182" s="32"/>
    </row>
    <row r="183" spans="1:91">
      <c r="A183" s="5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1"/>
      <c r="P183" s="31"/>
      <c r="Q183" s="54"/>
      <c r="R183" s="21" t="str">
        <f>IFERROR(VLOOKUP(February[[#This Row],[Drug Name]],'Data Options'!$R$1:$S$100,2,FALSE), " ")</f>
        <v xml:space="preserve"> </v>
      </c>
      <c r="S183" s="55"/>
      <c r="T183" s="32"/>
      <c r="U183" s="32"/>
      <c r="V183" s="55"/>
      <c r="W183" s="32"/>
      <c r="X183" s="54"/>
      <c r="Y183" s="21" t="str">
        <f>IFERROR(VLOOKUP(February[[#This Row],[Drug Name2]],'Data Options'!$R$1:$S$100,2,FALSE), " ")</f>
        <v xml:space="preserve"> </v>
      </c>
      <c r="Z183" s="55"/>
      <c r="AA183" s="32"/>
      <c r="AB183" s="32"/>
      <c r="AC183" s="55"/>
      <c r="AD183" s="32"/>
      <c r="AE183" s="54"/>
      <c r="AF183" s="21" t="str">
        <f>IFERROR(VLOOKUP(February[[#This Row],[Drug Name3]],'Data Options'!$R$1:$S$100,2,FALSE), " ")</f>
        <v xml:space="preserve"> </v>
      </c>
      <c r="AG183" s="55"/>
      <c r="AH183" s="32"/>
      <c r="AI183" s="32"/>
      <c r="AJ183" s="55"/>
      <c r="AK183" s="32"/>
      <c r="AL183" s="32"/>
      <c r="AM183" s="32"/>
      <c r="AN183" s="32"/>
      <c r="AO183" s="32"/>
      <c r="AP183" s="31"/>
      <c r="AQ183" s="31"/>
      <c r="AR183" s="54"/>
      <c r="AS183" s="21" t="str">
        <f>IFERROR(VLOOKUP(February[[#This Row],[Drug Name4]],'Data Options'!$R$1:$S$100,2,FALSE), " ")</f>
        <v xml:space="preserve"> </v>
      </c>
      <c r="AT183" s="55"/>
      <c r="AU183" s="32"/>
      <c r="AV183" s="32"/>
      <c r="AW183" s="55"/>
      <c r="AX183" s="32"/>
      <c r="AY183" s="54"/>
      <c r="AZ183" s="21" t="str">
        <f>IFERROR(VLOOKUP(February[[#This Row],[Drug Name5]],'Data Options'!$R$1:$S$100,2,FALSE), " ")</f>
        <v xml:space="preserve"> </v>
      </c>
      <c r="BA183" s="55"/>
      <c r="BB183" s="32"/>
      <c r="BC183" s="32"/>
      <c r="BD183" s="55"/>
      <c r="BE183" s="32"/>
      <c r="BF183" s="54"/>
      <c r="BG183" s="21" t="str">
        <f>IFERROR(VLOOKUP(February[[#This Row],[Drug Name6]],'Data Options'!$R$1:$S$100,2,FALSE), " ")</f>
        <v xml:space="preserve"> </v>
      </c>
      <c r="BH183" s="55"/>
      <c r="BI183" s="32"/>
      <c r="BJ183" s="32"/>
      <c r="BK183" s="55"/>
      <c r="BL183" s="32"/>
      <c r="BM183" s="32"/>
      <c r="BN183" s="32"/>
      <c r="BO183" s="32"/>
      <c r="BP183" s="32"/>
      <c r="BQ183" s="31"/>
      <c r="BR183" s="31"/>
      <c r="BS183" s="54"/>
      <c r="BT183" s="21" t="str">
        <f>IFERROR(VLOOKUP(February[[#This Row],[Drug Name7]],'Data Options'!$R$1:$S$100,2,FALSE), " ")</f>
        <v xml:space="preserve"> </v>
      </c>
      <c r="BU183" s="55"/>
      <c r="BV183" s="32"/>
      <c r="BW183" s="32"/>
      <c r="BX183" s="55"/>
      <c r="BY183" s="32"/>
      <c r="BZ183" s="54"/>
      <c r="CA183" s="21" t="str">
        <f>IFERROR(VLOOKUP(February[[#This Row],[Drug Name8]],'Data Options'!$R$1:$S$100,2,FALSE), " ")</f>
        <v xml:space="preserve"> </v>
      </c>
      <c r="CB183" s="55"/>
      <c r="CC183" s="32"/>
      <c r="CD183" s="32"/>
      <c r="CE183" s="55"/>
      <c r="CF183" s="32"/>
      <c r="CG183" s="54"/>
      <c r="CH183" s="21" t="str">
        <f>IFERROR(VLOOKUP(February[[#This Row],[Drug Name9]],'Data Options'!$R$1:$S$100,2,FALSE), " ")</f>
        <v xml:space="preserve"> </v>
      </c>
      <c r="CI183" s="55"/>
      <c r="CJ183" s="32"/>
      <c r="CK183" s="32"/>
      <c r="CL183" s="55"/>
      <c r="CM183" s="32"/>
    </row>
    <row r="184" spans="1:91">
      <c r="A184" s="5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1"/>
      <c r="P184" s="31"/>
      <c r="Q184" s="54"/>
      <c r="R184" s="21" t="str">
        <f>IFERROR(VLOOKUP(February[[#This Row],[Drug Name]],'Data Options'!$R$1:$S$100,2,FALSE), " ")</f>
        <v xml:space="preserve"> </v>
      </c>
      <c r="S184" s="55"/>
      <c r="T184" s="32"/>
      <c r="U184" s="32"/>
      <c r="V184" s="55"/>
      <c r="W184" s="32"/>
      <c r="X184" s="54"/>
      <c r="Y184" s="21" t="str">
        <f>IFERROR(VLOOKUP(February[[#This Row],[Drug Name2]],'Data Options'!$R$1:$S$100,2,FALSE), " ")</f>
        <v xml:space="preserve"> </v>
      </c>
      <c r="Z184" s="55"/>
      <c r="AA184" s="32"/>
      <c r="AB184" s="32"/>
      <c r="AC184" s="55"/>
      <c r="AD184" s="32"/>
      <c r="AE184" s="54"/>
      <c r="AF184" s="21" t="str">
        <f>IFERROR(VLOOKUP(February[[#This Row],[Drug Name3]],'Data Options'!$R$1:$S$100,2,FALSE), " ")</f>
        <v xml:space="preserve"> </v>
      </c>
      <c r="AG184" s="55"/>
      <c r="AH184" s="32"/>
      <c r="AI184" s="32"/>
      <c r="AJ184" s="55"/>
      <c r="AK184" s="32"/>
      <c r="AL184" s="32"/>
      <c r="AM184" s="32"/>
      <c r="AN184" s="32"/>
      <c r="AO184" s="32"/>
      <c r="AP184" s="31"/>
      <c r="AQ184" s="31"/>
      <c r="AR184" s="54"/>
      <c r="AS184" s="21" t="str">
        <f>IFERROR(VLOOKUP(February[[#This Row],[Drug Name4]],'Data Options'!$R$1:$S$100,2,FALSE), " ")</f>
        <v xml:space="preserve"> </v>
      </c>
      <c r="AT184" s="55"/>
      <c r="AU184" s="32"/>
      <c r="AV184" s="32"/>
      <c r="AW184" s="55"/>
      <c r="AX184" s="32"/>
      <c r="AY184" s="54"/>
      <c r="AZ184" s="21" t="str">
        <f>IFERROR(VLOOKUP(February[[#This Row],[Drug Name5]],'Data Options'!$R$1:$S$100,2,FALSE), " ")</f>
        <v xml:space="preserve"> </v>
      </c>
      <c r="BA184" s="55"/>
      <c r="BB184" s="32"/>
      <c r="BC184" s="32"/>
      <c r="BD184" s="55"/>
      <c r="BE184" s="32"/>
      <c r="BF184" s="54"/>
      <c r="BG184" s="21" t="str">
        <f>IFERROR(VLOOKUP(February[[#This Row],[Drug Name6]],'Data Options'!$R$1:$S$100,2,FALSE), " ")</f>
        <v xml:space="preserve"> </v>
      </c>
      <c r="BH184" s="55"/>
      <c r="BI184" s="32"/>
      <c r="BJ184" s="32"/>
      <c r="BK184" s="55"/>
      <c r="BL184" s="32"/>
      <c r="BM184" s="32"/>
      <c r="BN184" s="32"/>
      <c r="BO184" s="32"/>
      <c r="BP184" s="32"/>
      <c r="BQ184" s="31"/>
      <c r="BR184" s="31"/>
      <c r="BS184" s="54"/>
      <c r="BT184" s="21" t="str">
        <f>IFERROR(VLOOKUP(February[[#This Row],[Drug Name7]],'Data Options'!$R$1:$S$100,2,FALSE), " ")</f>
        <v xml:space="preserve"> </v>
      </c>
      <c r="BU184" s="55"/>
      <c r="BV184" s="32"/>
      <c r="BW184" s="32"/>
      <c r="BX184" s="55"/>
      <c r="BY184" s="32"/>
      <c r="BZ184" s="54"/>
      <c r="CA184" s="21" t="str">
        <f>IFERROR(VLOOKUP(February[[#This Row],[Drug Name8]],'Data Options'!$R$1:$S$100,2,FALSE), " ")</f>
        <v xml:space="preserve"> </v>
      </c>
      <c r="CB184" s="55"/>
      <c r="CC184" s="32"/>
      <c r="CD184" s="32"/>
      <c r="CE184" s="55"/>
      <c r="CF184" s="32"/>
      <c r="CG184" s="54"/>
      <c r="CH184" s="21" t="str">
        <f>IFERROR(VLOOKUP(February[[#This Row],[Drug Name9]],'Data Options'!$R$1:$S$100,2,FALSE), " ")</f>
        <v xml:space="preserve"> </v>
      </c>
      <c r="CI184" s="55"/>
      <c r="CJ184" s="32"/>
      <c r="CK184" s="32"/>
      <c r="CL184" s="55"/>
      <c r="CM184" s="32"/>
    </row>
    <row r="185" spans="1:91">
      <c r="A185" s="5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1"/>
      <c r="P185" s="31"/>
      <c r="Q185" s="54"/>
      <c r="R185" s="21" t="str">
        <f>IFERROR(VLOOKUP(February[[#This Row],[Drug Name]],'Data Options'!$R$1:$S$100,2,FALSE), " ")</f>
        <v xml:space="preserve"> </v>
      </c>
      <c r="S185" s="55"/>
      <c r="T185" s="32"/>
      <c r="U185" s="32"/>
      <c r="V185" s="55"/>
      <c r="W185" s="32"/>
      <c r="X185" s="54"/>
      <c r="Y185" s="21" t="str">
        <f>IFERROR(VLOOKUP(February[[#This Row],[Drug Name2]],'Data Options'!$R$1:$S$100,2,FALSE), " ")</f>
        <v xml:space="preserve"> </v>
      </c>
      <c r="Z185" s="55"/>
      <c r="AA185" s="32"/>
      <c r="AB185" s="32"/>
      <c r="AC185" s="55"/>
      <c r="AD185" s="32"/>
      <c r="AE185" s="54"/>
      <c r="AF185" s="21" t="str">
        <f>IFERROR(VLOOKUP(February[[#This Row],[Drug Name3]],'Data Options'!$R$1:$S$100,2,FALSE), " ")</f>
        <v xml:space="preserve"> </v>
      </c>
      <c r="AG185" s="55"/>
      <c r="AH185" s="32"/>
      <c r="AI185" s="32"/>
      <c r="AJ185" s="55"/>
      <c r="AK185" s="32"/>
      <c r="AL185" s="32"/>
      <c r="AM185" s="32"/>
      <c r="AN185" s="32"/>
      <c r="AO185" s="32"/>
      <c r="AP185" s="31"/>
      <c r="AQ185" s="31"/>
      <c r="AR185" s="54"/>
      <c r="AS185" s="21" t="str">
        <f>IFERROR(VLOOKUP(February[[#This Row],[Drug Name4]],'Data Options'!$R$1:$S$100,2,FALSE), " ")</f>
        <v xml:space="preserve"> </v>
      </c>
      <c r="AT185" s="55"/>
      <c r="AU185" s="32"/>
      <c r="AV185" s="32"/>
      <c r="AW185" s="55"/>
      <c r="AX185" s="32"/>
      <c r="AY185" s="54"/>
      <c r="AZ185" s="21" t="str">
        <f>IFERROR(VLOOKUP(February[[#This Row],[Drug Name5]],'Data Options'!$R$1:$S$100,2,FALSE), " ")</f>
        <v xml:space="preserve"> </v>
      </c>
      <c r="BA185" s="55"/>
      <c r="BB185" s="32"/>
      <c r="BC185" s="32"/>
      <c r="BD185" s="55"/>
      <c r="BE185" s="32"/>
      <c r="BF185" s="54"/>
      <c r="BG185" s="21" t="str">
        <f>IFERROR(VLOOKUP(February[[#This Row],[Drug Name6]],'Data Options'!$R$1:$S$100,2,FALSE), " ")</f>
        <v xml:space="preserve"> </v>
      </c>
      <c r="BH185" s="55"/>
      <c r="BI185" s="32"/>
      <c r="BJ185" s="32"/>
      <c r="BK185" s="55"/>
      <c r="BL185" s="32"/>
      <c r="BM185" s="32"/>
      <c r="BN185" s="32"/>
      <c r="BO185" s="32"/>
      <c r="BP185" s="32"/>
      <c r="BQ185" s="31"/>
      <c r="BR185" s="31"/>
      <c r="BS185" s="54"/>
      <c r="BT185" s="21" t="str">
        <f>IFERROR(VLOOKUP(February[[#This Row],[Drug Name7]],'Data Options'!$R$1:$S$100,2,FALSE), " ")</f>
        <v xml:space="preserve"> </v>
      </c>
      <c r="BU185" s="55"/>
      <c r="BV185" s="32"/>
      <c r="BW185" s="32"/>
      <c r="BX185" s="55"/>
      <c r="BY185" s="32"/>
      <c r="BZ185" s="54"/>
      <c r="CA185" s="21" t="str">
        <f>IFERROR(VLOOKUP(February[[#This Row],[Drug Name8]],'Data Options'!$R$1:$S$100,2,FALSE), " ")</f>
        <v xml:space="preserve"> </v>
      </c>
      <c r="CB185" s="55"/>
      <c r="CC185" s="32"/>
      <c r="CD185" s="32"/>
      <c r="CE185" s="55"/>
      <c r="CF185" s="32"/>
      <c r="CG185" s="54"/>
      <c r="CH185" s="21" t="str">
        <f>IFERROR(VLOOKUP(February[[#This Row],[Drug Name9]],'Data Options'!$R$1:$S$100,2,FALSE), " ")</f>
        <v xml:space="preserve"> </v>
      </c>
      <c r="CI185" s="55"/>
      <c r="CJ185" s="32"/>
      <c r="CK185" s="32"/>
      <c r="CL185" s="55"/>
      <c r="CM185" s="32"/>
    </row>
    <row r="186" spans="1:91">
      <c r="A186" s="5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1"/>
      <c r="P186" s="31"/>
      <c r="Q186" s="54"/>
      <c r="R186" s="21" t="str">
        <f>IFERROR(VLOOKUP(February[[#This Row],[Drug Name]],'Data Options'!$R$1:$S$100,2,FALSE), " ")</f>
        <v xml:space="preserve"> </v>
      </c>
      <c r="S186" s="55"/>
      <c r="T186" s="32"/>
      <c r="U186" s="32"/>
      <c r="V186" s="55"/>
      <c r="W186" s="32"/>
      <c r="X186" s="54"/>
      <c r="Y186" s="21" t="str">
        <f>IFERROR(VLOOKUP(February[[#This Row],[Drug Name2]],'Data Options'!$R$1:$S$100,2,FALSE), " ")</f>
        <v xml:space="preserve"> </v>
      </c>
      <c r="Z186" s="55"/>
      <c r="AA186" s="32"/>
      <c r="AB186" s="32"/>
      <c r="AC186" s="55"/>
      <c r="AD186" s="32"/>
      <c r="AE186" s="54"/>
      <c r="AF186" s="21" t="str">
        <f>IFERROR(VLOOKUP(February[[#This Row],[Drug Name3]],'Data Options'!$R$1:$S$100,2,FALSE), " ")</f>
        <v xml:space="preserve"> </v>
      </c>
      <c r="AG186" s="55"/>
      <c r="AH186" s="32"/>
      <c r="AI186" s="32"/>
      <c r="AJ186" s="55"/>
      <c r="AK186" s="32"/>
      <c r="AL186" s="32"/>
      <c r="AM186" s="32"/>
      <c r="AN186" s="32"/>
      <c r="AO186" s="32"/>
      <c r="AP186" s="31"/>
      <c r="AQ186" s="31"/>
      <c r="AR186" s="54"/>
      <c r="AS186" s="21" t="str">
        <f>IFERROR(VLOOKUP(February[[#This Row],[Drug Name4]],'Data Options'!$R$1:$S$100,2,FALSE), " ")</f>
        <v xml:space="preserve"> </v>
      </c>
      <c r="AT186" s="55"/>
      <c r="AU186" s="32"/>
      <c r="AV186" s="32"/>
      <c r="AW186" s="55"/>
      <c r="AX186" s="32"/>
      <c r="AY186" s="54"/>
      <c r="AZ186" s="21" t="str">
        <f>IFERROR(VLOOKUP(February[[#This Row],[Drug Name5]],'Data Options'!$R$1:$S$100,2,FALSE), " ")</f>
        <v xml:space="preserve"> </v>
      </c>
      <c r="BA186" s="55"/>
      <c r="BB186" s="32"/>
      <c r="BC186" s="32"/>
      <c r="BD186" s="55"/>
      <c r="BE186" s="32"/>
      <c r="BF186" s="54"/>
      <c r="BG186" s="21" t="str">
        <f>IFERROR(VLOOKUP(February[[#This Row],[Drug Name6]],'Data Options'!$R$1:$S$100,2,FALSE), " ")</f>
        <v xml:space="preserve"> </v>
      </c>
      <c r="BH186" s="55"/>
      <c r="BI186" s="32"/>
      <c r="BJ186" s="32"/>
      <c r="BK186" s="55"/>
      <c r="BL186" s="32"/>
      <c r="BM186" s="32"/>
      <c r="BN186" s="32"/>
      <c r="BO186" s="32"/>
      <c r="BP186" s="32"/>
      <c r="BQ186" s="31"/>
      <c r="BR186" s="31"/>
      <c r="BS186" s="54"/>
      <c r="BT186" s="21" t="str">
        <f>IFERROR(VLOOKUP(February[[#This Row],[Drug Name7]],'Data Options'!$R$1:$S$100,2,FALSE), " ")</f>
        <v xml:space="preserve"> </v>
      </c>
      <c r="BU186" s="55"/>
      <c r="BV186" s="32"/>
      <c r="BW186" s="32"/>
      <c r="BX186" s="55"/>
      <c r="BY186" s="32"/>
      <c r="BZ186" s="54"/>
      <c r="CA186" s="21" t="str">
        <f>IFERROR(VLOOKUP(February[[#This Row],[Drug Name8]],'Data Options'!$R$1:$S$100,2,FALSE), " ")</f>
        <v xml:space="preserve"> </v>
      </c>
      <c r="CB186" s="55"/>
      <c r="CC186" s="32"/>
      <c r="CD186" s="32"/>
      <c r="CE186" s="55"/>
      <c r="CF186" s="32"/>
      <c r="CG186" s="54"/>
      <c r="CH186" s="21" t="str">
        <f>IFERROR(VLOOKUP(February[[#This Row],[Drug Name9]],'Data Options'!$R$1:$S$100,2,FALSE), " ")</f>
        <v xml:space="preserve"> </v>
      </c>
      <c r="CI186" s="55"/>
      <c r="CJ186" s="32"/>
      <c r="CK186" s="32"/>
      <c r="CL186" s="55"/>
      <c r="CM186" s="32"/>
    </row>
    <row r="187" spans="1:91">
      <c r="A187" s="5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1"/>
      <c r="P187" s="31"/>
      <c r="Q187" s="54"/>
      <c r="R187" s="21" t="str">
        <f>IFERROR(VLOOKUP(February[[#This Row],[Drug Name]],'Data Options'!$R$1:$S$100,2,FALSE), " ")</f>
        <v xml:space="preserve"> </v>
      </c>
      <c r="S187" s="55"/>
      <c r="T187" s="32"/>
      <c r="U187" s="32"/>
      <c r="V187" s="55"/>
      <c r="W187" s="32"/>
      <c r="X187" s="54"/>
      <c r="Y187" s="21" t="str">
        <f>IFERROR(VLOOKUP(February[[#This Row],[Drug Name2]],'Data Options'!$R$1:$S$100,2,FALSE), " ")</f>
        <v xml:space="preserve"> </v>
      </c>
      <c r="Z187" s="55"/>
      <c r="AA187" s="32"/>
      <c r="AB187" s="32"/>
      <c r="AC187" s="55"/>
      <c r="AD187" s="32"/>
      <c r="AE187" s="54"/>
      <c r="AF187" s="21" t="str">
        <f>IFERROR(VLOOKUP(February[[#This Row],[Drug Name3]],'Data Options'!$R$1:$S$100,2,FALSE), " ")</f>
        <v xml:space="preserve"> </v>
      </c>
      <c r="AG187" s="55"/>
      <c r="AH187" s="32"/>
      <c r="AI187" s="32"/>
      <c r="AJ187" s="55"/>
      <c r="AK187" s="32"/>
      <c r="AL187" s="32"/>
      <c r="AM187" s="32"/>
      <c r="AN187" s="32"/>
      <c r="AO187" s="32"/>
      <c r="AP187" s="31"/>
      <c r="AQ187" s="31"/>
      <c r="AR187" s="54"/>
      <c r="AS187" s="21" t="str">
        <f>IFERROR(VLOOKUP(February[[#This Row],[Drug Name4]],'Data Options'!$R$1:$S$100,2,FALSE), " ")</f>
        <v xml:space="preserve"> </v>
      </c>
      <c r="AT187" s="55"/>
      <c r="AU187" s="32"/>
      <c r="AV187" s="32"/>
      <c r="AW187" s="55"/>
      <c r="AX187" s="32"/>
      <c r="AY187" s="54"/>
      <c r="AZ187" s="21" t="str">
        <f>IFERROR(VLOOKUP(February[[#This Row],[Drug Name5]],'Data Options'!$R$1:$S$100,2,FALSE), " ")</f>
        <v xml:space="preserve"> </v>
      </c>
      <c r="BA187" s="55"/>
      <c r="BB187" s="32"/>
      <c r="BC187" s="32"/>
      <c r="BD187" s="55"/>
      <c r="BE187" s="32"/>
      <c r="BF187" s="54"/>
      <c r="BG187" s="21" t="str">
        <f>IFERROR(VLOOKUP(February[[#This Row],[Drug Name6]],'Data Options'!$R$1:$S$100,2,FALSE), " ")</f>
        <v xml:space="preserve"> </v>
      </c>
      <c r="BH187" s="55"/>
      <c r="BI187" s="32"/>
      <c r="BJ187" s="32"/>
      <c r="BK187" s="55"/>
      <c r="BL187" s="32"/>
      <c r="BM187" s="32"/>
      <c r="BN187" s="32"/>
      <c r="BO187" s="32"/>
      <c r="BP187" s="32"/>
      <c r="BQ187" s="31"/>
      <c r="BR187" s="31"/>
      <c r="BS187" s="54"/>
      <c r="BT187" s="21" t="str">
        <f>IFERROR(VLOOKUP(February[[#This Row],[Drug Name7]],'Data Options'!$R$1:$S$100,2,FALSE), " ")</f>
        <v xml:space="preserve"> </v>
      </c>
      <c r="BU187" s="55"/>
      <c r="BV187" s="32"/>
      <c r="BW187" s="32"/>
      <c r="BX187" s="55"/>
      <c r="BY187" s="32"/>
      <c r="BZ187" s="54"/>
      <c r="CA187" s="21" t="str">
        <f>IFERROR(VLOOKUP(February[[#This Row],[Drug Name8]],'Data Options'!$R$1:$S$100,2,FALSE), " ")</f>
        <v xml:space="preserve"> </v>
      </c>
      <c r="CB187" s="55"/>
      <c r="CC187" s="32"/>
      <c r="CD187" s="32"/>
      <c r="CE187" s="55"/>
      <c r="CF187" s="32"/>
      <c r="CG187" s="54"/>
      <c r="CH187" s="21" t="str">
        <f>IFERROR(VLOOKUP(February[[#This Row],[Drug Name9]],'Data Options'!$R$1:$S$100,2,FALSE), " ")</f>
        <v xml:space="preserve"> </v>
      </c>
      <c r="CI187" s="55"/>
      <c r="CJ187" s="32"/>
      <c r="CK187" s="32"/>
      <c r="CL187" s="55"/>
      <c r="CM187" s="32"/>
    </row>
    <row r="188" spans="1:91">
      <c r="A188" s="5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1"/>
      <c r="P188" s="31"/>
      <c r="Q188" s="54"/>
      <c r="R188" s="21" t="str">
        <f>IFERROR(VLOOKUP(February[[#This Row],[Drug Name]],'Data Options'!$R$1:$S$100,2,FALSE), " ")</f>
        <v xml:space="preserve"> </v>
      </c>
      <c r="S188" s="55"/>
      <c r="T188" s="32"/>
      <c r="U188" s="32"/>
      <c r="V188" s="55"/>
      <c r="W188" s="32"/>
      <c r="X188" s="54"/>
      <c r="Y188" s="21" t="str">
        <f>IFERROR(VLOOKUP(February[[#This Row],[Drug Name2]],'Data Options'!$R$1:$S$100,2,FALSE), " ")</f>
        <v xml:space="preserve"> </v>
      </c>
      <c r="Z188" s="55"/>
      <c r="AA188" s="32"/>
      <c r="AB188" s="32"/>
      <c r="AC188" s="55"/>
      <c r="AD188" s="32"/>
      <c r="AE188" s="54"/>
      <c r="AF188" s="21" t="str">
        <f>IFERROR(VLOOKUP(February[[#This Row],[Drug Name3]],'Data Options'!$R$1:$S$100,2,FALSE), " ")</f>
        <v xml:space="preserve"> </v>
      </c>
      <c r="AG188" s="55"/>
      <c r="AH188" s="32"/>
      <c r="AI188" s="32"/>
      <c r="AJ188" s="55"/>
      <c r="AK188" s="32"/>
      <c r="AL188" s="32"/>
      <c r="AM188" s="32"/>
      <c r="AN188" s="32"/>
      <c r="AO188" s="32"/>
      <c r="AP188" s="31"/>
      <c r="AQ188" s="31"/>
      <c r="AR188" s="54"/>
      <c r="AS188" s="21" t="str">
        <f>IFERROR(VLOOKUP(February[[#This Row],[Drug Name4]],'Data Options'!$R$1:$S$100,2,FALSE), " ")</f>
        <v xml:space="preserve"> </v>
      </c>
      <c r="AT188" s="55"/>
      <c r="AU188" s="32"/>
      <c r="AV188" s="32"/>
      <c r="AW188" s="55"/>
      <c r="AX188" s="32"/>
      <c r="AY188" s="54"/>
      <c r="AZ188" s="21" t="str">
        <f>IFERROR(VLOOKUP(February[[#This Row],[Drug Name5]],'Data Options'!$R$1:$S$100,2,FALSE), " ")</f>
        <v xml:space="preserve"> </v>
      </c>
      <c r="BA188" s="55"/>
      <c r="BB188" s="32"/>
      <c r="BC188" s="32"/>
      <c r="BD188" s="55"/>
      <c r="BE188" s="32"/>
      <c r="BF188" s="54"/>
      <c r="BG188" s="21" t="str">
        <f>IFERROR(VLOOKUP(February[[#This Row],[Drug Name6]],'Data Options'!$R$1:$S$100,2,FALSE), " ")</f>
        <v xml:space="preserve"> </v>
      </c>
      <c r="BH188" s="55"/>
      <c r="BI188" s="32"/>
      <c r="BJ188" s="32"/>
      <c r="BK188" s="55"/>
      <c r="BL188" s="32"/>
      <c r="BM188" s="32"/>
      <c r="BN188" s="32"/>
      <c r="BO188" s="32"/>
      <c r="BP188" s="32"/>
      <c r="BQ188" s="31"/>
      <c r="BR188" s="31"/>
      <c r="BS188" s="54"/>
      <c r="BT188" s="21" t="str">
        <f>IFERROR(VLOOKUP(February[[#This Row],[Drug Name7]],'Data Options'!$R$1:$S$100,2,FALSE), " ")</f>
        <v xml:space="preserve"> </v>
      </c>
      <c r="BU188" s="55"/>
      <c r="BV188" s="32"/>
      <c r="BW188" s="32"/>
      <c r="BX188" s="55"/>
      <c r="BY188" s="32"/>
      <c r="BZ188" s="54"/>
      <c r="CA188" s="21" t="str">
        <f>IFERROR(VLOOKUP(February[[#This Row],[Drug Name8]],'Data Options'!$R$1:$S$100,2,FALSE), " ")</f>
        <v xml:space="preserve"> </v>
      </c>
      <c r="CB188" s="55"/>
      <c r="CC188" s="32"/>
      <c r="CD188" s="32"/>
      <c r="CE188" s="55"/>
      <c r="CF188" s="32"/>
      <c r="CG188" s="54"/>
      <c r="CH188" s="21" t="str">
        <f>IFERROR(VLOOKUP(February[[#This Row],[Drug Name9]],'Data Options'!$R$1:$S$100,2,FALSE), " ")</f>
        <v xml:space="preserve"> </v>
      </c>
      <c r="CI188" s="55"/>
      <c r="CJ188" s="32"/>
      <c r="CK188" s="32"/>
      <c r="CL188" s="55"/>
      <c r="CM188" s="32"/>
    </row>
    <row r="189" spans="1:91">
      <c r="A189" s="5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/>
      <c r="P189" s="31"/>
      <c r="Q189" s="54"/>
      <c r="R189" s="21" t="str">
        <f>IFERROR(VLOOKUP(February[[#This Row],[Drug Name]],'Data Options'!$R$1:$S$100,2,FALSE), " ")</f>
        <v xml:space="preserve"> </v>
      </c>
      <c r="S189" s="55"/>
      <c r="T189" s="32"/>
      <c r="U189" s="32"/>
      <c r="V189" s="55"/>
      <c r="W189" s="32"/>
      <c r="X189" s="54"/>
      <c r="Y189" s="21" t="str">
        <f>IFERROR(VLOOKUP(February[[#This Row],[Drug Name2]],'Data Options'!$R$1:$S$100,2,FALSE), " ")</f>
        <v xml:space="preserve"> </v>
      </c>
      <c r="Z189" s="55"/>
      <c r="AA189" s="32"/>
      <c r="AB189" s="32"/>
      <c r="AC189" s="55"/>
      <c r="AD189" s="32"/>
      <c r="AE189" s="54"/>
      <c r="AF189" s="21" t="str">
        <f>IFERROR(VLOOKUP(February[[#This Row],[Drug Name3]],'Data Options'!$R$1:$S$100,2,FALSE), " ")</f>
        <v xml:space="preserve"> </v>
      </c>
      <c r="AG189" s="55"/>
      <c r="AH189" s="32"/>
      <c r="AI189" s="32"/>
      <c r="AJ189" s="55"/>
      <c r="AK189" s="32"/>
      <c r="AL189" s="32"/>
      <c r="AM189" s="32"/>
      <c r="AN189" s="32"/>
      <c r="AO189" s="32"/>
      <c r="AP189" s="31"/>
      <c r="AQ189" s="31"/>
      <c r="AR189" s="54"/>
      <c r="AS189" s="21" t="str">
        <f>IFERROR(VLOOKUP(February[[#This Row],[Drug Name4]],'Data Options'!$R$1:$S$100,2,FALSE), " ")</f>
        <v xml:space="preserve"> </v>
      </c>
      <c r="AT189" s="55"/>
      <c r="AU189" s="32"/>
      <c r="AV189" s="32"/>
      <c r="AW189" s="55"/>
      <c r="AX189" s="32"/>
      <c r="AY189" s="54"/>
      <c r="AZ189" s="21" t="str">
        <f>IFERROR(VLOOKUP(February[[#This Row],[Drug Name5]],'Data Options'!$R$1:$S$100,2,FALSE), " ")</f>
        <v xml:space="preserve"> </v>
      </c>
      <c r="BA189" s="55"/>
      <c r="BB189" s="32"/>
      <c r="BC189" s="32"/>
      <c r="BD189" s="55"/>
      <c r="BE189" s="32"/>
      <c r="BF189" s="54"/>
      <c r="BG189" s="21" t="str">
        <f>IFERROR(VLOOKUP(February[[#This Row],[Drug Name6]],'Data Options'!$R$1:$S$100,2,FALSE), " ")</f>
        <v xml:space="preserve"> </v>
      </c>
      <c r="BH189" s="55"/>
      <c r="BI189" s="32"/>
      <c r="BJ189" s="32"/>
      <c r="BK189" s="55"/>
      <c r="BL189" s="32"/>
      <c r="BM189" s="32"/>
      <c r="BN189" s="32"/>
      <c r="BO189" s="32"/>
      <c r="BP189" s="32"/>
      <c r="BQ189" s="31"/>
      <c r="BR189" s="31"/>
      <c r="BS189" s="54"/>
      <c r="BT189" s="21" t="str">
        <f>IFERROR(VLOOKUP(February[[#This Row],[Drug Name7]],'Data Options'!$R$1:$S$100,2,FALSE), " ")</f>
        <v xml:space="preserve"> </v>
      </c>
      <c r="BU189" s="55"/>
      <c r="BV189" s="32"/>
      <c r="BW189" s="32"/>
      <c r="BX189" s="55"/>
      <c r="BY189" s="32"/>
      <c r="BZ189" s="54"/>
      <c r="CA189" s="21" t="str">
        <f>IFERROR(VLOOKUP(February[[#This Row],[Drug Name8]],'Data Options'!$R$1:$S$100,2,FALSE), " ")</f>
        <v xml:space="preserve"> </v>
      </c>
      <c r="CB189" s="55"/>
      <c r="CC189" s="32"/>
      <c r="CD189" s="32"/>
      <c r="CE189" s="55"/>
      <c r="CF189" s="32"/>
      <c r="CG189" s="54"/>
      <c r="CH189" s="21" t="str">
        <f>IFERROR(VLOOKUP(February[[#This Row],[Drug Name9]],'Data Options'!$R$1:$S$100,2,FALSE), " ")</f>
        <v xml:space="preserve"> </v>
      </c>
      <c r="CI189" s="55"/>
      <c r="CJ189" s="32"/>
      <c r="CK189" s="32"/>
      <c r="CL189" s="55"/>
      <c r="CM189" s="32"/>
    </row>
    <row r="190" spans="1:91">
      <c r="A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54"/>
      <c r="R190" s="21" t="str">
        <f>IFERROR(VLOOKUP(February[[#This Row],[Drug Name]],'Data Options'!$R$1:$S$100,2,FALSE), " ")</f>
        <v xml:space="preserve"> </v>
      </c>
      <c r="S190" s="55"/>
      <c r="T190" s="32"/>
      <c r="U190" s="32"/>
      <c r="V190" s="55"/>
      <c r="W190" s="32"/>
      <c r="X190" s="54"/>
      <c r="Y190" s="21" t="str">
        <f>IFERROR(VLOOKUP(February[[#This Row],[Drug Name2]],'Data Options'!$R$1:$S$100,2,FALSE), " ")</f>
        <v xml:space="preserve"> </v>
      </c>
      <c r="Z190" s="55"/>
      <c r="AA190" s="32"/>
      <c r="AB190" s="32"/>
      <c r="AC190" s="55"/>
      <c r="AD190" s="32"/>
      <c r="AE190" s="54"/>
      <c r="AF190" s="21" t="str">
        <f>IFERROR(VLOOKUP(February[[#This Row],[Drug Name3]],'Data Options'!$R$1:$S$100,2,FALSE), " ")</f>
        <v xml:space="preserve"> </v>
      </c>
      <c r="AG190" s="55"/>
      <c r="AH190" s="32"/>
      <c r="AI190" s="32"/>
      <c r="AJ190" s="55"/>
      <c r="AK190" s="32"/>
      <c r="AL190" s="32"/>
      <c r="AM190" s="32"/>
      <c r="AN190" s="32"/>
      <c r="AO190" s="32"/>
      <c r="AP190" s="31"/>
      <c r="AQ190" s="31"/>
      <c r="AR190" s="54"/>
      <c r="AS190" s="21" t="str">
        <f>IFERROR(VLOOKUP(February[[#This Row],[Drug Name4]],'Data Options'!$R$1:$S$100,2,FALSE), " ")</f>
        <v xml:space="preserve"> </v>
      </c>
      <c r="AT190" s="55"/>
      <c r="AU190" s="32"/>
      <c r="AV190" s="32"/>
      <c r="AW190" s="55"/>
      <c r="AX190" s="32"/>
      <c r="AY190" s="54"/>
      <c r="AZ190" s="21" t="str">
        <f>IFERROR(VLOOKUP(February[[#This Row],[Drug Name5]],'Data Options'!$R$1:$S$100,2,FALSE), " ")</f>
        <v xml:space="preserve"> </v>
      </c>
      <c r="BA190" s="55"/>
      <c r="BB190" s="32"/>
      <c r="BC190" s="32"/>
      <c r="BD190" s="55"/>
      <c r="BE190" s="32"/>
      <c r="BF190" s="54"/>
      <c r="BG190" s="21" t="str">
        <f>IFERROR(VLOOKUP(February[[#This Row],[Drug Name6]],'Data Options'!$R$1:$S$100,2,FALSE), " ")</f>
        <v xml:space="preserve"> </v>
      </c>
      <c r="BH190" s="55"/>
      <c r="BI190" s="32"/>
      <c r="BJ190" s="32"/>
      <c r="BK190" s="55"/>
      <c r="BL190" s="32"/>
      <c r="BM190" s="32"/>
      <c r="BN190" s="32"/>
      <c r="BO190" s="32"/>
      <c r="BP190" s="32"/>
      <c r="BQ190" s="31"/>
      <c r="BR190" s="31"/>
      <c r="BS190" s="54"/>
      <c r="BT190" s="21" t="str">
        <f>IFERROR(VLOOKUP(February[[#This Row],[Drug Name7]],'Data Options'!$R$1:$S$100,2,FALSE), " ")</f>
        <v xml:space="preserve"> </v>
      </c>
      <c r="BU190" s="55"/>
      <c r="BV190" s="32"/>
      <c r="BW190" s="32"/>
      <c r="BX190" s="55"/>
      <c r="BY190" s="32"/>
      <c r="BZ190" s="54"/>
      <c r="CA190" s="21" t="str">
        <f>IFERROR(VLOOKUP(February[[#This Row],[Drug Name8]],'Data Options'!$R$1:$S$100,2,FALSE), " ")</f>
        <v xml:space="preserve"> </v>
      </c>
      <c r="CB190" s="55"/>
      <c r="CC190" s="32"/>
      <c r="CD190" s="32"/>
      <c r="CE190" s="55"/>
      <c r="CF190" s="32"/>
      <c r="CG190" s="54"/>
      <c r="CH190" s="21" t="str">
        <f>IFERROR(VLOOKUP(February[[#This Row],[Drug Name9]],'Data Options'!$R$1:$S$100,2,FALSE), " ")</f>
        <v xml:space="preserve"> </v>
      </c>
      <c r="CI190" s="55"/>
      <c r="CJ190" s="32"/>
      <c r="CK190" s="32"/>
      <c r="CL190" s="55"/>
      <c r="CM190" s="32"/>
    </row>
    <row r="191" spans="1:91">
      <c r="A191" s="5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1"/>
      <c r="P191" s="31"/>
      <c r="Q191" s="54"/>
      <c r="R191" s="21" t="str">
        <f>IFERROR(VLOOKUP(February[[#This Row],[Drug Name]],'Data Options'!$R$1:$S$100,2,FALSE), " ")</f>
        <v xml:space="preserve"> </v>
      </c>
      <c r="S191" s="55"/>
      <c r="T191" s="32"/>
      <c r="U191" s="32"/>
      <c r="V191" s="55"/>
      <c r="W191" s="32"/>
      <c r="X191" s="54"/>
      <c r="Y191" s="21" t="str">
        <f>IFERROR(VLOOKUP(February[[#This Row],[Drug Name2]],'Data Options'!$R$1:$S$100,2,FALSE), " ")</f>
        <v xml:space="preserve"> </v>
      </c>
      <c r="Z191" s="55"/>
      <c r="AA191" s="32"/>
      <c r="AB191" s="32"/>
      <c r="AC191" s="55"/>
      <c r="AD191" s="32"/>
      <c r="AE191" s="54"/>
      <c r="AF191" s="21" t="str">
        <f>IFERROR(VLOOKUP(February[[#This Row],[Drug Name3]],'Data Options'!$R$1:$S$100,2,FALSE), " ")</f>
        <v xml:space="preserve"> </v>
      </c>
      <c r="AG191" s="55"/>
      <c r="AH191" s="32"/>
      <c r="AI191" s="32"/>
      <c r="AJ191" s="55"/>
      <c r="AK191" s="32"/>
      <c r="AL191" s="32"/>
      <c r="AM191" s="32"/>
      <c r="AN191" s="32"/>
      <c r="AO191" s="32"/>
      <c r="AP191" s="31"/>
      <c r="AQ191" s="31"/>
      <c r="AR191" s="54"/>
      <c r="AS191" s="21" t="str">
        <f>IFERROR(VLOOKUP(February[[#This Row],[Drug Name4]],'Data Options'!$R$1:$S$100,2,FALSE), " ")</f>
        <v xml:space="preserve"> </v>
      </c>
      <c r="AT191" s="55"/>
      <c r="AU191" s="32"/>
      <c r="AV191" s="32"/>
      <c r="AW191" s="55"/>
      <c r="AX191" s="32"/>
      <c r="AY191" s="54"/>
      <c r="AZ191" s="21" t="str">
        <f>IFERROR(VLOOKUP(February[[#This Row],[Drug Name5]],'Data Options'!$R$1:$S$100,2,FALSE), " ")</f>
        <v xml:space="preserve"> </v>
      </c>
      <c r="BA191" s="55"/>
      <c r="BB191" s="32"/>
      <c r="BC191" s="32"/>
      <c r="BD191" s="55"/>
      <c r="BE191" s="32"/>
      <c r="BF191" s="54"/>
      <c r="BG191" s="21" t="str">
        <f>IFERROR(VLOOKUP(February[[#This Row],[Drug Name6]],'Data Options'!$R$1:$S$100,2,FALSE), " ")</f>
        <v xml:space="preserve"> </v>
      </c>
      <c r="BH191" s="55"/>
      <c r="BI191" s="32"/>
      <c r="BJ191" s="32"/>
      <c r="BK191" s="55"/>
      <c r="BL191" s="32"/>
      <c r="BM191" s="32"/>
      <c r="BN191" s="32"/>
      <c r="BO191" s="32"/>
      <c r="BP191" s="32"/>
      <c r="BQ191" s="31"/>
      <c r="BR191" s="31"/>
      <c r="BS191" s="54"/>
      <c r="BT191" s="21" t="str">
        <f>IFERROR(VLOOKUP(February[[#This Row],[Drug Name7]],'Data Options'!$R$1:$S$100,2,FALSE), " ")</f>
        <v xml:space="preserve"> </v>
      </c>
      <c r="BU191" s="55"/>
      <c r="BV191" s="32"/>
      <c r="BW191" s="32"/>
      <c r="BX191" s="55"/>
      <c r="BY191" s="32"/>
      <c r="BZ191" s="54"/>
      <c r="CA191" s="21" t="str">
        <f>IFERROR(VLOOKUP(February[[#This Row],[Drug Name8]],'Data Options'!$R$1:$S$100,2,FALSE), " ")</f>
        <v xml:space="preserve"> </v>
      </c>
      <c r="CB191" s="55"/>
      <c r="CC191" s="32"/>
      <c r="CD191" s="32"/>
      <c r="CE191" s="55"/>
      <c r="CF191" s="32"/>
      <c r="CG191" s="54"/>
      <c r="CH191" s="21" t="str">
        <f>IFERROR(VLOOKUP(February[[#This Row],[Drug Name9]],'Data Options'!$R$1:$S$100,2,FALSE), " ")</f>
        <v xml:space="preserve"> </v>
      </c>
      <c r="CI191" s="55"/>
      <c r="CJ191" s="32"/>
      <c r="CK191" s="32"/>
      <c r="CL191" s="55"/>
      <c r="CM191" s="32"/>
    </row>
    <row r="192" spans="1:91">
      <c r="A192" s="5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1"/>
      <c r="P192" s="31"/>
      <c r="Q192" s="54"/>
      <c r="R192" s="21" t="str">
        <f>IFERROR(VLOOKUP(February[[#This Row],[Drug Name]],'Data Options'!$R$1:$S$100,2,FALSE), " ")</f>
        <v xml:space="preserve"> </v>
      </c>
      <c r="S192" s="55"/>
      <c r="T192" s="32"/>
      <c r="U192" s="32"/>
      <c r="V192" s="55"/>
      <c r="W192" s="32"/>
      <c r="X192" s="54"/>
      <c r="Y192" s="21" t="str">
        <f>IFERROR(VLOOKUP(February[[#This Row],[Drug Name2]],'Data Options'!$R$1:$S$100,2,FALSE), " ")</f>
        <v xml:space="preserve"> </v>
      </c>
      <c r="Z192" s="55"/>
      <c r="AA192" s="32"/>
      <c r="AB192" s="32"/>
      <c r="AC192" s="55"/>
      <c r="AD192" s="32"/>
      <c r="AE192" s="54"/>
      <c r="AF192" s="21" t="str">
        <f>IFERROR(VLOOKUP(February[[#This Row],[Drug Name3]],'Data Options'!$R$1:$S$100,2,FALSE), " ")</f>
        <v xml:space="preserve"> </v>
      </c>
      <c r="AG192" s="55"/>
      <c r="AH192" s="32"/>
      <c r="AI192" s="32"/>
      <c r="AJ192" s="55"/>
      <c r="AK192" s="32"/>
      <c r="AL192" s="32"/>
      <c r="AM192" s="32"/>
      <c r="AN192" s="32"/>
      <c r="AO192" s="32"/>
      <c r="AP192" s="31"/>
      <c r="AQ192" s="31"/>
      <c r="AR192" s="54"/>
      <c r="AS192" s="21" t="str">
        <f>IFERROR(VLOOKUP(February[[#This Row],[Drug Name4]],'Data Options'!$R$1:$S$100,2,FALSE), " ")</f>
        <v xml:space="preserve"> </v>
      </c>
      <c r="AT192" s="55"/>
      <c r="AU192" s="32"/>
      <c r="AV192" s="32"/>
      <c r="AW192" s="55"/>
      <c r="AX192" s="32"/>
      <c r="AY192" s="54"/>
      <c r="AZ192" s="21" t="str">
        <f>IFERROR(VLOOKUP(February[[#This Row],[Drug Name5]],'Data Options'!$R$1:$S$100,2,FALSE), " ")</f>
        <v xml:space="preserve"> </v>
      </c>
      <c r="BA192" s="55"/>
      <c r="BB192" s="32"/>
      <c r="BC192" s="32"/>
      <c r="BD192" s="55"/>
      <c r="BE192" s="32"/>
      <c r="BF192" s="54"/>
      <c r="BG192" s="21" t="str">
        <f>IFERROR(VLOOKUP(February[[#This Row],[Drug Name6]],'Data Options'!$R$1:$S$100,2,FALSE), " ")</f>
        <v xml:space="preserve"> </v>
      </c>
      <c r="BH192" s="55"/>
      <c r="BI192" s="32"/>
      <c r="BJ192" s="32"/>
      <c r="BK192" s="55"/>
      <c r="BL192" s="32"/>
      <c r="BM192" s="32"/>
      <c r="BN192" s="32"/>
      <c r="BO192" s="32"/>
      <c r="BP192" s="32"/>
      <c r="BQ192" s="31"/>
      <c r="BR192" s="31"/>
      <c r="BS192" s="54"/>
      <c r="BT192" s="21" t="str">
        <f>IFERROR(VLOOKUP(February[[#This Row],[Drug Name7]],'Data Options'!$R$1:$S$100,2,FALSE), " ")</f>
        <v xml:space="preserve"> </v>
      </c>
      <c r="BU192" s="55"/>
      <c r="BV192" s="32"/>
      <c r="BW192" s="32"/>
      <c r="BX192" s="55"/>
      <c r="BY192" s="32"/>
      <c r="BZ192" s="54"/>
      <c r="CA192" s="21" t="str">
        <f>IFERROR(VLOOKUP(February[[#This Row],[Drug Name8]],'Data Options'!$R$1:$S$100,2,FALSE), " ")</f>
        <v xml:space="preserve"> </v>
      </c>
      <c r="CB192" s="55"/>
      <c r="CC192" s="32"/>
      <c r="CD192" s="32"/>
      <c r="CE192" s="55"/>
      <c r="CF192" s="32"/>
      <c r="CG192" s="54"/>
      <c r="CH192" s="21" t="str">
        <f>IFERROR(VLOOKUP(February[[#This Row],[Drug Name9]],'Data Options'!$R$1:$S$100,2,FALSE), " ")</f>
        <v xml:space="preserve"> </v>
      </c>
      <c r="CI192" s="55"/>
      <c r="CJ192" s="32"/>
      <c r="CK192" s="32"/>
      <c r="CL192" s="55"/>
      <c r="CM192" s="32"/>
    </row>
    <row r="193" spans="1:91">
      <c r="A193" s="5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1"/>
      <c r="P193" s="31"/>
      <c r="Q193" s="54"/>
      <c r="R193" s="21" t="str">
        <f>IFERROR(VLOOKUP(February[[#This Row],[Drug Name]],'Data Options'!$R$1:$S$100,2,FALSE), " ")</f>
        <v xml:space="preserve"> </v>
      </c>
      <c r="S193" s="55"/>
      <c r="T193" s="32"/>
      <c r="U193" s="32"/>
      <c r="V193" s="55"/>
      <c r="W193" s="32"/>
      <c r="X193" s="54"/>
      <c r="Y193" s="21" t="str">
        <f>IFERROR(VLOOKUP(February[[#This Row],[Drug Name2]],'Data Options'!$R$1:$S$100,2,FALSE), " ")</f>
        <v xml:space="preserve"> </v>
      </c>
      <c r="Z193" s="55"/>
      <c r="AA193" s="32"/>
      <c r="AB193" s="32"/>
      <c r="AC193" s="55"/>
      <c r="AD193" s="32"/>
      <c r="AE193" s="54"/>
      <c r="AF193" s="21" t="str">
        <f>IFERROR(VLOOKUP(February[[#This Row],[Drug Name3]],'Data Options'!$R$1:$S$100,2,FALSE), " ")</f>
        <v xml:space="preserve"> </v>
      </c>
      <c r="AG193" s="55"/>
      <c r="AH193" s="32"/>
      <c r="AI193" s="32"/>
      <c r="AJ193" s="55"/>
      <c r="AK193" s="32"/>
      <c r="AL193" s="32"/>
      <c r="AM193" s="32"/>
      <c r="AN193" s="32"/>
      <c r="AO193" s="32"/>
      <c r="AP193" s="31"/>
      <c r="AQ193" s="31"/>
      <c r="AR193" s="54"/>
      <c r="AS193" s="21" t="str">
        <f>IFERROR(VLOOKUP(February[[#This Row],[Drug Name4]],'Data Options'!$R$1:$S$100,2,FALSE), " ")</f>
        <v xml:space="preserve"> </v>
      </c>
      <c r="AT193" s="55"/>
      <c r="AU193" s="32"/>
      <c r="AV193" s="32"/>
      <c r="AW193" s="55"/>
      <c r="AX193" s="32"/>
      <c r="AY193" s="54"/>
      <c r="AZ193" s="21" t="str">
        <f>IFERROR(VLOOKUP(February[[#This Row],[Drug Name5]],'Data Options'!$R$1:$S$100,2,FALSE), " ")</f>
        <v xml:space="preserve"> </v>
      </c>
      <c r="BA193" s="55"/>
      <c r="BB193" s="32"/>
      <c r="BC193" s="32"/>
      <c r="BD193" s="55"/>
      <c r="BE193" s="32"/>
      <c r="BF193" s="54"/>
      <c r="BG193" s="21" t="str">
        <f>IFERROR(VLOOKUP(February[[#This Row],[Drug Name6]],'Data Options'!$R$1:$S$100,2,FALSE), " ")</f>
        <v xml:space="preserve"> </v>
      </c>
      <c r="BH193" s="55"/>
      <c r="BI193" s="32"/>
      <c r="BJ193" s="32"/>
      <c r="BK193" s="55"/>
      <c r="BL193" s="32"/>
      <c r="BM193" s="32"/>
      <c r="BN193" s="32"/>
      <c r="BO193" s="32"/>
      <c r="BP193" s="32"/>
      <c r="BQ193" s="31"/>
      <c r="BR193" s="31"/>
      <c r="BS193" s="54"/>
      <c r="BT193" s="21" t="str">
        <f>IFERROR(VLOOKUP(February[[#This Row],[Drug Name7]],'Data Options'!$R$1:$S$100,2,FALSE), " ")</f>
        <v xml:space="preserve"> </v>
      </c>
      <c r="BU193" s="55"/>
      <c r="BV193" s="32"/>
      <c r="BW193" s="32"/>
      <c r="BX193" s="55"/>
      <c r="BY193" s="32"/>
      <c r="BZ193" s="54"/>
      <c r="CA193" s="21" t="str">
        <f>IFERROR(VLOOKUP(February[[#This Row],[Drug Name8]],'Data Options'!$R$1:$S$100,2,FALSE), " ")</f>
        <v xml:space="preserve"> </v>
      </c>
      <c r="CB193" s="55"/>
      <c r="CC193" s="32"/>
      <c r="CD193" s="32"/>
      <c r="CE193" s="55"/>
      <c r="CF193" s="32"/>
      <c r="CG193" s="54"/>
      <c r="CH193" s="21" t="str">
        <f>IFERROR(VLOOKUP(February[[#This Row],[Drug Name9]],'Data Options'!$R$1:$S$100,2,FALSE), " ")</f>
        <v xml:space="preserve"> </v>
      </c>
      <c r="CI193" s="55"/>
      <c r="CJ193" s="32"/>
      <c r="CK193" s="32"/>
      <c r="CL193" s="55"/>
      <c r="CM193" s="32"/>
    </row>
    <row r="194" spans="1:91">
      <c r="A194" s="5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1"/>
      <c r="P194" s="31"/>
      <c r="Q194" s="54"/>
      <c r="R194" s="21" t="str">
        <f>IFERROR(VLOOKUP(February[[#This Row],[Drug Name]],'Data Options'!$R$1:$S$100,2,FALSE), " ")</f>
        <v xml:space="preserve"> </v>
      </c>
      <c r="S194" s="55"/>
      <c r="T194" s="32"/>
      <c r="U194" s="32"/>
      <c r="V194" s="55"/>
      <c r="W194" s="32"/>
      <c r="X194" s="54"/>
      <c r="Y194" s="21" t="str">
        <f>IFERROR(VLOOKUP(February[[#This Row],[Drug Name2]],'Data Options'!$R$1:$S$100,2,FALSE), " ")</f>
        <v xml:space="preserve"> </v>
      </c>
      <c r="Z194" s="55"/>
      <c r="AA194" s="32"/>
      <c r="AB194" s="32"/>
      <c r="AC194" s="55"/>
      <c r="AD194" s="32"/>
      <c r="AE194" s="54"/>
      <c r="AF194" s="21" t="str">
        <f>IFERROR(VLOOKUP(February[[#This Row],[Drug Name3]],'Data Options'!$R$1:$S$100,2,FALSE), " ")</f>
        <v xml:space="preserve"> </v>
      </c>
      <c r="AG194" s="55"/>
      <c r="AH194" s="32"/>
      <c r="AI194" s="32"/>
      <c r="AJ194" s="55"/>
      <c r="AK194" s="32"/>
      <c r="AL194" s="32"/>
      <c r="AM194" s="32"/>
      <c r="AN194" s="32"/>
      <c r="AO194" s="32"/>
      <c r="AP194" s="31"/>
      <c r="AQ194" s="31"/>
      <c r="AR194" s="54"/>
      <c r="AS194" s="21" t="str">
        <f>IFERROR(VLOOKUP(February[[#This Row],[Drug Name4]],'Data Options'!$R$1:$S$100,2,FALSE), " ")</f>
        <v xml:space="preserve"> </v>
      </c>
      <c r="AT194" s="55"/>
      <c r="AU194" s="32"/>
      <c r="AV194" s="32"/>
      <c r="AW194" s="55"/>
      <c r="AX194" s="32"/>
      <c r="AY194" s="54"/>
      <c r="AZ194" s="21" t="str">
        <f>IFERROR(VLOOKUP(February[[#This Row],[Drug Name5]],'Data Options'!$R$1:$S$100,2,FALSE), " ")</f>
        <v xml:space="preserve"> </v>
      </c>
      <c r="BA194" s="55"/>
      <c r="BB194" s="32"/>
      <c r="BC194" s="32"/>
      <c r="BD194" s="55"/>
      <c r="BE194" s="32"/>
      <c r="BF194" s="54"/>
      <c r="BG194" s="21" t="str">
        <f>IFERROR(VLOOKUP(February[[#This Row],[Drug Name6]],'Data Options'!$R$1:$S$100,2,FALSE), " ")</f>
        <v xml:space="preserve"> </v>
      </c>
      <c r="BH194" s="55"/>
      <c r="BI194" s="32"/>
      <c r="BJ194" s="32"/>
      <c r="BK194" s="55"/>
      <c r="BL194" s="32"/>
      <c r="BM194" s="32"/>
      <c r="BN194" s="32"/>
      <c r="BO194" s="32"/>
      <c r="BP194" s="32"/>
      <c r="BQ194" s="31"/>
      <c r="BR194" s="31"/>
      <c r="BS194" s="54"/>
      <c r="BT194" s="21" t="str">
        <f>IFERROR(VLOOKUP(February[[#This Row],[Drug Name7]],'Data Options'!$R$1:$S$100,2,FALSE), " ")</f>
        <v xml:space="preserve"> </v>
      </c>
      <c r="BU194" s="55"/>
      <c r="BV194" s="32"/>
      <c r="BW194" s="32"/>
      <c r="BX194" s="55"/>
      <c r="BY194" s="32"/>
      <c r="BZ194" s="54"/>
      <c r="CA194" s="21" t="str">
        <f>IFERROR(VLOOKUP(February[[#This Row],[Drug Name8]],'Data Options'!$R$1:$S$100,2,FALSE), " ")</f>
        <v xml:space="preserve"> </v>
      </c>
      <c r="CB194" s="55"/>
      <c r="CC194" s="32"/>
      <c r="CD194" s="32"/>
      <c r="CE194" s="55"/>
      <c r="CF194" s="32"/>
      <c r="CG194" s="54"/>
      <c r="CH194" s="21" t="str">
        <f>IFERROR(VLOOKUP(February[[#This Row],[Drug Name9]],'Data Options'!$R$1:$S$100,2,FALSE), " ")</f>
        <v xml:space="preserve"> </v>
      </c>
      <c r="CI194" s="55"/>
      <c r="CJ194" s="32"/>
      <c r="CK194" s="32"/>
      <c r="CL194" s="55"/>
      <c r="CM194" s="32"/>
    </row>
    <row r="195" spans="1:91">
      <c r="A195" s="5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1"/>
      <c r="P195" s="31"/>
      <c r="Q195" s="54"/>
      <c r="R195" s="21" t="str">
        <f>IFERROR(VLOOKUP(February[[#This Row],[Drug Name]],'Data Options'!$R$1:$S$100,2,FALSE), " ")</f>
        <v xml:space="preserve"> </v>
      </c>
      <c r="S195" s="55"/>
      <c r="T195" s="32"/>
      <c r="U195" s="32"/>
      <c r="V195" s="55"/>
      <c r="W195" s="32"/>
      <c r="X195" s="54"/>
      <c r="Y195" s="21" t="str">
        <f>IFERROR(VLOOKUP(February[[#This Row],[Drug Name2]],'Data Options'!$R$1:$S$100,2,FALSE), " ")</f>
        <v xml:space="preserve"> </v>
      </c>
      <c r="Z195" s="55"/>
      <c r="AA195" s="32"/>
      <c r="AB195" s="32"/>
      <c r="AC195" s="55"/>
      <c r="AD195" s="32"/>
      <c r="AE195" s="54"/>
      <c r="AF195" s="21" t="str">
        <f>IFERROR(VLOOKUP(February[[#This Row],[Drug Name3]],'Data Options'!$R$1:$S$100,2,FALSE), " ")</f>
        <v xml:space="preserve"> </v>
      </c>
      <c r="AG195" s="55"/>
      <c r="AH195" s="32"/>
      <c r="AI195" s="32"/>
      <c r="AJ195" s="55"/>
      <c r="AK195" s="32"/>
      <c r="AL195" s="32"/>
      <c r="AM195" s="32"/>
      <c r="AN195" s="32"/>
      <c r="AO195" s="32"/>
      <c r="AP195" s="31"/>
      <c r="AQ195" s="31"/>
      <c r="AR195" s="54"/>
      <c r="AS195" s="21" t="str">
        <f>IFERROR(VLOOKUP(February[[#This Row],[Drug Name4]],'Data Options'!$R$1:$S$100,2,FALSE), " ")</f>
        <v xml:space="preserve"> </v>
      </c>
      <c r="AT195" s="55"/>
      <c r="AU195" s="32"/>
      <c r="AV195" s="32"/>
      <c r="AW195" s="55"/>
      <c r="AX195" s="32"/>
      <c r="AY195" s="54"/>
      <c r="AZ195" s="21" t="str">
        <f>IFERROR(VLOOKUP(February[[#This Row],[Drug Name5]],'Data Options'!$R$1:$S$100,2,FALSE), " ")</f>
        <v xml:space="preserve"> </v>
      </c>
      <c r="BA195" s="55"/>
      <c r="BB195" s="32"/>
      <c r="BC195" s="32"/>
      <c r="BD195" s="55"/>
      <c r="BE195" s="32"/>
      <c r="BF195" s="54"/>
      <c r="BG195" s="21" t="str">
        <f>IFERROR(VLOOKUP(February[[#This Row],[Drug Name6]],'Data Options'!$R$1:$S$100,2,FALSE), " ")</f>
        <v xml:space="preserve"> </v>
      </c>
      <c r="BH195" s="55"/>
      <c r="BI195" s="32"/>
      <c r="BJ195" s="32"/>
      <c r="BK195" s="55"/>
      <c r="BL195" s="32"/>
      <c r="BM195" s="32"/>
      <c r="BN195" s="32"/>
      <c r="BO195" s="32"/>
      <c r="BP195" s="32"/>
      <c r="BQ195" s="31"/>
      <c r="BR195" s="31"/>
      <c r="BS195" s="54"/>
      <c r="BT195" s="21" t="str">
        <f>IFERROR(VLOOKUP(February[[#This Row],[Drug Name7]],'Data Options'!$R$1:$S$100,2,FALSE), " ")</f>
        <v xml:space="preserve"> </v>
      </c>
      <c r="BU195" s="55"/>
      <c r="BV195" s="32"/>
      <c r="BW195" s="32"/>
      <c r="BX195" s="55"/>
      <c r="BY195" s="32"/>
      <c r="BZ195" s="54"/>
      <c r="CA195" s="21" t="str">
        <f>IFERROR(VLOOKUP(February[[#This Row],[Drug Name8]],'Data Options'!$R$1:$S$100,2,FALSE), " ")</f>
        <v xml:space="preserve"> </v>
      </c>
      <c r="CB195" s="55"/>
      <c r="CC195" s="32"/>
      <c r="CD195" s="32"/>
      <c r="CE195" s="55"/>
      <c r="CF195" s="32"/>
      <c r="CG195" s="54"/>
      <c r="CH195" s="21" t="str">
        <f>IFERROR(VLOOKUP(February[[#This Row],[Drug Name9]],'Data Options'!$R$1:$S$100,2,FALSE), " ")</f>
        <v xml:space="preserve"> </v>
      </c>
      <c r="CI195" s="55"/>
      <c r="CJ195" s="32"/>
      <c r="CK195" s="32"/>
      <c r="CL195" s="55"/>
      <c r="CM195" s="32"/>
    </row>
    <row r="196" spans="1:91">
      <c r="A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1"/>
      <c r="P196" s="31"/>
      <c r="Q196" s="54"/>
      <c r="R196" s="21" t="str">
        <f>IFERROR(VLOOKUP(February[[#This Row],[Drug Name]],'Data Options'!$R$1:$S$100,2,FALSE), " ")</f>
        <v xml:space="preserve"> </v>
      </c>
      <c r="S196" s="55"/>
      <c r="T196" s="32"/>
      <c r="U196" s="32"/>
      <c r="V196" s="55"/>
      <c r="W196" s="32"/>
      <c r="X196" s="54"/>
      <c r="Y196" s="21" t="str">
        <f>IFERROR(VLOOKUP(February[[#This Row],[Drug Name2]],'Data Options'!$R$1:$S$100,2,FALSE), " ")</f>
        <v xml:space="preserve"> </v>
      </c>
      <c r="Z196" s="55"/>
      <c r="AA196" s="32"/>
      <c r="AB196" s="32"/>
      <c r="AC196" s="55"/>
      <c r="AD196" s="32"/>
      <c r="AE196" s="54"/>
      <c r="AF196" s="21" t="str">
        <f>IFERROR(VLOOKUP(February[[#This Row],[Drug Name3]],'Data Options'!$R$1:$S$100,2,FALSE), " ")</f>
        <v xml:space="preserve"> </v>
      </c>
      <c r="AG196" s="55"/>
      <c r="AH196" s="32"/>
      <c r="AI196" s="32"/>
      <c r="AJ196" s="55"/>
      <c r="AK196" s="32"/>
      <c r="AL196" s="32"/>
      <c r="AM196" s="32"/>
      <c r="AN196" s="32"/>
      <c r="AO196" s="32"/>
      <c r="AP196" s="31"/>
      <c r="AQ196" s="31"/>
      <c r="AR196" s="54"/>
      <c r="AS196" s="21" t="str">
        <f>IFERROR(VLOOKUP(February[[#This Row],[Drug Name4]],'Data Options'!$R$1:$S$100,2,FALSE), " ")</f>
        <v xml:space="preserve"> </v>
      </c>
      <c r="AT196" s="55"/>
      <c r="AU196" s="32"/>
      <c r="AV196" s="32"/>
      <c r="AW196" s="55"/>
      <c r="AX196" s="32"/>
      <c r="AY196" s="54"/>
      <c r="AZ196" s="21" t="str">
        <f>IFERROR(VLOOKUP(February[[#This Row],[Drug Name5]],'Data Options'!$R$1:$S$100,2,FALSE), " ")</f>
        <v xml:space="preserve"> </v>
      </c>
      <c r="BA196" s="55"/>
      <c r="BB196" s="32"/>
      <c r="BC196" s="32"/>
      <c r="BD196" s="55"/>
      <c r="BE196" s="32"/>
      <c r="BF196" s="54"/>
      <c r="BG196" s="21" t="str">
        <f>IFERROR(VLOOKUP(February[[#This Row],[Drug Name6]],'Data Options'!$R$1:$S$100,2,FALSE), " ")</f>
        <v xml:space="preserve"> </v>
      </c>
      <c r="BH196" s="55"/>
      <c r="BI196" s="32"/>
      <c r="BJ196" s="32"/>
      <c r="BK196" s="55"/>
      <c r="BL196" s="32"/>
      <c r="BM196" s="32"/>
      <c r="BN196" s="32"/>
      <c r="BO196" s="32"/>
      <c r="BP196" s="32"/>
      <c r="BQ196" s="31"/>
      <c r="BR196" s="31"/>
      <c r="BS196" s="54"/>
      <c r="BT196" s="21" t="str">
        <f>IFERROR(VLOOKUP(February[[#This Row],[Drug Name7]],'Data Options'!$R$1:$S$100,2,FALSE), " ")</f>
        <v xml:space="preserve"> </v>
      </c>
      <c r="BU196" s="55"/>
      <c r="BV196" s="32"/>
      <c r="BW196" s="32"/>
      <c r="BX196" s="55"/>
      <c r="BY196" s="32"/>
      <c r="BZ196" s="54"/>
      <c r="CA196" s="21" t="str">
        <f>IFERROR(VLOOKUP(February[[#This Row],[Drug Name8]],'Data Options'!$R$1:$S$100,2,FALSE), " ")</f>
        <v xml:space="preserve"> </v>
      </c>
      <c r="CB196" s="55"/>
      <c r="CC196" s="32"/>
      <c r="CD196" s="32"/>
      <c r="CE196" s="55"/>
      <c r="CF196" s="32"/>
      <c r="CG196" s="54"/>
      <c r="CH196" s="21" t="str">
        <f>IFERROR(VLOOKUP(February[[#This Row],[Drug Name9]],'Data Options'!$R$1:$S$100,2,FALSE), " ")</f>
        <v xml:space="preserve"> </v>
      </c>
      <c r="CI196" s="55"/>
      <c r="CJ196" s="32"/>
      <c r="CK196" s="32"/>
      <c r="CL196" s="55"/>
      <c r="CM196" s="32"/>
    </row>
    <row r="197" spans="1:91">
      <c r="A197" s="5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1"/>
      <c r="P197" s="31"/>
      <c r="Q197" s="54"/>
      <c r="R197" s="21" t="str">
        <f>IFERROR(VLOOKUP(February[[#This Row],[Drug Name]],'Data Options'!$R$1:$S$100,2,FALSE), " ")</f>
        <v xml:space="preserve"> </v>
      </c>
      <c r="S197" s="55"/>
      <c r="T197" s="32"/>
      <c r="U197" s="32"/>
      <c r="V197" s="55"/>
      <c r="W197" s="32"/>
      <c r="X197" s="54"/>
      <c r="Y197" s="21" t="str">
        <f>IFERROR(VLOOKUP(February[[#This Row],[Drug Name2]],'Data Options'!$R$1:$S$100,2,FALSE), " ")</f>
        <v xml:space="preserve"> </v>
      </c>
      <c r="Z197" s="55"/>
      <c r="AA197" s="32"/>
      <c r="AB197" s="32"/>
      <c r="AC197" s="55"/>
      <c r="AD197" s="32"/>
      <c r="AE197" s="54"/>
      <c r="AF197" s="21" t="str">
        <f>IFERROR(VLOOKUP(February[[#This Row],[Drug Name3]],'Data Options'!$R$1:$S$100,2,FALSE), " ")</f>
        <v xml:space="preserve"> </v>
      </c>
      <c r="AG197" s="55"/>
      <c r="AH197" s="32"/>
      <c r="AI197" s="32"/>
      <c r="AJ197" s="55"/>
      <c r="AK197" s="32"/>
      <c r="AL197" s="32"/>
      <c r="AM197" s="32"/>
      <c r="AN197" s="32"/>
      <c r="AO197" s="32"/>
      <c r="AP197" s="31"/>
      <c r="AQ197" s="31"/>
      <c r="AR197" s="54"/>
      <c r="AS197" s="21" t="str">
        <f>IFERROR(VLOOKUP(February[[#This Row],[Drug Name4]],'Data Options'!$R$1:$S$100,2,FALSE), " ")</f>
        <v xml:space="preserve"> </v>
      </c>
      <c r="AT197" s="55"/>
      <c r="AU197" s="32"/>
      <c r="AV197" s="32"/>
      <c r="AW197" s="55"/>
      <c r="AX197" s="32"/>
      <c r="AY197" s="54"/>
      <c r="AZ197" s="21" t="str">
        <f>IFERROR(VLOOKUP(February[[#This Row],[Drug Name5]],'Data Options'!$R$1:$S$100,2,FALSE), " ")</f>
        <v xml:space="preserve"> </v>
      </c>
      <c r="BA197" s="55"/>
      <c r="BB197" s="32"/>
      <c r="BC197" s="32"/>
      <c r="BD197" s="55"/>
      <c r="BE197" s="32"/>
      <c r="BF197" s="54"/>
      <c r="BG197" s="21" t="str">
        <f>IFERROR(VLOOKUP(February[[#This Row],[Drug Name6]],'Data Options'!$R$1:$S$100,2,FALSE), " ")</f>
        <v xml:space="preserve"> </v>
      </c>
      <c r="BH197" s="55"/>
      <c r="BI197" s="32"/>
      <c r="BJ197" s="32"/>
      <c r="BK197" s="55"/>
      <c r="BL197" s="32"/>
      <c r="BM197" s="32"/>
      <c r="BN197" s="32"/>
      <c r="BO197" s="32"/>
      <c r="BP197" s="32"/>
      <c r="BQ197" s="31"/>
      <c r="BR197" s="31"/>
      <c r="BS197" s="54"/>
      <c r="BT197" s="21" t="str">
        <f>IFERROR(VLOOKUP(February[[#This Row],[Drug Name7]],'Data Options'!$R$1:$S$100,2,FALSE), " ")</f>
        <v xml:space="preserve"> </v>
      </c>
      <c r="BU197" s="55"/>
      <c r="BV197" s="32"/>
      <c r="BW197" s="32"/>
      <c r="BX197" s="55"/>
      <c r="BY197" s="32"/>
      <c r="BZ197" s="54"/>
      <c r="CA197" s="21" t="str">
        <f>IFERROR(VLOOKUP(February[[#This Row],[Drug Name8]],'Data Options'!$R$1:$S$100,2,FALSE), " ")</f>
        <v xml:space="preserve"> </v>
      </c>
      <c r="CB197" s="55"/>
      <c r="CC197" s="32"/>
      <c r="CD197" s="32"/>
      <c r="CE197" s="55"/>
      <c r="CF197" s="32"/>
      <c r="CG197" s="54"/>
      <c r="CH197" s="21" t="str">
        <f>IFERROR(VLOOKUP(February[[#This Row],[Drug Name9]],'Data Options'!$R$1:$S$100,2,FALSE), " ")</f>
        <v xml:space="preserve"> </v>
      </c>
      <c r="CI197" s="55"/>
      <c r="CJ197" s="32"/>
      <c r="CK197" s="32"/>
      <c r="CL197" s="55"/>
      <c r="CM197" s="32"/>
    </row>
    <row r="198" spans="1:91">
      <c r="A198" s="5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1"/>
      <c r="P198" s="31"/>
      <c r="Q198" s="54"/>
      <c r="R198" s="21" t="str">
        <f>IFERROR(VLOOKUP(February[[#This Row],[Drug Name]],'Data Options'!$R$1:$S$100,2,FALSE), " ")</f>
        <v xml:space="preserve"> </v>
      </c>
      <c r="S198" s="55"/>
      <c r="T198" s="32"/>
      <c r="U198" s="32"/>
      <c r="V198" s="55"/>
      <c r="W198" s="32"/>
      <c r="X198" s="54"/>
      <c r="Y198" s="21" t="str">
        <f>IFERROR(VLOOKUP(February[[#This Row],[Drug Name2]],'Data Options'!$R$1:$S$100,2,FALSE), " ")</f>
        <v xml:space="preserve"> </v>
      </c>
      <c r="Z198" s="55"/>
      <c r="AA198" s="32"/>
      <c r="AB198" s="32"/>
      <c r="AC198" s="55"/>
      <c r="AD198" s="32"/>
      <c r="AE198" s="54"/>
      <c r="AF198" s="21" t="str">
        <f>IFERROR(VLOOKUP(February[[#This Row],[Drug Name3]],'Data Options'!$R$1:$S$100,2,FALSE), " ")</f>
        <v xml:space="preserve"> </v>
      </c>
      <c r="AG198" s="55"/>
      <c r="AH198" s="32"/>
      <c r="AI198" s="32"/>
      <c r="AJ198" s="55"/>
      <c r="AK198" s="32"/>
      <c r="AL198" s="32"/>
      <c r="AM198" s="32"/>
      <c r="AN198" s="32"/>
      <c r="AO198" s="32"/>
      <c r="AP198" s="31"/>
      <c r="AQ198" s="31"/>
      <c r="AR198" s="54"/>
      <c r="AS198" s="21" t="str">
        <f>IFERROR(VLOOKUP(February[[#This Row],[Drug Name4]],'Data Options'!$R$1:$S$100,2,FALSE), " ")</f>
        <v xml:space="preserve"> </v>
      </c>
      <c r="AT198" s="55"/>
      <c r="AU198" s="32"/>
      <c r="AV198" s="32"/>
      <c r="AW198" s="55"/>
      <c r="AX198" s="32"/>
      <c r="AY198" s="54"/>
      <c r="AZ198" s="21" t="str">
        <f>IFERROR(VLOOKUP(February[[#This Row],[Drug Name5]],'Data Options'!$R$1:$S$100,2,FALSE), " ")</f>
        <v xml:space="preserve"> </v>
      </c>
      <c r="BA198" s="55"/>
      <c r="BB198" s="32"/>
      <c r="BC198" s="32"/>
      <c r="BD198" s="55"/>
      <c r="BE198" s="32"/>
      <c r="BF198" s="54"/>
      <c r="BG198" s="21" t="str">
        <f>IFERROR(VLOOKUP(February[[#This Row],[Drug Name6]],'Data Options'!$R$1:$S$100,2,FALSE), " ")</f>
        <v xml:space="preserve"> </v>
      </c>
      <c r="BH198" s="55"/>
      <c r="BI198" s="32"/>
      <c r="BJ198" s="32"/>
      <c r="BK198" s="55"/>
      <c r="BL198" s="32"/>
      <c r="BM198" s="32"/>
      <c r="BN198" s="32"/>
      <c r="BO198" s="32"/>
      <c r="BP198" s="32"/>
      <c r="BQ198" s="31"/>
      <c r="BR198" s="31"/>
      <c r="BS198" s="54"/>
      <c r="BT198" s="21" t="str">
        <f>IFERROR(VLOOKUP(February[[#This Row],[Drug Name7]],'Data Options'!$R$1:$S$100,2,FALSE), " ")</f>
        <v xml:space="preserve"> </v>
      </c>
      <c r="BU198" s="55"/>
      <c r="BV198" s="32"/>
      <c r="BW198" s="32"/>
      <c r="BX198" s="55"/>
      <c r="BY198" s="32"/>
      <c r="BZ198" s="54"/>
      <c r="CA198" s="21" t="str">
        <f>IFERROR(VLOOKUP(February[[#This Row],[Drug Name8]],'Data Options'!$R$1:$S$100,2,FALSE), " ")</f>
        <v xml:space="preserve"> </v>
      </c>
      <c r="CB198" s="55"/>
      <c r="CC198" s="32"/>
      <c r="CD198" s="32"/>
      <c r="CE198" s="55"/>
      <c r="CF198" s="32"/>
      <c r="CG198" s="54"/>
      <c r="CH198" s="21" t="str">
        <f>IFERROR(VLOOKUP(February[[#This Row],[Drug Name9]],'Data Options'!$R$1:$S$100,2,FALSE), " ")</f>
        <v xml:space="preserve"> </v>
      </c>
      <c r="CI198" s="55"/>
      <c r="CJ198" s="32"/>
      <c r="CK198" s="32"/>
      <c r="CL198" s="55"/>
      <c r="CM198" s="32"/>
    </row>
    <row r="199" spans="1:91">
      <c r="A199" s="5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1"/>
      <c r="P199" s="31"/>
      <c r="Q199" s="54"/>
      <c r="R199" s="21" t="str">
        <f>IFERROR(VLOOKUP(February[[#This Row],[Drug Name]],'Data Options'!$R$1:$S$100,2,FALSE), " ")</f>
        <v xml:space="preserve"> </v>
      </c>
      <c r="S199" s="55"/>
      <c r="T199" s="32"/>
      <c r="U199" s="32"/>
      <c r="V199" s="55"/>
      <c r="W199" s="32"/>
      <c r="X199" s="54"/>
      <c r="Y199" s="21" t="str">
        <f>IFERROR(VLOOKUP(February[[#This Row],[Drug Name2]],'Data Options'!$R$1:$S$100,2,FALSE), " ")</f>
        <v xml:space="preserve"> </v>
      </c>
      <c r="Z199" s="55"/>
      <c r="AA199" s="32"/>
      <c r="AB199" s="32"/>
      <c r="AC199" s="55"/>
      <c r="AD199" s="32"/>
      <c r="AE199" s="54"/>
      <c r="AF199" s="21" t="str">
        <f>IFERROR(VLOOKUP(February[[#This Row],[Drug Name3]],'Data Options'!$R$1:$S$100,2,FALSE), " ")</f>
        <v xml:space="preserve"> </v>
      </c>
      <c r="AG199" s="55"/>
      <c r="AH199" s="32"/>
      <c r="AI199" s="32"/>
      <c r="AJ199" s="55"/>
      <c r="AK199" s="32"/>
      <c r="AL199" s="32"/>
      <c r="AM199" s="32"/>
      <c r="AN199" s="32"/>
      <c r="AO199" s="32"/>
      <c r="AP199" s="31"/>
      <c r="AQ199" s="31"/>
      <c r="AR199" s="54"/>
      <c r="AS199" s="21" t="str">
        <f>IFERROR(VLOOKUP(February[[#This Row],[Drug Name4]],'Data Options'!$R$1:$S$100,2,FALSE), " ")</f>
        <v xml:space="preserve"> </v>
      </c>
      <c r="AT199" s="55"/>
      <c r="AU199" s="32"/>
      <c r="AV199" s="32"/>
      <c r="AW199" s="55"/>
      <c r="AX199" s="32"/>
      <c r="AY199" s="54"/>
      <c r="AZ199" s="21" t="str">
        <f>IFERROR(VLOOKUP(February[[#This Row],[Drug Name5]],'Data Options'!$R$1:$S$100,2,FALSE), " ")</f>
        <v xml:space="preserve"> </v>
      </c>
      <c r="BA199" s="55"/>
      <c r="BB199" s="32"/>
      <c r="BC199" s="32"/>
      <c r="BD199" s="55"/>
      <c r="BE199" s="32"/>
      <c r="BF199" s="54"/>
      <c r="BG199" s="21" t="str">
        <f>IFERROR(VLOOKUP(February[[#This Row],[Drug Name6]],'Data Options'!$R$1:$S$100,2,FALSE), " ")</f>
        <v xml:space="preserve"> </v>
      </c>
      <c r="BH199" s="55"/>
      <c r="BI199" s="32"/>
      <c r="BJ199" s="32"/>
      <c r="BK199" s="55"/>
      <c r="BL199" s="32"/>
      <c r="BM199" s="32"/>
      <c r="BN199" s="32"/>
      <c r="BO199" s="32"/>
      <c r="BP199" s="32"/>
      <c r="BQ199" s="31"/>
      <c r="BR199" s="31"/>
      <c r="BS199" s="54"/>
      <c r="BT199" s="21" t="str">
        <f>IFERROR(VLOOKUP(February[[#This Row],[Drug Name7]],'Data Options'!$R$1:$S$100,2,FALSE), " ")</f>
        <v xml:space="preserve"> </v>
      </c>
      <c r="BU199" s="55"/>
      <c r="BV199" s="32"/>
      <c r="BW199" s="32"/>
      <c r="BX199" s="55"/>
      <c r="BY199" s="32"/>
      <c r="BZ199" s="54"/>
      <c r="CA199" s="21" t="str">
        <f>IFERROR(VLOOKUP(February[[#This Row],[Drug Name8]],'Data Options'!$R$1:$S$100,2,FALSE), " ")</f>
        <v xml:space="preserve"> </v>
      </c>
      <c r="CB199" s="55"/>
      <c r="CC199" s="32"/>
      <c r="CD199" s="32"/>
      <c r="CE199" s="55"/>
      <c r="CF199" s="32"/>
      <c r="CG199" s="54"/>
      <c r="CH199" s="21" t="str">
        <f>IFERROR(VLOOKUP(February[[#This Row],[Drug Name9]],'Data Options'!$R$1:$S$100,2,FALSE), " ")</f>
        <v xml:space="preserve"> </v>
      </c>
      <c r="CI199" s="55"/>
      <c r="CJ199" s="32"/>
      <c r="CK199" s="32"/>
      <c r="CL199" s="55"/>
      <c r="CM199" s="32"/>
    </row>
    <row r="200" spans="1:91">
      <c r="A200" s="5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1"/>
      <c r="P200" s="31"/>
      <c r="Q200" s="54"/>
      <c r="R200" s="21" t="str">
        <f>IFERROR(VLOOKUP(February[[#This Row],[Drug Name]],'Data Options'!$R$1:$S$100,2,FALSE), " ")</f>
        <v xml:space="preserve"> </v>
      </c>
      <c r="S200" s="55"/>
      <c r="T200" s="32"/>
      <c r="U200" s="32"/>
      <c r="V200" s="55"/>
      <c r="W200" s="32"/>
      <c r="X200" s="54"/>
      <c r="Y200" s="21" t="str">
        <f>IFERROR(VLOOKUP(February[[#This Row],[Drug Name2]],'Data Options'!$R$1:$S$100,2,FALSE), " ")</f>
        <v xml:space="preserve"> </v>
      </c>
      <c r="Z200" s="55"/>
      <c r="AA200" s="32"/>
      <c r="AB200" s="32"/>
      <c r="AC200" s="55"/>
      <c r="AD200" s="32"/>
      <c r="AE200" s="54"/>
      <c r="AF200" s="21" t="str">
        <f>IFERROR(VLOOKUP(February[[#This Row],[Drug Name3]],'Data Options'!$R$1:$S$100,2,FALSE), " ")</f>
        <v xml:space="preserve"> </v>
      </c>
      <c r="AG200" s="55"/>
      <c r="AH200" s="32"/>
      <c r="AI200" s="32"/>
      <c r="AJ200" s="55"/>
      <c r="AK200" s="32"/>
      <c r="AL200" s="32"/>
      <c r="AM200" s="32"/>
      <c r="AN200" s="32"/>
      <c r="AO200" s="32"/>
      <c r="AP200" s="31"/>
      <c r="AQ200" s="31"/>
      <c r="AR200" s="54"/>
      <c r="AS200" s="21" t="str">
        <f>IFERROR(VLOOKUP(February[[#This Row],[Drug Name4]],'Data Options'!$R$1:$S$100,2,FALSE), " ")</f>
        <v xml:space="preserve"> </v>
      </c>
      <c r="AT200" s="55"/>
      <c r="AU200" s="32"/>
      <c r="AV200" s="32"/>
      <c r="AW200" s="55"/>
      <c r="AX200" s="32"/>
      <c r="AY200" s="54"/>
      <c r="AZ200" s="21" t="str">
        <f>IFERROR(VLOOKUP(February[[#This Row],[Drug Name5]],'Data Options'!$R$1:$S$100,2,FALSE), " ")</f>
        <v xml:space="preserve"> </v>
      </c>
      <c r="BA200" s="55"/>
      <c r="BB200" s="32"/>
      <c r="BC200" s="32"/>
      <c r="BD200" s="55"/>
      <c r="BE200" s="32"/>
      <c r="BF200" s="54"/>
      <c r="BG200" s="21" t="str">
        <f>IFERROR(VLOOKUP(February[[#This Row],[Drug Name6]],'Data Options'!$R$1:$S$100,2,FALSE), " ")</f>
        <v xml:space="preserve"> </v>
      </c>
      <c r="BH200" s="55"/>
      <c r="BI200" s="32"/>
      <c r="BJ200" s="32"/>
      <c r="BK200" s="55"/>
      <c r="BL200" s="32"/>
      <c r="BM200" s="32"/>
      <c r="BN200" s="32"/>
      <c r="BO200" s="32"/>
      <c r="BP200" s="32"/>
      <c r="BQ200" s="31"/>
      <c r="BR200" s="31"/>
      <c r="BS200" s="54"/>
      <c r="BT200" s="21" t="str">
        <f>IFERROR(VLOOKUP(February[[#This Row],[Drug Name7]],'Data Options'!$R$1:$S$100,2,FALSE), " ")</f>
        <v xml:space="preserve"> </v>
      </c>
      <c r="BU200" s="55"/>
      <c r="BV200" s="32"/>
      <c r="BW200" s="32"/>
      <c r="BX200" s="55"/>
      <c r="BY200" s="32"/>
      <c r="BZ200" s="54"/>
      <c r="CA200" s="21" t="str">
        <f>IFERROR(VLOOKUP(February[[#This Row],[Drug Name8]],'Data Options'!$R$1:$S$100,2,FALSE), " ")</f>
        <v xml:space="preserve"> </v>
      </c>
      <c r="CB200" s="55"/>
      <c r="CC200" s="32"/>
      <c r="CD200" s="32"/>
      <c r="CE200" s="55"/>
      <c r="CF200" s="32"/>
      <c r="CG200" s="54"/>
      <c r="CH200" s="21" t="str">
        <f>IFERROR(VLOOKUP(February[[#This Row],[Drug Name9]],'Data Options'!$R$1:$S$100,2,FALSE), " ")</f>
        <v xml:space="preserve"> </v>
      </c>
      <c r="CI200" s="55"/>
      <c r="CJ200" s="32"/>
      <c r="CK200" s="32"/>
      <c r="CL200" s="55"/>
      <c r="CM200" s="32"/>
    </row>
    <row r="201" spans="1:91">
      <c r="A201" s="5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1"/>
      <c r="P201" s="31"/>
      <c r="Q201" s="54"/>
      <c r="R201" s="21" t="str">
        <f>IFERROR(VLOOKUP(February[[#This Row],[Drug Name]],'Data Options'!$R$1:$S$100,2,FALSE), " ")</f>
        <v xml:space="preserve"> </v>
      </c>
      <c r="S201" s="55"/>
      <c r="T201" s="32"/>
      <c r="U201" s="32"/>
      <c r="V201" s="55"/>
      <c r="W201" s="32"/>
      <c r="X201" s="54"/>
      <c r="Y201" s="21" t="str">
        <f>IFERROR(VLOOKUP(February[[#This Row],[Drug Name2]],'Data Options'!$R$1:$S$100,2,FALSE), " ")</f>
        <v xml:space="preserve"> </v>
      </c>
      <c r="Z201" s="55"/>
      <c r="AA201" s="32"/>
      <c r="AB201" s="32"/>
      <c r="AC201" s="55"/>
      <c r="AD201" s="32"/>
      <c r="AE201" s="54"/>
      <c r="AF201" s="21" t="str">
        <f>IFERROR(VLOOKUP(February[[#This Row],[Drug Name3]],'Data Options'!$R$1:$S$100,2,FALSE), " ")</f>
        <v xml:space="preserve"> </v>
      </c>
      <c r="AG201" s="55"/>
      <c r="AH201" s="32"/>
      <c r="AI201" s="32"/>
      <c r="AJ201" s="55"/>
      <c r="AK201" s="32"/>
      <c r="AL201" s="32"/>
      <c r="AM201" s="32"/>
      <c r="AN201" s="32"/>
      <c r="AO201" s="32"/>
      <c r="AP201" s="31"/>
      <c r="AQ201" s="31"/>
      <c r="AR201" s="54"/>
      <c r="AS201" s="21" t="str">
        <f>IFERROR(VLOOKUP(February[[#This Row],[Drug Name4]],'Data Options'!$R$1:$S$100,2,FALSE), " ")</f>
        <v xml:space="preserve"> </v>
      </c>
      <c r="AT201" s="55"/>
      <c r="AU201" s="32"/>
      <c r="AV201" s="32"/>
      <c r="AW201" s="55"/>
      <c r="AX201" s="32"/>
      <c r="AY201" s="54"/>
      <c r="AZ201" s="21" t="str">
        <f>IFERROR(VLOOKUP(February[[#This Row],[Drug Name5]],'Data Options'!$R$1:$S$100,2,FALSE), " ")</f>
        <v xml:space="preserve"> </v>
      </c>
      <c r="BA201" s="55"/>
      <c r="BB201" s="32"/>
      <c r="BC201" s="32"/>
      <c r="BD201" s="55"/>
      <c r="BE201" s="32"/>
      <c r="BF201" s="54"/>
      <c r="BG201" s="21" t="str">
        <f>IFERROR(VLOOKUP(February[[#This Row],[Drug Name6]],'Data Options'!$R$1:$S$100,2,FALSE), " ")</f>
        <v xml:space="preserve"> </v>
      </c>
      <c r="BH201" s="55"/>
      <c r="BI201" s="32"/>
      <c r="BJ201" s="32"/>
      <c r="BK201" s="55"/>
      <c r="BL201" s="32"/>
      <c r="BM201" s="32"/>
      <c r="BN201" s="32"/>
      <c r="BO201" s="32"/>
      <c r="BP201" s="32"/>
      <c r="BQ201" s="31"/>
      <c r="BR201" s="31"/>
      <c r="BS201" s="54"/>
      <c r="BT201" s="21" t="str">
        <f>IFERROR(VLOOKUP(February[[#This Row],[Drug Name7]],'Data Options'!$R$1:$S$100,2,FALSE), " ")</f>
        <v xml:space="preserve"> </v>
      </c>
      <c r="BU201" s="55"/>
      <c r="BV201" s="32"/>
      <c r="BW201" s="32"/>
      <c r="BX201" s="55"/>
      <c r="BY201" s="32"/>
      <c r="BZ201" s="54"/>
      <c r="CA201" s="21" t="str">
        <f>IFERROR(VLOOKUP(February[[#This Row],[Drug Name8]],'Data Options'!$R$1:$S$100,2,FALSE), " ")</f>
        <v xml:space="preserve"> </v>
      </c>
      <c r="CB201" s="55"/>
      <c r="CC201" s="32"/>
      <c r="CD201" s="32"/>
      <c r="CE201" s="55"/>
      <c r="CF201" s="32"/>
      <c r="CG201" s="54"/>
      <c r="CH201" s="21" t="str">
        <f>IFERROR(VLOOKUP(February[[#This Row],[Drug Name9]],'Data Options'!$R$1:$S$100,2,FALSE), " ")</f>
        <v xml:space="preserve"> </v>
      </c>
      <c r="CI201" s="55"/>
      <c r="CJ201" s="32"/>
      <c r="CK201" s="32"/>
      <c r="CL201" s="55"/>
      <c r="CM201" s="32"/>
    </row>
    <row r="202" spans="1:91">
      <c r="A202" s="24" t="s">
        <v>239</v>
      </c>
      <c r="X202" s="54"/>
      <c r="Z202" s="32"/>
      <c r="AA202" s="32"/>
      <c r="AB202" s="32"/>
      <c r="AC202" s="32"/>
      <c r="AD202" s="32"/>
      <c r="AE202" s="54"/>
      <c r="AG202" s="32"/>
      <c r="AH202" s="32"/>
      <c r="AI202" s="32"/>
      <c r="AJ202" s="32"/>
      <c r="AK202" s="32"/>
      <c r="AL202" s="32"/>
      <c r="AN202" s="32"/>
      <c r="AO202" s="32"/>
      <c r="AP202" s="31"/>
      <c r="AQ202" s="31"/>
      <c r="AR202" s="54"/>
      <c r="AT202" s="32"/>
      <c r="AU202" s="32"/>
      <c r="AV202" s="32"/>
      <c r="AW202" s="32"/>
      <c r="AX202" s="32"/>
      <c r="AY202" s="54"/>
      <c r="BA202" s="32"/>
      <c r="BB202" s="32"/>
      <c r="BC202" s="32"/>
      <c r="BD202" s="32"/>
      <c r="BE202" s="32"/>
      <c r="BF202" s="54"/>
      <c r="BH202" s="32"/>
      <c r="BI202" s="32"/>
      <c r="BJ202" s="32"/>
      <c r="BK202" s="32"/>
      <c r="BL202" s="32"/>
      <c r="BM202" s="32"/>
      <c r="BO202" s="32"/>
      <c r="BP202" s="32"/>
      <c r="BQ202" s="31"/>
      <c r="BR202" s="31"/>
      <c r="BS202" s="54"/>
      <c r="BU202" s="32"/>
      <c r="BV202" s="32"/>
      <c r="BW202" s="32"/>
      <c r="BX202" s="32"/>
      <c r="BY202" s="32"/>
      <c r="BZ202" s="54"/>
      <c r="CB202" s="32"/>
      <c r="CC202" s="32"/>
      <c r="CD202" s="32"/>
      <c r="CE202" s="32"/>
      <c r="CF202" s="32"/>
      <c r="CG202" s="54"/>
      <c r="CI202" s="32"/>
      <c r="CJ202" s="32"/>
      <c r="CK202" s="32"/>
      <c r="CL202" s="32"/>
      <c r="CM202" s="40">
        <f>SUBTOTAL(103,February[Location Filled9])</f>
        <v>0</v>
      </c>
    </row>
  </sheetData>
  <sheetProtection algorithmName="SHA-512" hashValue="caGcwzmY/66a/nE84oZVQBzMSbUVzsWsfoTlUNGev12/WrKt3egzhR/bGRNPTCpzXr7lMOTiHNSeqjE1sNGVWQ==" saltValue="M06TfG64TQ683MtXCxbH6w==" spinCount="100000" sheet="1" objects="1" scenarios="1"/>
  <mergeCells count="13">
    <mergeCell ref="AR2:AX2"/>
    <mergeCell ref="BS2:BY2"/>
    <mergeCell ref="BZ2:CF2"/>
    <mergeCell ref="CG2:CM2"/>
    <mergeCell ref="AL1:AQ2"/>
    <mergeCell ref="BM1:BR2"/>
    <mergeCell ref="BF2:BL2"/>
    <mergeCell ref="A1:J2"/>
    <mergeCell ref="K1:AF1"/>
    <mergeCell ref="K2:P2"/>
    <mergeCell ref="Q2:V2"/>
    <mergeCell ref="X2:AD2"/>
    <mergeCell ref="AE2:AK2"/>
  </mergeCells>
  <dataValidations count="19">
    <dataValidation type="list" allowBlank="1" showInputMessage="1" showErrorMessage="1" sqref="D4:D201">
      <formula1>INDIRECT("Species")</formula1>
    </dataValidation>
    <dataValidation type="list" allowBlank="1" showInputMessage="1" showErrorMessage="1" sqref="E4:E201">
      <formula1>INDIRECT("Sex")</formula1>
    </dataValidation>
    <dataValidation type="list" allowBlank="1" showInputMessage="1" showErrorMessage="1" sqref="F4:F201">
      <formula1>INDIRECT("Age")</formula1>
    </dataValidation>
    <dataValidation type="list" allowBlank="1" showInputMessage="1" showErrorMessage="1" sqref="G4:G201">
      <formula1>INDIRECT("Visit_Reason")</formula1>
    </dataValidation>
    <dataValidation type="list" allowBlank="1" showInputMessage="1" showErrorMessage="1" sqref="I4:I201">
      <formula1>INDIRECT("ABX_YN")</formula1>
    </dataValidation>
    <dataValidation type="list" allowBlank="1" showInputMessage="1" showErrorMessage="1" sqref="K4:K201 AL4:AL201 BM4:BM201">
      <formula1>INDIRECT("Disease_Type")</formula1>
    </dataValidation>
    <dataValidation type="list" allowBlank="1" showInputMessage="1" showErrorMessage="1" sqref="M4:M201 AN4:AN201 BO4:BO201">
      <formula1>INDIRECT("Disease_Descrip")</formula1>
    </dataValidation>
    <dataValidation type="list" allowBlank="1" showInputMessage="1" showErrorMessage="1" sqref="N4:N201 AO4:AO201 BP4:BP201">
      <formula1>INDIRECT("Dz_Abx_Num")</formula1>
    </dataValidation>
    <dataValidation type="list" allowBlank="1" showInputMessage="1" showErrorMessage="1" sqref="O4:O201 AP4:AP201 BQ4:BQ201">
      <formula1>INDIRECT("Diagnostics_Offer_YN")</formula1>
    </dataValidation>
    <dataValidation type="list" allowBlank="1" showInputMessage="1" showErrorMessage="1" sqref="P4:P201 AQ4:AQ201 BR4:BR201">
      <formula1>INDIRECT("Diagnostics_Performed_YN")</formula1>
    </dataValidation>
    <dataValidation type="list" allowBlank="1" showInputMessage="1" showErrorMessage="1" sqref="Q4:Q201 X4:X201 AE4:AE201 AR4:AR201 AY4:AY201 BF4:BF201 BS4:BS201 BZ4:BZ201 CG4:CG201">
      <formula1>INDIRECT("Drug_Name")</formula1>
    </dataValidation>
    <dataValidation type="list" allowBlank="1" showInputMessage="1" showErrorMessage="1" sqref="T4:T201 AA4:AA201 AH4:AH201 AU4:AU201 BB4:BB201 BI4:BI201 BV4:BV201 CC4:CC201 CJ4:CJ201">
      <formula1>INDIRECT("Abx_Freq")</formula1>
    </dataValidation>
    <dataValidation type="list" allowBlank="1" showInputMessage="1" showErrorMessage="1" sqref="U4:U201 AB4:AB201 AI4:AI201 AV4:AV201 BC4:BC201 BJ4:BJ201 BW4:BW201 CD4:CD201 CK4:CK201">
      <formula1>INDIRECT("Abx_Route")</formula1>
    </dataValidation>
    <dataValidation type="list" allowBlank="1" showInputMessage="1" showErrorMessage="1" sqref="W4:W201 AD4:AD201 AK4:AK201 AX4:AX201 BE4:BE201 BL4:BL201 BY4:BY201 CF4:CF201 CM4:CM201">
      <formula1>INDIRECT("Prescription_Type")</formula1>
    </dataValidation>
    <dataValidation allowBlank="1" showInputMessage="1" showErrorMessage="1" prompt="Only type here IF Reason for Visit is Other " sqref="H5:H201"/>
    <dataValidation type="whole" allowBlank="1" showInputMessage="1" showErrorMessage="1" promptTitle="Total Number of Antibiotics" prompt="This should include ALL antibiotics prescribed to this patient during this visit for ALL conditions. " sqref="J4:J201">
      <formula1>0</formula1>
      <formula2>9</formula2>
    </dataValidation>
    <dataValidation allowBlank="1" showInputMessage="1" showErrorMessage="1" prompt="Only type in this column IF Disease/Infection Type is Other" sqref="L4:L201 AM4:AM201 BN4:BN201"/>
    <dataValidation allowBlank="1" showInputMessage="1" showErrorMessage="1" prompt="Only type in this column IF Reason for Visit is Other " sqref="H4"/>
    <dataValidation type="decimal" allowBlank="1" showInputMessage="1" showErrorMessage="1" sqref="S4:S201 Z4:Z201 V4:V201 AC4:AC201 AG4:AG201 AJ4:AJ201 AT4:AT201 AW4:AW201 BD4:BD201 BA4:BA201 BH4:BH201 BK4:BK201 BU4:BU201 BX4:BX201 CB4:CB201 CE4:CE201 CI4:CI201 CL4:CL201">
      <formula1>0</formula1>
      <formula2>5000</formula2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02"/>
  <sheetViews>
    <sheetView workbookViewId="0">
      <pane ySplit="3" topLeftCell="A4" activePane="bottomLeft" state="frozen"/>
      <selection pane="bottomLeft" activeCell="A4" sqref="A4"/>
    </sheetView>
  </sheetViews>
  <sheetFormatPr defaultColWidth="10.83203125" defaultRowHeight="15.5"/>
  <cols>
    <col min="1" max="16384" width="10.83203125" style="24"/>
  </cols>
  <sheetData>
    <row r="1" spans="1:91" ht="21">
      <c r="A1" s="60" t="s">
        <v>103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43"/>
      <c r="AH1" s="43"/>
      <c r="AI1" s="43"/>
      <c r="AJ1" s="43"/>
      <c r="AK1" s="43"/>
      <c r="AL1" s="70" t="s">
        <v>154</v>
      </c>
      <c r="AM1" s="70"/>
      <c r="AN1" s="70"/>
      <c r="AO1" s="70"/>
      <c r="AP1" s="70"/>
      <c r="AQ1" s="70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5"/>
      <c r="BI1" s="45"/>
      <c r="BJ1" s="45"/>
      <c r="BK1" s="45"/>
      <c r="BL1" s="45"/>
      <c r="BM1" s="71" t="s">
        <v>156</v>
      </c>
      <c r="BN1" s="71"/>
      <c r="BO1" s="71"/>
      <c r="BP1" s="71"/>
      <c r="BQ1" s="71"/>
      <c r="BR1" s="71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7"/>
      <c r="CJ1" s="47"/>
      <c r="CK1" s="47"/>
      <c r="CL1" s="47"/>
      <c r="CM1" s="47"/>
    </row>
    <row r="2" spans="1:91" ht="21">
      <c r="A2" s="60"/>
      <c r="B2" s="60"/>
      <c r="C2" s="60"/>
      <c r="D2" s="60"/>
      <c r="E2" s="60"/>
      <c r="F2" s="60"/>
      <c r="G2" s="60"/>
      <c r="H2" s="60"/>
      <c r="I2" s="60"/>
      <c r="J2" s="60"/>
      <c r="K2" s="62" t="s">
        <v>153</v>
      </c>
      <c r="L2" s="62"/>
      <c r="M2" s="62"/>
      <c r="N2" s="62"/>
      <c r="O2" s="62"/>
      <c r="P2" s="62"/>
      <c r="Q2" s="63" t="s">
        <v>104</v>
      </c>
      <c r="R2" s="63"/>
      <c r="S2" s="63"/>
      <c r="T2" s="63"/>
      <c r="U2" s="63"/>
      <c r="V2" s="63"/>
      <c r="W2" s="48"/>
      <c r="X2" s="64" t="s">
        <v>105</v>
      </c>
      <c r="Y2" s="64"/>
      <c r="Z2" s="64"/>
      <c r="AA2" s="64"/>
      <c r="AB2" s="64"/>
      <c r="AC2" s="64"/>
      <c r="AD2" s="64"/>
      <c r="AE2" s="65" t="s">
        <v>106</v>
      </c>
      <c r="AF2" s="65"/>
      <c r="AG2" s="65"/>
      <c r="AH2" s="65"/>
      <c r="AI2" s="65"/>
      <c r="AJ2" s="65"/>
      <c r="AK2" s="65"/>
      <c r="AL2" s="70"/>
      <c r="AM2" s="70"/>
      <c r="AN2" s="70"/>
      <c r="AO2" s="70"/>
      <c r="AP2" s="70"/>
      <c r="AQ2" s="70"/>
      <c r="AR2" s="66" t="s">
        <v>107</v>
      </c>
      <c r="AS2" s="66"/>
      <c r="AT2" s="66"/>
      <c r="AU2" s="66"/>
      <c r="AV2" s="66"/>
      <c r="AW2" s="66"/>
      <c r="AX2" s="66"/>
      <c r="AY2" s="49" t="s">
        <v>216</v>
      </c>
      <c r="AZ2" s="49"/>
      <c r="BA2" s="49"/>
      <c r="BB2" s="49"/>
      <c r="BC2" s="49"/>
      <c r="BD2" s="49"/>
      <c r="BE2" s="49"/>
      <c r="BF2" s="69" t="s">
        <v>155</v>
      </c>
      <c r="BG2" s="69"/>
      <c r="BH2" s="69"/>
      <c r="BI2" s="69"/>
      <c r="BJ2" s="69"/>
      <c r="BK2" s="69"/>
      <c r="BL2" s="69"/>
      <c r="BM2" s="71"/>
      <c r="BN2" s="71"/>
      <c r="BO2" s="71"/>
      <c r="BP2" s="71"/>
      <c r="BQ2" s="71"/>
      <c r="BR2" s="71"/>
      <c r="BS2" s="67" t="s">
        <v>109</v>
      </c>
      <c r="BT2" s="67"/>
      <c r="BU2" s="67"/>
      <c r="BV2" s="67"/>
      <c r="BW2" s="67"/>
      <c r="BX2" s="67"/>
      <c r="BY2" s="67"/>
      <c r="BZ2" s="68" t="s">
        <v>110</v>
      </c>
      <c r="CA2" s="68"/>
      <c r="CB2" s="68"/>
      <c r="CC2" s="68"/>
      <c r="CD2" s="68"/>
      <c r="CE2" s="68"/>
      <c r="CF2" s="68"/>
      <c r="CG2" s="69" t="s">
        <v>108</v>
      </c>
      <c r="CH2" s="69"/>
      <c r="CI2" s="69"/>
      <c r="CJ2" s="69"/>
      <c r="CK2" s="69"/>
      <c r="CL2" s="69"/>
      <c r="CM2" s="69"/>
    </row>
    <row r="3" spans="1:91" ht="93.5" thickBot="1">
      <c r="A3" s="50" t="s">
        <v>4</v>
      </c>
      <c r="B3" s="50" t="s">
        <v>217</v>
      </c>
      <c r="C3" s="50" t="s">
        <v>5</v>
      </c>
      <c r="D3" s="50" t="s">
        <v>6</v>
      </c>
      <c r="E3" s="50" t="s">
        <v>0</v>
      </c>
      <c r="F3" s="50" t="s">
        <v>111</v>
      </c>
      <c r="G3" s="50" t="s">
        <v>1</v>
      </c>
      <c r="H3" s="50" t="s">
        <v>150</v>
      </c>
      <c r="I3" s="50" t="s">
        <v>218</v>
      </c>
      <c r="J3" s="50" t="s">
        <v>214</v>
      </c>
      <c r="K3" s="50" t="s">
        <v>82</v>
      </c>
      <c r="L3" s="50" t="s">
        <v>215</v>
      </c>
      <c r="M3" s="50" t="s">
        <v>83</v>
      </c>
      <c r="N3" s="50" t="s">
        <v>211</v>
      </c>
      <c r="O3" s="50" t="s">
        <v>212</v>
      </c>
      <c r="P3" s="50" t="s">
        <v>213</v>
      </c>
      <c r="Q3" s="51" t="s">
        <v>8</v>
      </c>
      <c r="R3" s="51" t="s">
        <v>3</v>
      </c>
      <c r="S3" s="50" t="s">
        <v>84</v>
      </c>
      <c r="T3" s="50" t="s">
        <v>65</v>
      </c>
      <c r="U3" s="50" t="s">
        <v>85</v>
      </c>
      <c r="V3" s="50" t="s">
        <v>9</v>
      </c>
      <c r="W3" s="50" t="s">
        <v>219</v>
      </c>
      <c r="X3" s="51" t="s">
        <v>157</v>
      </c>
      <c r="Y3" s="51" t="s">
        <v>164</v>
      </c>
      <c r="Z3" s="50" t="s">
        <v>163</v>
      </c>
      <c r="AA3" s="50" t="s">
        <v>166</v>
      </c>
      <c r="AB3" s="50" t="s">
        <v>167</v>
      </c>
      <c r="AC3" s="50" t="s">
        <v>171</v>
      </c>
      <c r="AD3" s="50" t="s">
        <v>220</v>
      </c>
      <c r="AE3" s="51" t="s">
        <v>168</v>
      </c>
      <c r="AF3" s="51" t="s">
        <v>158</v>
      </c>
      <c r="AG3" s="50" t="s">
        <v>169</v>
      </c>
      <c r="AH3" s="50" t="s">
        <v>165</v>
      </c>
      <c r="AI3" s="50" t="s">
        <v>170</v>
      </c>
      <c r="AJ3" s="50" t="s">
        <v>172</v>
      </c>
      <c r="AK3" s="50" t="s">
        <v>221</v>
      </c>
      <c r="AL3" s="50" t="s">
        <v>173</v>
      </c>
      <c r="AM3" s="50" t="s">
        <v>222</v>
      </c>
      <c r="AN3" s="50" t="s">
        <v>174</v>
      </c>
      <c r="AO3" s="50" t="s">
        <v>175</v>
      </c>
      <c r="AP3" s="50" t="s">
        <v>223</v>
      </c>
      <c r="AQ3" s="50" t="s">
        <v>224</v>
      </c>
      <c r="AR3" s="51" t="s">
        <v>176</v>
      </c>
      <c r="AS3" s="51" t="s">
        <v>177</v>
      </c>
      <c r="AT3" s="50" t="s">
        <v>159</v>
      </c>
      <c r="AU3" s="50" t="s">
        <v>178</v>
      </c>
      <c r="AV3" s="50" t="s">
        <v>179</v>
      </c>
      <c r="AW3" s="50" t="s">
        <v>180</v>
      </c>
      <c r="AX3" s="50" t="s">
        <v>225</v>
      </c>
      <c r="AY3" s="51" t="s">
        <v>181</v>
      </c>
      <c r="AZ3" s="51" t="s">
        <v>182</v>
      </c>
      <c r="BA3" s="50" t="s">
        <v>183</v>
      </c>
      <c r="BB3" s="50" t="s">
        <v>160</v>
      </c>
      <c r="BC3" s="50" t="s">
        <v>184</v>
      </c>
      <c r="BD3" s="50" t="s">
        <v>185</v>
      </c>
      <c r="BE3" s="50" t="s">
        <v>226</v>
      </c>
      <c r="BF3" s="51" t="s">
        <v>186</v>
      </c>
      <c r="BG3" s="51" t="s">
        <v>187</v>
      </c>
      <c r="BH3" s="50" t="s">
        <v>188</v>
      </c>
      <c r="BI3" s="50" t="s">
        <v>189</v>
      </c>
      <c r="BJ3" s="50" t="s">
        <v>161</v>
      </c>
      <c r="BK3" s="50" t="s">
        <v>190</v>
      </c>
      <c r="BL3" s="50" t="s">
        <v>227</v>
      </c>
      <c r="BM3" s="50" t="s">
        <v>191</v>
      </c>
      <c r="BN3" s="50" t="s">
        <v>233</v>
      </c>
      <c r="BO3" s="50" t="s">
        <v>192</v>
      </c>
      <c r="BP3" s="50" t="s">
        <v>193</v>
      </c>
      <c r="BQ3" s="50" t="s">
        <v>228</v>
      </c>
      <c r="BR3" s="50" t="s">
        <v>229</v>
      </c>
      <c r="BS3" s="50" t="s">
        <v>194</v>
      </c>
      <c r="BT3" s="50" t="s">
        <v>195</v>
      </c>
      <c r="BU3" s="50" t="s">
        <v>196</v>
      </c>
      <c r="BV3" s="50" t="s">
        <v>197</v>
      </c>
      <c r="BW3" s="50" t="s">
        <v>198</v>
      </c>
      <c r="BX3" s="50" t="s">
        <v>162</v>
      </c>
      <c r="BY3" s="50" t="s">
        <v>230</v>
      </c>
      <c r="BZ3" s="50" t="s">
        <v>199</v>
      </c>
      <c r="CA3" s="50" t="s">
        <v>200</v>
      </c>
      <c r="CB3" s="50" t="s">
        <v>201</v>
      </c>
      <c r="CC3" s="50" t="s">
        <v>202</v>
      </c>
      <c r="CD3" s="50" t="s">
        <v>203</v>
      </c>
      <c r="CE3" s="50" t="s">
        <v>204</v>
      </c>
      <c r="CF3" s="50" t="s">
        <v>231</v>
      </c>
      <c r="CG3" s="50" t="s">
        <v>205</v>
      </c>
      <c r="CH3" s="50" t="s">
        <v>206</v>
      </c>
      <c r="CI3" s="50" t="s">
        <v>207</v>
      </c>
      <c r="CJ3" s="50" t="s">
        <v>208</v>
      </c>
      <c r="CK3" s="50" t="s">
        <v>209</v>
      </c>
      <c r="CL3" s="50" t="s">
        <v>210</v>
      </c>
      <c r="CM3" s="50" t="s">
        <v>232</v>
      </c>
    </row>
    <row r="4" spans="1:91">
      <c r="A4" s="52"/>
      <c r="B4" s="5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1"/>
      <c r="P4" s="31"/>
      <c r="Q4" s="54"/>
      <c r="R4" s="21" t="str">
        <f>IFERROR(VLOOKUP(March[[#This Row],[Drug Name]],'Data Options'!$R$1:$S$100,2,FALSE), " ")</f>
        <v xml:space="preserve"> </v>
      </c>
      <c r="S4" s="55"/>
      <c r="T4" s="32"/>
      <c r="U4" s="32"/>
      <c r="V4" s="55"/>
      <c r="W4" s="32"/>
      <c r="X4" s="54"/>
      <c r="Y4" s="21" t="str">
        <f>IFERROR(VLOOKUP(March[[#This Row],[Drug Name2]],'Data Options'!$R$1:$S$100,2,FALSE), " ")</f>
        <v xml:space="preserve"> </v>
      </c>
      <c r="Z4" s="55"/>
      <c r="AA4" s="32"/>
      <c r="AB4" s="32"/>
      <c r="AC4" s="55"/>
      <c r="AD4" s="32"/>
      <c r="AE4" s="54"/>
      <c r="AF4" s="21" t="str">
        <f>IFERROR(VLOOKUP(March[[#This Row],[Drug Name3]],'Data Options'!$R$1:$S$100,2,FALSE), " ")</f>
        <v xml:space="preserve"> </v>
      </c>
      <c r="AG4" s="55"/>
      <c r="AH4" s="32"/>
      <c r="AI4" s="32"/>
      <c r="AJ4" s="55"/>
      <c r="AK4" s="32"/>
      <c r="AL4" s="32"/>
      <c r="AM4" s="32"/>
      <c r="AN4" s="32"/>
      <c r="AO4" s="32"/>
      <c r="AP4" s="31"/>
      <c r="AQ4" s="31"/>
      <c r="AR4" s="54"/>
      <c r="AS4" s="21" t="str">
        <f>IFERROR(VLOOKUP(March[[#This Row],[Drug Name4]],'Data Options'!$R$1:$S$100,2,FALSE), " ")</f>
        <v xml:space="preserve"> </v>
      </c>
      <c r="AT4" s="55"/>
      <c r="AU4" s="32"/>
      <c r="AV4" s="32"/>
      <c r="AW4" s="55"/>
      <c r="AX4" s="32"/>
      <c r="AY4" s="54"/>
      <c r="AZ4" s="21" t="str">
        <f>IFERROR(VLOOKUP(March[[#This Row],[Drug Name5]],'Data Options'!$R$1:$S$100,2,FALSE), " ")</f>
        <v xml:space="preserve"> </v>
      </c>
      <c r="BA4" s="55"/>
      <c r="BB4" s="32"/>
      <c r="BC4" s="32"/>
      <c r="BD4" s="55"/>
      <c r="BE4" s="32"/>
      <c r="BF4" s="54"/>
      <c r="BG4" s="21" t="str">
        <f>IFERROR(VLOOKUP(March[[#This Row],[Drug Name6]],'Data Options'!$R$1:$S$100,2,FALSE), " ")</f>
        <v xml:space="preserve"> </v>
      </c>
      <c r="BH4" s="55"/>
      <c r="BI4" s="32"/>
      <c r="BJ4" s="32"/>
      <c r="BK4" s="55"/>
      <c r="BL4" s="32"/>
      <c r="BM4" s="32"/>
      <c r="BN4" s="32"/>
      <c r="BO4" s="32"/>
      <c r="BP4" s="32"/>
      <c r="BQ4" s="31"/>
      <c r="BR4" s="31"/>
      <c r="BS4" s="54"/>
      <c r="BT4" s="21" t="str">
        <f>IFERROR(VLOOKUP(March[[#This Row],[Drug Name7]],'Data Options'!$R$1:$S$100,2,FALSE), " ")</f>
        <v xml:space="preserve"> </v>
      </c>
      <c r="BU4" s="55"/>
      <c r="BV4" s="32"/>
      <c r="BW4" s="32"/>
      <c r="BX4" s="55"/>
      <c r="BY4" s="32"/>
      <c r="BZ4" s="54"/>
      <c r="CA4" s="21" t="str">
        <f>IFERROR(VLOOKUP(March[[#This Row],[Drug Name8]],'Data Options'!$R$1:$S$100,2,FALSE), " ")</f>
        <v xml:space="preserve"> </v>
      </c>
      <c r="CB4" s="55"/>
      <c r="CC4" s="32"/>
      <c r="CD4" s="32"/>
      <c r="CE4" s="55"/>
      <c r="CF4" s="32"/>
      <c r="CG4" s="54"/>
      <c r="CH4" s="21" t="str">
        <f>IFERROR(VLOOKUP(March[[#This Row],[Drug Name9]],'Data Options'!$R$1:$S$100,2,FALSE), " ")</f>
        <v xml:space="preserve"> </v>
      </c>
      <c r="CI4" s="55"/>
      <c r="CJ4" s="32"/>
      <c r="CK4" s="32"/>
      <c r="CL4" s="55"/>
      <c r="CM4" s="32"/>
    </row>
    <row r="5" spans="1:91">
      <c r="A5" s="5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1"/>
      <c r="P5" s="31"/>
      <c r="Q5" s="54"/>
      <c r="R5" s="21" t="str">
        <f>IFERROR(VLOOKUP(March[[#This Row],[Drug Name]],'Data Options'!$R$1:$S$100,2,FALSE), " ")</f>
        <v xml:space="preserve"> </v>
      </c>
      <c r="S5" s="55"/>
      <c r="T5" s="32"/>
      <c r="U5" s="32"/>
      <c r="V5" s="55"/>
      <c r="W5" s="32"/>
      <c r="X5" s="54"/>
      <c r="Y5" s="21" t="str">
        <f>IFERROR(VLOOKUP(March[[#This Row],[Drug Name2]],'Data Options'!$R$1:$S$100,2,FALSE), " ")</f>
        <v xml:space="preserve"> </v>
      </c>
      <c r="Z5" s="55"/>
      <c r="AA5" s="32"/>
      <c r="AB5" s="32"/>
      <c r="AC5" s="55"/>
      <c r="AD5" s="32"/>
      <c r="AE5" s="54"/>
      <c r="AF5" s="21" t="str">
        <f>IFERROR(VLOOKUP(March[[#This Row],[Drug Name3]],'Data Options'!$R$1:$S$100,2,FALSE), " ")</f>
        <v xml:space="preserve"> </v>
      </c>
      <c r="AG5" s="55"/>
      <c r="AH5" s="32"/>
      <c r="AI5" s="32"/>
      <c r="AJ5" s="55"/>
      <c r="AK5" s="32"/>
      <c r="AL5" s="32"/>
      <c r="AM5" s="32"/>
      <c r="AN5" s="32"/>
      <c r="AO5" s="32"/>
      <c r="AP5" s="31"/>
      <c r="AQ5" s="31"/>
      <c r="AR5" s="54"/>
      <c r="AS5" s="21" t="str">
        <f>IFERROR(VLOOKUP(March[[#This Row],[Drug Name4]],'Data Options'!$R$1:$S$100,2,FALSE), " ")</f>
        <v xml:space="preserve"> </v>
      </c>
      <c r="AT5" s="55"/>
      <c r="AU5" s="32"/>
      <c r="AV5" s="32"/>
      <c r="AW5" s="55"/>
      <c r="AX5" s="32"/>
      <c r="AY5" s="54"/>
      <c r="AZ5" s="21" t="str">
        <f>IFERROR(VLOOKUP(March[[#This Row],[Drug Name5]],'Data Options'!$R$1:$S$100,2,FALSE), " ")</f>
        <v xml:space="preserve"> </v>
      </c>
      <c r="BA5" s="55"/>
      <c r="BB5" s="32"/>
      <c r="BC5" s="32"/>
      <c r="BD5" s="55"/>
      <c r="BE5" s="32"/>
      <c r="BF5" s="54"/>
      <c r="BG5" s="21" t="str">
        <f>IFERROR(VLOOKUP(March[[#This Row],[Drug Name6]],'Data Options'!$R$1:$S$100,2,FALSE), " ")</f>
        <v xml:space="preserve"> </v>
      </c>
      <c r="BH5" s="55"/>
      <c r="BI5" s="32"/>
      <c r="BJ5" s="32"/>
      <c r="BK5" s="55"/>
      <c r="BL5" s="32"/>
      <c r="BM5" s="32"/>
      <c r="BN5" s="32"/>
      <c r="BO5" s="32"/>
      <c r="BP5" s="32"/>
      <c r="BQ5" s="31"/>
      <c r="BR5" s="31"/>
      <c r="BS5" s="54"/>
      <c r="BT5" s="21" t="str">
        <f>IFERROR(VLOOKUP(March[[#This Row],[Drug Name7]],'Data Options'!$R$1:$S$100,2,FALSE), " ")</f>
        <v xml:space="preserve"> </v>
      </c>
      <c r="BU5" s="55"/>
      <c r="BV5" s="32"/>
      <c r="BW5" s="32"/>
      <c r="BX5" s="55"/>
      <c r="BY5" s="32"/>
      <c r="BZ5" s="54"/>
      <c r="CA5" s="21" t="str">
        <f>IFERROR(VLOOKUP(March[[#This Row],[Drug Name8]],'Data Options'!$R$1:$S$100,2,FALSE), " ")</f>
        <v xml:space="preserve"> </v>
      </c>
      <c r="CB5" s="55"/>
      <c r="CC5" s="32"/>
      <c r="CD5" s="32"/>
      <c r="CE5" s="55"/>
      <c r="CF5" s="32"/>
      <c r="CG5" s="54"/>
      <c r="CH5" s="21" t="str">
        <f>IFERROR(VLOOKUP(March[[#This Row],[Drug Name9]],'Data Options'!$R$1:$S$100,2,FALSE), " ")</f>
        <v xml:space="preserve"> </v>
      </c>
      <c r="CI5" s="55"/>
      <c r="CJ5" s="32"/>
      <c r="CK5" s="32"/>
      <c r="CL5" s="55"/>
      <c r="CM5" s="32"/>
    </row>
    <row r="6" spans="1:91">
      <c r="A6" s="5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1"/>
      <c r="P6" s="31"/>
      <c r="Q6" s="54"/>
      <c r="R6" s="21" t="str">
        <f>IFERROR(VLOOKUP(March[[#This Row],[Drug Name]],'Data Options'!$R$1:$S$100,2,FALSE), " ")</f>
        <v xml:space="preserve"> </v>
      </c>
      <c r="S6" s="55"/>
      <c r="T6" s="32"/>
      <c r="U6" s="32"/>
      <c r="V6" s="55"/>
      <c r="W6" s="32"/>
      <c r="X6" s="54"/>
      <c r="Y6" s="21" t="str">
        <f>IFERROR(VLOOKUP(March[[#This Row],[Drug Name2]],'Data Options'!$R$1:$S$100,2,FALSE), " ")</f>
        <v xml:space="preserve"> </v>
      </c>
      <c r="Z6" s="55"/>
      <c r="AA6" s="32"/>
      <c r="AB6" s="32"/>
      <c r="AC6" s="55"/>
      <c r="AD6" s="32"/>
      <c r="AE6" s="54"/>
      <c r="AF6" s="21" t="str">
        <f>IFERROR(VLOOKUP(March[[#This Row],[Drug Name3]],'Data Options'!$R$1:$S$100,2,FALSE), " ")</f>
        <v xml:space="preserve"> </v>
      </c>
      <c r="AG6" s="55"/>
      <c r="AH6" s="32"/>
      <c r="AI6" s="32"/>
      <c r="AJ6" s="55"/>
      <c r="AK6" s="32"/>
      <c r="AL6" s="32"/>
      <c r="AM6" s="32"/>
      <c r="AN6" s="32"/>
      <c r="AO6" s="32"/>
      <c r="AP6" s="31"/>
      <c r="AQ6" s="31"/>
      <c r="AR6" s="54"/>
      <c r="AS6" s="21" t="str">
        <f>IFERROR(VLOOKUP(March[[#This Row],[Drug Name4]],'Data Options'!$R$1:$S$100,2,FALSE), " ")</f>
        <v xml:space="preserve"> </v>
      </c>
      <c r="AT6" s="55"/>
      <c r="AU6" s="32"/>
      <c r="AV6" s="32"/>
      <c r="AW6" s="55"/>
      <c r="AX6" s="32"/>
      <c r="AY6" s="54"/>
      <c r="AZ6" s="21" t="str">
        <f>IFERROR(VLOOKUP(March[[#This Row],[Drug Name5]],'Data Options'!$R$1:$S$100,2,FALSE), " ")</f>
        <v xml:space="preserve"> </v>
      </c>
      <c r="BA6" s="55"/>
      <c r="BB6" s="32"/>
      <c r="BC6" s="32"/>
      <c r="BD6" s="55"/>
      <c r="BE6" s="32"/>
      <c r="BF6" s="54"/>
      <c r="BG6" s="21" t="str">
        <f>IFERROR(VLOOKUP(March[[#This Row],[Drug Name6]],'Data Options'!$R$1:$S$100,2,FALSE), " ")</f>
        <v xml:space="preserve"> </v>
      </c>
      <c r="BH6" s="55"/>
      <c r="BI6" s="32"/>
      <c r="BJ6" s="32"/>
      <c r="BK6" s="55"/>
      <c r="BL6" s="32"/>
      <c r="BM6" s="32"/>
      <c r="BN6" s="32"/>
      <c r="BO6" s="32"/>
      <c r="BP6" s="32"/>
      <c r="BQ6" s="31"/>
      <c r="BR6" s="31"/>
      <c r="BS6" s="54"/>
      <c r="BT6" s="21" t="str">
        <f>IFERROR(VLOOKUP(March[[#This Row],[Drug Name7]],'Data Options'!$R$1:$S$100,2,FALSE), " ")</f>
        <v xml:space="preserve"> </v>
      </c>
      <c r="BU6" s="55"/>
      <c r="BV6" s="32"/>
      <c r="BW6" s="32"/>
      <c r="BX6" s="55"/>
      <c r="BY6" s="32"/>
      <c r="BZ6" s="54"/>
      <c r="CA6" s="21" t="str">
        <f>IFERROR(VLOOKUP(March[[#This Row],[Drug Name8]],'Data Options'!$R$1:$S$100,2,FALSE), " ")</f>
        <v xml:space="preserve"> </v>
      </c>
      <c r="CB6" s="55"/>
      <c r="CC6" s="32"/>
      <c r="CD6" s="32"/>
      <c r="CE6" s="55"/>
      <c r="CF6" s="32"/>
      <c r="CG6" s="54"/>
      <c r="CH6" s="21" t="str">
        <f>IFERROR(VLOOKUP(March[[#This Row],[Drug Name9]],'Data Options'!$R$1:$S$100,2,FALSE), " ")</f>
        <v xml:space="preserve"> </v>
      </c>
      <c r="CI6" s="55"/>
      <c r="CJ6" s="32"/>
      <c r="CK6" s="32"/>
      <c r="CL6" s="55"/>
      <c r="CM6" s="32"/>
    </row>
    <row r="7" spans="1:91">
      <c r="A7" s="5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1"/>
      <c r="P7" s="31"/>
      <c r="Q7" s="54"/>
      <c r="R7" s="21" t="str">
        <f>IFERROR(VLOOKUP(March[[#This Row],[Drug Name]],'Data Options'!$R$1:$S$100,2,FALSE), " ")</f>
        <v xml:space="preserve"> </v>
      </c>
      <c r="S7" s="55"/>
      <c r="T7" s="32"/>
      <c r="U7" s="32"/>
      <c r="V7" s="55"/>
      <c r="W7" s="32"/>
      <c r="X7" s="54"/>
      <c r="Y7" s="21" t="str">
        <f>IFERROR(VLOOKUP(March[[#This Row],[Drug Name2]],'Data Options'!$R$1:$S$100,2,FALSE), " ")</f>
        <v xml:space="preserve"> </v>
      </c>
      <c r="Z7" s="55"/>
      <c r="AA7" s="32"/>
      <c r="AB7" s="32"/>
      <c r="AC7" s="55"/>
      <c r="AD7" s="32"/>
      <c r="AE7" s="54"/>
      <c r="AF7" s="21" t="str">
        <f>IFERROR(VLOOKUP(March[[#This Row],[Drug Name3]],'Data Options'!$R$1:$S$100,2,FALSE), " ")</f>
        <v xml:space="preserve"> </v>
      </c>
      <c r="AG7" s="55"/>
      <c r="AH7" s="32"/>
      <c r="AI7" s="32"/>
      <c r="AJ7" s="55"/>
      <c r="AK7" s="32"/>
      <c r="AL7" s="32"/>
      <c r="AM7" s="32"/>
      <c r="AN7" s="32"/>
      <c r="AO7" s="32"/>
      <c r="AP7" s="31"/>
      <c r="AQ7" s="31"/>
      <c r="AR7" s="54"/>
      <c r="AS7" s="21" t="str">
        <f>IFERROR(VLOOKUP(March[[#This Row],[Drug Name4]],'Data Options'!$R$1:$S$100,2,FALSE), " ")</f>
        <v xml:space="preserve"> </v>
      </c>
      <c r="AT7" s="55"/>
      <c r="AU7" s="32"/>
      <c r="AV7" s="32"/>
      <c r="AW7" s="55"/>
      <c r="AX7" s="32"/>
      <c r="AY7" s="54"/>
      <c r="AZ7" s="21" t="str">
        <f>IFERROR(VLOOKUP(March[[#This Row],[Drug Name5]],'Data Options'!$R$1:$S$100,2,FALSE), " ")</f>
        <v xml:space="preserve"> </v>
      </c>
      <c r="BA7" s="55"/>
      <c r="BB7" s="32"/>
      <c r="BC7" s="32"/>
      <c r="BD7" s="55"/>
      <c r="BE7" s="32"/>
      <c r="BF7" s="54"/>
      <c r="BG7" s="21" t="str">
        <f>IFERROR(VLOOKUP(March[[#This Row],[Drug Name6]],'Data Options'!$R$1:$S$100,2,FALSE), " ")</f>
        <v xml:space="preserve"> </v>
      </c>
      <c r="BH7" s="55"/>
      <c r="BI7" s="32"/>
      <c r="BJ7" s="32"/>
      <c r="BK7" s="55"/>
      <c r="BL7" s="32"/>
      <c r="BM7" s="32"/>
      <c r="BN7" s="32"/>
      <c r="BO7" s="32"/>
      <c r="BP7" s="32"/>
      <c r="BQ7" s="31"/>
      <c r="BR7" s="31"/>
      <c r="BS7" s="54"/>
      <c r="BT7" s="21" t="str">
        <f>IFERROR(VLOOKUP(March[[#This Row],[Drug Name7]],'Data Options'!$R$1:$S$100,2,FALSE), " ")</f>
        <v xml:space="preserve"> </v>
      </c>
      <c r="BU7" s="55"/>
      <c r="BV7" s="32"/>
      <c r="BW7" s="32"/>
      <c r="BX7" s="55"/>
      <c r="BY7" s="32"/>
      <c r="BZ7" s="54"/>
      <c r="CA7" s="21" t="str">
        <f>IFERROR(VLOOKUP(March[[#This Row],[Drug Name8]],'Data Options'!$R$1:$S$100,2,FALSE), " ")</f>
        <v xml:space="preserve"> </v>
      </c>
      <c r="CB7" s="55"/>
      <c r="CC7" s="32"/>
      <c r="CD7" s="32"/>
      <c r="CE7" s="55"/>
      <c r="CF7" s="32"/>
      <c r="CG7" s="54"/>
      <c r="CH7" s="21" t="str">
        <f>IFERROR(VLOOKUP(March[[#This Row],[Drug Name9]],'Data Options'!$R$1:$S$100,2,FALSE), " ")</f>
        <v xml:space="preserve"> </v>
      </c>
      <c r="CI7" s="55"/>
      <c r="CJ7" s="32"/>
      <c r="CK7" s="32"/>
      <c r="CL7" s="55"/>
      <c r="CM7" s="32"/>
    </row>
    <row r="8" spans="1:91">
      <c r="A8" s="5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1"/>
      <c r="P8" s="31"/>
      <c r="Q8" s="54"/>
      <c r="R8" s="21" t="str">
        <f>IFERROR(VLOOKUP(March[[#This Row],[Drug Name]],'Data Options'!$R$1:$S$100,2,FALSE), " ")</f>
        <v xml:space="preserve"> </v>
      </c>
      <c r="S8" s="55"/>
      <c r="T8" s="32"/>
      <c r="U8" s="32"/>
      <c r="V8" s="55"/>
      <c r="W8" s="32"/>
      <c r="X8" s="54"/>
      <c r="Y8" s="21" t="str">
        <f>IFERROR(VLOOKUP(March[[#This Row],[Drug Name2]],'Data Options'!$R$1:$S$100,2,FALSE), " ")</f>
        <v xml:space="preserve"> </v>
      </c>
      <c r="Z8" s="55"/>
      <c r="AA8" s="32"/>
      <c r="AB8" s="32"/>
      <c r="AC8" s="55"/>
      <c r="AD8" s="32"/>
      <c r="AE8" s="54"/>
      <c r="AF8" s="21" t="str">
        <f>IFERROR(VLOOKUP(March[[#This Row],[Drug Name3]],'Data Options'!$R$1:$S$100,2,FALSE), " ")</f>
        <v xml:space="preserve"> </v>
      </c>
      <c r="AG8" s="55"/>
      <c r="AH8" s="32"/>
      <c r="AI8" s="32"/>
      <c r="AJ8" s="55"/>
      <c r="AK8" s="32"/>
      <c r="AL8" s="32"/>
      <c r="AM8" s="32"/>
      <c r="AN8" s="32"/>
      <c r="AO8" s="32"/>
      <c r="AP8" s="31"/>
      <c r="AQ8" s="31"/>
      <c r="AR8" s="54"/>
      <c r="AS8" s="21" t="str">
        <f>IFERROR(VLOOKUP(March[[#This Row],[Drug Name4]],'Data Options'!$R$1:$S$100,2,FALSE), " ")</f>
        <v xml:space="preserve"> </v>
      </c>
      <c r="AT8" s="55"/>
      <c r="AU8" s="32"/>
      <c r="AV8" s="32"/>
      <c r="AW8" s="55"/>
      <c r="AX8" s="32"/>
      <c r="AY8" s="54"/>
      <c r="AZ8" s="21" t="str">
        <f>IFERROR(VLOOKUP(March[[#This Row],[Drug Name5]],'Data Options'!$R$1:$S$100,2,FALSE), " ")</f>
        <v xml:space="preserve"> </v>
      </c>
      <c r="BA8" s="55"/>
      <c r="BB8" s="32"/>
      <c r="BC8" s="32"/>
      <c r="BD8" s="55"/>
      <c r="BE8" s="32"/>
      <c r="BF8" s="54"/>
      <c r="BG8" s="21" t="str">
        <f>IFERROR(VLOOKUP(March[[#This Row],[Drug Name6]],'Data Options'!$R$1:$S$100,2,FALSE), " ")</f>
        <v xml:space="preserve"> </v>
      </c>
      <c r="BH8" s="55"/>
      <c r="BI8" s="32"/>
      <c r="BJ8" s="32"/>
      <c r="BK8" s="55"/>
      <c r="BL8" s="32"/>
      <c r="BM8" s="32"/>
      <c r="BN8" s="32"/>
      <c r="BO8" s="32"/>
      <c r="BP8" s="32"/>
      <c r="BQ8" s="31"/>
      <c r="BR8" s="31"/>
      <c r="BS8" s="54"/>
      <c r="BT8" s="21" t="str">
        <f>IFERROR(VLOOKUP(March[[#This Row],[Drug Name7]],'Data Options'!$R$1:$S$100,2,FALSE), " ")</f>
        <v xml:space="preserve"> </v>
      </c>
      <c r="BU8" s="55"/>
      <c r="BV8" s="32"/>
      <c r="BW8" s="32"/>
      <c r="BX8" s="55"/>
      <c r="BY8" s="32"/>
      <c r="BZ8" s="54"/>
      <c r="CA8" s="21" t="str">
        <f>IFERROR(VLOOKUP(March[[#This Row],[Drug Name8]],'Data Options'!$R$1:$S$100,2,FALSE), " ")</f>
        <v xml:space="preserve"> </v>
      </c>
      <c r="CB8" s="55"/>
      <c r="CC8" s="32"/>
      <c r="CD8" s="32"/>
      <c r="CE8" s="55"/>
      <c r="CF8" s="32"/>
      <c r="CG8" s="54"/>
      <c r="CH8" s="21" t="str">
        <f>IFERROR(VLOOKUP(March[[#This Row],[Drug Name9]],'Data Options'!$R$1:$S$100,2,FALSE), " ")</f>
        <v xml:space="preserve"> </v>
      </c>
      <c r="CI8" s="55"/>
      <c r="CJ8" s="32"/>
      <c r="CK8" s="32"/>
      <c r="CL8" s="55"/>
      <c r="CM8" s="32"/>
    </row>
    <row r="9" spans="1:91">
      <c r="A9" s="5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1"/>
      <c r="P9" s="31"/>
      <c r="Q9" s="54"/>
      <c r="R9" s="21" t="str">
        <f>IFERROR(VLOOKUP(March[[#This Row],[Drug Name]],'Data Options'!$R$1:$S$100,2,FALSE), " ")</f>
        <v xml:space="preserve"> </v>
      </c>
      <c r="S9" s="55"/>
      <c r="T9" s="32"/>
      <c r="U9" s="32"/>
      <c r="V9" s="55"/>
      <c r="W9" s="32"/>
      <c r="X9" s="54"/>
      <c r="Y9" s="21" t="str">
        <f>IFERROR(VLOOKUP(March[[#This Row],[Drug Name2]],'Data Options'!$R$1:$S$100,2,FALSE), " ")</f>
        <v xml:space="preserve"> </v>
      </c>
      <c r="Z9" s="55"/>
      <c r="AA9" s="32"/>
      <c r="AB9" s="32"/>
      <c r="AC9" s="55"/>
      <c r="AD9" s="32"/>
      <c r="AE9" s="54"/>
      <c r="AF9" s="21" t="str">
        <f>IFERROR(VLOOKUP(March[[#This Row],[Drug Name3]],'Data Options'!$R$1:$S$100,2,FALSE), " ")</f>
        <v xml:space="preserve"> </v>
      </c>
      <c r="AG9" s="55"/>
      <c r="AH9" s="32"/>
      <c r="AI9" s="32"/>
      <c r="AJ9" s="55"/>
      <c r="AK9" s="32"/>
      <c r="AL9" s="32"/>
      <c r="AM9" s="32"/>
      <c r="AN9" s="32"/>
      <c r="AO9" s="32"/>
      <c r="AP9" s="31"/>
      <c r="AQ9" s="31"/>
      <c r="AR9" s="54"/>
      <c r="AS9" s="21" t="str">
        <f>IFERROR(VLOOKUP(March[[#This Row],[Drug Name4]],'Data Options'!$R$1:$S$100,2,FALSE), " ")</f>
        <v xml:space="preserve"> </v>
      </c>
      <c r="AT9" s="55"/>
      <c r="AU9" s="32"/>
      <c r="AV9" s="32"/>
      <c r="AW9" s="55"/>
      <c r="AX9" s="32"/>
      <c r="AY9" s="54"/>
      <c r="AZ9" s="21" t="str">
        <f>IFERROR(VLOOKUP(March[[#This Row],[Drug Name5]],'Data Options'!$R$1:$S$100,2,FALSE), " ")</f>
        <v xml:space="preserve"> </v>
      </c>
      <c r="BA9" s="55"/>
      <c r="BB9" s="32"/>
      <c r="BC9" s="32"/>
      <c r="BD9" s="55"/>
      <c r="BE9" s="32"/>
      <c r="BF9" s="54"/>
      <c r="BG9" s="21" t="str">
        <f>IFERROR(VLOOKUP(March[[#This Row],[Drug Name6]],'Data Options'!$R$1:$S$100,2,FALSE), " ")</f>
        <v xml:space="preserve"> </v>
      </c>
      <c r="BH9" s="55"/>
      <c r="BI9" s="32"/>
      <c r="BJ9" s="32"/>
      <c r="BK9" s="55"/>
      <c r="BL9" s="32"/>
      <c r="BM9" s="32"/>
      <c r="BN9" s="32"/>
      <c r="BO9" s="32"/>
      <c r="BP9" s="32"/>
      <c r="BQ9" s="31"/>
      <c r="BR9" s="31"/>
      <c r="BS9" s="54"/>
      <c r="BT9" s="21" t="str">
        <f>IFERROR(VLOOKUP(March[[#This Row],[Drug Name7]],'Data Options'!$R$1:$S$100,2,FALSE), " ")</f>
        <v xml:space="preserve"> </v>
      </c>
      <c r="BU9" s="55"/>
      <c r="BV9" s="32"/>
      <c r="BW9" s="32"/>
      <c r="BX9" s="55"/>
      <c r="BY9" s="32"/>
      <c r="BZ9" s="54"/>
      <c r="CA9" s="21" t="str">
        <f>IFERROR(VLOOKUP(March[[#This Row],[Drug Name8]],'Data Options'!$R$1:$S$100,2,FALSE), " ")</f>
        <v xml:space="preserve"> </v>
      </c>
      <c r="CB9" s="55"/>
      <c r="CC9" s="32"/>
      <c r="CD9" s="32"/>
      <c r="CE9" s="55"/>
      <c r="CF9" s="32"/>
      <c r="CG9" s="54"/>
      <c r="CH9" s="21" t="str">
        <f>IFERROR(VLOOKUP(March[[#This Row],[Drug Name9]],'Data Options'!$R$1:$S$100,2,FALSE), " ")</f>
        <v xml:space="preserve"> </v>
      </c>
      <c r="CI9" s="55"/>
      <c r="CJ9" s="32"/>
      <c r="CK9" s="32"/>
      <c r="CL9" s="55"/>
      <c r="CM9" s="32"/>
    </row>
    <row r="10" spans="1:91">
      <c r="A10" s="5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1"/>
      <c r="P10" s="31"/>
      <c r="Q10" s="54"/>
      <c r="R10" s="21" t="str">
        <f>IFERROR(VLOOKUP(March[[#This Row],[Drug Name]],'Data Options'!$R$1:$S$100,2,FALSE), " ")</f>
        <v xml:space="preserve"> </v>
      </c>
      <c r="S10" s="55"/>
      <c r="T10" s="32"/>
      <c r="U10" s="32"/>
      <c r="V10" s="55"/>
      <c r="W10" s="32"/>
      <c r="X10" s="54"/>
      <c r="Y10" s="21" t="str">
        <f>IFERROR(VLOOKUP(March[[#This Row],[Drug Name2]],'Data Options'!$R$1:$S$100,2,FALSE), " ")</f>
        <v xml:space="preserve"> </v>
      </c>
      <c r="Z10" s="55"/>
      <c r="AA10" s="32"/>
      <c r="AB10" s="32"/>
      <c r="AC10" s="55"/>
      <c r="AD10" s="32"/>
      <c r="AE10" s="54"/>
      <c r="AF10" s="21" t="str">
        <f>IFERROR(VLOOKUP(March[[#This Row],[Drug Name3]],'Data Options'!$R$1:$S$100,2,FALSE), " ")</f>
        <v xml:space="preserve"> </v>
      </c>
      <c r="AG10" s="55"/>
      <c r="AH10" s="32"/>
      <c r="AI10" s="32"/>
      <c r="AJ10" s="55"/>
      <c r="AK10" s="32"/>
      <c r="AL10" s="32"/>
      <c r="AM10" s="32"/>
      <c r="AN10" s="32"/>
      <c r="AO10" s="32"/>
      <c r="AP10" s="31"/>
      <c r="AQ10" s="31"/>
      <c r="AR10" s="54"/>
      <c r="AS10" s="21" t="str">
        <f>IFERROR(VLOOKUP(March[[#This Row],[Drug Name4]],'Data Options'!$R$1:$S$100,2,FALSE), " ")</f>
        <v xml:space="preserve"> </v>
      </c>
      <c r="AT10" s="55"/>
      <c r="AU10" s="32"/>
      <c r="AV10" s="32"/>
      <c r="AW10" s="55"/>
      <c r="AX10" s="32"/>
      <c r="AY10" s="54"/>
      <c r="AZ10" s="21" t="str">
        <f>IFERROR(VLOOKUP(March[[#This Row],[Drug Name5]],'Data Options'!$R$1:$S$100,2,FALSE), " ")</f>
        <v xml:space="preserve"> </v>
      </c>
      <c r="BA10" s="55"/>
      <c r="BB10" s="32"/>
      <c r="BC10" s="32"/>
      <c r="BD10" s="55"/>
      <c r="BE10" s="32"/>
      <c r="BF10" s="54"/>
      <c r="BG10" s="21" t="str">
        <f>IFERROR(VLOOKUP(March[[#This Row],[Drug Name6]],'Data Options'!$R$1:$S$100,2,FALSE), " ")</f>
        <v xml:space="preserve"> </v>
      </c>
      <c r="BH10" s="55"/>
      <c r="BI10" s="32"/>
      <c r="BJ10" s="32"/>
      <c r="BK10" s="55"/>
      <c r="BL10" s="32"/>
      <c r="BM10" s="32"/>
      <c r="BN10" s="32"/>
      <c r="BO10" s="32"/>
      <c r="BP10" s="32"/>
      <c r="BQ10" s="31"/>
      <c r="BR10" s="31"/>
      <c r="BS10" s="54"/>
      <c r="BT10" s="21" t="str">
        <f>IFERROR(VLOOKUP(March[[#This Row],[Drug Name7]],'Data Options'!$R$1:$S$100,2,FALSE), " ")</f>
        <v xml:space="preserve"> </v>
      </c>
      <c r="BU10" s="55"/>
      <c r="BV10" s="32"/>
      <c r="BW10" s="32"/>
      <c r="BX10" s="55"/>
      <c r="BY10" s="32"/>
      <c r="BZ10" s="54"/>
      <c r="CA10" s="21" t="str">
        <f>IFERROR(VLOOKUP(March[[#This Row],[Drug Name8]],'Data Options'!$R$1:$S$100,2,FALSE), " ")</f>
        <v xml:space="preserve"> </v>
      </c>
      <c r="CB10" s="55"/>
      <c r="CC10" s="32"/>
      <c r="CD10" s="32"/>
      <c r="CE10" s="55"/>
      <c r="CF10" s="32"/>
      <c r="CG10" s="54"/>
      <c r="CH10" s="21" t="str">
        <f>IFERROR(VLOOKUP(March[[#This Row],[Drug Name9]],'Data Options'!$R$1:$S$100,2,FALSE), " ")</f>
        <v xml:space="preserve"> </v>
      </c>
      <c r="CI10" s="55"/>
      <c r="CJ10" s="32"/>
      <c r="CK10" s="32"/>
      <c r="CL10" s="55"/>
      <c r="CM10" s="32"/>
    </row>
    <row r="11" spans="1:91">
      <c r="A11" s="5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1"/>
      <c r="P11" s="31"/>
      <c r="Q11" s="54"/>
      <c r="R11" s="21" t="str">
        <f>IFERROR(VLOOKUP(March[[#This Row],[Drug Name]],'Data Options'!$R$1:$S$100,2,FALSE), " ")</f>
        <v xml:space="preserve"> </v>
      </c>
      <c r="S11" s="55"/>
      <c r="T11" s="32"/>
      <c r="U11" s="32"/>
      <c r="V11" s="55"/>
      <c r="W11" s="32"/>
      <c r="X11" s="54"/>
      <c r="Y11" s="21" t="str">
        <f>IFERROR(VLOOKUP(March[[#This Row],[Drug Name2]],'Data Options'!$R$1:$S$100,2,FALSE), " ")</f>
        <v xml:space="preserve"> </v>
      </c>
      <c r="Z11" s="55"/>
      <c r="AA11" s="32"/>
      <c r="AB11" s="32"/>
      <c r="AC11" s="55"/>
      <c r="AD11" s="32"/>
      <c r="AE11" s="54"/>
      <c r="AF11" s="21" t="str">
        <f>IFERROR(VLOOKUP(March[[#This Row],[Drug Name3]],'Data Options'!$R$1:$S$100,2,FALSE), " ")</f>
        <v xml:space="preserve"> </v>
      </c>
      <c r="AG11" s="55"/>
      <c r="AH11" s="32"/>
      <c r="AI11" s="32"/>
      <c r="AJ11" s="55"/>
      <c r="AK11" s="32"/>
      <c r="AL11" s="32"/>
      <c r="AM11" s="32"/>
      <c r="AN11" s="32"/>
      <c r="AO11" s="32"/>
      <c r="AP11" s="31"/>
      <c r="AQ11" s="31"/>
      <c r="AR11" s="54"/>
      <c r="AS11" s="21" t="str">
        <f>IFERROR(VLOOKUP(March[[#This Row],[Drug Name4]],'Data Options'!$R$1:$S$100,2,FALSE), " ")</f>
        <v xml:space="preserve"> </v>
      </c>
      <c r="AT11" s="55"/>
      <c r="AU11" s="32"/>
      <c r="AV11" s="32"/>
      <c r="AW11" s="55"/>
      <c r="AX11" s="32"/>
      <c r="AY11" s="54"/>
      <c r="AZ11" s="21" t="str">
        <f>IFERROR(VLOOKUP(March[[#This Row],[Drug Name5]],'Data Options'!$R$1:$S$100,2,FALSE), " ")</f>
        <v xml:space="preserve"> </v>
      </c>
      <c r="BA11" s="55"/>
      <c r="BB11" s="32"/>
      <c r="BC11" s="32"/>
      <c r="BD11" s="55"/>
      <c r="BE11" s="32"/>
      <c r="BF11" s="54"/>
      <c r="BG11" s="21" t="str">
        <f>IFERROR(VLOOKUP(March[[#This Row],[Drug Name6]],'Data Options'!$R$1:$S$100,2,FALSE), " ")</f>
        <v xml:space="preserve"> </v>
      </c>
      <c r="BH11" s="55"/>
      <c r="BI11" s="32"/>
      <c r="BJ11" s="32"/>
      <c r="BK11" s="55"/>
      <c r="BL11" s="32"/>
      <c r="BM11" s="32"/>
      <c r="BN11" s="32"/>
      <c r="BO11" s="32"/>
      <c r="BP11" s="32"/>
      <c r="BQ11" s="31"/>
      <c r="BR11" s="31"/>
      <c r="BS11" s="54"/>
      <c r="BT11" s="21" t="str">
        <f>IFERROR(VLOOKUP(March[[#This Row],[Drug Name7]],'Data Options'!$R$1:$S$100,2,FALSE), " ")</f>
        <v xml:space="preserve"> </v>
      </c>
      <c r="BU11" s="55"/>
      <c r="BV11" s="32"/>
      <c r="BW11" s="32"/>
      <c r="BX11" s="55"/>
      <c r="BY11" s="32"/>
      <c r="BZ11" s="54"/>
      <c r="CA11" s="21" t="str">
        <f>IFERROR(VLOOKUP(March[[#This Row],[Drug Name8]],'Data Options'!$R$1:$S$100,2,FALSE), " ")</f>
        <v xml:space="preserve"> </v>
      </c>
      <c r="CB11" s="55"/>
      <c r="CC11" s="32"/>
      <c r="CD11" s="32"/>
      <c r="CE11" s="55"/>
      <c r="CF11" s="32"/>
      <c r="CG11" s="54"/>
      <c r="CH11" s="21" t="str">
        <f>IFERROR(VLOOKUP(March[[#This Row],[Drug Name9]],'Data Options'!$R$1:$S$100,2,FALSE), " ")</f>
        <v xml:space="preserve"> </v>
      </c>
      <c r="CI11" s="55"/>
      <c r="CJ11" s="32"/>
      <c r="CK11" s="32"/>
      <c r="CL11" s="55"/>
      <c r="CM11" s="32"/>
    </row>
    <row r="12" spans="1:91">
      <c r="A12" s="5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1"/>
      <c r="P12" s="31"/>
      <c r="Q12" s="54"/>
      <c r="R12" s="21" t="str">
        <f>IFERROR(VLOOKUP(March[[#This Row],[Drug Name]],'Data Options'!$R$1:$S$100,2,FALSE), " ")</f>
        <v xml:space="preserve"> </v>
      </c>
      <c r="S12" s="55"/>
      <c r="T12" s="32"/>
      <c r="U12" s="32"/>
      <c r="V12" s="55"/>
      <c r="W12" s="32"/>
      <c r="X12" s="54"/>
      <c r="Y12" s="21" t="str">
        <f>IFERROR(VLOOKUP(March[[#This Row],[Drug Name2]],'Data Options'!$R$1:$S$100,2,FALSE), " ")</f>
        <v xml:space="preserve"> </v>
      </c>
      <c r="Z12" s="55"/>
      <c r="AA12" s="32"/>
      <c r="AB12" s="32"/>
      <c r="AC12" s="55"/>
      <c r="AD12" s="32"/>
      <c r="AE12" s="54"/>
      <c r="AF12" s="21" t="str">
        <f>IFERROR(VLOOKUP(March[[#This Row],[Drug Name3]],'Data Options'!$R$1:$S$100,2,FALSE), " ")</f>
        <v xml:space="preserve"> </v>
      </c>
      <c r="AG12" s="55"/>
      <c r="AH12" s="32"/>
      <c r="AI12" s="32"/>
      <c r="AJ12" s="55"/>
      <c r="AK12" s="32"/>
      <c r="AL12" s="32"/>
      <c r="AM12" s="32"/>
      <c r="AN12" s="32"/>
      <c r="AO12" s="32"/>
      <c r="AP12" s="31"/>
      <c r="AQ12" s="31"/>
      <c r="AR12" s="54"/>
      <c r="AS12" s="21" t="str">
        <f>IFERROR(VLOOKUP(March[[#This Row],[Drug Name4]],'Data Options'!$R$1:$S$100,2,FALSE), " ")</f>
        <v xml:space="preserve"> </v>
      </c>
      <c r="AT12" s="55"/>
      <c r="AU12" s="32"/>
      <c r="AV12" s="32"/>
      <c r="AW12" s="55"/>
      <c r="AX12" s="32"/>
      <c r="AY12" s="54"/>
      <c r="AZ12" s="21" t="str">
        <f>IFERROR(VLOOKUP(March[[#This Row],[Drug Name5]],'Data Options'!$R$1:$S$100,2,FALSE), " ")</f>
        <v xml:space="preserve"> </v>
      </c>
      <c r="BA12" s="55"/>
      <c r="BB12" s="32"/>
      <c r="BC12" s="32"/>
      <c r="BD12" s="55"/>
      <c r="BE12" s="32"/>
      <c r="BF12" s="54"/>
      <c r="BG12" s="21" t="str">
        <f>IFERROR(VLOOKUP(March[[#This Row],[Drug Name6]],'Data Options'!$R$1:$S$100,2,FALSE), " ")</f>
        <v xml:space="preserve"> </v>
      </c>
      <c r="BH12" s="55"/>
      <c r="BI12" s="32"/>
      <c r="BJ12" s="32"/>
      <c r="BK12" s="55"/>
      <c r="BL12" s="32"/>
      <c r="BM12" s="32"/>
      <c r="BN12" s="32"/>
      <c r="BO12" s="32"/>
      <c r="BP12" s="32"/>
      <c r="BQ12" s="31"/>
      <c r="BR12" s="31"/>
      <c r="BS12" s="54"/>
      <c r="BT12" s="21" t="str">
        <f>IFERROR(VLOOKUP(March[[#This Row],[Drug Name7]],'Data Options'!$R$1:$S$100,2,FALSE), " ")</f>
        <v xml:space="preserve"> </v>
      </c>
      <c r="BU12" s="55"/>
      <c r="BV12" s="32"/>
      <c r="BW12" s="32"/>
      <c r="BX12" s="55"/>
      <c r="BY12" s="32"/>
      <c r="BZ12" s="54"/>
      <c r="CA12" s="21" t="str">
        <f>IFERROR(VLOOKUP(March[[#This Row],[Drug Name8]],'Data Options'!$R$1:$S$100,2,FALSE), " ")</f>
        <v xml:space="preserve"> </v>
      </c>
      <c r="CB12" s="55"/>
      <c r="CC12" s="32"/>
      <c r="CD12" s="32"/>
      <c r="CE12" s="55"/>
      <c r="CF12" s="32"/>
      <c r="CG12" s="54"/>
      <c r="CH12" s="21" t="str">
        <f>IFERROR(VLOOKUP(March[[#This Row],[Drug Name9]],'Data Options'!$R$1:$S$100,2,FALSE), " ")</f>
        <v xml:space="preserve"> </v>
      </c>
      <c r="CI12" s="55"/>
      <c r="CJ12" s="32"/>
      <c r="CK12" s="32"/>
      <c r="CL12" s="55"/>
      <c r="CM12" s="32"/>
    </row>
    <row r="13" spans="1:91">
      <c r="A13" s="5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1"/>
      <c r="P13" s="31"/>
      <c r="Q13" s="54"/>
      <c r="R13" s="21" t="str">
        <f>IFERROR(VLOOKUP(March[[#This Row],[Drug Name]],'Data Options'!$R$1:$S$100,2,FALSE), " ")</f>
        <v xml:space="preserve"> </v>
      </c>
      <c r="S13" s="55"/>
      <c r="T13" s="32"/>
      <c r="U13" s="32"/>
      <c r="V13" s="55"/>
      <c r="W13" s="32"/>
      <c r="X13" s="54"/>
      <c r="Y13" s="21" t="str">
        <f>IFERROR(VLOOKUP(March[[#This Row],[Drug Name2]],'Data Options'!$R$1:$S$100,2,FALSE), " ")</f>
        <v xml:space="preserve"> </v>
      </c>
      <c r="Z13" s="55"/>
      <c r="AA13" s="32"/>
      <c r="AB13" s="32"/>
      <c r="AC13" s="55"/>
      <c r="AD13" s="32"/>
      <c r="AE13" s="54"/>
      <c r="AF13" s="21" t="str">
        <f>IFERROR(VLOOKUP(March[[#This Row],[Drug Name3]],'Data Options'!$R$1:$S$100,2,FALSE), " ")</f>
        <v xml:space="preserve"> </v>
      </c>
      <c r="AG13" s="55"/>
      <c r="AH13" s="32"/>
      <c r="AI13" s="32"/>
      <c r="AJ13" s="55"/>
      <c r="AK13" s="32"/>
      <c r="AL13" s="32"/>
      <c r="AM13" s="32"/>
      <c r="AN13" s="32"/>
      <c r="AO13" s="32"/>
      <c r="AP13" s="31"/>
      <c r="AQ13" s="31"/>
      <c r="AR13" s="54"/>
      <c r="AS13" s="21" t="str">
        <f>IFERROR(VLOOKUP(March[[#This Row],[Drug Name4]],'Data Options'!$R$1:$S$100,2,FALSE), " ")</f>
        <v xml:space="preserve"> </v>
      </c>
      <c r="AT13" s="55"/>
      <c r="AU13" s="32"/>
      <c r="AV13" s="32"/>
      <c r="AW13" s="55"/>
      <c r="AX13" s="32"/>
      <c r="AY13" s="54"/>
      <c r="AZ13" s="21" t="str">
        <f>IFERROR(VLOOKUP(March[[#This Row],[Drug Name5]],'Data Options'!$R$1:$S$100,2,FALSE), " ")</f>
        <v xml:space="preserve"> </v>
      </c>
      <c r="BA13" s="55"/>
      <c r="BB13" s="32"/>
      <c r="BC13" s="32"/>
      <c r="BD13" s="55"/>
      <c r="BE13" s="32"/>
      <c r="BF13" s="54"/>
      <c r="BG13" s="21" t="str">
        <f>IFERROR(VLOOKUP(March[[#This Row],[Drug Name6]],'Data Options'!$R$1:$S$100,2,FALSE), " ")</f>
        <v xml:space="preserve"> </v>
      </c>
      <c r="BH13" s="55"/>
      <c r="BI13" s="32"/>
      <c r="BJ13" s="32"/>
      <c r="BK13" s="55"/>
      <c r="BL13" s="32"/>
      <c r="BM13" s="32"/>
      <c r="BN13" s="32"/>
      <c r="BO13" s="32"/>
      <c r="BP13" s="32"/>
      <c r="BQ13" s="31"/>
      <c r="BR13" s="31"/>
      <c r="BS13" s="54"/>
      <c r="BT13" s="21" t="str">
        <f>IFERROR(VLOOKUP(March[[#This Row],[Drug Name7]],'Data Options'!$R$1:$S$100,2,FALSE), " ")</f>
        <v xml:space="preserve"> </v>
      </c>
      <c r="BU13" s="55"/>
      <c r="BV13" s="32"/>
      <c r="BW13" s="32"/>
      <c r="BX13" s="55"/>
      <c r="BY13" s="32"/>
      <c r="BZ13" s="54"/>
      <c r="CA13" s="21" t="str">
        <f>IFERROR(VLOOKUP(March[[#This Row],[Drug Name8]],'Data Options'!$R$1:$S$100,2,FALSE), " ")</f>
        <v xml:space="preserve"> </v>
      </c>
      <c r="CB13" s="55"/>
      <c r="CC13" s="32"/>
      <c r="CD13" s="32"/>
      <c r="CE13" s="55"/>
      <c r="CF13" s="32"/>
      <c r="CG13" s="54"/>
      <c r="CH13" s="21" t="str">
        <f>IFERROR(VLOOKUP(March[[#This Row],[Drug Name9]],'Data Options'!$R$1:$S$100,2,FALSE), " ")</f>
        <v xml:space="preserve"> </v>
      </c>
      <c r="CI13" s="55"/>
      <c r="CJ13" s="32"/>
      <c r="CK13" s="32"/>
      <c r="CL13" s="55"/>
      <c r="CM13" s="32"/>
    </row>
    <row r="14" spans="1:91">
      <c r="A14" s="5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54"/>
      <c r="R14" s="21" t="str">
        <f>IFERROR(VLOOKUP(March[[#This Row],[Drug Name]],'Data Options'!$R$1:$S$100,2,FALSE), " ")</f>
        <v xml:space="preserve"> </v>
      </c>
      <c r="S14" s="55"/>
      <c r="T14" s="32"/>
      <c r="U14" s="32"/>
      <c r="V14" s="55"/>
      <c r="W14" s="32"/>
      <c r="X14" s="54"/>
      <c r="Y14" s="21" t="str">
        <f>IFERROR(VLOOKUP(March[[#This Row],[Drug Name2]],'Data Options'!$R$1:$S$100,2,FALSE), " ")</f>
        <v xml:space="preserve"> </v>
      </c>
      <c r="Z14" s="55"/>
      <c r="AA14" s="32"/>
      <c r="AB14" s="32"/>
      <c r="AC14" s="55"/>
      <c r="AD14" s="32"/>
      <c r="AE14" s="54"/>
      <c r="AF14" s="21" t="str">
        <f>IFERROR(VLOOKUP(March[[#This Row],[Drug Name3]],'Data Options'!$R$1:$S$100,2,FALSE), " ")</f>
        <v xml:space="preserve"> </v>
      </c>
      <c r="AG14" s="55"/>
      <c r="AH14" s="32"/>
      <c r="AI14" s="32"/>
      <c r="AJ14" s="55"/>
      <c r="AK14" s="32"/>
      <c r="AL14" s="32"/>
      <c r="AM14" s="32"/>
      <c r="AN14" s="32"/>
      <c r="AO14" s="32"/>
      <c r="AP14" s="31"/>
      <c r="AQ14" s="31"/>
      <c r="AR14" s="54"/>
      <c r="AS14" s="21" t="str">
        <f>IFERROR(VLOOKUP(March[[#This Row],[Drug Name4]],'Data Options'!$R$1:$S$100,2,FALSE), " ")</f>
        <v xml:space="preserve"> </v>
      </c>
      <c r="AT14" s="55"/>
      <c r="AU14" s="32"/>
      <c r="AV14" s="32"/>
      <c r="AW14" s="55"/>
      <c r="AX14" s="32"/>
      <c r="AY14" s="54"/>
      <c r="AZ14" s="21" t="str">
        <f>IFERROR(VLOOKUP(March[[#This Row],[Drug Name5]],'Data Options'!$R$1:$S$100,2,FALSE), " ")</f>
        <v xml:space="preserve"> </v>
      </c>
      <c r="BA14" s="55"/>
      <c r="BB14" s="32"/>
      <c r="BC14" s="32"/>
      <c r="BD14" s="55"/>
      <c r="BE14" s="32"/>
      <c r="BF14" s="54"/>
      <c r="BG14" s="21" t="str">
        <f>IFERROR(VLOOKUP(March[[#This Row],[Drug Name6]],'Data Options'!$R$1:$S$100,2,FALSE), " ")</f>
        <v xml:space="preserve"> </v>
      </c>
      <c r="BH14" s="55"/>
      <c r="BI14" s="32"/>
      <c r="BJ14" s="32"/>
      <c r="BK14" s="55"/>
      <c r="BL14" s="32"/>
      <c r="BM14" s="32"/>
      <c r="BN14" s="32"/>
      <c r="BO14" s="32"/>
      <c r="BP14" s="32"/>
      <c r="BQ14" s="31"/>
      <c r="BR14" s="31"/>
      <c r="BS14" s="54"/>
      <c r="BT14" s="21" t="str">
        <f>IFERROR(VLOOKUP(March[[#This Row],[Drug Name7]],'Data Options'!$R$1:$S$100,2,FALSE), " ")</f>
        <v xml:space="preserve"> </v>
      </c>
      <c r="BU14" s="55"/>
      <c r="BV14" s="32"/>
      <c r="BW14" s="32"/>
      <c r="BX14" s="55"/>
      <c r="BY14" s="32"/>
      <c r="BZ14" s="54"/>
      <c r="CA14" s="21" t="str">
        <f>IFERROR(VLOOKUP(March[[#This Row],[Drug Name8]],'Data Options'!$R$1:$S$100,2,FALSE), " ")</f>
        <v xml:space="preserve"> </v>
      </c>
      <c r="CB14" s="55"/>
      <c r="CC14" s="32"/>
      <c r="CD14" s="32"/>
      <c r="CE14" s="55"/>
      <c r="CF14" s="32"/>
      <c r="CG14" s="54"/>
      <c r="CH14" s="21" t="str">
        <f>IFERROR(VLOOKUP(March[[#This Row],[Drug Name9]],'Data Options'!$R$1:$S$100,2,FALSE), " ")</f>
        <v xml:space="preserve"> </v>
      </c>
      <c r="CI14" s="55"/>
      <c r="CJ14" s="32"/>
      <c r="CK14" s="32"/>
      <c r="CL14" s="55"/>
      <c r="CM14" s="32"/>
    </row>
    <row r="15" spans="1:91">
      <c r="A15" s="5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54"/>
      <c r="R15" s="21" t="str">
        <f>IFERROR(VLOOKUP(March[[#This Row],[Drug Name]],'Data Options'!$R$1:$S$100,2,FALSE), " ")</f>
        <v xml:space="preserve"> </v>
      </c>
      <c r="S15" s="55"/>
      <c r="T15" s="32"/>
      <c r="U15" s="32"/>
      <c r="V15" s="55"/>
      <c r="W15" s="32"/>
      <c r="X15" s="54"/>
      <c r="Y15" s="21" t="str">
        <f>IFERROR(VLOOKUP(March[[#This Row],[Drug Name2]],'Data Options'!$R$1:$S$100,2,FALSE), " ")</f>
        <v xml:space="preserve"> </v>
      </c>
      <c r="Z15" s="55"/>
      <c r="AA15" s="32"/>
      <c r="AB15" s="32"/>
      <c r="AC15" s="55"/>
      <c r="AD15" s="32"/>
      <c r="AE15" s="54"/>
      <c r="AF15" s="21" t="str">
        <f>IFERROR(VLOOKUP(March[[#This Row],[Drug Name3]],'Data Options'!$R$1:$S$100,2,FALSE), " ")</f>
        <v xml:space="preserve"> </v>
      </c>
      <c r="AG15" s="55"/>
      <c r="AH15" s="32"/>
      <c r="AI15" s="32"/>
      <c r="AJ15" s="55"/>
      <c r="AK15" s="32"/>
      <c r="AL15" s="32"/>
      <c r="AM15" s="32"/>
      <c r="AN15" s="32"/>
      <c r="AO15" s="32"/>
      <c r="AP15" s="31"/>
      <c r="AQ15" s="31"/>
      <c r="AR15" s="54"/>
      <c r="AS15" s="21" t="str">
        <f>IFERROR(VLOOKUP(March[[#This Row],[Drug Name4]],'Data Options'!$R$1:$S$100,2,FALSE), " ")</f>
        <v xml:space="preserve"> </v>
      </c>
      <c r="AT15" s="55"/>
      <c r="AU15" s="32"/>
      <c r="AV15" s="32"/>
      <c r="AW15" s="55"/>
      <c r="AX15" s="32"/>
      <c r="AY15" s="54"/>
      <c r="AZ15" s="21" t="str">
        <f>IFERROR(VLOOKUP(March[[#This Row],[Drug Name5]],'Data Options'!$R$1:$S$100,2,FALSE), " ")</f>
        <v xml:space="preserve"> </v>
      </c>
      <c r="BA15" s="55"/>
      <c r="BB15" s="32"/>
      <c r="BC15" s="32"/>
      <c r="BD15" s="55"/>
      <c r="BE15" s="32"/>
      <c r="BF15" s="54"/>
      <c r="BG15" s="21" t="str">
        <f>IFERROR(VLOOKUP(March[[#This Row],[Drug Name6]],'Data Options'!$R$1:$S$100,2,FALSE), " ")</f>
        <v xml:space="preserve"> </v>
      </c>
      <c r="BH15" s="55"/>
      <c r="BI15" s="32"/>
      <c r="BJ15" s="32"/>
      <c r="BK15" s="55"/>
      <c r="BL15" s="32"/>
      <c r="BM15" s="32"/>
      <c r="BN15" s="32"/>
      <c r="BO15" s="32"/>
      <c r="BP15" s="32"/>
      <c r="BQ15" s="31"/>
      <c r="BR15" s="31"/>
      <c r="BS15" s="54"/>
      <c r="BT15" s="21" t="str">
        <f>IFERROR(VLOOKUP(March[[#This Row],[Drug Name7]],'Data Options'!$R$1:$S$100,2,FALSE), " ")</f>
        <v xml:space="preserve"> </v>
      </c>
      <c r="BU15" s="55"/>
      <c r="BV15" s="32"/>
      <c r="BW15" s="32"/>
      <c r="BX15" s="55"/>
      <c r="BY15" s="32"/>
      <c r="BZ15" s="54"/>
      <c r="CA15" s="21" t="str">
        <f>IFERROR(VLOOKUP(March[[#This Row],[Drug Name8]],'Data Options'!$R$1:$S$100,2,FALSE), " ")</f>
        <v xml:space="preserve"> </v>
      </c>
      <c r="CB15" s="55"/>
      <c r="CC15" s="32"/>
      <c r="CD15" s="32"/>
      <c r="CE15" s="55"/>
      <c r="CF15" s="32"/>
      <c r="CG15" s="54"/>
      <c r="CH15" s="21" t="str">
        <f>IFERROR(VLOOKUP(March[[#This Row],[Drug Name9]],'Data Options'!$R$1:$S$100,2,FALSE), " ")</f>
        <v xml:space="preserve"> </v>
      </c>
      <c r="CI15" s="55"/>
      <c r="CJ15" s="32"/>
      <c r="CK15" s="32"/>
      <c r="CL15" s="55"/>
      <c r="CM15" s="32"/>
    </row>
    <row r="16" spans="1:91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1"/>
      <c r="Q16" s="54"/>
      <c r="R16" s="21" t="str">
        <f>IFERROR(VLOOKUP(March[[#This Row],[Drug Name]],'Data Options'!$R$1:$S$100,2,FALSE), " ")</f>
        <v xml:space="preserve"> </v>
      </c>
      <c r="S16" s="55"/>
      <c r="T16" s="32"/>
      <c r="U16" s="32"/>
      <c r="V16" s="55"/>
      <c r="W16" s="32"/>
      <c r="X16" s="54"/>
      <c r="Y16" s="21" t="str">
        <f>IFERROR(VLOOKUP(March[[#This Row],[Drug Name2]],'Data Options'!$R$1:$S$100,2,FALSE), " ")</f>
        <v xml:space="preserve"> </v>
      </c>
      <c r="Z16" s="55"/>
      <c r="AA16" s="32"/>
      <c r="AB16" s="32"/>
      <c r="AC16" s="55"/>
      <c r="AD16" s="32"/>
      <c r="AE16" s="54"/>
      <c r="AF16" s="21" t="str">
        <f>IFERROR(VLOOKUP(March[[#This Row],[Drug Name3]],'Data Options'!$R$1:$S$100,2,FALSE), " ")</f>
        <v xml:space="preserve"> </v>
      </c>
      <c r="AG16" s="55"/>
      <c r="AH16" s="32"/>
      <c r="AI16" s="32"/>
      <c r="AJ16" s="55"/>
      <c r="AK16" s="32"/>
      <c r="AL16" s="32"/>
      <c r="AM16" s="32"/>
      <c r="AN16" s="32"/>
      <c r="AO16" s="32"/>
      <c r="AP16" s="31"/>
      <c r="AQ16" s="31"/>
      <c r="AR16" s="54"/>
      <c r="AS16" s="21" t="str">
        <f>IFERROR(VLOOKUP(March[[#This Row],[Drug Name4]],'Data Options'!$R$1:$S$100,2,FALSE), " ")</f>
        <v xml:space="preserve"> </v>
      </c>
      <c r="AT16" s="55"/>
      <c r="AU16" s="32"/>
      <c r="AV16" s="32"/>
      <c r="AW16" s="55"/>
      <c r="AX16" s="32"/>
      <c r="AY16" s="54"/>
      <c r="AZ16" s="21" t="str">
        <f>IFERROR(VLOOKUP(March[[#This Row],[Drug Name5]],'Data Options'!$R$1:$S$100,2,FALSE), " ")</f>
        <v xml:space="preserve"> </v>
      </c>
      <c r="BA16" s="55"/>
      <c r="BB16" s="32"/>
      <c r="BC16" s="32"/>
      <c r="BD16" s="55"/>
      <c r="BE16" s="32"/>
      <c r="BF16" s="54"/>
      <c r="BG16" s="21" t="str">
        <f>IFERROR(VLOOKUP(March[[#This Row],[Drug Name6]],'Data Options'!$R$1:$S$100,2,FALSE), " ")</f>
        <v xml:space="preserve"> </v>
      </c>
      <c r="BH16" s="55"/>
      <c r="BI16" s="32"/>
      <c r="BJ16" s="32"/>
      <c r="BK16" s="55"/>
      <c r="BL16" s="32"/>
      <c r="BM16" s="32"/>
      <c r="BN16" s="32"/>
      <c r="BO16" s="32"/>
      <c r="BP16" s="32"/>
      <c r="BQ16" s="31"/>
      <c r="BR16" s="31"/>
      <c r="BS16" s="54"/>
      <c r="BT16" s="21" t="str">
        <f>IFERROR(VLOOKUP(March[[#This Row],[Drug Name7]],'Data Options'!$R$1:$S$100,2,FALSE), " ")</f>
        <v xml:space="preserve"> </v>
      </c>
      <c r="BU16" s="55"/>
      <c r="BV16" s="32"/>
      <c r="BW16" s="32"/>
      <c r="BX16" s="55"/>
      <c r="BY16" s="32"/>
      <c r="BZ16" s="54"/>
      <c r="CA16" s="21" t="str">
        <f>IFERROR(VLOOKUP(March[[#This Row],[Drug Name8]],'Data Options'!$R$1:$S$100,2,FALSE), " ")</f>
        <v xml:space="preserve"> </v>
      </c>
      <c r="CB16" s="55"/>
      <c r="CC16" s="32"/>
      <c r="CD16" s="32"/>
      <c r="CE16" s="55"/>
      <c r="CF16" s="32"/>
      <c r="CG16" s="54"/>
      <c r="CH16" s="21" t="str">
        <f>IFERROR(VLOOKUP(March[[#This Row],[Drug Name9]],'Data Options'!$R$1:$S$100,2,FALSE), " ")</f>
        <v xml:space="preserve"> </v>
      </c>
      <c r="CI16" s="55"/>
      <c r="CJ16" s="32"/>
      <c r="CK16" s="32"/>
      <c r="CL16" s="55"/>
      <c r="CM16" s="32"/>
    </row>
    <row r="17" spans="1:91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1"/>
      <c r="Q17" s="54"/>
      <c r="R17" s="21" t="str">
        <f>IFERROR(VLOOKUP(March[[#This Row],[Drug Name]],'Data Options'!$R$1:$S$100,2,FALSE), " ")</f>
        <v xml:space="preserve"> </v>
      </c>
      <c r="S17" s="55"/>
      <c r="T17" s="32"/>
      <c r="U17" s="32"/>
      <c r="V17" s="55"/>
      <c r="W17" s="32"/>
      <c r="X17" s="54"/>
      <c r="Y17" s="21" t="str">
        <f>IFERROR(VLOOKUP(March[[#This Row],[Drug Name2]],'Data Options'!$R$1:$S$100,2,FALSE), " ")</f>
        <v xml:space="preserve"> </v>
      </c>
      <c r="Z17" s="55"/>
      <c r="AA17" s="32"/>
      <c r="AB17" s="32"/>
      <c r="AC17" s="55"/>
      <c r="AD17" s="32"/>
      <c r="AE17" s="54"/>
      <c r="AF17" s="21" t="str">
        <f>IFERROR(VLOOKUP(March[[#This Row],[Drug Name3]],'Data Options'!$R$1:$S$100,2,FALSE), " ")</f>
        <v xml:space="preserve"> </v>
      </c>
      <c r="AG17" s="55"/>
      <c r="AH17" s="32"/>
      <c r="AI17" s="32"/>
      <c r="AJ17" s="55"/>
      <c r="AK17" s="32"/>
      <c r="AL17" s="32"/>
      <c r="AM17" s="32"/>
      <c r="AN17" s="32"/>
      <c r="AO17" s="32"/>
      <c r="AP17" s="31"/>
      <c r="AQ17" s="31"/>
      <c r="AR17" s="54"/>
      <c r="AS17" s="21" t="str">
        <f>IFERROR(VLOOKUP(March[[#This Row],[Drug Name4]],'Data Options'!$R$1:$S$100,2,FALSE), " ")</f>
        <v xml:space="preserve"> </v>
      </c>
      <c r="AT17" s="55"/>
      <c r="AU17" s="32"/>
      <c r="AV17" s="32"/>
      <c r="AW17" s="55"/>
      <c r="AX17" s="32"/>
      <c r="AY17" s="54"/>
      <c r="AZ17" s="21" t="str">
        <f>IFERROR(VLOOKUP(March[[#This Row],[Drug Name5]],'Data Options'!$R$1:$S$100,2,FALSE), " ")</f>
        <v xml:space="preserve"> </v>
      </c>
      <c r="BA17" s="55"/>
      <c r="BB17" s="32"/>
      <c r="BC17" s="32"/>
      <c r="BD17" s="55"/>
      <c r="BE17" s="32"/>
      <c r="BF17" s="54"/>
      <c r="BG17" s="21" t="str">
        <f>IFERROR(VLOOKUP(March[[#This Row],[Drug Name6]],'Data Options'!$R$1:$S$100,2,FALSE), " ")</f>
        <v xml:space="preserve"> </v>
      </c>
      <c r="BH17" s="55"/>
      <c r="BI17" s="32"/>
      <c r="BJ17" s="32"/>
      <c r="BK17" s="55"/>
      <c r="BL17" s="32"/>
      <c r="BM17" s="32"/>
      <c r="BN17" s="32"/>
      <c r="BO17" s="32"/>
      <c r="BP17" s="32"/>
      <c r="BQ17" s="31"/>
      <c r="BR17" s="31"/>
      <c r="BS17" s="54"/>
      <c r="BT17" s="21" t="str">
        <f>IFERROR(VLOOKUP(March[[#This Row],[Drug Name7]],'Data Options'!$R$1:$S$100,2,FALSE), " ")</f>
        <v xml:space="preserve"> </v>
      </c>
      <c r="BU17" s="55"/>
      <c r="BV17" s="32"/>
      <c r="BW17" s="32"/>
      <c r="BX17" s="55"/>
      <c r="BY17" s="32"/>
      <c r="BZ17" s="54"/>
      <c r="CA17" s="21" t="str">
        <f>IFERROR(VLOOKUP(March[[#This Row],[Drug Name8]],'Data Options'!$R$1:$S$100,2,FALSE), " ")</f>
        <v xml:space="preserve"> </v>
      </c>
      <c r="CB17" s="55"/>
      <c r="CC17" s="32"/>
      <c r="CD17" s="32"/>
      <c r="CE17" s="55"/>
      <c r="CF17" s="32"/>
      <c r="CG17" s="54"/>
      <c r="CH17" s="21" t="str">
        <f>IFERROR(VLOOKUP(March[[#This Row],[Drug Name9]],'Data Options'!$R$1:$S$100,2,FALSE), " ")</f>
        <v xml:space="preserve"> </v>
      </c>
      <c r="CI17" s="55"/>
      <c r="CJ17" s="32"/>
      <c r="CK17" s="32"/>
      <c r="CL17" s="55"/>
      <c r="CM17" s="32"/>
    </row>
    <row r="18" spans="1:9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1"/>
      <c r="Q18" s="54"/>
      <c r="R18" s="21" t="str">
        <f>IFERROR(VLOOKUP(March[[#This Row],[Drug Name]],'Data Options'!$R$1:$S$100,2,FALSE), " ")</f>
        <v xml:space="preserve"> </v>
      </c>
      <c r="S18" s="55"/>
      <c r="T18" s="32"/>
      <c r="U18" s="32"/>
      <c r="V18" s="55"/>
      <c r="W18" s="32"/>
      <c r="X18" s="54"/>
      <c r="Y18" s="21" t="str">
        <f>IFERROR(VLOOKUP(March[[#This Row],[Drug Name2]],'Data Options'!$R$1:$S$100,2,FALSE), " ")</f>
        <v xml:space="preserve"> </v>
      </c>
      <c r="Z18" s="55"/>
      <c r="AA18" s="32"/>
      <c r="AB18" s="32"/>
      <c r="AC18" s="55"/>
      <c r="AD18" s="32"/>
      <c r="AE18" s="54"/>
      <c r="AF18" s="21" t="str">
        <f>IFERROR(VLOOKUP(March[[#This Row],[Drug Name3]],'Data Options'!$R$1:$S$100,2,FALSE), " ")</f>
        <v xml:space="preserve"> </v>
      </c>
      <c r="AG18" s="55"/>
      <c r="AH18" s="32"/>
      <c r="AI18" s="32"/>
      <c r="AJ18" s="55"/>
      <c r="AK18" s="32"/>
      <c r="AL18" s="32"/>
      <c r="AM18" s="32"/>
      <c r="AN18" s="32"/>
      <c r="AO18" s="32"/>
      <c r="AP18" s="31"/>
      <c r="AQ18" s="31"/>
      <c r="AR18" s="54"/>
      <c r="AS18" s="21" t="str">
        <f>IFERROR(VLOOKUP(March[[#This Row],[Drug Name4]],'Data Options'!$R$1:$S$100,2,FALSE), " ")</f>
        <v xml:space="preserve"> </v>
      </c>
      <c r="AT18" s="55"/>
      <c r="AU18" s="32"/>
      <c r="AV18" s="32"/>
      <c r="AW18" s="55"/>
      <c r="AX18" s="32"/>
      <c r="AY18" s="54"/>
      <c r="AZ18" s="21" t="str">
        <f>IFERROR(VLOOKUP(March[[#This Row],[Drug Name5]],'Data Options'!$R$1:$S$100,2,FALSE), " ")</f>
        <v xml:space="preserve"> </v>
      </c>
      <c r="BA18" s="55"/>
      <c r="BB18" s="32"/>
      <c r="BC18" s="32"/>
      <c r="BD18" s="55"/>
      <c r="BE18" s="32"/>
      <c r="BF18" s="54"/>
      <c r="BG18" s="21" t="str">
        <f>IFERROR(VLOOKUP(March[[#This Row],[Drug Name6]],'Data Options'!$R$1:$S$100,2,FALSE), " ")</f>
        <v xml:space="preserve"> </v>
      </c>
      <c r="BH18" s="55"/>
      <c r="BI18" s="32"/>
      <c r="BJ18" s="32"/>
      <c r="BK18" s="55"/>
      <c r="BL18" s="32"/>
      <c r="BM18" s="32"/>
      <c r="BN18" s="32"/>
      <c r="BO18" s="32"/>
      <c r="BP18" s="32"/>
      <c r="BQ18" s="31"/>
      <c r="BR18" s="31"/>
      <c r="BS18" s="54"/>
      <c r="BT18" s="21" t="str">
        <f>IFERROR(VLOOKUP(March[[#This Row],[Drug Name7]],'Data Options'!$R$1:$S$100,2,FALSE), " ")</f>
        <v xml:space="preserve"> </v>
      </c>
      <c r="BU18" s="55"/>
      <c r="BV18" s="32"/>
      <c r="BW18" s="32"/>
      <c r="BX18" s="55"/>
      <c r="BY18" s="32"/>
      <c r="BZ18" s="54"/>
      <c r="CA18" s="21" t="str">
        <f>IFERROR(VLOOKUP(March[[#This Row],[Drug Name8]],'Data Options'!$R$1:$S$100,2,FALSE), " ")</f>
        <v xml:space="preserve"> </v>
      </c>
      <c r="CB18" s="55"/>
      <c r="CC18" s="32"/>
      <c r="CD18" s="32"/>
      <c r="CE18" s="55"/>
      <c r="CF18" s="32"/>
      <c r="CG18" s="54"/>
      <c r="CH18" s="21" t="str">
        <f>IFERROR(VLOOKUP(March[[#This Row],[Drug Name9]],'Data Options'!$R$1:$S$100,2,FALSE), " ")</f>
        <v xml:space="preserve"> </v>
      </c>
      <c r="CI18" s="55"/>
      <c r="CJ18" s="32"/>
      <c r="CK18" s="32"/>
      <c r="CL18" s="55"/>
      <c r="CM18" s="32"/>
    </row>
    <row r="19" spans="1:9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54"/>
      <c r="R19" s="21" t="str">
        <f>IFERROR(VLOOKUP(March[[#This Row],[Drug Name]],'Data Options'!$R$1:$S$100,2,FALSE), " ")</f>
        <v xml:space="preserve"> </v>
      </c>
      <c r="S19" s="55"/>
      <c r="T19" s="32"/>
      <c r="U19" s="32"/>
      <c r="V19" s="55"/>
      <c r="W19" s="32"/>
      <c r="X19" s="54"/>
      <c r="Y19" s="21" t="str">
        <f>IFERROR(VLOOKUP(March[[#This Row],[Drug Name2]],'Data Options'!$R$1:$S$100,2,FALSE), " ")</f>
        <v xml:space="preserve"> </v>
      </c>
      <c r="Z19" s="55"/>
      <c r="AA19" s="32"/>
      <c r="AB19" s="32"/>
      <c r="AC19" s="55"/>
      <c r="AD19" s="32"/>
      <c r="AE19" s="54"/>
      <c r="AF19" s="21" t="str">
        <f>IFERROR(VLOOKUP(March[[#This Row],[Drug Name3]],'Data Options'!$R$1:$S$100,2,FALSE), " ")</f>
        <v xml:space="preserve"> </v>
      </c>
      <c r="AG19" s="55"/>
      <c r="AH19" s="32"/>
      <c r="AI19" s="32"/>
      <c r="AJ19" s="55"/>
      <c r="AK19" s="32"/>
      <c r="AL19" s="32"/>
      <c r="AM19" s="32"/>
      <c r="AN19" s="32"/>
      <c r="AO19" s="32"/>
      <c r="AP19" s="31"/>
      <c r="AQ19" s="31"/>
      <c r="AR19" s="54"/>
      <c r="AS19" s="21" t="str">
        <f>IFERROR(VLOOKUP(March[[#This Row],[Drug Name4]],'Data Options'!$R$1:$S$100,2,FALSE), " ")</f>
        <v xml:space="preserve"> </v>
      </c>
      <c r="AT19" s="55"/>
      <c r="AU19" s="32"/>
      <c r="AV19" s="32"/>
      <c r="AW19" s="55"/>
      <c r="AX19" s="32"/>
      <c r="AY19" s="54"/>
      <c r="AZ19" s="21" t="str">
        <f>IFERROR(VLOOKUP(March[[#This Row],[Drug Name5]],'Data Options'!$R$1:$S$100,2,FALSE), " ")</f>
        <v xml:space="preserve"> </v>
      </c>
      <c r="BA19" s="55"/>
      <c r="BB19" s="32"/>
      <c r="BC19" s="32"/>
      <c r="BD19" s="55"/>
      <c r="BE19" s="32"/>
      <c r="BF19" s="54"/>
      <c r="BG19" s="21" t="str">
        <f>IFERROR(VLOOKUP(March[[#This Row],[Drug Name6]],'Data Options'!$R$1:$S$100,2,FALSE), " ")</f>
        <v xml:space="preserve"> </v>
      </c>
      <c r="BH19" s="55"/>
      <c r="BI19" s="32"/>
      <c r="BJ19" s="32"/>
      <c r="BK19" s="55"/>
      <c r="BL19" s="32"/>
      <c r="BM19" s="32"/>
      <c r="BN19" s="32"/>
      <c r="BO19" s="32"/>
      <c r="BP19" s="32"/>
      <c r="BQ19" s="31"/>
      <c r="BR19" s="31"/>
      <c r="BS19" s="54"/>
      <c r="BT19" s="21" t="str">
        <f>IFERROR(VLOOKUP(March[[#This Row],[Drug Name7]],'Data Options'!$R$1:$S$100,2,FALSE), " ")</f>
        <v xml:space="preserve"> </v>
      </c>
      <c r="BU19" s="55"/>
      <c r="BV19" s="32"/>
      <c r="BW19" s="32"/>
      <c r="BX19" s="55"/>
      <c r="BY19" s="32"/>
      <c r="BZ19" s="54"/>
      <c r="CA19" s="21" t="str">
        <f>IFERROR(VLOOKUP(March[[#This Row],[Drug Name8]],'Data Options'!$R$1:$S$100,2,FALSE), " ")</f>
        <v xml:space="preserve"> </v>
      </c>
      <c r="CB19" s="55"/>
      <c r="CC19" s="32"/>
      <c r="CD19" s="32"/>
      <c r="CE19" s="55"/>
      <c r="CF19" s="32"/>
      <c r="CG19" s="54"/>
      <c r="CH19" s="21" t="str">
        <f>IFERROR(VLOOKUP(March[[#This Row],[Drug Name9]],'Data Options'!$R$1:$S$100,2,FALSE), " ")</f>
        <v xml:space="preserve"> </v>
      </c>
      <c r="CI19" s="55"/>
      <c r="CJ19" s="32"/>
      <c r="CK19" s="32"/>
      <c r="CL19" s="55"/>
      <c r="CM19" s="32"/>
    </row>
    <row r="20" spans="1:9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1"/>
      <c r="Q20" s="54"/>
      <c r="R20" s="21" t="str">
        <f>IFERROR(VLOOKUP(March[[#This Row],[Drug Name]],'Data Options'!$R$1:$S$100,2,FALSE), " ")</f>
        <v xml:space="preserve"> </v>
      </c>
      <c r="S20" s="55"/>
      <c r="T20" s="32"/>
      <c r="U20" s="32"/>
      <c r="V20" s="55"/>
      <c r="W20" s="32"/>
      <c r="X20" s="54"/>
      <c r="Y20" s="21" t="str">
        <f>IFERROR(VLOOKUP(March[[#This Row],[Drug Name2]],'Data Options'!$R$1:$S$100,2,FALSE), " ")</f>
        <v xml:space="preserve"> </v>
      </c>
      <c r="Z20" s="55"/>
      <c r="AA20" s="32"/>
      <c r="AB20" s="32"/>
      <c r="AC20" s="55"/>
      <c r="AD20" s="32"/>
      <c r="AE20" s="54"/>
      <c r="AF20" s="21" t="str">
        <f>IFERROR(VLOOKUP(March[[#This Row],[Drug Name3]],'Data Options'!$R$1:$S$100,2,FALSE), " ")</f>
        <v xml:space="preserve"> </v>
      </c>
      <c r="AG20" s="55"/>
      <c r="AH20" s="32"/>
      <c r="AI20" s="32"/>
      <c r="AJ20" s="55"/>
      <c r="AK20" s="32"/>
      <c r="AL20" s="32"/>
      <c r="AM20" s="32"/>
      <c r="AN20" s="32"/>
      <c r="AO20" s="32"/>
      <c r="AP20" s="31"/>
      <c r="AQ20" s="31"/>
      <c r="AR20" s="54"/>
      <c r="AS20" s="21" t="str">
        <f>IFERROR(VLOOKUP(March[[#This Row],[Drug Name4]],'Data Options'!$R$1:$S$100,2,FALSE), " ")</f>
        <v xml:space="preserve"> </v>
      </c>
      <c r="AT20" s="55"/>
      <c r="AU20" s="32"/>
      <c r="AV20" s="32"/>
      <c r="AW20" s="55"/>
      <c r="AX20" s="32"/>
      <c r="AY20" s="54"/>
      <c r="AZ20" s="21" t="str">
        <f>IFERROR(VLOOKUP(March[[#This Row],[Drug Name5]],'Data Options'!$R$1:$S$100,2,FALSE), " ")</f>
        <v xml:space="preserve"> </v>
      </c>
      <c r="BA20" s="55"/>
      <c r="BB20" s="32"/>
      <c r="BC20" s="32"/>
      <c r="BD20" s="55"/>
      <c r="BE20" s="32"/>
      <c r="BF20" s="54"/>
      <c r="BG20" s="21" t="str">
        <f>IFERROR(VLOOKUP(March[[#This Row],[Drug Name6]],'Data Options'!$R$1:$S$100,2,FALSE), " ")</f>
        <v xml:space="preserve"> </v>
      </c>
      <c r="BH20" s="55"/>
      <c r="BI20" s="32"/>
      <c r="BJ20" s="32"/>
      <c r="BK20" s="55"/>
      <c r="BL20" s="32"/>
      <c r="BM20" s="32"/>
      <c r="BN20" s="32"/>
      <c r="BO20" s="32"/>
      <c r="BP20" s="32"/>
      <c r="BQ20" s="31"/>
      <c r="BR20" s="31"/>
      <c r="BS20" s="54"/>
      <c r="BT20" s="21" t="str">
        <f>IFERROR(VLOOKUP(March[[#This Row],[Drug Name7]],'Data Options'!$R$1:$S$100,2,FALSE), " ")</f>
        <v xml:space="preserve"> </v>
      </c>
      <c r="BU20" s="55"/>
      <c r="BV20" s="32"/>
      <c r="BW20" s="32"/>
      <c r="BX20" s="55"/>
      <c r="BY20" s="32"/>
      <c r="BZ20" s="54"/>
      <c r="CA20" s="21" t="str">
        <f>IFERROR(VLOOKUP(March[[#This Row],[Drug Name8]],'Data Options'!$R$1:$S$100,2,FALSE), " ")</f>
        <v xml:space="preserve"> </v>
      </c>
      <c r="CB20" s="55"/>
      <c r="CC20" s="32"/>
      <c r="CD20" s="32"/>
      <c r="CE20" s="55"/>
      <c r="CF20" s="32"/>
      <c r="CG20" s="54"/>
      <c r="CH20" s="21" t="str">
        <f>IFERROR(VLOOKUP(March[[#This Row],[Drug Name9]],'Data Options'!$R$1:$S$100,2,FALSE), " ")</f>
        <v xml:space="preserve"> </v>
      </c>
      <c r="CI20" s="55"/>
      <c r="CJ20" s="32"/>
      <c r="CK20" s="32"/>
      <c r="CL20" s="55"/>
      <c r="CM20" s="32"/>
    </row>
    <row r="21" spans="1:91">
      <c r="A21" s="5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1"/>
      <c r="Q21" s="54"/>
      <c r="R21" s="21" t="str">
        <f>IFERROR(VLOOKUP(March[[#This Row],[Drug Name]],'Data Options'!$R$1:$S$100,2,FALSE), " ")</f>
        <v xml:space="preserve"> </v>
      </c>
      <c r="S21" s="55"/>
      <c r="T21" s="32"/>
      <c r="U21" s="32"/>
      <c r="V21" s="55"/>
      <c r="W21" s="32"/>
      <c r="X21" s="54"/>
      <c r="Y21" s="21" t="str">
        <f>IFERROR(VLOOKUP(March[[#This Row],[Drug Name2]],'Data Options'!$R$1:$S$100,2,FALSE), " ")</f>
        <v xml:space="preserve"> </v>
      </c>
      <c r="Z21" s="55"/>
      <c r="AA21" s="32"/>
      <c r="AB21" s="32"/>
      <c r="AC21" s="55"/>
      <c r="AD21" s="32"/>
      <c r="AE21" s="54"/>
      <c r="AF21" s="21" t="str">
        <f>IFERROR(VLOOKUP(March[[#This Row],[Drug Name3]],'Data Options'!$R$1:$S$100,2,FALSE), " ")</f>
        <v xml:space="preserve"> </v>
      </c>
      <c r="AG21" s="55"/>
      <c r="AH21" s="32"/>
      <c r="AI21" s="32"/>
      <c r="AJ21" s="55"/>
      <c r="AK21" s="32"/>
      <c r="AL21" s="32"/>
      <c r="AM21" s="32"/>
      <c r="AN21" s="32"/>
      <c r="AO21" s="32"/>
      <c r="AP21" s="31"/>
      <c r="AQ21" s="31"/>
      <c r="AR21" s="54"/>
      <c r="AS21" s="21" t="str">
        <f>IFERROR(VLOOKUP(March[[#This Row],[Drug Name4]],'Data Options'!$R$1:$S$100,2,FALSE), " ")</f>
        <v xml:space="preserve"> </v>
      </c>
      <c r="AT21" s="55"/>
      <c r="AU21" s="32"/>
      <c r="AV21" s="32"/>
      <c r="AW21" s="55"/>
      <c r="AX21" s="32"/>
      <c r="AY21" s="54"/>
      <c r="AZ21" s="21" t="str">
        <f>IFERROR(VLOOKUP(March[[#This Row],[Drug Name5]],'Data Options'!$R$1:$S$100,2,FALSE), " ")</f>
        <v xml:space="preserve"> </v>
      </c>
      <c r="BA21" s="55"/>
      <c r="BB21" s="32"/>
      <c r="BC21" s="32"/>
      <c r="BD21" s="55"/>
      <c r="BE21" s="32"/>
      <c r="BF21" s="54"/>
      <c r="BG21" s="21" t="str">
        <f>IFERROR(VLOOKUP(March[[#This Row],[Drug Name6]],'Data Options'!$R$1:$S$100,2,FALSE), " ")</f>
        <v xml:space="preserve"> </v>
      </c>
      <c r="BH21" s="55"/>
      <c r="BI21" s="32"/>
      <c r="BJ21" s="32"/>
      <c r="BK21" s="55"/>
      <c r="BL21" s="32"/>
      <c r="BM21" s="32"/>
      <c r="BN21" s="32"/>
      <c r="BO21" s="32"/>
      <c r="BP21" s="32"/>
      <c r="BQ21" s="31"/>
      <c r="BR21" s="31"/>
      <c r="BS21" s="54"/>
      <c r="BT21" s="21" t="str">
        <f>IFERROR(VLOOKUP(March[[#This Row],[Drug Name7]],'Data Options'!$R$1:$S$100,2,FALSE), " ")</f>
        <v xml:space="preserve"> </v>
      </c>
      <c r="BU21" s="55"/>
      <c r="BV21" s="32"/>
      <c r="BW21" s="32"/>
      <c r="BX21" s="55"/>
      <c r="BY21" s="32"/>
      <c r="BZ21" s="54"/>
      <c r="CA21" s="21" t="str">
        <f>IFERROR(VLOOKUP(March[[#This Row],[Drug Name8]],'Data Options'!$R$1:$S$100,2,FALSE), " ")</f>
        <v xml:space="preserve"> </v>
      </c>
      <c r="CB21" s="55"/>
      <c r="CC21" s="32"/>
      <c r="CD21" s="32"/>
      <c r="CE21" s="55"/>
      <c r="CF21" s="32"/>
      <c r="CG21" s="54"/>
      <c r="CH21" s="21" t="str">
        <f>IFERROR(VLOOKUP(March[[#This Row],[Drug Name9]],'Data Options'!$R$1:$S$100,2,FALSE), " ")</f>
        <v xml:space="preserve"> </v>
      </c>
      <c r="CI21" s="55"/>
      <c r="CJ21" s="32"/>
      <c r="CK21" s="32"/>
      <c r="CL21" s="55"/>
      <c r="CM21" s="32"/>
    </row>
    <row r="22" spans="1:91">
      <c r="A22" s="5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1"/>
      <c r="Q22" s="54"/>
      <c r="R22" s="21" t="str">
        <f>IFERROR(VLOOKUP(March[[#This Row],[Drug Name]],'Data Options'!$R$1:$S$100,2,FALSE), " ")</f>
        <v xml:space="preserve"> </v>
      </c>
      <c r="S22" s="55"/>
      <c r="T22" s="32"/>
      <c r="U22" s="32"/>
      <c r="V22" s="55"/>
      <c r="W22" s="32"/>
      <c r="X22" s="54"/>
      <c r="Y22" s="21" t="str">
        <f>IFERROR(VLOOKUP(March[[#This Row],[Drug Name2]],'Data Options'!$R$1:$S$100,2,FALSE), " ")</f>
        <v xml:space="preserve"> </v>
      </c>
      <c r="Z22" s="55"/>
      <c r="AA22" s="32"/>
      <c r="AB22" s="32"/>
      <c r="AC22" s="55"/>
      <c r="AD22" s="32"/>
      <c r="AE22" s="54"/>
      <c r="AF22" s="21" t="str">
        <f>IFERROR(VLOOKUP(March[[#This Row],[Drug Name3]],'Data Options'!$R$1:$S$100,2,FALSE), " ")</f>
        <v xml:space="preserve"> </v>
      </c>
      <c r="AG22" s="55"/>
      <c r="AH22" s="32"/>
      <c r="AI22" s="32"/>
      <c r="AJ22" s="55"/>
      <c r="AK22" s="32"/>
      <c r="AL22" s="32"/>
      <c r="AM22" s="32"/>
      <c r="AN22" s="32"/>
      <c r="AO22" s="32"/>
      <c r="AP22" s="31"/>
      <c r="AQ22" s="31"/>
      <c r="AR22" s="54"/>
      <c r="AS22" s="21" t="str">
        <f>IFERROR(VLOOKUP(March[[#This Row],[Drug Name4]],'Data Options'!$R$1:$S$100,2,FALSE), " ")</f>
        <v xml:space="preserve"> </v>
      </c>
      <c r="AT22" s="55"/>
      <c r="AU22" s="32"/>
      <c r="AV22" s="32"/>
      <c r="AW22" s="55"/>
      <c r="AX22" s="32"/>
      <c r="AY22" s="54"/>
      <c r="AZ22" s="21" t="str">
        <f>IFERROR(VLOOKUP(March[[#This Row],[Drug Name5]],'Data Options'!$R$1:$S$100,2,FALSE), " ")</f>
        <v xml:space="preserve"> </v>
      </c>
      <c r="BA22" s="55"/>
      <c r="BB22" s="32"/>
      <c r="BC22" s="32"/>
      <c r="BD22" s="55"/>
      <c r="BE22" s="32"/>
      <c r="BF22" s="54"/>
      <c r="BG22" s="21" t="str">
        <f>IFERROR(VLOOKUP(March[[#This Row],[Drug Name6]],'Data Options'!$R$1:$S$100,2,FALSE), " ")</f>
        <v xml:space="preserve"> </v>
      </c>
      <c r="BH22" s="55"/>
      <c r="BI22" s="32"/>
      <c r="BJ22" s="32"/>
      <c r="BK22" s="55"/>
      <c r="BL22" s="32"/>
      <c r="BM22" s="32"/>
      <c r="BN22" s="32"/>
      <c r="BO22" s="32"/>
      <c r="BP22" s="32"/>
      <c r="BQ22" s="31"/>
      <c r="BR22" s="31"/>
      <c r="BS22" s="54"/>
      <c r="BT22" s="21" t="str">
        <f>IFERROR(VLOOKUP(March[[#This Row],[Drug Name7]],'Data Options'!$R$1:$S$100,2,FALSE), " ")</f>
        <v xml:space="preserve"> </v>
      </c>
      <c r="BU22" s="55"/>
      <c r="BV22" s="32"/>
      <c r="BW22" s="32"/>
      <c r="BX22" s="55"/>
      <c r="BY22" s="32"/>
      <c r="BZ22" s="54"/>
      <c r="CA22" s="21" t="str">
        <f>IFERROR(VLOOKUP(March[[#This Row],[Drug Name8]],'Data Options'!$R$1:$S$100,2,FALSE), " ")</f>
        <v xml:space="preserve"> </v>
      </c>
      <c r="CB22" s="55"/>
      <c r="CC22" s="32"/>
      <c r="CD22" s="32"/>
      <c r="CE22" s="55"/>
      <c r="CF22" s="32"/>
      <c r="CG22" s="54"/>
      <c r="CH22" s="21" t="str">
        <f>IFERROR(VLOOKUP(March[[#This Row],[Drug Name9]],'Data Options'!$R$1:$S$100,2,FALSE), " ")</f>
        <v xml:space="preserve"> </v>
      </c>
      <c r="CI22" s="55"/>
      <c r="CJ22" s="32"/>
      <c r="CK22" s="32"/>
      <c r="CL22" s="55"/>
      <c r="CM22" s="32"/>
    </row>
    <row r="23" spans="1:9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54"/>
      <c r="R23" s="21" t="str">
        <f>IFERROR(VLOOKUP(March[[#This Row],[Drug Name]],'Data Options'!$R$1:$S$100,2,FALSE), " ")</f>
        <v xml:space="preserve"> </v>
      </c>
      <c r="S23" s="55"/>
      <c r="T23" s="32"/>
      <c r="U23" s="32"/>
      <c r="V23" s="55"/>
      <c r="W23" s="32"/>
      <c r="X23" s="54"/>
      <c r="Y23" s="21" t="str">
        <f>IFERROR(VLOOKUP(March[[#This Row],[Drug Name2]],'Data Options'!$R$1:$S$100,2,FALSE), " ")</f>
        <v xml:space="preserve"> </v>
      </c>
      <c r="Z23" s="55"/>
      <c r="AA23" s="32"/>
      <c r="AB23" s="32"/>
      <c r="AC23" s="55"/>
      <c r="AD23" s="32"/>
      <c r="AE23" s="54"/>
      <c r="AF23" s="21" t="str">
        <f>IFERROR(VLOOKUP(March[[#This Row],[Drug Name3]],'Data Options'!$R$1:$S$100,2,FALSE), " ")</f>
        <v xml:space="preserve"> </v>
      </c>
      <c r="AG23" s="55"/>
      <c r="AH23" s="32"/>
      <c r="AI23" s="32"/>
      <c r="AJ23" s="55"/>
      <c r="AK23" s="32"/>
      <c r="AL23" s="32"/>
      <c r="AM23" s="32"/>
      <c r="AN23" s="32"/>
      <c r="AO23" s="32"/>
      <c r="AP23" s="31"/>
      <c r="AQ23" s="31"/>
      <c r="AR23" s="54"/>
      <c r="AS23" s="21" t="str">
        <f>IFERROR(VLOOKUP(March[[#This Row],[Drug Name4]],'Data Options'!$R$1:$S$100,2,FALSE), " ")</f>
        <v xml:space="preserve"> </v>
      </c>
      <c r="AT23" s="55"/>
      <c r="AU23" s="32"/>
      <c r="AV23" s="32"/>
      <c r="AW23" s="55"/>
      <c r="AX23" s="32"/>
      <c r="AY23" s="54"/>
      <c r="AZ23" s="21" t="str">
        <f>IFERROR(VLOOKUP(March[[#This Row],[Drug Name5]],'Data Options'!$R$1:$S$100,2,FALSE), " ")</f>
        <v xml:space="preserve"> </v>
      </c>
      <c r="BA23" s="55"/>
      <c r="BB23" s="32"/>
      <c r="BC23" s="32"/>
      <c r="BD23" s="55"/>
      <c r="BE23" s="32"/>
      <c r="BF23" s="54"/>
      <c r="BG23" s="21" t="str">
        <f>IFERROR(VLOOKUP(March[[#This Row],[Drug Name6]],'Data Options'!$R$1:$S$100,2,FALSE), " ")</f>
        <v xml:space="preserve"> </v>
      </c>
      <c r="BH23" s="55"/>
      <c r="BI23" s="32"/>
      <c r="BJ23" s="32"/>
      <c r="BK23" s="55"/>
      <c r="BL23" s="32"/>
      <c r="BM23" s="32"/>
      <c r="BN23" s="32"/>
      <c r="BO23" s="32"/>
      <c r="BP23" s="32"/>
      <c r="BQ23" s="31"/>
      <c r="BR23" s="31"/>
      <c r="BS23" s="54"/>
      <c r="BT23" s="21" t="str">
        <f>IFERROR(VLOOKUP(March[[#This Row],[Drug Name7]],'Data Options'!$R$1:$S$100,2,FALSE), " ")</f>
        <v xml:space="preserve"> </v>
      </c>
      <c r="BU23" s="55"/>
      <c r="BV23" s="32"/>
      <c r="BW23" s="32"/>
      <c r="BX23" s="55"/>
      <c r="BY23" s="32"/>
      <c r="BZ23" s="54"/>
      <c r="CA23" s="21" t="str">
        <f>IFERROR(VLOOKUP(March[[#This Row],[Drug Name8]],'Data Options'!$R$1:$S$100,2,FALSE), " ")</f>
        <v xml:space="preserve"> </v>
      </c>
      <c r="CB23" s="55"/>
      <c r="CC23" s="32"/>
      <c r="CD23" s="32"/>
      <c r="CE23" s="55"/>
      <c r="CF23" s="32"/>
      <c r="CG23" s="54"/>
      <c r="CH23" s="21" t="str">
        <f>IFERROR(VLOOKUP(March[[#This Row],[Drug Name9]],'Data Options'!$R$1:$S$100,2,FALSE), " ")</f>
        <v xml:space="preserve"> </v>
      </c>
      <c r="CI23" s="55"/>
      <c r="CJ23" s="32"/>
      <c r="CK23" s="32"/>
      <c r="CL23" s="55"/>
      <c r="CM23" s="32"/>
    </row>
    <row r="24" spans="1:91">
      <c r="A24" s="5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54"/>
      <c r="R24" s="21" t="str">
        <f>IFERROR(VLOOKUP(March[[#This Row],[Drug Name]],'Data Options'!$R$1:$S$100,2,FALSE), " ")</f>
        <v xml:space="preserve"> </v>
      </c>
      <c r="S24" s="55"/>
      <c r="T24" s="32"/>
      <c r="U24" s="32"/>
      <c r="V24" s="55"/>
      <c r="W24" s="32"/>
      <c r="X24" s="54"/>
      <c r="Y24" s="21" t="str">
        <f>IFERROR(VLOOKUP(March[[#This Row],[Drug Name2]],'Data Options'!$R$1:$S$100,2,FALSE), " ")</f>
        <v xml:space="preserve"> </v>
      </c>
      <c r="Z24" s="55"/>
      <c r="AA24" s="32"/>
      <c r="AB24" s="32"/>
      <c r="AC24" s="55"/>
      <c r="AD24" s="32"/>
      <c r="AE24" s="54"/>
      <c r="AF24" s="21" t="str">
        <f>IFERROR(VLOOKUP(March[[#This Row],[Drug Name3]],'Data Options'!$R$1:$S$100,2,FALSE), " ")</f>
        <v xml:space="preserve"> </v>
      </c>
      <c r="AG24" s="55"/>
      <c r="AH24" s="32"/>
      <c r="AI24" s="32"/>
      <c r="AJ24" s="55"/>
      <c r="AK24" s="32"/>
      <c r="AL24" s="32"/>
      <c r="AM24" s="32"/>
      <c r="AN24" s="32"/>
      <c r="AO24" s="32"/>
      <c r="AP24" s="31"/>
      <c r="AQ24" s="31"/>
      <c r="AR24" s="54"/>
      <c r="AS24" s="21" t="str">
        <f>IFERROR(VLOOKUP(March[[#This Row],[Drug Name4]],'Data Options'!$R$1:$S$100,2,FALSE), " ")</f>
        <v xml:space="preserve"> </v>
      </c>
      <c r="AT24" s="55"/>
      <c r="AU24" s="32"/>
      <c r="AV24" s="32"/>
      <c r="AW24" s="55"/>
      <c r="AX24" s="32"/>
      <c r="AY24" s="54"/>
      <c r="AZ24" s="21" t="str">
        <f>IFERROR(VLOOKUP(March[[#This Row],[Drug Name5]],'Data Options'!$R$1:$S$100,2,FALSE), " ")</f>
        <v xml:space="preserve"> </v>
      </c>
      <c r="BA24" s="55"/>
      <c r="BB24" s="32"/>
      <c r="BC24" s="32"/>
      <c r="BD24" s="55"/>
      <c r="BE24" s="32"/>
      <c r="BF24" s="54"/>
      <c r="BG24" s="21" t="str">
        <f>IFERROR(VLOOKUP(March[[#This Row],[Drug Name6]],'Data Options'!$R$1:$S$100,2,FALSE), " ")</f>
        <v xml:space="preserve"> </v>
      </c>
      <c r="BH24" s="55"/>
      <c r="BI24" s="32"/>
      <c r="BJ24" s="32"/>
      <c r="BK24" s="55"/>
      <c r="BL24" s="32"/>
      <c r="BM24" s="32"/>
      <c r="BN24" s="32"/>
      <c r="BO24" s="32"/>
      <c r="BP24" s="32"/>
      <c r="BQ24" s="31"/>
      <c r="BR24" s="31"/>
      <c r="BS24" s="54"/>
      <c r="BT24" s="21" t="str">
        <f>IFERROR(VLOOKUP(March[[#This Row],[Drug Name7]],'Data Options'!$R$1:$S$100,2,FALSE), " ")</f>
        <v xml:space="preserve"> </v>
      </c>
      <c r="BU24" s="55"/>
      <c r="BV24" s="32"/>
      <c r="BW24" s="32"/>
      <c r="BX24" s="55"/>
      <c r="BY24" s="32"/>
      <c r="BZ24" s="54"/>
      <c r="CA24" s="21" t="str">
        <f>IFERROR(VLOOKUP(March[[#This Row],[Drug Name8]],'Data Options'!$R$1:$S$100,2,FALSE), " ")</f>
        <v xml:space="preserve"> </v>
      </c>
      <c r="CB24" s="55"/>
      <c r="CC24" s="32"/>
      <c r="CD24" s="32"/>
      <c r="CE24" s="55"/>
      <c r="CF24" s="32"/>
      <c r="CG24" s="54"/>
      <c r="CH24" s="21" t="str">
        <f>IFERROR(VLOOKUP(March[[#This Row],[Drug Name9]],'Data Options'!$R$1:$S$100,2,FALSE), " ")</f>
        <v xml:space="preserve"> </v>
      </c>
      <c r="CI24" s="55"/>
      <c r="CJ24" s="32"/>
      <c r="CK24" s="32"/>
      <c r="CL24" s="55"/>
      <c r="CM24" s="32"/>
    </row>
    <row r="25" spans="1:9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54"/>
      <c r="R25" s="21" t="str">
        <f>IFERROR(VLOOKUP(March[[#This Row],[Drug Name]],'Data Options'!$R$1:$S$100,2,FALSE), " ")</f>
        <v xml:space="preserve"> </v>
      </c>
      <c r="S25" s="55"/>
      <c r="T25" s="32"/>
      <c r="U25" s="32"/>
      <c r="V25" s="55"/>
      <c r="W25" s="32"/>
      <c r="X25" s="54"/>
      <c r="Y25" s="21" t="str">
        <f>IFERROR(VLOOKUP(March[[#This Row],[Drug Name2]],'Data Options'!$R$1:$S$100,2,FALSE), " ")</f>
        <v xml:space="preserve"> </v>
      </c>
      <c r="Z25" s="55"/>
      <c r="AA25" s="32"/>
      <c r="AB25" s="32"/>
      <c r="AC25" s="55"/>
      <c r="AD25" s="32"/>
      <c r="AE25" s="54"/>
      <c r="AF25" s="21" t="str">
        <f>IFERROR(VLOOKUP(March[[#This Row],[Drug Name3]],'Data Options'!$R$1:$S$100,2,FALSE), " ")</f>
        <v xml:space="preserve"> </v>
      </c>
      <c r="AG25" s="55"/>
      <c r="AH25" s="32"/>
      <c r="AI25" s="32"/>
      <c r="AJ25" s="55"/>
      <c r="AK25" s="32"/>
      <c r="AL25" s="32"/>
      <c r="AM25" s="32"/>
      <c r="AN25" s="32"/>
      <c r="AO25" s="32"/>
      <c r="AP25" s="31"/>
      <c r="AQ25" s="31"/>
      <c r="AR25" s="54"/>
      <c r="AS25" s="21" t="str">
        <f>IFERROR(VLOOKUP(March[[#This Row],[Drug Name4]],'Data Options'!$R$1:$S$100,2,FALSE), " ")</f>
        <v xml:space="preserve"> </v>
      </c>
      <c r="AT25" s="55"/>
      <c r="AU25" s="32"/>
      <c r="AV25" s="32"/>
      <c r="AW25" s="55"/>
      <c r="AX25" s="32"/>
      <c r="AY25" s="54"/>
      <c r="AZ25" s="21" t="str">
        <f>IFERROR(VLOOKUP(March[[#This Row],[Drug Name5]],'Data Options'!$R$1:$S$100,2,FALSE), " ")</f>
        <v xml:space="preserve"> </v>
      </c>
      <c r="BA25" s="55"/>
      <c r="BB25" s="32"/>
      <c r="BC25" s="32"/>
      <c r="BD25" s="55"/>
      <c r="BE25" s="32"/>
      <c r="BF25" s="54"/>
      <c r="BG25" s="21" t="str">
        <f>IFERROR(VLOOKUP(March[[#This Row],[Drug Name6]],'Data Options'!$R$1:$S$100,2,FALSE), " ")</f>
        <v xml:space="preserve"> </v>
      </c>
      <c r="BH25" s="55"/>
      <c r="BI25" s="32"/>
      <c r="BJ25" s="32"/>
      <c r="BK25" s="55"/>
      <c r="BL25" s="32"/>
      <c r="BM25" s="32"/>
      <c r="BN25" s="32"/>
      <c r="BO25" s="32"/>
      <c r="BP25" s="32"/>
      <c r="BQ25" s="31"/>
      <c r="BR25" s="31"/>
      <c r="BS25" s="54"/>
      <c r="BT25" s="21" t="str">
        <f>IFERROR(VLOOKUP(March[[#This Row],[Drug Name7]],'Data Options'!$R$1:$S$100,2,FALSE), " ")</f>
        <v xml:space="preserve"> </v>
      </c>
      <c r="BU25" s="55"/>
      <c r="BV25" s="32"/>
      <c r="BW25" s="32"/>
      <c r="BX25" s="55"/>
      <c r="BY25" s="32"/>
      <c r="BZ25" s="54"/>
      <c r="CA25" s="21" t="str">
        <f>IFERROR(VLOOKUP(March[[#This Row],[Drug Name8]],'Data Options'!$R$1:$S$100,2,FALSE), " ")</f>
        <v xml:space="preserve"> </v>
      </c>
      <c r="CB25" s="55"/>
      <c r="CC25" s="32"/>
      <c r="CD25" s="32"/>
      <c r="CE25" s="55"/>
      <c r="CF25" s="32"/>
      <c r="CG25" s="54"/>
      <c r="CH25" s="21" t="str">
        <f>IFERROR(VLOOKUP(March[[#This Row],[Drug Name9]],'Data Options'!$R$1:$S$100,2,FALSE), " ")</f>
        <v xml:space="preserve"> </v>
      </c>
      <c r="CI25" s="55"/>
      <c r="CJ25" s="32"/>
      <c r="CK25" s="32"/>
      <c r="CL25" s="55"/>
      <c r="CM25" s="32"/>
    </row>
    <row r="26" spans="1:91">
      <c r="A26" s="5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54"/>
      <c r="R26" s="21" t="str">
        <f>IFERROR(VLOOKUP(March[[#This Row],[Drug Name]],'Data Options'!$R$1:$S$100,2,FALSE), " ")</f>
        <v xml:space="preserve"> </v>
      </c>
      <c r="S26" s="55"/>
      <c r="T26" s="32"/>
      <c r="U26" s="32"/>
      <c r="V26" s="55"/>
      <c r="W26" s="32"/>
      <c r="X26" s="54"/>
      <c r="Y26" s="21" t="str">
        <f>IFERROR(VLOOKUP(March[[#This Row],[Drug Name2]],'Data Options'!$R$1:$S$100,2,FALSE), " ")</f>
        <v xml:space="preserve"> </v>
      </c>
      <c r="Z26" s="55"/>
      <c r="AA26" s="32"/>
      <c r="AB26" s="32"/>
      <c r="AC26" s="55"/>
      <c r="AD26" s="32"/>
      <c r="AE26" s="54"/>
      <c r="AF26" s="21" t="str">
        <f>IFERROR(VLOOKUP(March[[#This Row],[Drug Name3]],'Data Options'!$R$1:$S$100,2,FALSE), " ")</f>
        <v xml:space="preserve"> </v>
      </c>
      <c r="AG26" s="55"/>
      <c r="AH26" s="32"/>
      <c r="AI26" s="32"/>
      <c r="AJ26" s="55"/>
      <c r="AK26" s="32"/>
      <c r="AL26" s="32"/>
      <c r="AM26" s="32"/>
      <c r="AN26" s="32"/>
      <c r="AO26" s="32"/>
      <c r="AP26" s="31"/>
      <c r="AQ26" s="31"/>
      <c r="AR26" s="54"/>
      <c r="AS26" s="21" t="str">
        <f>IFERROR(VLOOKUP(March[[#This Row],[Drug Name4]],'Data Options'!$R$1:$S$100,2,FALSE), " ")</f>
        <v xml:space="preserve"> </v>
      </c>
      <c r="AT26" s="55"/>
      <c r="AU26" s="32"/>
      <c r="AV26" s="32"/>
      <c r="AW26" s="55"/>
      <c r="AX26" s="32"/>
      <c r="AY26" s="54"/>
      <c r="AZ26" s="21" t="str">
        <f>IFERROR(VLOOKUP(March[[#This Row],[Drug Name5]],'Data Options'!$R$1:$S$100,2,FALSE), " ")</f>
        <v xml:space="preserve"> </v>
      </c>
      <c r="BA26" s="55"/>
      <c r="BB26" s="32"/>
      <c r="BC26" s="32"/>
      <c r="BD26" s="55"/>
      <c r="BE26" s="32"/>
      <c r="BF26" s="54"/>
      <c r="BG26" s="21" t="str">
        <f>IFERROR(VLOOKUP(March[[#This Row],[Drug Name6]],'Data Options'!$R$1:$S$100,2,FALSE), " ")</f>
        <v xml:space="preserve"> </v>
      </c>
      <c r="BH26" s="55"/>
      <c r="BI26" s="32"/>
      <c r="BJ26" s="32"/>
      <c r="BK26" s="55"/>
      <c r="BL26" s="32"/>
      <c r="BM26" s="32"/>
      <c r="BN26" s="32"/>
      <c r="BO26" s="32"/>
      <c r="BP26" s="32"/>
      <c r="BQ26" s="31"/>
      <c r="BR26" s="31"/>
      <c r="BS26" s="54"/>
      <c r="BT26" s="21" t="str">
        <f>IFERROR(VLOOKUP(March[[#This Row],[Drug Name7]],'Data Options'!$R$1:$S$100,2,FALSE), " ")</f>
        <v xml:space="preserve"> </v>
      </c>
      <c r="BU26" s="55"/>
      <c r="BV26" s="32"/>
      <c r="BW26" s="32"/>
      <c r="BX26" s="55"/>
      <c r="BY26" s="32"/>
      <c r="BZ26" s="54"/>
      <c r="CA26" s="21" t="str">
        <f>IFERROR(VLOOKUP(March[[#This Row],[Drug Name8]],'Data Options'!$R$1:$S$100,2,FALSE), " ")</f>
        <v xml:space="preserve"> </v>
      </c>
      <c r="CB26" s="55"/>
      <c r="CC26" s="32"/>
      <c r="CD26" s="32"/>
      <c r="CE26" s="55"/>
      <c r="CF26" s="32"/>
      <c r="CG26" s="54"/>
      <c r="CH26" s="21" t="str">
        <f>IFERROR(VLOOKUP(March[[#This Row],[Drug Name9]],'Data Options'!$R$1:$S$100,2,FALSE), " ")</f>
        <v xml:space="preserve"> </v>
      </c>
      <c r="CI26" s="55"/>
      <c r="CJ26" s="32"/>
      <c r="CK26" s="32"/>
      <c r="CL26" s="55"/>
      <c r="CM26" s="32"/>
    </row>
    <row r="27" spans="1:91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54"/>
      <c r="R27" s="21" t="str">
        <f>IFERROR(VLOOKUP(March[[#This Row],[Drug Name]],'Data Options'!$R$1:$S$100,2,FALSE), " ")</f>
        <v xml:space="preserve"> </v>
      </c>
      <c r="S27" s="55"/>
      <c r="T27" s="32"/>
      <c r="U27" s="32"/>
      <c r="V27" s="55"/>
      <c r="W27" s="32"/>
      <c r="X27" s="54"/>
      <c r="Y27" s="21" t="str">
        <f>IFERROR(VLOOKUP(March[[#This Row],[Drug Name2]],'Data Options'!$R$1:$S$100,2,FALSE), " ")</f>
        <v xml:space="preserve"> </v>
      </c>
      <c r="Z27" s="55"/>
      <c r="AA27" s="32"/>
      <c r="AB27" s="32"/>
      <c r="AC27" s="55"/>
      <c r="AD27" s="32"/>
      <c r="AE27" s="54"/>
      <c r="AF27" s="21" t="str">
        <f>IFERROR(VLOOKUP(March[[#This Row],[Drug Name3]],'Data Options'!$R$1:$S$100,2,FALSE), " ")</f>
        <v xml:space="preserve"> </v>
      </c>
      <c r="AG27" s="55"/>
      <c r="AH27" s="32"/>
      <c r="AI27" s="32"/>
      <c r="AJ27" s="55"/>
      <c r="AK27" s="32"/>
      <c r="AL27" s="32"/>
      <c r="AM27" s="32"/>
      <c r="AN27" s="32"/>
      <c r="AO27" s="32"/>
      <c r="AP27" s="31"/>
      <c r="AQ27" s="31"/>
      <c r="AR27" s="54"/>
      <c r="AS27" s="21" t="str">
        <f>IFERROR(VLOOKUP(March[[#This Row],[Drug Name4]],'Data Options'!$R$1:$S$100,2,FALSE), " ")</f>
        <v xml:space="preserve"> </v>
      </c>
      <c r="AT27" s="55"/>
      <c r="AU27" s="32"/>
      <c r="AV27" s="32"/>
      <c r="AW27" s="55"/>
      <c r="AX27" s="32"/>
      <c r="AY27" s="54"/>
      <c r="AZ27" s="21" t="str">
        <f>IFERROR(VLOOKUP(March[[#This Row],[Drug Name5]],'Data Options'!$R$1:$S$100,2,FALSE), " ")</f>
        <v xml:space="preserve"> </v>
      </c>
      <c r="BA27" s="55"/>
      <c r="BB27" s="32"/>
      <c r="BC27" s="32"/>
      <c r="BD27" s="55"/>
      <c r="BE27" s="32"/>
      <c r="BF27" s="54"/>
      <c r="BG27" s="21" t="str">
        <f>IFERROR(VLOOKUP(March[[#This Row],[Drug Name6]],'Data Options'!$R$1:$S$100,2,FALSE), " ")</f>
        <v xml:space="preserve"> </v>
      </c>
      <c r="BH27" s="55"/>
      <c r="BI27" s="32"/>
      <c r="BJ27" s="32"/>
      <c r="BK27" s="55"/>
      <c r="BL27" s="32"/>
      <c r="BM27" s="32"/>
      <c r="BN27" s="32"/>
      <c r="BO27" s="32"/>
      <c r="BP27" s="32"/>
      <c r="BQ27" s="31"/>
      <c r="BR27" s="31"/>
      <c r="BS27" s="54"/>
      <c r="BT27" s="21" t="str">
        <f>IFERROR(VLOOKUP(March[[#This Row],[Drug Name7]],'Data Options'!$R$1:$S$100,2,FALSE), " ")</f>
        <v xml:space="preserve"> </v>
      </c>
      <c r="BU27" s="55"/>
      <c r="BV27" s="32"/>
      <c r="BW27" s="32"/>
      <c r="BX27" s="55"/>
      <c r="BY27" s="32"/>
      <c r="BZ27" s="54"/>
      <c r="CA27" s="21" t="str">
        <f>IFERROR(VLOOKUP(March[[#This Row],[Drug Name8]],'Data Options'!$R$1:$S$100,2,FALSE), " ")</f>
        <v xml:space="preserve"> </v>
      </c>
      <c r="CB27" s="55"/>
      <c r="CC27" s="32"/>
      <c r="CD27" s="32"/>
      <c r="CE27" s="55"/>
      <c r="CF27" s="32"/>
      <c r="CG27" s="54"/>
      <c r="CH27" s="21" t="str">
        <f>IFERROR(VLOOKUP(March[[#This Row],[Drug Name9]],'Data Options'!$R$1:$S$100,2,FALSE), " ")</f>
        <v xml:space="preserve"> </v>
      </c>
      <c r="CI27" s="55"/>
      <c r="CJ27" s="32"/>
      <c r="CK27" s="32"/>
      <c r="CL27" s="55"/>
      <c r="CM27" s="32"/>
    </row>
    <row r="28" spans="1:91">
      <c r="A28" s="5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54"/>
      <c r="R28" s="21" t="str">
        <f>IFERROR(VLOOKUP(March[[#This Row],[Drug Name]],'Data Options'!$R$1:$S$100,2,FALSE), " ")</f>
        <v xml:space="preserve"> </v>
      </c>
      <c r="S28" s="55"/>
      <c r="T28" s="32"/>
      <c r="U28" s="32"/>
      <c r="V28" s="55"/>
      <c r="W28" s="32"/>
      <c r="X28" s="54"/>
      <c r="Y28" s="21" t="str">
        <f>IFERROR(VLOOKUP(March[[#This Row],[Drug Name2]],'Data Options'!$R$1:$S$100,2,FALSE), " ")</f>
        <v xml:space="preserve"> </v>
      </c>
      <c r="Z28" s="55"/>
      <c r="AA28" s="32"/>
      <c r="AB28" s="32"/>
      <c r="AC28" s="55"/>
      <c r="AD28" s="32"/>
      <c r="AE28" s="54"/>
      <c r="AF28" s="21" t="str">
        <f>IFERROR(VLOOKUP(March[[#This Row],[Drug Name3]],'Data Options'!$R$1:$S$100,2,FALSE), " ")</f>
        <v xml:space="preserve"> </v>
      </c>
      <c r="AG28" s="55"/>
      <c r="AH28" s="32"/>
      <c r="AI28" s="32"/>
      <c r="AJ28" s="55"/>
      <c r="AK28" s="32"/>
      <c r="AL28" s="32"/>
      <c r="AM28" s="32"/>
      <c r="AN28" s="32"/>
      <c r="AO28" s="32"/>
      <c r="AP28" s="31"/>
      <c r="AQ28" s="31"/>
      <c r="AR28" s="54"/>
      <c r="AS28" s="21" t="str">
        <f>IFERROR(VLOOKUP(March[[#This Row],[Drug Name4]],'Data Options'!$R$1:$S$100,2,FALSE), " ")</f>
        <v xml:space="preserve"> </v>
      </c>
      <c r="AT28" s="55"/>
      <c r="AU28" s="32"/>
      <c r="AV28" s="32"/>
      <c r="AW28" s="55"/>
      <c r="AX28" s="32"/>
      <c r="AY28" s="54"/>
      <c r="AZ28" s="21" t="str">
        <f>IFERROR(VLOOKUP(March[[#This Row],[Drug Name5]],'Data Options'!$R$1:$S$100,2,FALSE), " ")</f>
        <v xml:space="preserve"> </v>
      </c>
      <c r="BA28" s="55"/>
      <c r="BB28" s="32"/>
      <c r="BC28" s="32"/>
      <c r="BD28" s="55"/>
      <c r="BE28" s="32"/>
      <c r="BF28" s="54"/>
      <c r="BG28" s="21" t="str">
        <f>IFERROR(VLOOKUP(March[[#This Row],[Drug Name6]],'Data Options'!$R$1:$S$100,2,FALSE), " ")</f>
        <v xml:space="preserve"> </v>
      </c>
      <c r="BH28" s="55"/>
      <c r="BI28" s="32"/>
      <c r="BJ28" s="32"/>
      <c r="BK28" s="55"/>
      <c r="BL28" s="32"/>
      <c r="BM28" s="32"/>
      <c r="BN28" s="32"/>
      <c r="BO28" s="32"/>
      <c r="BP28" s="32"/>
      <c r="BQ28" s="31"/>
      <c r="BR28" s="31"/>
      <c r="BS28" s="54"/>
      <c r="BT28" s="21" t="str">
        <f>IFERROR(VLOOKUP(March[[#This Row],[Drug Name7]],'Data Options'!$R$1:$S$100,2,FALSE), " ")</f>
        <v xml:space="preserve"> </v>
      </c>
      <c r="BU28" s="55"/>
      <c r="BV28" s="32"/>
      <c r="BW28" s="32"/>
      <c r="BX28" s="55"/>
      <c r="BY28" s="32"/>
      <c r="BZ28" s="54"/>
      <c r="CA28" s="21" t="str">
        <f>IFERROR(VLOOKUP(March[[#This Row],[Drug Name8]],'Data Options'!$R$1:$S$100,2,FALSE), " ")</f>
        <v xml:space="preserve"> </v>
      </c>
      <c r="CB28" s="55"/>
      <c r="CC28" s="32"/>
      <c r="CD28" s="32"/>
      <c r="CE28" s="55"/>
      <c r="CF28" s="32"/>
      <c r="CG28" s="54"/>
      <c r="CH28" s="21" t="str">
        <f>IFERROR(VLOOKUP(March[[#This Row],[Drug Name9]],'Data Options'!$R$1:$S$100,2,FALSE), " ")</f>
        <v xml:space="preserve"> </v>
      </c>
      <c r="CI28" s="55"/>
      <c r="CJ28" s="32"/>
      <c r="CK28" s="32"/>
      <c r="CL28" s="55"/>
      <c r="CM28" s="32"/>
    </row>
    <row r="29" spans="1:91">
      <c r="A29" s="5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54"/>
      <c r="R29" s="21" t="str">
        <f>IFERROR(VLOOKUP(March[[#This Row],[Drug Name]],'Data Options'!$R$1:$S$100,2,FALSE), " ")</f>
        <v xml:space="preserve"> </v>
      </c>
      <c r="S29" s="55"/>
      <c r="T29" s="32"/>
      <c r="U29" s="32"/>
      <c r="V29" s="55"/>
      <c r="W29" s="32"/>
      <c r="X29" s="54"/>
      <c r="Y29" s="21" t="str">
        <f>IFERROR(VLOOKUP(March[[#This Row],[Drug Name2]],'Data Options'!$R$1:$S$100,2,FALSE), " ")</f>
        <v xml:space="preserve"> </v>
      </c>
      <c r="Z29" s="55"/>
      <c r="AA29" s="32"/>
      <c r="AB29" s="32"/>
      <c r="AC29" s="55"/>
      <c r="AD29" s="32"/>
      <c r="AE29" s="54"/>
      <c r="AF29" s="21" t="str">
        <f>IFERROR(VLOOKUP(March[[#This Row],[Drug Name3]],'Data Options'!$R$1:$S$100,2,FALSE), " ")</f>
        <v xml:space="preserve"> </v>
      </c>
      <c r="AG29" s="55"/>
      <c r="AH29" s="32"/>
      <c r="AI29" s="32"/>
      <c r="AJ29" s="55"/>
      <c r="AK29" s="32"/>
      <c r="AL29" s="32"/>
      <c r="AM29" s="32"/>
      <c r="AN29" s="32"/>
      <c r="AO29" s="32"/>
      <c r="AP29" s="31"/>
      <c r="AQ29" s="31"/>
      <c r="AR29" s="54"/>
      <c r="AS29" s="21" t="str">
        <f>IFERROR(VLOOKUP(March[[#This Row],[Drug Name4]],'Data Options'!$R$1:$S$100,2,FALSE), " ")</f>
        <v xml:space="preserve"> </v>
      </c>
      <c r="AT29" s="55"/>
      <c r="AU29" s="32"/>
      <c r="AV29" s="32"/>
      <c r="AW29" s="55"/>
      <c r="AX29" s="32"/>
      <c r="AY29" s="54"/>
      <c r="AZ29" s="21" t="str">
        <f>IFERROR(VLOOKUP(March[[#This Row],[Drug Name5]],'Data Options'!$R$1:$S$100,2,FALSE), " ")</f>
        <v xml:space="preserve"> </v>
      </c>
      <c r="BA29" s="55"/>
      <c r="BB29" s="32"/>
      <c r="BC29" s="32"/>
      <c r="BD29" s="55"/>
      <c r="BE29" s="32"/>
      <c r="BF29" s="54"/>
      <c r="BG29" s="21" t="str">
        <f>IFERROR(VLOOKUP(March[[#This Row],[Drug Name6]],'Data Options'!$R$1:$S$100,2,FALSE), " ")</f>
        <v xml:space="preserve"> </v>
      </c>
      <c r="BH29" s="55"/>
      <c r="BI29" s="32"/>
      <c r="BJ29" s="32"/>
      <c r="BK29" s="55"/>
      <c r="BL29" s="32"/>
      <c r="BM29" s="32"/>
      <c r="BN29" s="32"/>
      <c r="BO29" s="32"/>
      <c r="BP29" s="32"/>
      <c r="BQ29" s="31"/>
      <c r="BR29" s="31"/>
      <c r="BS29" s="54"/>
      <c r="BT29" s="21" t="str">
        <f>IFERROR(VLOOKUP(March[[#This Row],[Drug Name7]],'Data Options'!$R$1:$S$100,2,FALSE), " ")</f>
        <v xml:space="preserve"> </v>
      </c>
      <c r="BU29" s="55"/>
      <c r="BV29" s="32"/>
      <c r="BW29" s="32"/>
      <c r="BX29" s="55"/>
      <c r="BY29" s="32"/>
      <c r="BZ29" s="54"/>
      <c r="CA29" s="21" t="str">
        <f>IFERROR(VLOOKUP(March[[#This Row],[Drug Name8]],'Data Options'!$R$1:$S$100,2,FALSE), " ")</f>
        <v xml:space="preserve"> </v>
      </c>
      <c r="CB29" s="55"/>
      <c r="CC29" s="32"/>
      <c r="CD29" s="32"/>
      <c r="CE29" s="55"/>
      <c r="CF29" s="32"/>
      <c r="CG29" s="54"/>
      <c r="CH29" s="21" t="str">
        <f>IFERROR(VLOOKUP(March[[#This Row],[Drug Name9]],'Data Options'!$R$1:$S$100,2,FALSE), " ")</f>
        <v xml:space="preserve"> </v>
      </c>
      <c r="CI29" s="55"/>
      <c r="CJ29" s="32"/>
      <c r="CK29" s="32"/>
      <c r="CL29" s="55"/>
      <c r="CM29" s="32"/>
    </row>
    <row r="30" spans="1:91">
      <c r="A30" s="5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54"/>
      <c r="R30" s="21" t="str">
        <f>IFERROR(VLOOKUP(March[[#This Row],[Drug Name]],'Data Options'!$R$1:$S$100,2,FALSE), " ")</f>
        <v xml:space="preserve"> </v>
      </c>
      <c r="S30" s="55"/>
      <c r="T30" s="32"/>
      <c r="U30" s="32"/>
      <c r="V30" s="55"/>
      <c r="W30" s="32"/>
      <c r="X30" s="54"/>
      <c r="Y30" s="21" t="str">
        <f>IFERROR(VLOOKUP(March[[#This Row],[Drug Name2]],'Data Options'!$R$1:$S$100,2,FALSE), " ")</f>
        <v xml:space="preserve"> </v>
      </c>
      <c r="Z30" s="55"/>
      <c r="AA30" s="32"/>
      <c r="AB30" s="32"/>
      <c r="AC30" s="55"/>
      <c r="AD30" s="32"/>
      <c r="AE30" s="54"/>
      <c r="AF30" s="21" t="str">
        <f>IFERROR(VLOOKUP(March[[#This Row],[Drug Name3]],'Data Options'!$R$1:$S$100,2,FALSE), " ")</f>
        <v xml:space="preserve"> </v>
      </c>
      <c r="AG30" s="55"/>
      <c r="AH30" s="32"/>
      <c r="AI30" s="32"/>
      <c r="AJ30" s="55"/>
      <c r="AK30" s="32"/>
      <c r="AL30" s="32"/>
      <c r="AM30" s="32"/>
      <c r="AN30" s="32"/>
      <c r="AO30" s="32"/>
      <c r="AP30" s="31"/>
      <c r="AQ30" s="31"/>
      <c r="AR30" s="54"/>
      <c r="AS30" s="21" t="str">
        <f>IFERROR(VLOOKUP(March[[#This Row],[Drug Name4]],'Data Options'!$R$1:$S$100,2,FALSE), " ")</f>
        <v xml:space="preserve"> </v>
      </c>
      <c r="AT30" s="55"/>
      <c r="AU30" s="32"/>
      <c r="AV30" s="32"/>
      <c r="AW30" s="55"/>
      <c r="AX30" s="32"/>
      <c r="AY30" s="54"/>
      <c r="AZ30" s="21" t="str">
        <f>IFERROR(VLOOKUP(March[[#This Row],[Drug Name5]],'Data Options'!$R$1:$S$100,2,FALSE), " ")</f>
        <v xml:space="preserve"> </v>
      </c>
      <c r="BA30" s="55"/>
      <c r="BB30" s="32"/>
      <c r="BC30" s="32"/>
      <c r="BD30" s="55"/>
      <c r="BE30" s="32"/>
      <c r="BF30" s="54"/>
      <c r="BG30" s="21" t="str">
        <f>IFERROR(VLOOKUP(March[[#This Row],[Drug Name6]],'Data Options'!$R$1:$S$100,2,FALSE), " ")</f>
        <v xml:space="preserve"> </v>
      </c>
      <c r="BH30" s="55"/>
      <c r="BI30" s="32"/>
      <c r="BJ30" s="32"/>
      <c r="BK30" s="55"/>
      <c r="BL30" s="32"/>
      <c r="BM30" s="32"/>
      <c r="BN30" s="32"/>
      <c r="BO30" s="32"/>
      <c r="BP30" s="32"/>
      <c r="BQ30" s="31"/>
      <c r="BR30" s="31"/>
      <c r="BS30" s="54"/>
      <c r="BT30" s="21" t="str">
        <f>IFERROR(VLOOKUP(March[[#This Row],[Drug Name7]],'Data Options'!$R$1:$S$100,2,FALSE), " ")</f>
        <v xml:space="preserve"> </v>
      </c>
      <c r="BU30" s="55"/>
      <c r="BV30" s="32"/>
      <c r="BW30" s="32"/>
      <c r="BX30" s="55"/>
      <c r="BY30" s="32"/>
      <c r="BZ30" s="54"/>
      <c r="CA30" s="21" t="str">
        <f>IFERROR(VLOOKUP(March[[#This Row],[Drug Name8]],'Data Options'!$R$1:$S$100,2,FALSE), " ")</f>
        <v xml:space="preserve"> </v>
      </c>
      <c r="CB30" s="55"/>
      <c r="CC30" s="32"/>
      <c r="CD30" s="32"/>
      <c r="CE30" s="55"/>
      <c r="CF30" s="32"/>
      <c r="CG30" s="54"/>
      <c r="CH30" s="21" t="str">
        <f>IFERROR(VLOOKUP(March[[#This Row],[Drug Name9]],'Data Options'!$R$1:$S$100,2,FALSE), " ")</f>
        <v xml:space="preserve"> </v>
      </c>
      <c r="CI30" s="55"/>
      <c r="CJ30" s="32"/>
      <c r="CK30" s="32"/>
      <c r="CL30" s="55"/>
      <c r="CM30" s="32"/>
    </row>
    <row r="31" spans="1:9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54"/>
      <c r="R31" s="21" t="str">
        <f>IFERROR(VLOOKUP(March[[#This Row],[Drug Name]],'Data Options'!$R$1:$S$100,2,FALSE), " ")</f>
        <v xml:space="preserve"> </v>
      </c>
      <c r="S31" s="55"/>
      <c r="T31" s="32"/>
      <c r="U31" s="32"/>
      <c r="V31" s="55"/>
      <c r="W31" s="32"/>
      <c r="X31" s="54"/>
      <c r="Y31" s="21" t="str">
        <f>IFERROR(VLOOKUP(March[[#This Row],[Drug Name2]],'Data Options'!$R$1:$S$100,2,FALSE), " ")</f>
        <v xml:space="preserve"> </v>
      </c>
      <c r="Z31" s="55"/>
      <c r="AA31" s="32"/>
      <c r="AB31" s="32"/>
      <c r="AC31" s="55"/>
      <c r="AD31" s="32"/>
      <c r="AE31" s="54"/>
      <c r="AF31" s="21" t="str">
        <f>IFERROR(VLOOKUP(March[[#This Row],[Drug Name3]],'Data Options'!$R$1:$S$100,2,FALSE), " ")</f>
        <v xml:space="preserve"> </v>
      </c>
      <c r="AG31" s="55"/>
      <c r="AH31" s="32"/>
      <c r="AI31" s="32"/>
      <c r="AJ31" s="55"/>
      <c r="AK31" s="32"/>
      <c r="AL31" s="32"/>
      <c r="AM31" s="32"/>
      <c r="AN31" s="32"/>
      <c r="AO31" s="32"/>
      <c r="AP31" s="31"/>
      <c r="AQ31" s="31"/>
      <c r="AR31" s="54"/>
      <c r="AS31" s="21" t="str">
        <f>IFERROR(VLOOKUP(March[[#This Row],[Drug Name4]],'Data Options'!$R$1:$S$100,2,FALSE), " ")</f>
        <v xml:space="preserve"> </v>
      </c>
      <c r="AT31" s="55"/>
      <c r="AU31" s="32"/>
      <c r="AV31" s="32"/>
      <c r="AW31" s="55"/>
      <c r="AX31" s="32"/>
      <c r="AY31" s="54"/>
      <c r="AZ31" s="21" t="str">
        <f>IFERROR(VLOOKUP(March[[#This Row],[Drug Name5]],'Data Options'!$R$1:$S$100,2,FALSE), " ")</f>
        <v xml:space="preserve"> </v>
      </c>
      <c r="BA31" s="55"/>
      <c r="BB31" s="32"/>
      <c r="BC31" s="32"/>
      <c r="BD31" s="55"/>
      <c r="BE31" s="32"/>
      <c r="BF31" s="54"/>
      <c r="BG31" s="21" t="str">
        <f>IFERROR(VLOOKUP(March[[#This Row],[Drug Name6]],'Data Options'!$R$1:$S$100,2,FALSE), " ")</f>
        <v xml:space="preserve"> </v>
      </c>
      <c r="BH31" s="55"/>
      <c r="BI31" s="32"/>
      <c r="BJ31" s="32"/>
      <c r="BK31" s="55"/>
      <c r="BL31" s="32"/>
      <c r="BM31" s="32"/>
      <c r="BN31" s="32"/>
      <c r="BO31" s="32"/>
      <c r="BP31" s="32"/>
      <c r="BQ31" s="31"/>
      <c r="BR31" s="31"/>
      <c r="BS31" s="54"/>
      <c r="BT31" s="21" t="str">
        <f>IFERROR(VLOOKUP(March[[#This Row],[Drug Name7]],'Data Options'!$R$1:$S$100,2,FALSE), " ")</f>
        <v xml:space="preserve"> </v>
      </c>
      <c r="BU31" s="55"/>
      <c r="BV31" s="32"/>
      <c r="BW31" s="32"/>
      <c r="BX31" s="55"/>
      <c r="BY31" s="32"/>
      <c r="BZ31" s="54"/>
      <c r="CA31" s="21" t="str">
        <f>IFERROR(VLOOKUP(March[[#This Row],[Drug Name8]],'Data Options'!$R$1:$S$100,2,FALSE), " ")</f>
        <v xml:space="preserve"> </v>
      </c>
      <c r="CB31" s="55"/>
      <c r="CC31" s="32"/>
      <c r="CD31" s="32"/>
      <c r="CE31" s="55"/>
      <c r="CF31" s="32"/>
      <c r="CG31" s="54"/>
      <c r="CH31" s="21" t="str">
        <f>IFERROR(VLOOKUP(March[[#This Row],[Drug Name9]],'Data Options'!$R$1:$S$100,2,FALSE), " ")</f>
        <v xml:space="preserve"> </v>
      </c>
      <c r="CI31" s="55"/>
      <c r="CJ31" s="32"/>
      <c r="CK31" s="32"/>
      <c r="CL31" s="55"/>
      <c r="CM31" s="32"/>
    </row>
    <row r="32" spans="1:91">
      <c r="A32" s="5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54"/>
      <c r="R32" s="21" t="str">
        <f>IFERROR(VLOOKUP(March[[#This Row],[Drug Name]],'Data Options'!$R$1:$S$100,2,FALSE), " ")</f>
        <v xml:space="preserve"> </v>
      </c>
      <c r="S32" s="55"/>
      <c r="T32" s="32"/>
      <c r="U32" s="32"/>
      <c r="V32" s="55"/>
      <c r="W32" s="32"/>
      <c r="X32" s="54"/>
      <c r="Y32" s="21" t="str">
        <f>IFERROR(VLOOKUP(March[[#This Row],[Drug Name2]],'Data Options'!$R$1:$S$100,2,FALSE), " ")</f>
        <v xml:space="preserve"> </v>
      </c>
      <c r="Z32" s="55"/>
      <c r="AA32" s="32"/>
      <c r="AB32" s="32"/>
      <c r="AC32" s="55"/>
      <c r="AD32" s="32"/>
      <c r="AE32" s="54"/>
      <c r="AF32" s="21" t="str">
        <f>IFERROR(VLOOKUP(March[[#This Row],[Drug Name3]],'Data Options'!$R$1:$S$100,2,FALSE), " ")</f>
        <v xml:space="preserve"> </v>
      </c>
      <c r="AG32" s="55"/>
      <c r="AH32" s="32"/>
      <c r="AI32" s="32"/>
      <c r="AJ32" s="55"/>
      <c r="AK32" s="32"/>
      <c r="AL32" s="32"/>
      <c r="AM32" s="32"/>
      <c r="AN32" s="32"/>
      <c r="AO32" s="32"/>
      <c r="AP32" s="31"/>
      <c r="AQ32" s="31"/>
      <c r="AR32" s="54"/>
      <c r="AS32" s="21" t="str">
        <f>IFERROR(VLOOKUP(March[[#This Row],[Drug Name4]],'Data Options'!$R$1:$S$100,2,FALSE), " ")</f>
        <v xml:space="preserve"> </v>
      </c>
      <c r="AT32" s="55"/>
      <c r="AU32" s="32"/>
      <c r="AV32" s="32"/>
      <c r="AW32" s="55"/>
      <c r="AX32" s="32"/>
      <c r="AY32" s="54"/>
      <c r="AZ32" s="21" t="str">
        <f>IFERROR(VLOOKUP(March[[#This Row],[Drug Name5]],'Data Options'!$R$1:$S$100,2,FALSE), " ")</f>
        <v xml:space="preserve"> </v>
      </c>
      <c r="BA32" s="55"/>
      <c r="BB32" s="32"/>
      <c r="BC32" s="32"/>
      <c r="BD32" s="55"/>
      <c r="BE32" s="32"/>
      <c r="BF32" s="54"/>
      <c r="BG32" s="21" t="str">
        <f>IFERROR(VLOOKUP(March[[#This Row],[Drug Name6]],'Data Options'!$R$1:$S$100,2,FALSE), " ")</f>
        <v xml:space="preserve"> </v>
      </c>
      <c r="BH32" s="55"/>
      <c r="BI32" s="32"/>
      <c r="BJ32" s="32"/>
      <c r="BK32" s="55"/>
      <c r="BL32" s="32"/>
      <c r="BM32" s="32"/>
      <c r="BN32" s="32"/>
      <c r="BO32" s="32"/>
      <c r="BP32" s="32"/>
      <c r="BQ32" s="31"/>
      <c r="BR32" s="31"/>
      <c r="BS32" s="54"/>
      <c r="BT32" s="21" t="str">
        <f>IFERROR(VLOOKUP(March[[#This Row],[Drug Name7]],'Data Options'!$R$1:$S$100,2,FALSE), " ")</f>
        <v xml:space="preserve"> </v>
      </c>
      <c r="BU32" s="55"/>
      <c r="BV32" s="32"/>
      <c r="BW32" s="32"/>
      <c r="BX32" s="55"/>
      <c r="BY32" s="32"/>
      <c r="BZ32" s="54"/>
      <c r="CA32" s="21" t="str">
        <f>IFERROR(VLOOKUP(March[[#This Row],[Drug Name8]],'Data Options'!$R$1:$S$100,2,FALSE), " ")</f>
        <v xml:space="preserve"> </v>
      </c>
      <c r="CB32" s="55"/>
      <c r="CC32" s="32"/>
      <c r="CD32" s="32"/>
      <c r="CE32" s="55"/>
      <c r="CF32" s="32"/>
      <c r="CG32" s="54"/>
      <c r="CH32" s="21" t="str">
        <f>IFERROR(VLOOKUP(March[[#This Row],[Drug Name9]],'Data Options'!$R$1:$S$100,2,FALSE), " ")</f>
        <v xml:space="preserve"> </v>
      </c>
      <c r="CI32" s="55"/>
      <c r="CJ32" s="32"/>
      <c r="CK32" s="32"/>
      <c r="CL32" s="55"/>
      <c r="CM32" s="32"/>
    </row>
    <row r="33" spans="1:9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54"/>
      <c r="R33" s="21" t="str">
        <f>IFERROR(VLOOKUP(March[[#This Row],[Drug Name]],'Data Options'!$R$1:$S$100,2,FALSE), " ")</f>
        <v xml:space="preserve"> </v>
      </c>
      <c r="S33" s="55"/>
      <c r="T33" s="32"/>
      <c r="U33" s="32"/>
      <c r="V33" s="55"/>
      <c r="W33" s="32"/>
      <c r="X33" s="54"/>
      <c r="Y33" s="21" t="str">
        <f>IFERROR(VLOOKUP(March[[#This Row],[Drug Name2]],'Data Options'!$R$1:$S$100,2,FALSE), " ")</f>
        <v xml:space="preserve"> </v>
      </c>
      <c r="Z33" s="55"/>
      <c r="AA33" s="32"/>
      <c r="AB33" s="32"/>
      <c r="AC33" s="55"/>
      <c r="AD33" s="32"/>
      <c r="AE33" s="54"/>
      <c r="AF33" s="21" t="str">
        <f>IFERROR(VLOOKUP(March[[#This Row],[Drug Name3]],'Data Options'!$R$1:$S$100,2,FALSE), " ")</f>
        <v xml:space="preserve"> </v>
      </c>
      <c r="AG33" s="55"/>
      <c r="AH33" s="32"/>
      <c r="AI33" s="32"/>
      <c r="AJ33" s="55"/>
      <c r="AK33" s="32"/>
      <c r="AL33" s="32"/>
      <c r="AM33" s="32"/>
      <c r="AN33" s="32"/>
      <c r="AO33" s="32"/>
      <c r="AP33" s="31"/>
      <c r="AQ33" s="31"/>
      <c r="AR33" s="54"/>
      <c r="AS33" s="21" t="str">
        <f>IFERROR(VLOOKUP(March[[#This Row],[Drug Name4]],'Data Options'!$R$1:$S$100,2,FALSE), " ")</f>
        <v xml:space="preserve"> </v>
      </c>
      <c r="AT33" s="55"/>
      <c r="AU33" s="32"/>
      <c r="AV33" s="32"/>
      <c r="AW33" s="55"/>
      <c r="AX33" s="32"/>
      <c r="AY33" s="54"/>
      <c r="AZ33" s="21" t="str">
        <f>IFERROR(VLOOKUP(March[[#This Row],[Drug Name5]],'Data Options'!$R$1:$S$100,2,FALSE), " ")</f>
        <v xml:space="preserve"> </v>
      </c>
      <c r="BA33" s="55"/>
      <c r="BB33" s="32"/>
      <c r="BC33" s="32"/>
      <c r="BD33" s="55"/>
      <c r="BE33" s="32"/>
      <c r="BF33" s="54"/>
      <c r="BG33" s="21" t="str">
        <f>IFERROR(VLOOKUP(March[[#This Row],[Drug Name6]],'Data Options'!$R$1:$S$100,2,FALSE), " ")</f>
        <v xml:space="preserve"> </v>
      </c>
      <c r="BH33" s="55"/>
      <c r="BI33" s="32"/>
      <c r="BJ33" s="32"/>
      <c r="BK33" s="55"/>
      <c r="BL33" s="32"/>
      <c r="BM33" s="32"/>
      <c r="BN33" s="32"/>
      <c r="BO33" s="32"/>
      <c r="BP33" s="32"/>
      <c r="BQ33" s="31"/>
      <c r="BR33" s="31"/>
      <c r="BS33" s="54"/>
      <c r="BT33" s="21" t="str">
        <f>IFERROR(VLOOKUP(March[[#This Row],[Drug Name7]],'Data Options'!$R$1:$S$100,2,FALSE), " ")</f>
        <v xml:space="preserve"> </v>
      </c>
      <c r="BU33" s="55"/>
      <c r="BV33" s="32"/>
      <c r="BW33" s="32"/>
      <c r="BX33" s="55"/>
      <c r="BY33" s="32"/>
      <c r="BZ33" s="54"/>
      <c r="CA33" s="21" t="str">
        <f>IFERROR(VLOOKUP(March[[#This Row],[Drug Name8]],'Data Options'!$R$1:$S$100,2,FALSE), " ")</f>
        <v xml:space="preserve"> </v>
      </c>
      <c r="CB33" s="55"/>
      <c r="CC33" s="32"/>
      <c r="CD33" s="32"/>
      <c r="CE33" s="55"/>
      <c r="CF33" s="32"/>
      <c r="CG33" s="54"/>
      <c r="CH33" s="21" t="str">
        <f>IFERROR(VLOOKUP(March[[#This Row],[Drug Name9]],'Data Options'!$R$1:$S$100,2,FALSE), " ")</f>
        <v xml:space="preserve"> </v>
      </c>
      <c r="CI33" s="55"/>
      <c r="CJ33" s="32"/>
      <c r="CK33" s="32"/>
      <c r="CL33" s="55"/>
      <c r="CM33" s="32"/>
    </row>
    <row r="34" spans="1:9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54"/>
      <c r="R34" s="21" t="str">
        <f>IFERROR(VLOOKUP(March[[#This Row],[Drug Name]],'Data Options'!$R$1:$S$100,2,FALSE), " ")</f>
        <v xml:space="preserve"> </v>
      </c>
      <c r="S34" s="55"/>
      <c r="T34" s="32"/>
      <c r="U34" s="32"/>
      <c r="V34" s="55"/>
      <c r="W34" s="32"/>
      <c r="X34" s="54"/>
      <c r="Y34" s="21" t="str">
        <f>IFERROR(VLOOKUP(March[[#This Row],[Drug Name2]],'Data Options'!$R$1:$S$100,2,FALSE), " ")</f>
        <v xml:space="preserve"> </v>
      </c>
      <c r="Z34" s="55"/>
      <c r="AA34" s="32"/>
      <c r="AB34" s="32"/>
      <c r="AC34" s="55"/>
      <c r="AD34" s="32"/>
      <c r="AE34" s="54"/>
      <c r="AF34" s="21" t="str">
        <f>IFERROR(VLOOKUP(March[[#This Row],[Drug Name3]],'Data Options'!$R$1:$S$100,2,FALSE), " ")</f>
        <v xml:space="preserve"> </v>
      </c>
      <c r="AG34" s="55"/>
      <c r="AH34" s="32"/>
      <c r="AI34" s="32"/>
      <c r="AJ34" s="55"/>
      <c r="AK34" s="32"/>
      <c r="AL34" s="32"/>
      <c r="AM34" s="32"/>
      <c r="AN34" s="32"/>
      <c r="AO34" s="32"/>
      <c r="AP34" s="31"/>
      <c r="AQ34" s="31"/>
      <c r="AR34" s="54"/>
      <c r="AS34" s="21" t="str">
        <f>IFERROR(VLOOKUP(March[[#This Row],[Drug Name4]],'Data Options'!$R$1:$S$100,2,FALSE), " ")</f>
        <v xml:space="preserve"> </v>
      </c>
      <c r="AT34" s="55"/>
      <c r="AU34" s="32"/>
      <c r="AV34" s="32"/>
      <c r="AW34" s="55"/>
      <c r="AX34" s="32"/>
      <c r="AY34" s="54"/>
      <c r="AZ34" s="21" t="str">
        <f>IFERROR(VLOOKUP(March[[#This Row],[Drug Name5]],'Data Options'!$R$1:$S$100,2,FALSE), " ")</f>
        <v xml:space="preserve"> </v>
      </c>
      <c r="BA34" s="55"/>
      <c r="BB34" s="32"/>
      <c r="BC34" s="32"/>
      <c r="BD34" s="55"/>
      <c r="BE34" s="32"/>
      <c r="BF34" s="54"/>
      <c r="BG34" s="21" t="str">
        <f>IFERROR(VLOOKUP(March[[#This Row],[Drug Name6]],'Data Options'!$R$1:$S$100,2,FALSE), " ")</f>
        <v xml:space="preserve"> </v>
      </c>
      <c r="BH34" s="55"/>
      <c r="BI34" s="32"/>
      <c r="BJ34" s="32"/>
      <c r="BK34" s="55"/>
      <c r="BL34" s="32"/>
      <c r="BM34" s="32"/>
      <c r="BN34" s="32"/>
      <c r="BO34" s="32"/>
      <c r="BP34" s="32"/>
      <c r="BQ34" s="31"/>
      <c r="BR34" s="31"/>
      <c r="BS34" s="54"/>
      <c r="BT34" s="21" t="str">
        <f>IFERROR(VLOOKUP(March[[#This Row],[Drug Name7]],'Data Options'!$R$1:$S$100,2,FALSE), " ")</f>
        <v xml:space="preserve"> </v>
      </c>
      <c r="BU34" s="55"/>
      <c r="BV34" s="32"/>
      <c r="BW34" s="32"/>
      <c r="BX34" s="55"/>
      <c r="BY34" s="32"/>
      <c r="BZ34" s="54"/>
      <c r="CA34" s="21" t="str">
        <f>IFERROR(VLOOKUP(March[[#This Row],[Drug Name8]],'Data Options'!$R$1:$S$100,2,FALSE), " ")</f>
        <v xml:space="preserve"> </v>
      </c>
      <c r="CB34" s="55"/>
      <c r="CC34" s="32"/>
      <c r="CD34" s="32"/>
      <c r="CE34" s="55"/>
      <c r="CF34" s="32"/>
      <c r="CG34" s="54"/>
      <c r="CH34" s="21" t="str">
        <f>IFERROR(VLOOKUP(March[[#This Row],[Drug Name9]],'Data Options'!$R$1:$S$100,2,FALSE), " ")</f>
        <v xml:space="preserve"> </v>
      </c>
      <c r="CI34" s="55"/>
      <c r="CJ34" s="32"/>
      <c r="CK34" s="32"/>
      <c r="CL34" s="55"/>
      <c r="CM34" s="32"/>
    </row>
    <row r="35" spans="1:9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54"/>
      <c r="R35" s="21" t="str">
        <f>IFERROR(VLOOKUP(March[[#This Row],[Drug Name]],'Data Options'!$R$1:$S$100,2,FALSE), " ")</f>
        <v xml:space="preserve"> </v>
      </c>
      <c r="S35" s="55"/>
      <c r="T35" s="32"/>
      <c r="U35" s="32"/>
      <c r="V35" s="55"/>
      <c r="W35" s="32"/>
      <c r="X35" s="54"/>
      <c r="Y35" s="21" t="str">
        <f>IFERROR(VLOOKUP(March[[#This Row],[Drug Name2]],'Data Options'!$R$1:$S$100,2,FALSE), " ")</f>
        <v xml:space="preserve"> </v>
      </c>
      <c r="Z35" s="55"/>
      <c r="AA35" s="32"/>
      <c r="AB35" s="32"/>
      <c r="AC35" s="55"/>
      <c r="AD35" s="32"/>
      <c r="AE35" s="54"/>
      <c r="AF35" s="21" t="str">
        <f>IFERROR(VLOOKUP(March[[#This Row],[Drug Name3]],'Data Options'!$R$1:$S$100,2,FALSE), " ")</f>
        <v xml:space="preserve"> </v>
      </c>
      <c r="AG35" s="55"/>
      <c r="AH35" s="32"/>
      <c r="AI35" s="32"/>
      <c r="AJ35" s="55"/>
      <c r="AK35" s="32"/>
      <c r="AL35" s="32"/>
      <c r="AM35" s="32"/>
      <c r="AN35" s="32"/>
      <c r="AO35" s="32"/>
      <c r="AP35" s="31"/>
      <c r="AQ35" s="31"/>
      <c r="AR35" s="54"/>
      <c r="AS35" s="21" t="str">
        <f>IFERROR(VLOOKUP(March[[#This Row],[Drug Name4]],'Data Options'!$R$1:$S$100,2,FALSE), " ")</f>
        <v xml:space="preserve"> </v>
      </c>
      <c r="AT35" s="55"/>
      <c r="AU35" s="32"/>
      <c r="AV35" s="32"/>
      <c r="AW35" s="55"/>
      <c r="AX35" s="32"/>
      <c r="AY35" s="54"/>
      <c r="AZ35" s="21" t="str">
        <f>IFERROR(VLOOKUP(March[[#This Row],[Drug Name5]],'Data Options'!$R$1:$S$100,2,FALSE), " ")</f>
        <v xml:space="preserve"> </v>
      </c>
      <c r="BA35" s="55"/>
      <c r="BB35" s="32"/>
      <c r="BC35" s="32"/>
      <c r="BD35" s="55"/>
      <c r="BE35" s="32"/>
      <c r="BF35" s="54"/>
      <c r="BG35" s="21" t="str">
        <f>IFERROR(VLOOKUP(March[[#This Row],[Drug Name6]],'Data Options'!$R$1:$S$100,2,FALSE), " ")</f>
        <v xml:space="preserve"> </v>
      </c>
      <c r="BH35" s="55"/>
      <c r="BI35" s="32"/>
      <c r="BJ35" s="32"/>
      <c r="BK35" s="55"/>
      <c r="BL35" s="32"/>
      <c r="BM35" s="32"/>
      <c r="BN35" s="32"/>
      <c r="BO35" s="32"/>
      <c r="BP35" s="32"/>
      <c r="BQ35" s="31"/>
      <c r="BR35" s="31"/>
      <c r="BS35" s="54"/>
      <c r="BT35" s="21" t="str">
        <f>IFERROR(VLOOKUP(March[[#This Row],[Drug Name7]],'Data Options'!$R$1:$S$100,2,FALSE), " ")</f>
        <v xml:space="preserve"> </v>
      </c>
      <c r="BU35" s="55"/>
      <c r="BV35" s="32"/>
      <c r="BW35" s="32"/>
      <c r="BX35" s="55"/>
      <c r="BY35" s="32"/>
      <c r="BZ35" s="54"/>
      <c r="CA35" s="21" t="str">
        <f>IFERROR(VLOOKUP(March[[#This Row],[Drug Name8]],'Data Options'!$R$1:$S$100,2,FALSE), " ")</f>
        <v xml:space="preserve"> </v>
      </c>
      <c r="CB35" s="55"/>
      <c r="CC35" s="32"/>
      <c r="CD35" s="32"/>
      <c r="CE35" s="55"/>
      <c r="CF35" s="32"/>
      <c r="CG35" s="54"/>
      <c r="CH35" s="21" t="str">
        <f>IFERROR(VLOOKUP(March[[#This Row],[Drug Name9]],'Data Options'!$R$1:$S$100,2,FALSE), " ")</f>
        <v xml:space="preserve"> </v>
      </c>
      <c r="CI35" s="55"/>
      <c r="CJ35" s="32"/>
      <c r="CK35" s="32"/>
      <c r="CL35" s="55"/>
      <c r="CM35" s="32"/>
    </row>
    <row r="36" spans="1:91">
      <c r="A36" s="5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54"/>
      <c r="R36" s="21" t="str">
        <f>IFERROR(VLOOKUP(March[[#This Row],[Drug Name]],'Data Options'!$R$1:$S$100,2,FALSE), " ")</f>
        <v xml:space="preserve"> </v>
      </c>
      <c r="S36" s="55"/>
      <c r="T36" s="32"/>
      <c r="U36" s="32"/>
      <c r="V36" s="55"/>
      <c r="W36" s="32"/>
      <c r="X36" s="54"/>
      <c r="Y36" s="21" t="str">
        <f>IFERROR(VLOOKUP(March[[#This Row],[Drug Name2]],'Data Options'!$R$1:$S$100,2,FALSE), " ")</f>
        <v xml:space="preserve"> </v>
      </c>
      <c r="Z36" s="55"/>
      <c r="AA36" s="32"/>
      <c r="AB36" s="32"/>
      <c r="AC36" s="55"/>
      <c r="AD36" s="32"/>
      <c r="AE36" s="54"/>
      <c r="AF36" s="21" t="str">
        <f>IFERROR(VLOOKUP(March[[#This Row],[Drug Name3]],'Data Options'!$R$1:$S$100,2,FALSE), " ")</f>
        <v xml:space="preserve"> </v>
      </c>
      <c r="AG36" s="55"/>
      <c r="AH36" s="32"/>
      <c r="AI36" s="32"/>
      <c r="AJ36" s="55"/>
      <c r="AK36" s="32"/>
      <c r="AL36" s="32"/>
      <c r="AM36" s="32"/>
      <c r="AN36" s="32"/>
      <c r="AO36" s="32"/>
      <c r="AP36" s="31"/>
      <c r="AQ36" s="31"/>
      <c r="AR36" s="54"/>
      <c r="AS36" s="21" t="str">
        <f>IFERROR(VLOOKUP(March[[#This Row],[Drug Name4]],'Data Options'!$R$1:$S$100,2,FALSE), " ")</f>
        <v xml:space="preserve"> </v>
      </c>
      <c r="AT36" s="55"/>
      <c r="AU36" s="32"/>
      <c r="AV36" s="32"/>
      <c r="AW36" s="55"/>
      <c r="AX36" s="32"/>
      <c r="AY36" s="54"/>
      <c r="AZ36" s="21" t="str">
        <f>IFERROR(VLOOKUP(March[[#This Row],[Drug Name5]],'Data Options'!$R$1:$S$100,2,FALSE), " ")</f>
        <v xml:space="preserve"> </v>
      </c>
      <c r="BA36" s="55"/>
      <c r="BB36" s="32"/>
      <c r="BC36" s="32"/>
      <c r="BD36" s="55"/>
      <c r="BE36" s="32"/>
      <c r="BF36" s="54"/>
      <c r="BG36" s="21" t="str">
        <f>IFERROR(VLOOKUP(March[[#This Row],[Drug Name6]],'Data Options'!$R$1:$S$100,2,FALSE), " ")</f>
        <v xml:space="preserve"> </v>
      </c>
      <c r="BH36" s="55"/>
      <c r="BI36" s="32"/>
      <c r="BJ36" s="32"/>
      <c r="BK36" s="55"/>
      <c r="BL36" s="32"/>
      <c r="BM36" s="32"/>
      <c r="BN36" s="32"/>
      <c r="BO36" s="32"/>
      <c r="BP36" s="32"/>
      <c r="BQ36" s="31"/>
      <c r="BR36" s="31"/>
      <c r="BS36" s="54"/>
      <c r="BT36" s="21" t="str">
        <f>IFERROR(VLOOKUP(March[[#This Row],[Drug Name7]],'Data Options'!$R$1:$S$100,2,FALSE), " ")</f>
        <v xml:space="preserve"> </v>
      </c>
      <c r="BU36" s="55"/>
      <c r="BV36" s="32"/>
      <c r="BW36" s="32"/>
      <c r="BX36" s="55"/>
      <c r="BY36" s="32"/>
      <c r="BZ36" s="54"/>
      <c r="CA36" s="21" t="str">
        <f>IFERROR(VLOOKUP(March[[#This Row],[Drug Name8]],'Data Options'!$R$1:$S$100,2,FALSE), " ")</f>
        <v xml:space="preserve"> </v>
      </c>
      <c r="CB36" s="55"/>
      <c r="CC36" s="32"/>
      <c r="CD36" s="32"/>
      <c r="CE36" s="55"/>
      <c r="CF36" s="32"/>
      <c r="CG36" s="54"/>
      <c r="CH36" s="21" t="str">
        <f>IFERROR(VLOOKUP(March[[#This Row],[Drug Name9]],'Data Options'!$R$1:$S$100,2,FALSE), " ")</f>
        <v xml:space="preserve"> </v>
      </c>
      <c r="CI36" s="55"/>
      <c r="CJ36" s="32"/>
      <c r="CK36" s="32"/>
      <c r="CL36" s="55"/>
      <c r="CM36" s="32"/>
    </row>
    <row r="37" spans="1:9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54"/>
      <c r="R37" s="21" t="str">
        <f>IFERROR(VLOOKUP(March[[#This Row],[Drug Name]],'Data Options'!$R$1:$S$100,2,FALSE), " ")</f>
        <v xml:space="preserve"> </v>
      </c>
      <c r="S37" s="55"/>
      <c r="T37" s="32"/>
      <c r="U37" s="32"/>
      <c r="V37" s="55"/>
      <c r="W37" s="32"/>
      <c r="X37" s="54"/>
      <c r="Y37" s="21" t="str">
        <f>IFERROR(VLOOKUP(March[[#This Row],[Drug Name2]],'Data Options'!$R$1:$S$100,2,FALSE), " ")</f>
        <v xml:space="preserve"> </v>
      </c>
      <c r="Z37" s="55"/>
      <c r="AA37" s="32"/>
      <c r="AB37" s="32"/>
      <c r="AC37" s="55"/>
      <c r="AD37" s="32"/>
      <c r="AE37" s="54"/>
      <c r="AF37" s="21" t="str">
        <f>IFERROR(VLOOKUP(March[[#This Row],[Drug Name3]],'Data Options'!$R$1:$S$100,2,FALSE), " ")</f>
        <v xml:space="preserve"> </v>
      </c>
      <c r="AG37" s="55"/>
      <c r="AH37" s="32"/>
      <c r="AI37" s="32"/>
      <c r="AJ37" s="55"/>
      <c r="AK37" s="32"/>
      <c r="AL37" s="32"/>
      <c r="AM37" s="32"/>
      <c r="AN37" s="32"/>
      <c r="AO37" s="32"/>
      <c r="AP37" s="31"/>
      <c r="AQ37" s="31"/>
      <c r="AR37" s="54"/>
      <c r="AS37" s="21" t="str">
        <f>IFERROR(VLOOKUP(March[[#This Row],[Drug Name4]],'Data Options'!$R$1:$S$100,2,FALSE), " ")</f>
        <v xml:space="preserve"> </v>
      </c>
      <c r="AT37" s="55"/>
      <c r="AU37" s="32"/>
      <c r="AV37" s="32"/>
      <c r="AW37" s="55"/>
      <c r="AX37" s="32"/>
      <c r="AY37" s="54"/>
      <c r="AZ37" s="21" t="str">
        <f>IFERROR(VLOOKUP(March[[#This Row],[Drug Name5]],'Data Options'!$R$1:$S$100,2,FALSE), " ")</f>
        <v xml:space="preserve"> </v>
      </c>
      <c r="BA37" s="55"/>
      <c r="BB37" s="32"/>
      <c r="BC37" s="32"/>
      <c r="BD37" s="55"/>
      <c r="BE37" s="32"/>
      <c r="BF37" s="54"/>
      <c r="BG37" s="21" t="str">
        <f>IFERROR(VLOOKUP(March[[#This Row],[Drug Name6]],'Data Options'!$R$1:$S$100,2,FALSE), " ")</f>
        <v xml:space="preserve"> </v>
      </c>
      <c r="BH37" s="55"/>
      <c r="BI37" s="32"/>
      <c r="BJ37" s="32"/>
      <c r="BK37" s="55"/>
      <c r="BL37" s="32"/>
      <c r="BM37" s="32"/>
      <c r="BN37" s="32"/>
      <c r="BO37" s="32"/>
      <c r="BP37" s="32"/>
      <c r="BQ37" s="31"/>
      <c r="BR37" s="31"/>
      <c r="BS37" s="54"/>
      <c r="BT37" s="21" t="str">
        <f>IFERROR(VLOOKUP(March[[#This Row],[Drug Name7]],'Data Options'!$R$1:$S$100,2,FALSE), " ")</f>
        <v xml:space="preserve"> </v>
      </c>
      <c r="BU37" s="55"/>
      <c r="BV37" s="32"/>
      <c r="BW37" s="32"/>
      <c r="BX37" s="55"/>
      <c r="BY37" s="32"/>
      <c r="BZ37" s="54"/>
      <c r="CA37" s="21" t="str">
        <f>IFERROR(VLOOKUP(March[[#This Row],[Drug Name8]],'Data Options'!$R$1:$S$100,2,FALSE), " ")</f>
        <v xml:space="preserve"> </v>
      </c>
      <c r="CB37" s="55"/>
      <c r="CC37" s="32"/>
      <c r="CD37" s="32"/>
      <c r="CE37" s="55"/>
      <c r="CF37" s="32"/>
      <c r="CG37" s="54"/>
      <c r="CH37" s="21" t="str">
        <f>IFERROR(VLOOKUP(March[[#This Row],[Drug Name9]],'Data Options'!$R$1:$S$100,2,FALSE), " ")</f>
        <v xml:space="preserve"> </v>
      </c>
      <c r="CI37" s="55"/>
      <c r="CJ37" s="32"/>
      <c r="CK37" s="32"/>
      <c r="CL37" s="55"/>
      <c r="CM37" s="32"/>
    </row>
    <row r="38" spans="1:9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54"/>
      <c r="R38" s="21" t="str">
        <f>IFERROR(VLOOKUP(March[[#This Row],[Drug Name]],'Data Options'!$R$1:$S$100,2,FALSE), " ")</f>
        <v xml:space="preserve"> </v>
      </c>
      <c r="S38" s="55"/>
      <c r="T38" s="32"/>
      <c r="U38" s="32"/>
      <c r="V38" s="55"/>
      <c r="W38" s="32"/>
      <c r="X38" s="54"/>
      <c r="Y38" s="21" t="str">
        <f>IFERROR(VLOOKUP(March[[#This Row],[Drug Name2]],'Data Options'!$R$1:$S$100,2,FALSE), " ")</f>
        <v xml:space="preserve"> </v>
      </c>
      <c r="Z38" s="55"/>
      <c r="AA38" s="32"/>
      <c r="AB38" s="32"/>
      <c r="AC38" s="55"/>
      <c r="AD38" s="32"/>
      <c r="AE38" s="54"/>
      <c r="AF38" s="21" t="str">
        <f>IFERROR(VLOOKUP(March[[#This Row],[Drug Name3]],'Data Options'!$R$1:$S$100,2,FALSE), " ")</f>
        <v xml:space="preserve"> </v>
      </c>
      <c r="AG38" s="55"/>
      <c r="AH38" s="32"/>
      <c r="AI38" s="32"/>
      <c r="AJ38" s="55"/>
      <c r="AK38" s="32"/>
      <c r="AL38" s="32"/>
      <c r="AM38" s="32"/>
      <c r="AN38" s="32"/>
      <c r="AO38" s="32"/>
      <c r="AP38" s="31"/>
      <c r="AQ38" s="31"/>
      <c r="AR38" s="54"/>
      <c r="AS38" s="21" t="str">
        <f>IFERROR(VLOOKUP(March[[#This Row],[Drug Name4]],'Data Options'!$R$1:$S$100,2,FALSE), " ")</f>
        <v xml:space="preserve"> </v>
      </c>
      <c r="AT38" s="55"/>
      <c r="AU38" s="32"/>
      <c r="AV38" s="32"/>
      <c r="AW38" s="55"/>
      <c r="AX38" s="32"/>
      <c r="AY38" s="54"/>
      <c r="AZ38" s="21" t="str">
        <f>IFERROR(VLOOKUP(March[[#This Row],[Drug Name5]],'Data Options'!$R$1:$S$100,2,FALSE), " ")</f>
        <v xml:space="preserve"> </v>
      </c>
      <c r="BA38" s="55"/>
      <c r="BB38" s="32"/>
      <c r="BC38" s="32"/>
      <c r="BD38" s="55"/>
      <c r="BE38" s="32"/>
      <c r="BF38" s="54"/>
      <c r="BG38" s="21" t="str">
        <f>IFERROR(VLOOKUP(March[[#This Row],[Drug Name6]],'Data Options'!$R$1:$S$100,2,FALSE), " ")</f>
        <v xml:space="preserve"> </v>
      </c>
      <c r="BH38" s="55"/>
      <c r="BI38" s="32"/>
      <c r="BJ38" s="32"/>
      <c r="BK38" s="55"/>
      <c r="BL38" s="32"/>
      <c r="BM38" s="32"/>
      <c r="BN38" s="32"/>
      <c r="BO38" s="32"/>
      <c r="BP38" s="32"/>
      <c r="BQ38" s="31"/>
      <c r="BR38" s="31"/>
      <c r="BS38" s="54"/>
      <c r="BT38" s="21" t="str">
        <f>IFERROR(VLOOKUP(March[[#This Row],[Drug Name7]],'Data Options'!$R$1:$S$100,2,FALSE), " ")</f>
        <v xml:space="preserve"> </v>
      </c>
      <c r="BU38" s="55"/>
      <c r="BV38" s="32"/>
      <c r="BW38" s="32"/>
      <c r="BX38" s="55"/>
      <c r="BY38" s="32"/>
      <c r="BZ38" s="54"/>
      <c r="CA38" s="21" t="str">
        <f>IFERROR(VLOOKUP(March[[#This Row],[Drug Name8]],'Data Options'!$R$1:$S$100,2,FALSE), " ")</f>
        <v xml:space="preserve"> </v>
      </c>
      <c r="CB38" s="55"/>
      <c r="CC38" s="32"/>
      <c r="CD38" s="32"/>
      <c r="CE38" s="55"/>
      <c r="CF38" s="32"/>
      <c r="CG38" s="54"/>
      <c r="CH38" s="21" t="str">
        <f>IFERROR(VLOOKUP(March[[#This Row],[Drug Name9]],'Data Options'!$R$1:$S$100,2,FALSE), " ")</f>
        <v xml:space="preserve"> </v>
      </c>
      <c r="CI38" s="55"/>
      <c r="CJ38" s="32"/>
      <c r="CK38" s="32"/>
      <c r="CL38" s="55"/>
      <c r="CM38" s="32"/>
    </row>
    <row r="39" spans="1:9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54"/>
      <c r="R39" s="21" t="str">
        <f>IFERROR(VLOOKUP(March[[#This Row],[Drug Name]],'Data Options'!$R$1:$S$100,2,FALSE), " ")</f>
        <v xml:space="preserve"> </v>
      </c>
      <c r="S39" s="55"/>
      <c r="T39" s="32"/>
      <c r="U39" s="32"/>
      <c r="V39" s="55"/>
      <c r="W39" s="32"/>
      <c r="X39" s="54"/>
      <c r="Y39" s="21" t="str">
        <f>IFERROR(VLOOKUP(March[[#This Row],[Drug Name2]],'Data Options'!$R$1:$S$100,2,FALSE), " ")</f>
        <v xml:space="preserve"> </v>
      </c>
      <c r="Z39" s="55"/>
      <c r="AA39" s="32"/>
      <c r="AB39" s="32"/>
      <c r="AC39" s="55"/>
      <c r="AD39" s="32"/>
      <c r="AE39" s="54"/>
      <c r="AF39" s="21" t="str">
        <f>IFERROR(VLOOKUP(March[[#This Row],[Drug Name3]],'Data Options'!$R$1:$S$100,2,FALSE), " ")</f>
        <v xml:space="preserve"> </v>
      </c>
      <c r="AG39" s="55"/>
      <c r="AH39" s="32"/>
      <c r="AI39" s="32"/>
      <c r="AJ39" s="55"/>
      <c r="AK39" s="32"/>
      <c r="AL39" s="32"/>
      <c r="AM39" s="32"/>
      <c r="AN39" s="32"/>
      <c r="AO39" s="32"/>
      <c r="AP39" s="31"/>
      <c r="AQ39" s="31"/>
      <c r="AR39" s="54"/>
      <c r="AS39" s="21" t="str">
        <f>IFERROR(VLOOKUP(March[[#This Row],[Drug Name4]],'Data Options'!$R$1:$S$100,2,FALSE), " ")</f>
        <v xml:space="preserve"> </v>
      </c>
      <c r="AT39" s="55"/>
      <c r="AU39" s="32"/>
      <c r="AV39" s="32"/>
      <c r="AW39" s="55"/>
      <c r="AX39" s="32"/>
      <c r="AY39" s="54"/>
      <c r="AZ39" s="21" t="str">
        <f>IFERROR(VLOOKUP(March[[#This Row],[Drug Name5]],'Data Options'!$R$1:$S$100,2,FALSE), " ")</f>
        <v xml:space="preserve"> </v>
      </c>
      <c r="BA39" s="55"/>
      <c r="BB39" s="32"/>
      <c r="BC39" s="32"/>
      <c r="BD39" s="55"/>
      <c r="BE39" s="32"/>
      <c r="BF39" s="54"/>
      <c r="BG39" s="21" t="str">
        <f>IFERROR(VLOOKUP(March[[#This Row],[Drug Name6]],'Data Options'!$R$1:$S$100,2,FALSE), " ")</f>
        <v xml:space="preserve"> </v>
      </c>
      <c r="BH39" s="55"/>
      <c r="BI39" s="32"/>
      <c r="BJ39" s="32"/>
      <c r="BK39" s="55"/>
      <c r="BL39" s="32"/>
      <c r="BM39" s="32"/>
      <c r="BN39" s="32"/>
      <c r="BO39" s="32"/>
      <c r="BP39" s="32"/>
      <c r="BQ39" s="31"/>
      <c r="BR39" s="31"/>
      <c r="BS39" s="54"/>
      <c r="BT39" s="21" t="str">
        <f>IFERROR(VLOOKUP(March[[#This Row],[Drug Name7]],'Data Options'!$R$1:$S$100,2,FALSE), " ")</f>
        <v xml:space="preserve"> </v>
      </c>
      <c r="BU39" s="55"/>
      <c r="BV39" s="32"/>
      <c r="BW39" s="32"/>
      <c r="BX39" s="55"/>
      <c r="BY39" s="32"/>
      <c r="BZ39" s="54"/>
      <c r="CA39" s="21" t="str">
        <f>IFERROR(VLOOKUP(March[[#This Row],[Drug Name8]],'Data Options'!$R$1:$S$100,2,FALSE), " ")</f>
        <v xml:space="preserve"> </v>
      </c>
      <c r="CB39" s="55"/>
      <c r="CC39" s="32"/>
      <c r="CD39" s="32"/>
      <c r="CE39" s="55"/>
      <c r="CF39" s="32"/>
      <c r="CG39" s="54"/>
      <c r="CH39" s="21" t="str">
        <f>IFERROR(VLOOKUP(March[[#This Row],[Drug Name9]],'Data Options'!$R$1:$S$100,2,FALSE), " ")</f>
        <v xml:space="preserve"> </v>
      </c>
      <c r="CI39" s="55"/>
      <c r="CJ39" s="32"/>
      <c r="CK39" s="32"/>
      <c r="CL39" s="55"/>
      <c r="CM39" s="32"/>
    </row>
    <row r="40" spans="1:91">
      <c r="A40" s="5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54"/>
      <c r="R40" s="21" t="str">
        <f>IFERROR(VLOOKUP(March[[#This Row],[Drug Name]],'Data Options'!$R$1:$S$100,2,FALSE), " ")</f>
        <v xml:space="preserve"> </v>
      </c>
      <c r="S40" s="55"/>
      <c r="T40" s="32"/>
      <c r="U40" s="32"/>
      <c r="V40" s="55"/>
      <c r="W40" s="32"/>
      <c r="X40" s="54"/>
      <c r="Y40" s="21" t="str">
        <f>IFERROR(VLOOKUP(March[[#This Row],[Drug Name2]],'Data Options'!$R$1:$S$100,2,FALSE), " ")</f>
        <v xml:space="preserve"> </v>
      </c>
      <c r="Z40" s="55"/>
      <c r="AA40" s="32"/>
      <c r="AB40" s="32"/>
      <c r="AC40" s="55"/>
      <c r="AD40" s="32"/>
      <c r="AE40" s="54"/>
      <c r="AF40" s="21" t="str">
        <f>IFERROR(VLOOKUP(March[[#This Row],[Drug Name3]],'Data Options'!$R$1:$S$100,2,FALSE), " ")</f>
        <v xml:space="preserve"> </v>
      </c>
      <c r="AG40" s="55"/>
      <c r="AH40" s="32"/>
      <c r="AI40" s="32"/>
      <c r="AJ40" s="55"/>
      <c r="AK40" s="32"/>
      <c r="AL40" s="32"/>
      <c r="AM40" s="32"/>
      <c r="AN40" s="32"/>
      <c r="AO40" s="32"/>
      <c r="AP40" s="31"/>
      <c r="AQ40" s="31"/>
      <c r="AR40" s="54"/>
      <c r="AS40" s="21" t="str">
        <f>IFERROR(VLOOKUP(March[[#This Row],[Drug Name4]],'Data Options'!$R$1:$S$100,2,FALSE), " ")</f>
        <v xml:space="preserve"> </v>
      </c>
      <c r="AT40" s="55"/>
      <c r="AU40" s="32"/>
      <c r="AV40" s="32"/>
      <c r="AW40" s="55"/>
      <c r="AX40" s="32"/>
      <c r="AY40" s="54"/>
      <c r="AZ40" s="21" t="str">
        <f>IFERROR(VLOOKUP(March[[#This Row],[Drug Name5]],'Data Options'!$R$1:$S$100,2,FALSE), " ")</f>
        <v xml:space="preserve"> </v>
      </c>
      <c r="BA40" s="55"/>
      <c r="BB40" s="32"/>
      <c r="BC40" s="32"/>
      <c r="BD40" s="55"/>
      <c r="BE40" s="32"/>
      <c r="BF40" s="54"/>
      <c r="BG40" s="21" t="str">
        <f>IFERROR(VLOOKUP(March[[#This Row],[Drug Name6]],'Data Options'!$R$1:$S$100,2,FALSE), " ")</f>
        <v xml:space="preserve"> </v>
      </c>
      <c r="BH40" s="55"/>
      <c r="BI40" s="32"/>
      <c r="BJ40" s="32"/>
      <c r="BK40" s="55"/>
      <c r="BL40" s="32"/>
      <c r="BM40" s="32"/>
      <c r="BN40" s="32"/>
      <c r="BO40" s="32"/>
      <c r="BP40" s="32"/>
      <c r="BQ40" s="31"/>
      <c r="BR40" s="31"/>
      <c r="BS40" s="54"/>
      <c r="BT40" s="21" t="str">
        <f>IFERROR(VLOOKUP(March[[#This Row],[Drug Name7]],'Data Options'!$R$1:$S$100,2,FALSE), " ")</f>
        <v xml:space="preserve"> </v>
      </c>
      <c r="BU40" s="55"/>
      <c r="BV40" s="32"/>
      <c r="BW40" s="32"/>
      <c r="BX40" s="55"/>
      <c r="BY40" s="32"/>
      <c r="BZ40" s="54"/>
      <c r="CA40" s="21" t="str">
        <f>IFERROR(VLOOKUP(March[[#This Row],[Drug Name8]],'Data Options'!$R$1:$S$100,2,FALSE), " ")</f>
        <v xml:space="preserve"> </v>
      </c>
      <c r="CB40" s="55"/>
      <c r="CC40" s="32"/>
      <c r="CD40" s="32"/>
      <c r="CE40" s="55"/>
      <c r="CF40" s="32"/>
      <c r="CG40" s="54"/>
      <c r="CH40" s="21" t="str">
        <f>IFERROR(VLOOKUP(March[[#This Row],[Drug Name9]],'Data Options'!$R$1:$S$100,2,FALSE), " ")</f>
        <v xml:space="preserve"> </v>
      </c>
      <c r="CI40" s="55"/>
      <c r="CJ40" s="32"/>
      <c r="CK40" s="32"/>
      <c r="CL40" s="55"/>
      <c r="CM40" s="32"/>
    </row>
    <row r="41" spans="1:91">
      <c r="A41" s="5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54"/>
      <c r="R41" s="21" t="str">
        <f>IFERROR(VLOOKUP(March[[#This Row],[Drug Name]],'Data Options'!$R$1:$S$100,2,FALSE), " ")</f>
        <v xml:space="preserve"> </v>
      </c>
      <c r="S41" s="55"/>
      <c r="T41" s="32"/>
      <c r="U41" s="32"/>
      <c r="V41" s="55"/>
      <c r="W41" s="32"/>
      <c r="X41" s="54"/>
      <c r="Y41" s="21" t="str">
        <f>IFERROR(VLOOKUP(March[[#This Row],[Drug Name2]],'Data Options'!$R$1:$S$100,2,FALSE), " ")</f>
        <v xml:space="preserve"> </v>
      </c>
      <c r="Z41" s="55"/>
      <c r="AA41" s="32"/>
      <c r="AB41" s="32"/>
      <c r="AC41" s="55"/>
      <c r="AD41" s="32"/>
      <c r="AE41" s="54"/>
      <c r="AF41" s="21" t="str">
        <f>IFERROR(VLOOKUP(March[[#This Row],[Drug Name3]],'Data Options'!$R$1:$S$100,2,FALSE), " ")</f>
        <v xml:space="preserve"> </v>
      </c>
      <c r="AG41" s="55"/>
      <c r="AH41" s="32"/>
      <c r="AI41" s="32"/>
      <c r="AJ41" s="55"/>
      <c r="AK41" s="32"/>
      <c r="AL41" s="32"/>
      <c r="AM41" s="32"/>
      <c r="AN41" s="32"/>
      <c r="AO41" s="32"/>
      <c r="AP41" s="31"/>
      <c r="AQ41" s="31"/>
      <c r="AR41" s="54"/>
      <c r="AS41" s="21" t="str">
        <f>IFERROR(VLOOKUP(March[[#This Row],[Drug Name4]],'Data Options'!$R$1:$S$100,2,FALSE), " ")</f>
        <v xml:space="preserve"> </v>
      </c>
      <c r="AT41" s="55"/>
      <c r="AU41" s="32"/>
      <c r="AV41" s="32"/>
      <c r="AW41" s="55"/>
      <c r="AX41" s="32"/>
      <c r="AY41" s="54"/>
      <c r="AZ41" s="21" t="str">
        <f>IFERROR(VLOOKUP(March[[#This Row],[Drug Name5]],'Data Options'!$R$1:$S$100,2,FALSE), " ")</f>
        <v xml:space="preserve"> </v>
      </c>
      <c r="BA41" s="55"/>
      <c r="BB41" s="32"/>
      <c r="BC41" s="32"/>
      <c r="BD41" s="55"/>
      <c r="BE41" s="32"/>
      <c r="BF41" s="54"/>
      <c r="BG41" s="21" t="str">
        <f>IFERROR(VLOOKUP(March[[#This Row],[Drug Name6]],'Data Options'!$R$1:$S$100,2,FALSE), " ")</f>
        <v xml:space="preserve"> </v>
      </c>
      <c r="BH41" s="55"/>
      <c r="BI41" s="32"/>
      <c r="BJ41" s="32"/>
      <c r="BK41" s="55"/>
      <c r="BL41" s="32"/>
      <c r="BM41" s="32"/>
      <c r="BN41" s="32"/>
      <c r="BO41" s="32"/>
      <c r="BP41" s="32"/>
      <c r="BQ41" s="31"/>
      <c r="BR41" s="31"/>
      <c r="BS41" s="54"/>
      <c r="BT41" s="21" t="str">
        <f>IFERROR(VLOOKUP(March[[#This Row],[Drug Name7]],'Data Options'!$R$1:$S$100,2,FALSE), " ")</f>
        <v xml:space="preserve"> </v>
      </c>
      <c r="BU41" s="55"/>
      <c r="BV41" s="32"/>
      <c r="BW41" s="32"/>
      <c r="BX41" s="55"/>
      <c r="BY41" s="32"/>
      <c r="BZ41" s="54"/>
      <c r="CA41" s="21" t="str">
        <f>IFERROR(VLOOKUP(March[[#This Row],[Drug Name8]],'Data Options'!$R$1:$S$100,2,FALSE), " ")</f>
        <v xml:space="preserve"> </v>
      </c>
      <c r="CB41" s="55"/>
      <c r="CC41" s="32"/>
      <c r="CD41" s="32"/>
      <c r="CE41" s="55"/>
      <c r="CF41" s="32"/>
      <c r="CG41" s="54"/>
      <c r="CH41" s="21" t="str">
        <f>IFERROR(VLOOKUP(March[[#This Row],[Drug Name9]],'Data Options'!$R$1:$S$100,2,FALSE), " ")</f>
        <v xml:space="preserve"> </v>
      </c>
      <c r="CI41" s="55"/>
      <c r="CJ41" s="32"/>
      <c r="CK41" s="32"/>
      <c r="CL41" s="55"/>
      <c r="CM41" s="32"/>
    </row>
    <row r="42" spans="1:91">
      <c r="A42" s="5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54"/>
      <c r="R42" s="21" t="str">
        <f>IFERROR(VLOOKUP(March[[#This Row],[Drug Name]],'Data Options'!$R$1:$S$100,2,FALSE), " ")</f>
        <v xml:space="preserve"> </v>
      </c>
      <c r="S42" s="55"/>
      <c r="T42" s="32"/>
      <c r="U42" s="32"/>
      <c r="V42" s="55"/>
      <c r="W42" s="32"/>
      <c r="X42" s="54"/>
      <c r="Y42" s="21" t="str">
        <f>IFERROR(VLOOKUP(March[[#This Row],[Drug Name2]],'Data Options'!$R$1:$S$100,2,FALSE), " ")</f>
        <v xml:space="preserve"> </v>
      </c>
      <c r="Z42" s="55"/>
      <c r="AA42" s="32"/>
      <c r="AB42" s="32"/>
      <c r="AC42" s="55"/>
      <c r="AD42" s="32"/>
      <c r="AE42" s="54"/>
      <c r="AF42" s="21" t="str">
        <f>IFERROR(VLOOKUP(March[[#This Row],[Drug Name3]],'Data Options'!$R$1:$S$100,2,FALSE), " ")</f>
        <v xml:space="preserve"> </v>
      </c>
      <c r="AG42" s="55"/>
      <c r="AH42" s="32"/>
      <c r="AI42" s="32"/>
      <c r="AJ42" s="55"/>
      <c r="AK42" s="32"/>
      <c r="AL42" s="32"/>
      <c r="AM42" s="32"/>
      <c r="AN42" s="32"/>
      <c r="AO42" s="32"/>
      <c r="AP42" s="31"/>
      <c r="AQ42" s="31"/>
      <c r="AR42" s="54"/>
      <c r="AS42" s="21" t="str">
        <f>IFERROR(VLOOKUP(March[[#This Row],[Drug Name4]],'Data Options'!$R$1:$S$100,2,FALSE), " ")</f>
        <v xml:space="preserve"> </v>
      </c>
      <c r="AT42" s="55"/>
      <c r="AU42" s="32"/>
      <c r="AV42" s="32"/>
      <c r="AW42" s="55"/>
      <c r="AX42" s="32"/>
      <c r="AY42" s="54"/>
      <c r="AZ42" s="21" t="str">
        <f>IFERROR(VLOOKUP(March[[#This Row],[Drug Name5]],'Data Options'!$R$1:$S$100,2,FALSE), " ")</f>
        <v xml:space="preserve"> </v>
      </c>
      <c r="BA42" s="55"/>
      <c r="BB42" s="32"/>
      <c r="BC42" s="32"/>
      <c r="BD42" s="55"/>
      <c r="BE42" s="32"/>
      <c r="BF42" s="54"/>
      <c r="BG42" s="21" t="str">
        <f>IFERROR(VLOOKUP(March[[#This Row],[Drug Name6]],'Data Options'!$R$1:$S$100,2,FALSE), " ")</f>
        <v xml:space="preserve"> </v>
      </c>
      <c r="BH42" s="55"/>
      <c r="BI42" s="32"/>
      <c r="BJ42" s="32"/>
      <c r="BK42" s="55"/>
      <c r="BL42" s="32"/>
      <c r="BM42" s="32"/>
      <c r="BN42" s="32"/>
      <c r="BO42" s="32"/>
      <c r="BP42" s="32"/>
      <c r="BQ42" s="31"/>
      <c r="BR42" s="31"/>
      <c r="BS42" s="54"/>
      <c r="BT42" s="21" t="str">
        <f>IFERROR(VLOOKUP(March[[#This Row],[Drug Name7]],'Data Options'!$R$1:$S$100,2,FALSE), " ")</f>
        <v xml:space="preserve"> </v>
      </c>
      <c r="BU42" s="55"/>
      <c r="BV42" s="32"/>
      <c r="BW42" s="32"/>
      <c r="BX42" s="55"/>
      <c r="BY42" s="32"/>
      <c r="BZ42" s="54"/>
      <c r="CA42" s="21" t="str">
        <f>IFERROR(VLOOKUP(March[[#This Row],[Drug Name8]],'Data Options'!$R$1:$S$100,2,FALSE), " ")</f>
        <v xml:space="preserve"> </v>
      </c>
      <c r="CB42" s="55"/>
      <c r="CC42" s="32"/>
      <c r="CD42" s="32"/>
      <c r="CE42" s="55"/>
      <c r="CF42" s="32"/>
      <c r="CG42" s="54"/>
      <c r="CH42" s="21" t="str">
        <f>IFERROR(VLOOKUP(March[[#This Row],[Drug Name9]],'Data Options'!$R$1:$S$100,2,FALSE), " ")</f>
        <v xml:space="preserve"> </v>
      </c>
      <c r="CI42" s="55"/>
      <c r="CJ42" s="32"/>
      <c r="CK42" s="32"/>
      <c r="CL42" s="55"/>
      <c r="CM42" s="32"/>
    </row>
    <row r="43" spans="1:91">
      <c r="A43" s="5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54"/>
      <c r="R43" s="21" t="str">
        <f>IFERROR(VLOOKUP(March[[#This Row],[Drug Name]],'Data Options'!$R$1:$S$100,2,FALSE), " ")</f>
        <v xml:space="preserve"> </v>
      </c>
      <c r="S43" s="55"/>
      <c r="T43" s="32"/>
      <c r="U43" s="32"/>
      <c r="V43" s="55"/>
      <c r="W43" s="32"/>
      <c r="X43" s="54"/>
      <c r="Y43" s="21" t="str">
        <f>IFERROR(VLOOKUP(March[[#This Row],[Drug Name2]],'Data Options'!$R$1:$S$100,2,FALSE), " ")</f>
        <v xml:space="preserve"> </v>
      </c>
      <c r="Z43" s="55"/>
      <c r="AA43" s="32"/>
      <c r="AB43" s="32"/>
      <c r="AC43" s="55"/>
      <c r="AD43" s="32"/>
      <c r="AE43" s="54"/>
      <c r="AF43" s="21" t="str">
        <f>IFERROR(VLOOKUP(March[[#This Row],[Drug Name3]],'Data Options'!$R$1:$S$100,2,FALSE), " ")</f>
        <v xml:space="preserve"> </v>
      </c>
      <c r="AG43" s="55"/>
      <c r="AH43" s="32"/>
      <c r="AI43" s="32"/>
      <c r="AJ43" s="55"/>
      <c r="AK43" s="32"/>
      <c r="AL43" s="32"/>
      <c r="AM43" s="32"/>
      <c r="AN43" s="32"/>
      <c r="AO43" s="32"/>
      <c r="AP43" s="31"/>
      <c r="AQ43" s="31"/>
      <c r="AR43" s="54"/>
      <c r="AS43" s="21" t="str">
        <f>IFERROR(VLOOKUP(March[[#This Row],[Drug Name4]],'Data Options'!$R$1:$S$100,2,FALSE), " ")</f>
        <v xml:space="preserve"> </v>
      </c>
      <c r="AT43" s="55"/>
      <c r="AU43" s="32"/>
      <c r="AV43" s="32"/>
      <c r="AW43" s="55"/>
      <c r="AX43" s="32"/>
      <c r="AY43" s="54"/>
      <c r="AZ43" s="21" t="str">
        <f>IFERROR(VLOOKUP(March[[#This Row],[Drug Name5]],'Data Options'!$R$1:$S$100,2,FALSE), " ")</f>
        <v xml:space="preserve"> </v>
      </c>
      <c r="BA43" s="55"/>
      <c r="BB43" s="32"/>
      <c r="BC43" s="32"/>
      <c r="BD43" s="55"/>
      <c r="BE43" s="32"/>
      <c r="BF43" s="54"/>
      <c r="BG43" s="21" t="str">
        <f>IFERROR(VLOOKUP(March[[#This Row],[Drug Name6]],'Data Options'!$R$1:$S$100,2,FALSE), " ")</f>
        <v xml:space="preserve"> </v>
      </c>
      <c r="BH43" s="55"/>
      <c r="BI43" s="32"/>
      <c r="BJ43" s="32"/>
      <c r="BK43" s="55"/>
      <c r="BL43" s="32"/>
      <c r="BM43" s="32"/>
      <c r="BN43" s="32"/>
      <c r="BO43" s="32"/>
      <c r="BP43" s="32"/>
      <c r="BQ43" s="31"/>
      <c r="BR43" s="31"/>
      <c r="BS43" s="54"/>
      <c r="BT43" s="21" t="str">
        <f>IFERROR(VLOOKUP(March[[#This Row],[Drug Name7]],'Data Options'!$R$1:$S$100,2,FALSE), " ")</f>
        <v xml:space="preserve"> </v>
      </c>
      <c r="BU43" s="55"/>
      <c r="BV43" s="32"/>
      <c r="BW43" s="32"/>
      <c r="BX43" s="55"/>
      <c r="BY43" s="32"/>
      <c r="BZ43" s="54"/>
      <c r="CA43" s="21" t="str">
        <f>IFERROR(VLOOKUP(March[[#This Row],[Drug Name8]],'Data Options'!$R$1:$S$100,2,FALSE), " ")</f>
        <v xml:space="preserve"> </v>
      </c>
      <c r="CB43" s="55"/>
      <c r="CC43" s="32"/>
      <c r="CD43" s="32"/>
      <c r="CE43" s="55"/>
      <c r="CF43" s="32"/>
      <c r="CG43" s="54"/>
      <c r="CH43" s="21" t="str">
        <f>IFERROR(VLOOKUP(March[[#This Row],[Drug Name9]],'Data Options'!$R$1:$S$100,2,FALSE), " ")</f>
        <v xml:space="preserve"> </v>
      </c>
      <c r="CI43" s="55"/>
      <c r="CJ43" s="32"/>
      <c r="CK43" s="32"/>
      <c r="CL43" s="55"/>
      <c r="CM43" s="32"/>
    </row>
    <row r="44" spans="1:9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54"/>
      <c r="R44" s="21" t="str">
        <f>IFERROR(VLOOKUP(March[[#This Row],[Drug Name]],'Data Options'!$R$1:$S$100,2,FALSE), " ")</f>
        <v xml:space="preserve"> </v>
      </c>
      <c r="S44" s="55"/>
      <c r="T44" s="32"/>
      <c r="U44" s="32"/>
      <c r="V44" s="55"/>
      <c r="W44" s="32"/>
      <c r="X44" s="54"/>
      <c r="Y44" s="21" t="str">
        <f>IFERROR(VLOOKUP(March[[#This Row],[Drug Name2]],'Data Options'!$R$1:$S$100,2,FALSE), " ")</f>
        <v xml:space="preserve"> </v>
      </c>
      <c r="Z44" s="55"/>
      <c r="AA44" s="32"/>
      <c r="AB44" s="32"/>
      <c r="AC44" s="55"/>
      <c r="AD44" s="32"/>
      <c r="AE44" s="54"/>
      <c r="AF44" s="21" t="str">
        <f>IFERROR(VLOOKUP(March[[#This Row],[Drug Name3]],'Data Options'!$R$1:$S$100,2,FALSE), " ")</f>
        <v xml:space="preserve"> </v>
      </c>
      <c r="AG44" s="55"/>
      <c r="AH44" s="32"/>
      <c r="AI44" s="32"/>
      <c r="AJ44" s="55"/>
      <c r="AK44" s="32"/>
      <c r="AL44" s="32"/>
      <c r="AM44" s="32"/>
      <c r="AN44" s="32"/>
      <c r="AO44" s="32"/>
      <c r="AP44" s="31"/>
      <c r="AQ44" s="31"/>
      <c r="AR44" s="54"/>
      <c r="AS44" s="21" t="str">
        <f>IFERROR(VLOOKUP(March[[#This Row],[Drug Name4]],'Data Options'!$R$1:$S$100,2,FALSE), " ")</f>
        <v xml:space="preserve"> </v>
      </c>
      <c r="AT44" s="55"/>
      <c r="AU44" s="32"/>
      <c r="AV44" s="32"/>
      <c r="AW44" s="55"/>
      <c r="AX44" s="32"/>
      <c r="AY44" s="54"/>
      <c r="AZ44" s="21" t="str">
        <f>IFERROR(VLOOKUP(March[[#This Row],[Drug Name5]],'Data Options'!$R$1:$S$100,2,FALSE), " ")</f>
        <v xml:space="preserve"> </v>
      </c>
      <c r="BA44" s="55"/>
      <c r="BB44" s="32"/>
      <c r="BC44" s="32"/>
      <c r="BD44" s="55"/>
      <c r="BE44" s="32"/>
      <c r="BF44" s="54"/>
      <c r="BG44" s="21" t="str">
        <f>IFERROR(VLOOKUP(March[[#This Row],[Drug Name6]],'Data Options'!$R$1:$S$100,2,FALSE), " ")</f>
        <v xml:space="preserve"> </v>
      </c>
      <c r="BH44" s="55"/>
      <c r="BI44" s="32"/>
      <c r="BJ44" s="32"/>
      <c r="BK44" s="55"/>
      <c r="BL44" s="32"/>
      <c r="BM44" s="32"/>
      <c r="BN44" s="32"/>
      <c r="BO44" s="32"/>
      <c r="BP44" s="32"/>
      <c r="BQ44" s="31"/>
      <c r="BR44" s="31"/>
      <c r="BS44" s="54"/>
      <c r="BT44" s="21" t="str">
        <f>IFERROR(VLOOKUP(March[[#This Row],[Drug Name7]],'Data Options'!$R$1:$S$100,2,FALSE), " ")</f>
        <v xml:space="preserve"> </v>
      </c>
      <c r="BU44" s="55"/>
      <c r="BV44" s="32"/>
      <c r="BW44" s="32"/>
      <c r="BX44" s="55"/>
      <c r="BY44" s="32"/>
      <c r="BZ44" s="54"/>
      <c r="CA44" s="21" t="str">
        <f>IFERROR(VLOOKUP(March[[#This Row],[Drug Name8]],'Data Options'!$R$1:$S$100,2,FALSE), " ")</f>
        <v xml:space="preserve"> </v>
      </c>
      <c r="CB44" s="55"/>
      <c r="CC44" s="32"/>
      <c r="CD44" s="32"/>
      <c r="CE44" s="55"/>
      <c r="CF44" s="32"/>
      <c r="CG44" s="54"/>
      <c r="CH44" s="21" t="str">
        <f>IFERROR(VLOOKUP(March[[#This Row],[Drug Name9]],'Data Options'!$R$1:$S$100,2,FALSE), " ")</f>
        <v xml:space="preserve"> </v>
      </c>
      <c r="CI44" s="55"/>
      <c r="CJ44" s="32"/>
      <c r="CK44" s="32"/>
      <c r="CL44" s="55"/>
      <c r="CM44" s="32"/>
    </row>
    <row r="45" spans="1:91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54"/>
      <c r="R45" s="21" t="str">
        <f>IFERROR(VLOOKUP(March[[#This Row],[Drug Name]],'Data Options'!$R$1:$S$100,2,FALSE), " ")</f>
        <v xml:space="preserve"> </v>
      </c>
      <c r="S45" s="55"/>
      <c r="T45" s="32"/>
      <c r="U45" s="32"/>
      <c r="V45" s="55"/>
      <c r="W45" s="32"/>
      <c r="X45" s="54"/>
      <c r="Y45" s="21" t="str">
        <f>IFERROR(VLOOKUP(March[[#This Row],[Drug Name2]],'Data Options'!$R$1:$S$100,2,FALSE), " ")</f>
        <v xml:space="preserve"> </v>
      </c>
      <c r="Z45" s="55"/>
      <c r="AA45" s="32"/>
      <c r="AB45" s="32"/>
      <c r="AC45" s="55"/>
      <c r="AD45" s="32"/>
      <c r="AE45" s="54"/>
      <c r="AF45" s="21" t="str">
        <f>IFERROR(VLOOKUP(March[[#This Row],[Drug Name3]],'Data Options'!$R$1:$S$100,2,FALSE), " ")</f>
        <v xml:space="preserve"> </v>
      </c>
      <c r="AG45" s="55"/>
      <c r="AH45" s="32"/>
      <c r="AI45" s="32"/>
      <c r="AJ45" s="55"/>
      <c r="AK45" s="32"/>
      <c r="AL45" s="32"/>
      <c r="AM45" s="32"/>
      <c r="AN45" s="32"/>
      <c r="AO45" s="32"/>
      <c r="AP45" s="31"/>
      <c r="AQ45" s="31"/>
      <c r="AR45" s="54"/>
      <c r="AS45" s="21" t="str">
        <f>IFERROR(VLOOKUP(March[[#This Row],[Drug Name4]],'Data Options'!$R$1:$S$100,2,FALSE), " ")</f>
        <v xml:space="preserve"> </v>
      </c>
      <c r="AT45" s="55"/>
      <c r="AU45" s="32"/>
      <c r="AV45" s="32"/>
      <c r="AW45" s="55"/>
      <c r="AX45" s="32"/>
      <c r="AY45" s="54"/>
      <c r="AZ45" s="21" t="str">
        <f>IFERROR(VLOOKUP(March[[#This Row],[Drug Name5]],'Data Options'!$R$1:$S$100,2,FALSE), " ")</f>
        <v xml:space="preserve"> </v>
      </c>
      <c r="BA45" s="55"/>
      <c r="BB45" s="32"/>
      <c r="BC45" s="32"/>
      <c r="BD45" s="55"/>
      <c r="BE45" s="32"/>
      <c r="BF45" s="54"/>
      <c r="BG45" s="21" t="str">
        <f>IFERROR(VLOOKUP(March[[#This Row],[Drug Name6]],'Data Options'!$R$1:$S$100,2,FALSE), " ")</f>
        <v xml:space="preserve"> </v>
      </c>
      <c r="BH45" s="55"/>
      <c r="BI45" s="32"/>
      <c r="BJ45" s="32"/>
      <c r="BK45" s="55"/>
      <c r="BL45" s="32"/>
      <c r="BM45" s="32"/>
      <c r="BN45" s="32"/>
      <c r="BO45" s="32"/>
      <c r="BP45" s="32"/>
      <c r="BQ45" s="31"/>
      <c r="BR45" s="31"/>
      <c r="BS45" s="54"/>
      <c r="BT45" s="21" t="str">
        <f>IFERROR(VLOOKUP(March[[#This Row],[Drug Name7]],'Data Options'!$R$1:$S$100,2,FALSE), " ")</f>
        <v xml:space="preserve"> </v>
      </c>
      <c r="BU45" s="55"/>
      <c r="BV45" s="32"/>
      <c r="BW45" s="32"/>
      <c r="BX45" s="55"/>
      <c r="BY45" s="32"/>
      <c r="BZ45" s="54"/>
      <c r="CA45" s="21" t="str">
        <f>IFERROR(VLOOKUP(March[[#This Row],[Drug Name8]],'Data Options'!$R$1:$S$100,2,FALSE), " ")</f>
        <v xml:space="preserve"> </v>
      </c>
      <c r="CB45" s="55"/>
      <c r="CC45" s="32"/>
      <c r="CD45" s="32"/>
      <c r="CE45" s="55"/>
      <c r="CF45" s="32"/>
      <c r="CG45" s="54"/>
      <c r="CH45" s="21" t="str">
        <f>IFERROR(VLOOKUP(March[[#This Row],[Drug Name9]],'Data Options'!$R$1:$S$100,2,FALSE), " ")</f>
        <v xml:space="preserve"> </v>
      </c>
      <c r="CI45" s="55"/>
      <c r="CJ45" s="32"/>
      <c r="CK45" s="32"/>
      <c r="CL45" s="55"/>
      <c r="CM45" s="32"/>
    </row>
    <row r="46" spans="1:91">
      <c r="A46" s="5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54"/>
      <c r="R46" s="21" t="str">
        <f>IFERROR(VLOOKUP(March[[#This Row],[Drug Name]],'Data Options'!$R$1:$S$100,2,FALSE), " ")</f>
        <v xml:space="preserve"> </v>
      </c>
      <c r="S46" s="55"/>
      <c r="T46" s="32"/>
      <c r="U46" s="32"/>
      <c r="V46" s="55"/>
      <c r="W46" s="32"/>
      <c r="X46" s="54"/>
      <c r="Y46" s="21" t="str">
        <f>IFERROR(VLOOKUP(March[[#This Row],[Drug Name2]],'Data Options'!$R$1:$S$100,2,FALSE), " ")</f>
        <v xml:space="preserve"> </v>
      </c>
      <c r="Z46" s="55"/>
      <c r="AA46" s="32"/>
      <c r="AB46" s="32"/>
      <c r="AC46" s="55"/>
      <c r="AD46" s="32"/>
      <c r="AE46" s="54"/>
      <c r="AF46" s="21" t="str">
        <f>IFERROR(VLOOKUP(March[[#This Row],[Drug Name3]],'Data Options'!$R$1:$S$100,2,FALSE), " ")</f>
        <v xml:space="preserve"> </v>
      </c>
      <c r="AG46" s="55"/>
      <c r="AH46" s="32"/>
      <c r="AI46" s="32"/>
      <c r="AJ46" s="55"/>
      <c r="AK46" s="32"/>
      <c r="AL46" s="32"/>
      <c r="AM46" s="32"/>
      <c r="AN46" s="32"/>
      <c r="AO46" s="32"/>
      <c r="AP46" s="31"/>
      <c r="AQ46" s="31"/>
      <c r="AR46" s="54"/>
      <c r="AS46" s="21" t="str">
        <f>IFERROR(VLOOKUP(March[[#This Row],[Drug Name4]],'Data Options'!$R$1:$S$100,2,FALSE), " ")</f>
        <v xml:space="preserve"> </v>
      </c>
      <c r="AT46" s="55"/>
      <c r="AU46" s="32"/>
      <c r="AV46" s="32"/>
      <c r="AW46" s="55"/>
      <c r="AX46" s="32"/>
      <c r="AY46" s="54"/>
      <c r="AZ46" s="21" t="str">
        <f>IFERROR(VLOOKUP(March[[#This Row],[Drug Name5]],'Data Options'!$R$1:$S$100,2,FALSE), " ")</f>
        <v xml:space="preserve"> </v>
      </c>
      <c r="BA46" s="55"/>
      <c r="BB46" s="32"/>
      <c r="BC46" s="32"/>
      <c r="BD46" s="55"/>
      <c r="BE46" s="32"/>
      <c r="BF46" s="54"/>
      <c r="BG46" s="21" t="str">
        <f>IFERROR(VLOOKUP(March[[#This Row],[Drug Name6]],'Data Options'!$R$1:$S$100,2,FALSE), " ")</f>
        <v xml:space="preserve"> </v>
      </c>
      <c r="BH46" s="55"/>
      <c r="BI46" s="32"/>
      <c r="BJ46" s="32"/>
      <c r="BK46" s="55"/>
      <c r="BL46" s="32"/>
      <c r="BM46" s="32"/>
      <c r="BN46" s="32"/>
      <c r="BO46" s="32"/>
      <c r="BP46" s="32"/>
      <c r="BQ46" s="31"/>
      <c r="BR46" s="31"/>
      <c r="BS46" s="54"/>
      <c r="BT46" s="21" t="str">
        <f>IFERROR(VLOOKUP(March[[#This Row],[Drug Name7]],'Data Options'!$R$1:$S$100,2,FALSE), " ")</f>
        <v xml:space="preserve"> </v>
      </c>
      <c r="BU46" s="55"/>
      <c r="BV46" s="32"/>
      <c r="BW46" s="32"/>
      <c r="BX46" s="55"/>
      <c r="BY46" s="32"/>
      <c r="BZ46" s="54"/>
      <c r="CA46" s="21" t="str">
        <f>IFERROR(VLOOKUP(March[[#This Row],[Drug Name8]],'Data Options'!$R$1:$S$100,2,FALSE), " ")</f>
        <v xml:space="preserve"> </v>
      </c>
      <c r="CB46" s="55"/>
      <c r="CC46" s="32"/>
      <c r="CD46" s="32"/>
      <c r="CE46" s="55"/>
      <c r="CF46" s="32"/>
      <c r="CG46" s="54"/>
      <c r="CH46" s="21" t="str">
        <f>IFERROR(VLOOKUP(March[[#This Row],[Drug Name9]],'Data Options'!$R$1:$S$100,2,FALSE), " ")</f>
        <v xml:space="preserve"> </v>
      </c>
      <c r="CI46" s="55"/>
      <c r="CJ46" s="32"/>
      <c r="CK46" s="32"/>
      <c r="CL46" s="55"/>
      <c r="CM46" s="32"/>
    </row>
    <row r="47" spans="1:9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54"/>
      <c r="R47" s="21" t="str">
        <f>IFERROR(VLOOKUP(March[[#This Row],[Drug Name]],'Data Options'!$R$1:$S$100,2,FALSE), " ")</f>
        <v xml:space="preserve"> </v>
      </c>
      <c r="S47" s="55"/>
      <c r="T47" s="32"/>
      <c r="U47" s="32"/>
      <c r="V47" s="55"/>
      <c r="W47" s="32"/>
      <c r="X47" s="54"/>
      <c r="Y47" s="21" t="str">
        <f>IFERROR(VLOOKUP(March[[#This Row],[Drug Name2]],'Data Options'!$R$1:$S$100,2,FALSE), " ")</f>
        <v xml:space="preserve"> </v>
      </c>
      <c r="Z47" s="55"/>
      <c r="AA47" s="32"/>
      <c r="AB47" s="32"/>
      <c r="AC47" s="55"/>
      <c r="AD47" s="32"/>
      <c r="AE47" s="54"/>
      <c r="AF47" s="21" t="str">
        <f>IFERROR(VLOOKUP(March[[#This Row],[Drug Name3]],'Data Options'!$R$1:$S$100,2,FALSE), " ")</f>
        <v xml:space="preserve"> </v>
      </c>
      <c r="AG47" s="55"/>
      <c r="AH47" s="32"/>
      <c r="AI47" s="32"/>
      <c r="AJ47" s="55"/>
      <c r="AK47" s="32"/>
      <c r="AL47" s="32"/>
      <c r="AM47" s="32"/>
      <c r="AN47" s="32"/>
      <c r="AO47" s="32"/>
      <c r="AP47" s="31"/>
      <c r="AQ47" s="31"/>
      <c r="AR47" s="54"/>
      <c r="AS47" s="21" t="str">
        <f>IFERROR(VLOOKUP(March[[#This Row],[Drug Name4]],'Data Options'!$R$1:$S$100,2,FALSE), " ")</f>
        <v xml:space="preserve"> </v>
      </c>
      <c r="AT47" s="55"/>
      <c r="AU47" s="32"/>
      <c r="AV47" s="32"/>
      <c r="AW47" s="55"/>
      <c r="AX47" s="32"/>
      <c r="AY47" s="54"/>
      <c r="AZ47" s="21" t="str">
        <f>IFERROR(VLOOKUP(March[[#This Row],[Drug Name5]],'Data Options'!$R$1:$S$100,2,FALSE), " ")</f>
        <v xml:space="preserve"> </v>
      </c>
      <c r="BA47" s="55"/>
      <c r="BB47" s="32"/>
      <c r="BC47" s="32"/>
      <c r="BD47" s="55"/>
      <c r="BE47" s="32"/>
      <c r="BF47" s="54"/>
      <c r="BG47" s="21" t="str">
        <f>IFERROR(VLOOKUP(March[[#This Row],[Drug Name6]],'Data Options'!$R$1:$S$100,2,FALSE), " ")</f>
        <v xml:space="preserve"> </v>
      </c>
      <c r="BH47" s="55"/>
      <c r="BI47" s="32"/>
      <c r="BJ47" s="32"/>
      <c r="BK47" s="55"/>
      <c r="BL47" s="32"/>
      <c r="BM47" s="32"/>
      <c r="BN47" s="32"/>
      <c r="BO47" s="32"/>
      <c r="BP47" s="32"/>
      <c r="BQ47" s="31"/>
      <c r="BR47" s="31"/>
      <c r="BS47" s="54"/>
      <c r="BT47" s="21" t="str">
        <f>IFERROR(VLOOKUP(March[[#This Row],[Drug Name7]],'Data Options'!$R$1:$S$100,2,FALSE), " ")</f>
        <v xml:space="preserve"> </v>
      </c>
      <c r="BU47" s="55"/>
      <c r="BV47" s="32"/>
      <c r="BW47" s="32"/>
      <c r="BX47" s="55"/>
      <c r="BY47" s="32"/>
      <c r="BZ47" s="54"/>
      <c r="CA47" s="21" t="str">
        <f>IFERROR(VLOOKUP(March[[#This Row],[Drug Name8]],'Data Options'!$R$1:$S$100,2,FALSE), " ")</f>
        <v xml:space="preserve"> </v>
      </c>
      <c r="CB47" s="55"/>
      <c r="CC47" s="32"/>
      <c r="CD47" s="32"/>
      <c r="CE47" s="55"/>
      <c r="CF47" s="32"/>
      <c r="CG47" s="54"/>
      <c r="CH47" s="21" t="str">
        <f>IFERROR(VLOOKUP(March[[#This Row],[Drug Name9]],'Data Options'!$R$1:$S$100,2,FALSE), " ")</f>
        <v xml:space="preserve"> </v>
      </c>
      <c r="CI47" s="55"/>
      <c r="CJ47" s="32"/>
      <c r="CK47" s="32"/>
      <c r="CL47" s="55"/>
      <c r="CM47" s="32"/>
    </row>
    <row r="48" spans="1:9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54"/>
      <c r="R48" s="21" t="str">
        <f>IFERROR(VLOOKUP(March[[#This Row],[Drug Name]],'Data Options'!$R$1:$S$100,2,FALSE), " ")</f>
        <v xml:space="preserve"> </v>
      </c>
      <c r="S48" s="55"/>
      <c r="T48" s="32"/>
      <c r="U48" s="32"/>
      <c r="V48" s="55"/>
      <c r="W48" s="32"/>
      <c r="X48" s="54"/>
      <c r="Y48" s="21" t="str">
        <f>IFERROR(VLOOKUP(March[[#This Row],[Drug Name2]],'Data Options'!$R$1:$S$100,2,FALSE), " ")</f>
        <v xml:space="preserve"> </v>
      </c>
      <c r="Z48" s="55"/>
      <c r="AA48" s="32"/>
      <c r="AB48" s="32"/>
      <c r="AC48" s="55"/>
      <c r="AD48" s="32"/>
      <c r="AE48" s="54"/>
      <c r="AF48" s="21" t="str">
        <f>IFERROR(VLOOKUP(March[[#This Row],[Drug Name3]],'Data Options'!$R$1:$S$100,2,FALSE), " ")</f>
        <v xml:space="preserve"> </v>
      </c>
      <c r="AG48" s="55"/>
      <c r="AH48" s="32"/>
      <c r="AI48" s="32"/>
      <c r="AJ48" s="55"/>
      <c r="AK48" s="32"/>
      <c r="AL48" s="32"/>
      <c r="AM48" s="32"/>
      <c r="AN48" s="32"/>
      <c r="AO48" s="32"/>
      <c r="AP48" s="31"/>
      <c r="AQ48" s="31"/>
      <c r="AR48" s="54"/>
      <c r="AS48" s="21" t="str">
        <f>IFERROR(VLOOKUP(March[[#This Row],[Drug Name4]],'Data Options'!$R$1:$S$100,2,FALSE), " ")</f>
        <v xml:space="preserve"> </v>
      </c>
      <c r="AT48" s="55"/>
      <c r="AU48" s="32"/>
      <c r="AV48" s="32"/>
      <c r="AW48" s="55"/>
      <c r="AX48" s="32"/>
      <c r="AY48" s="54"/>
      <c r="AZ48" s="21" t="str">
        <f>IFERROR(VLOOKUP(March[[#This Row],[Drug Name5]],'Data Options'!$R$1:$S$100,2,FALSE), " ")</f>
        <v xml:space="preserve"> </v>
      </c>
      <c r="BA48" s="55"/>
      <c r="BB48" s="32"/>
      <c r="BC48" s="32"/>
      <c r="BD48" s="55"/>
      <c r="BE48" s="32"/>
      <c r="BF48" s="54"/>
      <c r="BG48" s="21" t="str">
        <f>IFERROR(VLOOKUP(March[[#This Row],[Drug Name6]],'Data Options'!$R$1:$S$100,2,FALSE), " ")</f>
        <v xml:space="preserve"> </v>
      </c>
      <c r="BH48" s="55"/>
      <c r="BI48" s="32"/>
      <c r="BJ48" s="32"/>
      <c r="BK48" s="55"/>
      <c r="BL48" s="32"/>
      <c r="BM48" s="32"/>
      <c r="BN48" s="32"/>
      <c r="BO48" s="32"/>
      <c r="BP48" s="32"/>
      <c r="BQ48" s="31"/>
      <c r="BR48" s="31"/>
      <c r="BS48" s="54"/>
      <c r="BT48" s="21" t="str">
        <f>IFERROR(VLOOKUP(March[[#This Row],[Drug Name7]],'Data Options'!$R$1:$S$100,2,FALSE), " ")</f>
        <v xml:space="preserve"> </v>
      </c>
      <c r="BU48" s="55"/>
      <c r="BV48" s="32"/>
      <c r="BW48" s="32"/>
      <c r="BX48" s="55"/>
      <c r="BY48" s="32"/>
      <c r="BZ48" s="54"/>
      <c r="CA48" s="21" t="str">
        <f>IFERROR(VLOOKUP(March[[#This Row],[Drug Name8]],'Data Options'!$R$1:$S$100,2,FALSE), " ")</f>
        <v xml:space="preserve"> </v>
      </c>
      <c r="CB48" s="55"/>
      <c r="CC48" s="32"/>
      <c r="CD48" s="32"/>
      <c r="CE48" s="55"/>
      <c r="CF48" s="32"/>
      <c r="CG48" s="54"/>
      <c r="CH48" s="21" t="str">
        <f>IFERROR(VLOOKUP(March[[#This Row],[Drug Name9]],'Data Options'!$R$1:$S$100,2,FALSE), " ")</f>
        <v xml:space="preserve"> </v>
      </c>
      <c r="CI48" s="55"/>
      <c r="CJ48" s="32"/>
      <c r="CK48" s="32"/>
      <c r="CL48" s="55"/>
      <c r="CM48" s="32"/>
    </row>
    <row r="49" spans="1:9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54"/>
      <c r="R49" s="21" t="str">
        <f>IFERROR(VLOOKUP(March[[#This Row],[Drug Name]],'Data Options'!$R$1:$S$100,2,FALSE), " ")</f>
        <v xml:space="preserve"> </v>
      </c>
      <c r="S49" s="55"/>
      <c r="T49" s="32"/>
      <c r="U49" s="32"/>
      <c r="V49" s="55"/>
      <c r="W49" s="32"/>
      <c r="X49" s="54"/>
      <c r="Y49" s="21" t="str">
        <f>IFERROR(VLOOKUP(March[[#This Row],[Drug Name2]],'Data Options'!$R$1:$S$100,2,FALSE), " ")</f>
        <v xml:space="preserve"> </v>
      </c>
      <c r="Z49" s="55"/>
      <c r="AA49" s="32"/>
      <c r="AB49" s="32"/>
      <c r="AC49" s="55"/>
      <c r="AD49" s="32"/>
      <c r="AE49" s="54"/>
      <c r="AF49" s="21" t="str">
        <f>IFERROR(VLOOKUP(March[[#This Row],[Drug Name3]],'Data Options'!$R$1:$S$100,2,FALSE), " ")</f>
        <v xml:space="preserve"> </v>
      </c>
      <c r="AG49" s="55"/>
      <c r="AH49" s="32"/>
      <c r="AI49" s="32"/>
      <c r="AJ49" s="55"/>
      <c r="AK49" s="32"/>
      <c r="AL49" s="32"/>
      <c r="AM49" s="32"/>
      <c r="AN49" s="32"/>
      <c r="AO49" s="32"/>
      <c r="AP49" s="31"/>
      <c r="AQ49" s="31"/>
      <c r="AR49" s="54"/>
      <c r="AS49" s="21" t="str">
        <f>IFERROR(VLOOKUP(March[[#This Row],[Drug Name4]],'Data Options'!$R$1:$S$100,2,FALSE), " ")</f>
        <v xml:space="preserve"> </v>
      </c>
      <c r="AT49" s="55"/>
      <c r="AU49" s="32"/>
      <c r="AV49" s="32"/>
      <c r="AW49" s="55"/>
      <c r="AX49" s="32"/>
      <c r="AY49" s="54"/>
      <c r="AZ49" s="21" t="str">
        <f>IFERROR(VLOOKUP(March[[#This Row],[Drug Name5]],'Data Options'!$R$1:$S$100,2,FALSE), " ")</f>
        <v xml:space="preserve"> </v>
      </c>
      <c r="BA49" s="55"/>
      <c r="BB49" s="32"/>
      <c r="BC49" s="32"/>
      <c r="BD49" s="55"/>
      <c r="BE49" s="32"/>
      <c r="BF49" s="54"/>
      <c r="BG49" s="21" t="str">
        <f>IFERROR(VLOOKUP(March[[#This Row],[Drug Name6]],'Data Options'!$R$1:$S$100,2,FALSE), " ")</f>
        <v xml:space="preserve"> </v>
      </c>
      <c r="BH49" s="55"/>
      <c r="BI49" s="32"/>
      <c r="BJ49" s="32"/>
      <c r="BK49" s="55"/>
      <c r="BL49" s="32"/>
      <c r="BM49" s="32"/>
      <c r="BN49" s="32"/>
      <c r="BO49" s="32"/>
      <c r="BP49" s="32"/>
      <c r="BQ49" s="31"/>
      <c r="BR49" s="31"/>
      <c r="BS49" s="54"/>
      <c r="BT49" s="21" t="str">
        <f>IFERROR(VLOOKUP(March[[#This Row],[Drug Name7]],'Data Options'!$R$1:$S$100,2,FALSE), " ")</f>
        <v xml:space="preserve"> </v>
      </c>
      <c r="BU49" s="55"/>
      <c r="BV49" s="32"/>
      <c r="BW49" s="32"/>
      <c r="BX49" s="55"/>
      <c r="BY49" s="32"/>
      <c r="BZ49" s="54"/>
      <c r="CA49" s="21" t="str">
        <f>IFERROR(VLOOKUP(March[[#This Row],[Drug Name8]],'Data Options'!$R$1:$S$100,2,FALSE), " ")</f>
        <v xml:space="preserve"> </v>
      </c>
      <c r="CB49" s="55"/>
      <c r="CC49" s="32"/>
      <c r="CD49" s="32"/>
      <c r="CE49" s="55"/>
      <c r="CF49" s="32"/>
      <c r="CG49" s="54"/>
      <c r="CH49" s="21" t="str">
        <f>IFERROR(VLOOKUP(March[[#This Row],[Drug Name9]],'Data Options'!$R$1:$S$100,2,FALSE), " ")</f>
        <v xml:space="preserve"> </v>
      </c>
      <c r="CI49" s="55"/>
      <c r="CJ49" s="32"/>
      <c r="CK49" s="32"/>
      <c r="CL49" s="55"/>
      <c r="CM49" s="32"/>
    </row>
    <row r="50" spans="1:91">
      <c r="A50" s="5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54"/>
      <c r="R50" s="21" t="str">
        <f>IFERROR(VLOOKUP(March[[#This Row],[Drug Name]],'Data Options'!$R$1:$S$100,2,FALSE), " ")</f>
        <v xml:space="preserve"> </v>
      </c>
      <c r="S50" s="55"/>
      <c r="T50" s="32"/>
      <c r="U50" s="32"/>
      <c r="V50" s="55"/>
      <c r="W50" s="32"/>
      <c r="X50" s="54"/>
      <c r="Y50" s="21" t="str">
        <f>IFERROR(VLOOKUP(March[[#This Row],[Drug Name2]],'Data Options'!$R$1:$S$100,2,FALSE), " ")</f>
        <v xml:space="preserve"> </v>
      </c>
      <c r="Z50" s="55"/>
      <c r="AA50" s="32"/>
      <c r="AB50" s="32"/>
      <c r="AC50" s="55"/>
      <c r="AD50" s="32"/>
      <c r="AE50" s="54"/>
      <c r="AF50" s="21" t="str">
        <f>IFERROR(VLOOKUP(March[[#This Row],[Drug Name3]],'Data Options'!$R$1:$S$100,2,FALSE), " ")</f>
        <v xml:space="preserve"> </v>
      </c>
      <c r="AG50" s="55"/>
      <c r="AH50" s="32"/>
      <c r="AI50" s="32"/>
      <c r="AJ50" s="55"/>
      <c r="AK50" s="32"/>
      <c r="AL50" s="32"/>
      <c r="AM50" s="32"/>
      <c r="AN50" s="32"/>
      <c r="AO50" s="32"/>
      <c r="AP50" s="31"/>
      <c r="AQ50" s="31"/>
      <c r="AR50" s="54"/>
      <c r="AS50" s="21" t="str">
        <f>IFERROR(VLOOKUP(March[[#This Row],[Drug Name4]],'Data Options'!$R$1:$S$100,2,FALSE), " ")</f>
        <v xml:space="preserve"> </v>
      </c>
      <c r="AT50" s="55"/>
      <c r="AU50" s="32"/>
      <c r="AV50" s="32"/>
      <c r="AW50" s="55"/>
      <c r="AX50" s="32"/>
      <c r="AY50" s="54"/>
      <c r="AZ50" s="21" t="str">
        <f>IFERROR(VLOOKUP(March[[#This Row],[Drug Name5]],'Data Options'!$R$1:$S$100,2,FALSE), " ")</f>
        <v xml:space="preserve"> </v>
      </c>
      <c r="BA50" s="55"/>
      <c r="BB50" s="32"/>
      <c r="BC50" s="32"/>
      <c r="BD50" s="55"/>
      <c r="BE50" s="32"/>
      <c r="BF50" s="54"/>
      <c r="BG50" s="21" t="str">
        <f>IFERROR(VLOOKUP(March[[#This Row],[Drug Name6]],'Data Options'!$R$1:$S$100,2,FALSE), " ")</f>
        <v xml:space="preserve"> </v>
      </c>
      <c r="BH50" s="55"/>
      <c r="BI50" s="32"/>
      <c r="BJ50" s="32"/>
      <c r="BK50" s="55"/>
      <c r="BL50" s="32"/>
      <c r="BM50" s="32"/>
      <c r="BN50" s="32"/>
      <c r="BO50" s="32"/>
      <c r="BP50" s="32"/>
      <c r="BQ50" s="31"/>
      <c r="BR50" s="31"/>
      <c r="BS50" s="54"/>
      <c r="BT50" s="21" t="str">
        <f>IFERROR(VLOOKUP(March[[#This Row],[Drug Name7]],'Data Options'!$R$1:$S$100,2,FALSE), " ")</f>
        <v xml:space="preserve"> </v>
      </c>
      <c r="BU50" s="55"/>
      <c r="BV50" s="32"/>
      <c r="BW50" s="32"/>
      <c r="BX50" s="55"/>
      <c r="BY50" s="32"/>
      <c r="BZ50" s="54"/>
      <c r="CA50" s="21" t="str">
        <f>IFERROR(VLOOKUP(March[[#This Row],[Drug Name8]],'Data Options'!$R$1:$S$100,2,FALSE), " ")</f>
        <v xml:space="preserve"> </v>
      </c>
      <c r="CB50" s="55"/>
      <c r="CC50" s="32"/>
      <c r="CD50" s="32"/>
      <c r="CE50" s="55"/>
      <c r="CF50" s="32"/>
      <c r="CG50" s="54"/>
      <c r="CH50" s="21" t="str">
        <f>IFERROR(VLOOKUP(March[[#This Row],[Drug Name9]],'Data Options'!$R$1:$S$100,2,FALSE), " ")</f>
        <v xml:space="preserve"> </v>
      </c>
      <c r="CI50" s="55"/>
      <c r="CJ50" s="32"/>
      <c r="CK50" s="32"/>
      <c r="CL50" s="55"/>
      <c r="CM50" s="32"/>
    </row>
    <row r="51" spans="1:9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54"/>
      <c r="R51" s="21" t="str">
        <f>IFERROR(VLOOKUP(March[[#This Row],[Drug Name]],'Data Options'!$R$1:$S$100,2,FALSE), " ")</f>
        <v xml:space="preserve"> </v>
      </c>
      <c r="S51" s="55"/>
      <c r="T51" s="32"/>
      <c r="U51" s="32"/>
      <c r="V51" s="55"/>
      <c r="W51" s="32"/>
      <c r="X51" s="54"/>
      <c r="Y51" s="21" t="str">
        <f>IFERROR(VLOOKUP(March[[#This Row],[Drug Name2]],'Data Options'!$R$1:$S$100,2,FALSE), " ")</f>
        <v xml:space="preserve"> </v>
      </c>
      <c r="Z51" s="55"/>
      <c r="AA51" s="32"/>
      <c r="AB51" s="32"/>
      <c r="AC51" s="55"/>
      <c r="AD51" s="32"/>
      <c r="AE51" s="54"/>
      <c r="AF51" s="21" t="str">
        <f>IFERROR(VLOOKUP(March[[#This Row],[Drug Name3]],'Data Options'!$R$1:$S$100,2,FALSE), " ")</f>
        <v xml:space="preserve"> </v>
      </c>
      <c r="AG51" s="55"/>
      <c r="AH51" s="32"/>
      <c r="AI51" s="32"/>
      <c r="AJ51" s="55"/>
      <c r="AK51" s="32"/>
      <c r="AL51" s="32"/>
      <c r="AM51" s="32"/>
      <c r="AN51" s="32"/>
      <c r="AO51" s="32"/>
      <c r="AP51" s="31"/>
      <c r="AQ51" s="31"/>
      <c r="AR51" s="54"/>
      <c r="AS51" s="21" t="str">
        <f>IFERROR(VLOOKUP(March[[#This Row],[Drug Name4]],'Data Options'!$R$1:$S$100,2,FALSE), " ")</f>
        <v xml:space="preserve"> </v>
      </c>
      <c r="AT51" s="55"/>
      <c r="AU51" s="32"/>
      <c r="AV51" s="32"/>
      <c r="AW51" s="55"/>
      <c r="AX51" s="32"/>
      <c r="AY51" s="54"/>
      <c r="AZ51" s="21" t="str">
        <f>IFERROR(VLOOKUP(March[[#This Row],[Drug Name5]],'Data Options'!$R$1:$S$100,2,FALSE), " ")</f>
        <v xml:space="preserve"> </v>
      </c>
      <c r="BA51" s="55"/>
      <c r="BB51" s="32"/>
      <c r="BC51" s="32"/>
      <c r="BD51" s="55"/>
      <c r="BE51" s="32"/>
      <c r="BF51" s="54"/>
      <c r="BG51" s="21" t="str">
        <f>IFERROR(VLOOKUP(March[[#This Row],[Drug Name6]],'Data Options'!$R$1:$S$100,2,FALSE), " ")</f>
        <v xml:space="preserve"> </v>
      </c>
      <c r="BH51" s="55"/>
      <c r="BI51" s="32"/>
      <c r="BJ51" s="32"/>
      <c r="BK51" s="55"/>
      <c r="BL51" s="32"/>
      <c r="BM51" s="32"/>
      <c r="BN51" s="32"/>
      <c r="BO51" s="32"/>
      <c r="BP51" s="32"/>
      <c r="BQ51" s="31"/>
      <c r="BR51" s="31"/>
      <c r="BS51" s="54"/>
      <c r="BT51" s="21" t="str">
        <f>IFERROR(VLOOKUP(March[[#This Row],[Drug Name7]],'Data Options'!$R$1:$S$100,2,FALSE), " ")</f>
        <v xml:space="preserve"> </v>
      </c>
      <c r="BU51" s="55"/>
      <c r="BV51" s="32"/>
      <c r="BW51" s="32"/>
      <c r="BX51" s="55"/>
      <c r="BY51" s="32"/>
      <c r="BZ51" s="54"/>
      <c r="CA51" s="21" t="str">
        <f>IFERROR(VLOOKUP(March[[#This Row],[Drug Name8]],'Data Options'!$R$1:$S$100,2,FALSE), " ")</f>
        <v xml:space="preserve"> </v>
      </c>
      <c r="CB51" s="55"/>
      <c r="CC51" s="32"/>
      <c r="CD51" s="32"/>
      <c r="CE51" s="55"/>
      <c r="CF51" s="32"/>
      <c r="CG51" s="54"/>
      <c r="CH51" s="21" t="str">
        <f>IFERROR(VLOOKUP(March[[#This Row],[Drug Name9]],'Data Options'!$R$1:$S$100,2,FALSE), " ")</f>
        <v xml:space="preserve"> </v>
      </c>
      <c r="CI51" s="55"/>
      <c r="CJ51" s="32"/>
      <c r="CK51" s="32"/>
      <c r="CL51" s="55"/>
      <c r="CM51" s="32"/>
    </row>
    <row r="52" spans="1:9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54"/>
      <c r="R52" s="21" t="str">
        <f>IFERROR(VLOOKUP(March[[#This Row],[Drug Name]],'Data Options'!$R$1:$S$100,2,FALSE), " ")</f>
        <v xml:space="preserve"> </v>
      </c>
      <c r="S52" s="55"/>
      <c r="T52" s="32"/>
      <c r="U52" s="32"/>
      <c r="V52" s="55"/>
      <c r="W52" s="32"/>
      <c r="X52" s="54"/>
      <c r="Y52" s="21" t="str">
        <f>IFERROR(VLOOKUP(March[[#This Row],[Drug Name2]],'Data Options'!$R$1:$S$100,2,FALSE), " ")</f>
        <v xml:space="preserve"> </v>
      </c>
      <c r="Z52" s="55"/>
      <c r="AA52" s="32"/>
      <c r="AB52" s="32"/>
      <c r="AC52" s="55"/>
      <c r="AD52" s="32"/>
      <c r="AE52" s="54"/>
      <c r="AF52" s="21" t="str">
        <f>IFERROR(VLOOKUP(March[[#This Row],[Drug Name3]],'Data Options'!$R$1:$S$100,2,FALSE), " ")</f>
        <v xml:space="preserve"> </v>
      </c>
      <c r="AG52" s="55"/>
      <c r="AH52" s="32"/>
      <c r="AI52" s="32"/>
      <c r="AJ52" s="55"/>
      <c r="AK52" s="32"/>
      <c r="AL52" s="32"/>
      <c r="AM52" s="32"/>
      <c r="AN52" s="32"/>
      <c r="AO52" s="32"/>
      <c r="AP52" s="31"/>
      <c r="AQ52" s="31"/>
      <c r="AR52" s="54"/>
      <c r="AS52" s="21" t="str">
        <f>IFERROR(VLOOKUP(March[[#This Row],[Drug Name4]],'Data Options'!$R$1:$S$100,2,FALSE), " ")</f>
        <v xml:space="preserve"> </v>
      </c>
      <c r="AT52" s="55"/>
      <c r="AU52" s="32"/>
      <c r="AV52" s="32"/>
      <c r="AW52" s="55"/>
      <c r="AX52" s="32"/>
      <c r="AY52" s="54"/>
      <c r="AZ52" s="21" t="str">
        <f>IFERROR(VLOOKUP(March[[#This Row],[Drug Name5]],'Data Options'!$R$1:$S$100,2,FALSE), " ")</f>
        <v xml:space="preserve"> </v>
      </c>
      <c r="BA52" s="55"/>
      <c r="BB52" s="32"/>
      <c r="BC52" s="32"/>
      <c r="BD52" s="55"/>
      <c r="BE52" s="32"/>
      <c r="BF52" s="54"/>
      <c r="BG52" s="21" t="str">
        <f>IFERROR(VLOOKUP(March[[#This Row],[Drug Name6]],'Data Options'!$R$1:$S$100,2,FALSE), " ")</f>
        <v xml:space="preserve"> </v>
      </c>
      <c r="BH52" s="55"/>
      <c r="BI52" s="32"/>
      <c r="BJ52" s="32"/>
      <c r="BK52" s="55"/>
      <c r="BL52" s="32"/>
      <c r="BM52" s="32"/>
      <c r="BN52" s="32"/>
      <c r="BO52" s="32"/>
      <c r="BP52" s="32"/>
      <c r="BQ52" s="31"/>
      <c r="BR52" s="31"/>
      <c r="BS52" s="54"/>
      <c r="BT52" s="21" t="str">
        <f>IFERROR(VLOOKUP(March[[#This Row],[Drug Name7]],'Data Options'!$R$1:$S$100,2,FALSE), " ")</f>
        <v xml:space="preserve"> </v>
      </c>
      <c r="BU52" s="55"/>
      <c r="BV52" s="32"/>
      <c r="BW52" s="32"/>
      <c r="BX52" s="55"/>
      <c r="BY52" s="32"/>
      <c r="BZ52" s="54"/>
      <c r="CA52" s="21" t="str">
        <f>IFERROR(VLOOKUP(March[[#This Row],[Drug Name8]],'Data Options'!$R$1:$S$100,2,FALSE), " ")</f>
        <v xml:space="preserve"> </v>
      </c>
      <c r="CB52" s="55"/>
      <c r="CC52" s="32"/>
      <c r="CD52" s="32"/>
      <c r="CE52" s="55"/>
      <c r="CF52" s="32"/>
      <c r="CG52" s="54"/>
      <c r="CH52" s="21" t="str">
        <f>IFERROR(VLOOKUP(March[[#This Row],[Drug Name9]],'Data Options'!$R$1:$S$100,2,FALSE), " ")</f>
        <v xml:space="preserve"> </v>
      </c>
      <c r="CI52" s="55"/>
      <c r="CJ52" s="32"/>
      <c r="CK52" s="32"/>
      <c r="CL52" s="55"/>
      <c r="CM52" s="32"/>
    </row>
    <row r="53" spans="1:91">
      <c r="A53" s="5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54"/>
      <c r="R53" s="21" t="str">
        <f>IFERROR(VLOOKUP(March[[#This Row],[Drug Name]],'Data Options'!$R$1:$S$100,2,FALSE), " ")</f>
        <v xml:space="preserve"> </v>
      </c>
      <c r="S53" s="55"/>
      <c r="T53" s="32"/>
      <c r="U53" s="32"/>
      <c r="V53" s="55"/>
      <c r="W53" s="32"/>
      <c r="X53" s="54"/>
      <c r="Y53" s="21" t="str">
        <f>IFERROR(VLOOKUP(March[[#This Row],[Drug Name2]],'Data Options'!$R$1:$S$100,2,FALSE), " ")</f>
        <v xml:space="preserve"> </v>
      </c>
      <c r="Z53" s="55"/>
      <c r="AA53" s="32"/>
      <c r="AB53" s="32"/>
      <c r="AC53" s="55"/>
      <c r="AD53" s="32"/>
      <c r="AE53" s="54"/>
      <c r="AF53" s="21" t="str">
        <f>IFERROR(VLOOKUP(March[[#This Row],[Drug Name3]],'Data Options'!$R$1:$S$100,2,FALSE), " ")</f>
        <v xml:space="preserve"> </v>
      </c>
      <c r="AG53" s="55"/>
      <c r="AH53" s="32"/>
      <c r="AI53" s="32"/>
      <c r="AJ53" s="55"/>
      <c r="AK53" s="32"/>
      <c r="AL53" s="32"/>
      <c r="AM53" s="32"/>
      <c r="AN53" s="32"/>
      <c r="AO53" s="32"/>
      <c r="AP53" s="31"/>
      <c r="AQ53" s="31"/>
      <c r="AR53" s="54"/>
      <c r="AS53" s="21" t="str">
        <f>IFERROR(VLOOKUP(March[[#This Row],[Drug Name4]],'Data Options'!$R$1:$S$100,2,FALSE), " ")</f>
        <v xml:space="preserve"> </v>
      </c>
      <c r="AT53" s="55"/>
      <c r="AU53" s="32"/>
      <c r="AV53" s="32"/>
      <c r="AW53" s="55"/>
      <c r="AX53" s="32"/>
      <c r="AY53" s="54"/>
      <c r="AZ53" s="21" t="str">
        <f>IFERROR(VLOOKUP(March[[#This Row],[Drug Name5]],'Data Options'!$R$1:$S$100,2,FALSE), " ")</f>
        <v xml:space="preserve"> </v>
      </c>
      <c r="BA53" s="55"/>
      <c r="BB53" s="32"/>
      <c r="BC53" s="32"/>
      <c r="BD53" s="55"/>
      <c r="BE53" s="32"/>
      <c r="BF53" s="54"/>
      <c r="BG53" s="21" t="str">
        <f>IFERROR(VLOOKUP(March[[#This Row],[Drug Name6]],'Data Options'!$R$1:$S$100,2,FALSE), " ")</f>
        <v xml:space="preserve"> </v>
      </c>
      <c r="BH53" s="55"/>
      <c r="BI53" s="32"/>
      <c r="BJ53" s="32"/>
      <c r="BK53" s="55"/>
      <c r="BL53" s="32"/>
      <c r="BM53" s="32"/>
      <c r="BN53" s="32"/>
      <c r="BO53" s="32"/>
      <c r="BP53" s="32"/>
      <c r="BQ53" s="31"/>
      <c r="BR53" s="31"/>
      <c r="BS53" s="54"/>
      <c r="BT53" s="21" t="str">
        <f>IFERROR(VLOOKUP(March[[#This Row],[Drug Name7]],'Data Options'!$R$1:$S$100,2,FALSE), " ")</f>
        <v xml:space="preserve"> </v>
      </c>
      <c r="BU53" s="55"/>
      <c r="BV53" s="32"/>
      <c r="BW53" s="32"/>
      <c r="BX53" s="55"/>
      <c r="BY53" s="32"/>
      <c r="BZ53" s="54"/>
      <c r="CA53" s="21" t="str">
        <f>IFERROR(VLOOKUP(March[[#This Row],[Drug Name8]],'Data Options'!$R$1:$S$100,2,FALSE), " ")</f>
        <v xml:space="preserve"> </v>
      </c>
      <c r="CB53" s="55"/>
      <c r="CC53" s="32"/>
      <c r="CD53" s="32"/>
      <c r="CE53" s="55"/>
      <c r="CF53" s="32"/>
      <c r="CG53" s="54"/>
      <c r="CH53" s="21" t="str">
        <f>IFERROR(VLOOKUP(March[[#This Row],[Drug Name9]],'Data Options'!$R$1:$S$100,2,FALSE), " ")</f>
        <v xml:space="preserve"> </v>
      </c>
      <c r="CI53" s="55"/>
      <c r="CJ53" s="32"/>
      <c r="CK53" s="32"/>
      <c r="CL53" s="55"/>
      <c r="CM53" s="32"/>
    </row>
    <row r="54" spans="1:91">
      <c r="A54" s="5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54"/>
      <c r="R54" s="21" t="str">
        <f>IFERROR(VLOOKUP(March[[#This Row],[Drug Name]],'Data Options'!$R$1:$S$100,2,FALSE), " ")</f>
        <v xml:space="preserve"> </v>
      </c>
      <c r="S54" s="55"/>
      <c r="T54" s="32"/>
      <c r="U54" s="32"/>
      <c r="V54" s="55"/>
      <c r="W54" s="32"/>
      <c r="X54" s="54"/>
      <c r="Y54" s="21" t="str">
        <f>IFERROR(VLOOKUP(March[[#This Row],[Drug Name2]],'Data Options'!$R$1:$S$100,2,FALSE), " ")</f>
        <v xml:space="preserve"> </v>
      </c>
      <c r="Z54" s="55"/>
      <c r="AA54" s="32"/>
      <c r="AB54" s="32"/>
      <c r="AC54" s="55"/>
      <c r="AD54" s="32"/>
      <c r="AE54" s="54"/>
      <c r="AF54" s="21" t="str">
        <f>IFERROR(VLOOKUP(March[[#This Row],[Drug Name3]],'Data Options'!$R$1:$S$100,2,FALSE), " ")</f>
        <v xml:space="preserve"> </v>
      </c>
      <c r="AG54" s="55"/>
      <c r="AH54" s="32"/>
      <c r="AI54" s="32"/>
      <c r="AJ54" s="55"/>
      <c r="AK54" s="32"/>
      <c r="AL54" s="32"/>
      <c r="AM54" s="32"/>
      <c r="AN54" s="32"/>
      <c r="AO54" s="32"/>
      <c r="AP54" s="31"/>
      <c r="AQ54" s="31"/>
      <c r="AR54" s="54"/>
      <c r="AS54" s="21" t="str">
        <f>IFERROR(VLOOKUP(March[[#This Row],[Drug Name4]],'Data Options'!$R$1:$S$100,2,FALSE), " ")</f>
        <v xml:space="preserve"> </v>
      </c>
      <c r="AT54" s="55"/>
      <c r="AU54" s="32"/>
      <c r="AV54" s="32"/>
      <c r="AW54" s="55"/>
      <c r="AX54" s="32"/>
      <c r="AY54" s="54"/>
      <c r="AZ54" s="21" t="str">
        <f>IFERROR(VLOOKUP(March[[#This Row],[Drug Name5]],'Data Options'!$R$1:$S$100,2,FALSE), " ")</f>
        <v xml:space="preserve"> </v>
      </c>
      <c r="BA54" s="55"/>
      <c r="BB54" s="32"/>
      <c r="BC54" s="32"/>
      <c r="BD54" s="55"/>
      <c r="BE54" s="32"/>
      <c r="BF54" s="54"/>
      <c r="BG54" s="21" t="str">
        <f>IFERROR(VLOOKUP(March[[#This Row],[Drug Name6]],'Data Options'!$R$1:$S$100,2,FALSE), " ")</f>
        <v xml:space="preserve"> </v>
      </c>
      <c r="BH54" s="55"/>
      <c r="BI54" s="32"/>
      <c r="BJ54" s="32"/>
      <c r="BK54" s="55"/>
      <c r="BL54" s="32"/>
      <c r="BM54" s="32"/>
      <c r="BN54" s="32"/>
      <c r="BO54" s="32"/>
      <c r="BP54" s="32"/>
      <c r="BQ54" s="31"/>
      <c r="BR54" s="31"/>
      <c r="BS54" s="54"/>
      <c r="BT54" s="21" t="str">
        <f>IFERROR(VLOOKUP(March[[#This Row],[Drug Name7]],'Data Options'!$R$1:$S$100,2,FALSE), " ")</f>
        <v xml:space="preserve"> </v>
      </c>
      <c r="BU54" s="55"/>
      <c r="BV54" s="32"/>
      <c r="BW54" s="32"/>
      <c r="BX54" s="55"/>
      <c r="BY54" s="32"/>
      <c r="BZ54" s="54"/>
      <c r="CA54" s="21" t="str">
        <f>IFERROR(VLOOKUP(March[[#This Row],[Drug Name8]],'Data Options'!$R$1:$S$100,2,FALSE), " ")</f>
        <v xml:space="preserve"> </v>
      </c>
      <c r="CB54" s="55"/>
      <c r="CC54" s="32"/>
      <c r="CD54" s="32"/>
      <c r="CE54" s="55"/>
      <c r="CF54" s="32"/>
      <c r="CG54" s="54"/>
      <c r="CH54" s="21" t="str">
        <f>IFERROR(VLOOKUP(March[[#This Row],[Drug Name9]],'Data Options'!$R$1:$S$100,2,FALSE), " ")</f>
        <v xml:space="preserve"> </v>
      </c>
      <c r="CI54" s="55"/>
      <c r="CJ54" s="32"/>
      <c r="CK54" s="32"/>
      <c r="CL54" s="55"/>
      <c r="CM54" s="32"/>
    </row>
    <row r="55" spans="1:91">
      <c r="A55" s="5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54"/>
      <c r="R55" s="21" t="str">
        <f>IFERROR(VLOOKUP(March[[#This Row],[Drug Name]],'Data Options'!$R$1:$S$100,2,FALSE), " ")</f>
        <v xml:space="preserve"> </v>
      </c>
      <c r="S55" s="55"/>
      <c r="T55" s="32"/>
      <c r="U55" s="32"/>
      <c r="V55" s="55"/>
      <c r="W55" s="32"/>
      <c r="X55" s="54"/>
      <c r="Y55" s="21" t="str">
        <f>IFERROR(VLOOKUP(March[[#This Row],[Drug Name2]],'Data Options'!$R$1:$S$100,2,FALSE), " ")</f>
        <v xml:space="preserve"> </v>
      </c>
      <c r="Z55" s="55"/>
      <c r="AA55" s="32"/>
      <c r="AB55" s="32"/>
      <c r="AC55" s="55"/>
      <c r="AD55" s="32"/>
      <c r="AE55" s="54"/>
      <c r="AF55" s="21" t="str">
        <f>IFERROR(VLOOKUP(March[[#This Row],[Drug Name3]],'Data Options'!$R$1:$S$100,2,FALSE), " ")</f>
        <v xml:space="preserve"> </v>
      </c>
      <c r="AG55" s="55"/>
      <c r="AH55" s="32"/>
      <c r="AI55" s="32"/>
      <c r="AJ55" s="55"/>
      <c r="AK55" s="32"/>
      <c r="AL55" s="32"/>
      <c r="AM55" s="32"/>
      <c r="AN55" s="32"/>
      <c r="AO55" s="32"/>
      <c r="AP55" s="31"/>
      <c r="AQ55" s="31"/>
      <c r="AR55" s="54"/>
      <c r="AS55" s="21" t="str">
        <f>IFERROR(VLOOKUP(March[[#This Row],[Drug Name4]],'Data Options'!$R$1:$S$100,2,FALSE), " ")</f>
        <v xml:space="preserve"> </v>
      </c>
      <c r="AT55" s="55"/>
      <c r="AU55" s="32"/>
      <c r="AV55" s="32"/>
      <c r="AW55" s="55"/>
      <c r="AX55" s="32"/>
      <c r="AY55" s="54"/>
      <c r="AZ55" s="21" t="str">
        <f>IFERROR(VLOOKUP(March[[#This Row],[Drug Name5]],'Data Options'!$R$1:$S$100,2,FALSE), " ")</f>
        <v xml:space="preserve"> </v>
      </c>
      <c r="BA55" s="55"/>
      <c r="BB55" s="32"/>
      <c r="BC55" s="32"/>
      <c r="BD55" s="55"/>
      <c r="BE55" s="32"/>
      <c r="BF55" s="54"/>
      <c r="BG55" s="21" t="str">
        <f>IFERROR(VLOOKUP(March[[#This Row],[Drug Name6]],'Data Options'!$R$1:$S$100,2,FALSE), " ")</f>
        <v xml:space="preserve"> </v>
      </c>
      <c r="BH55" s="55"/>
      <c r="BI55" s="32"/>
      <c r="BJ55" s="32"/>
      <c r="BK55" s="55"/>
      <c r="BL55" s="32"/>
      <c r="BM55" s="32"/>
      <c r="BN55" s="32"/>
      <c r="BO55" s="32"/>
      <c r="BP55" s="32"/>
      <c r="BQ55" s="31"/>
      <c r="BR55" s="31"/>
      <c r="BS55" s="54"/>
      <c r="BT55" s="21" t="str">
        <f>IFERROR(VLOOKUP(March[[#This Row],[Drug Name7]],'Data Options'!$R$1:$S$100,2,FALSE), " ")</f>
        <v xml:space="preserve"> </v>
      </c>
      <c r="BU55" s="55"/>
      <c r="BV55" s="32"/>
      <c r="BW55" s="32"/>
      <c r="BX55" s="55"/>
      <c r="BY55" s="32"/>
      <c r="BZ55" s="54"/>
      <c r="CA55" s="21" t="str">
        <f>IFERROR(VLOOKUP(March[[#This Row],[Drug Name8]],'Data Options'!$R$1:$S$100,2,FALSE), " ")</f>
        <v xml:space="preserve"> </v>
      </c>
      <c r="CB55" s="55"/>
      <c r="CC55" s="32"/>
      <c r="CD55" s="32"/>
      <c r="CE55" s="55"/>
      <c r="CF55" s="32"/>
      <c r="CG55" s="54"/>
      <c r="CH55" s="21" t="str">
        <f>IFERROR(VLOOKUP(March[[#This Row],[Drug Name9]],'Data Options'!$R$1:$S$100,2,FALSE), " ")</f>
        <v xml:space="preserve"> </v>
      </c>
      <c r="CI55" s="55"/>
      <c r="CJ55" s="32"/>
      <c r="CK55" s="32"/>
      <c r="CL55" s="55"/>
      <c r="CM55" s="32"/>
    </row>
    <row r="56" spans="1:91">
      <c r="A56" s="5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54"/>
      <c r="R56" s="21" t="str">
        <f>IFERROR(VLOOKUP(March[[#This Row],[Drug Name]],'Data Options'!$R$1:$S$100,2,FALSE), " ")</f>
        <v xml:space="preserve"> </v>
      </c>
      <c r="S56" s="55"/>
      <c r="T56" s="32"/>
      <c r="U56" s="32"/>
      <c r="V56" s="55"/>
      <c r="W56" s="32"/>
      <c r="X56" s="54"/>
      <c r="Y56" s="21" t="str">
        <f>IFERROR(VLOOKUP(March[[#This Row],[Drug Name2]],'Data Options'!$R$1:$S$100,2,FALSE), " ")</f>
        <v xml:space="preserve"> </v>
      </c>
      <c r="Z56" s="55"/>
      <c r="AA56" s="32"/>
      <c r="AB56" s="32"/>
      <c r="AC56" s="55"/>
      <c r="AD56" s="32"/>
      <c r="AE56" s="54"/>
      <c r="AF56" s="21" t="str">
        <f>IFERROR(VLOOKUP(March[[#This Row],[Drug Name3]],'Data Options'!$R$1:$S$100,2,FALSE), " ")</f>
        <v xml:space="preserve"> </v>
      </c>
      <c r="AG56" s="55"/>
      <c r="AH56" s="32"/>
      <c r="AI56" s="32"/>
      <c r="AJ56" s="55"/>
      <c r="AK56" s="32"/>
      <c r="AL56" s="32"/>
      <c r="AM56" s="32"/>
      <c r="AN56" s="32"/>
      <c r="AO56" s="32"/>
      <c r="AP56" s="31"/>
      <c r="AQ56" s="31"/>
      <c r="AR56" s="54"/>
      <c r="AS56" s="21" t="str">
        <f>IFERROR(VLOOKUP(March[[#This Row],[Drug Name4]],'Data Options'!$R$1:$S$100,2,FALSE), " ")</f>
        <v xml:space="preserve"> </v>
      </c>
      <c r="AT56" s="55"/>
      <c r="AU56" s="32"/>
      <c r="AV56" s="32"/>
      <c r="AW56" s="55"/>
      <c r="AX56" s="32"/>
      <c r="AY56" s="54"/>
      <c r="AZ56" s="21" t="str">
        <f>IFERROR(VLOOKUP(March[[#This Row],[Drug Name5]],'Data Options'!$R$1:$S$100,2,FALSE), " ")</f>
        <v xml:space="preserve"> </v>
      </c>
      <c r="BA56" s="55"/>
      <c r="BB56" s="32"/>
      <c r="BC56" s="32"/>
      <c r="BD56" s="55"/>
      <c r="BE56" s="32"/>
      <c r="BF56" s="54"/>
      <c r="BG56" s="21" t="str">
        <f>IFERROR(VLOOKUP(March[[#This Row],[Drug Name6]],'Data Options'!$R$1:$S$100,2,FALSE), " ")</f>
        <v xml:space="preserve"> </v>
      </c>
      <c r="BH56" s="55"/>
      <c r="BI56" s="32"/>
      <c r="BJ56" s="32"/>
      <c r="BK56" s="55"/>
      <c r="BL56" s="32"/>
      <c r="BM56" s="32"/>
      <c r="BN56" s="32"/>
      <c r="BO56" s="32"/>
      <c r="BP56" s="32"/>
      <c r="BQ56" s="31"/>
      <c r="BR56" s="31"/>
      <c r="BS56" s="54"/>
      <c r="BT56" s="21" t="str">
        <f>IFERROR(VLOOKUP(March[[#This Row],[Drug Name7]],'Data Options'!$R$1:$S$100,2,FALSE), " ")</f>
        <v xml:space="preserve"> </v>
      </c>
      <c r="BU56" s="55"/>
      <c r="BV56" s="32"/>
      <c r="BW56" s="32"/>
      <c r="BX56" s="55"/>
      <c r="BY56" s="32"/>
      <c r="BZ56" s="54"/>
      <c r="CA56" s="21" t="str">
        <f>IFERROR(VLOOKUP(March[[#This Row],[Drug Name8]],'Data Options'!$R$1:$S$100,2,FALSE), " ")</f>
        <v xml:space="preserve"> </v>
      </c>
      <c r="CB56" s="55"/>
      <c r="CC56" s="32"/>
      <c r="CD56" s="32"/>
      <c r="CE56" s="55"/>
      <c r="CF56" s="32"/>
      <c r="CG56" s="54"/>
      <c r="CH56" s="21" t="str">
        <f>IFERROR(VLOOKUP(March[[#This Row],[Drug Name9]],'Data Options'!$R$1:$S$100,2,FALSE), " ")</f>
        <v xml:space="preserve"> </v>
      </c>
      <c r="CI56" s="55"/>
      <c r="CJ56" s="32"/>
      <c r="CK56" s="32"/>
      <c r="CL56" s="55"/>
      <c r="CM56" s="32"/>
    </row>
    <row r="57" spans="1:91">
      <c r="A57" s="5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31"/>
      <c r="Q57" s="54"/>
      <c r="R57" s="21" t="str">
        <f>IFERROR(VLOOKUP(March[[#This Row],[Drug Name]],'Data Options'!$R$1:$S$100,2,FALSE), " ")</f>
        <v xml:space="preserve"> </v>
      </c>
      <c r="S57" s="55"/>
      <c r="T57" s="32"/>
      <c r="U57" s="32"/>
      <c r="V57" s="55"/>
      <c r="W57" s="32"/>
      <c r="X57" s="54"/>
      <c r="Y57" s="21" t="str">
        <f>IFERROR(VLOOKUP(March[[#This Row],[Drug Name2]],'Data Options'!$R$1:$S$100,2,FALSE), " ")</f>
        <v xml:space="preserve"> </v>
      </c>
      <c r="Z57" s="55"/>
      <c r="AA57" s="32"/>
      <c r="AB57" s="32"/>
      <c r="AC57" s="55"/>
      <c r="AD57" s="32"/>
      <c r="AE57" s="54"/>
      <c r="AF57" s="21" t="str">
        <f>IFERROR(VLOOKUP(March[[#This Row],[Drug Name3]],'Data Options'!$R$1:$S$100,2,FALSE), " ")</f>
        <v xml:space="preserve"> </v>
      </c>
      <c r="AG57" s="55"/>
      <c r="AH57" s="32"/>
      <c r="AI57" s="32"/>
      <c r="AJ57" s="55"/>
      <c r="AK57" s="32"/>
      <c r="AL57" s="32"/>
      <c r="AM57" s="32"/>
      <c r="AN57" s="32"/>
      <c r="AO57" s="32"/>
      <c r="AP57" s="31"/>
      <c r="AQ57" s="31"/>
      <c r="AR57" s="54"/>
      <c r="AS57" s="21" t="str">
        <f>IFERROR(VLOOKUP(March[[#This Row],[Drug Name4]],'Data Options'!$R$1:$S$100,2,FALSE), " ")</f>
        <v xml:space="preserve"> </v>
      </c>
      <c r="AT57" s="55"/>
      <c r="AU57" s="32"/>
      <c r="AV57" s="32"/>
      <c r="AW57" s="55"/>
      <c r="AX57" s="32"/>
      <c r="AY57" s="54"/>
      <c r="AZ57" s="21" t="str">
        <f>IFERROR(VLOOKUP(March[[#This Row],[Drug Name5]],'Data Options'!$R$1:$S$100,2,FALSE), " ")</f>
        <v xml:space="preserve"> </v>
      </c>
      <c r="BA57" s="55"/>
      <c r="BB57" s="32"/>
      <c r="BC57" s="32"/>
      <c r="BD57" s="55"/>
      <c r="BE57" s="32"/>
      <c r="BF57" s="54"/>
      <c r="BG57" s="21" t="str">
        <f>IFERROR(VLOOKUP(March[[#This Row],[Drug Name6]],'Data Options'!$R$1:$S$100,2,FALSE), " ")</f>
        <v xml:space="preserve"> </v>
      </c>
      <c r="BH57" s="55"/>
      <c r="BI57" s="32"/>
      <c r="BJ57" s="32"/>
      <c r="BK57" s="55"/>
      <c r="BL57" s="32"/>
      <c r="BM57" s="32"/>
      <c r="BN57" s="32"/>
      <c r="BO57" s="32"/>
      <c r="BP57" s="32"/>
      <c r="BQ57" s="31"/>
      <c r="BR57" s="31"/>
      <c r="BS57" s="54"/>
      <c r="BT57" s="21" t="str">
        <f>IFERROR(VLOOKUP(March[[#This Row],[Drug Name7]],'Data Options'!$R$1:$S$100,2,FALSE), " ")</f>
        <v xml:space="preserve"> </v>
      </c>
      <c r="BU57" s="55"/>
      <c r="BV57" s="32"/>
      <c r="BW57" s="32"/>
      <c r="BX57" s="55"/>
      <c r="BY57" s="32"/>
      <c r="BZ57" s="54"/>
      <c r="CA57" s="21" t="str">
        <f>IFERROR(VLOOKUP(March[[#This Row],[Drug Name8]],'Data Options'!$R$1:$S$100,2,FALSE), " ")</f>
        <v xml:space="preserve"> </v>
      </c>
      <c r="CB57" s="55"/>
      <c r="CC57" s="32"/>
      <c r="CD57" s="32"/>
      <c r="CE57" s="55"/>
      <c r="CF57" s="32"/>
      <c r="CG57" s="54"/>
      <c r="CH57" s="21" t="str">
        <f>IFERROR(VLOOKUP(March[[#This Row],[Drug Name9]],'Data Options'!$R$1:$S$100,2,FALSE), " ")</f>
        <v xml:space="preserve"> </v>
      </c>
      <c r="CI57" s="55"/>
      <c r="CJ57" s="32"/>
      <c r="CK57" s="32"/>
      <c r="CL57" s="55"/>
      <c r="CM57" s="32"/>
    </row>
    <row r="58" spans="1:9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54"/>
      <c r="R58" s="21" t="str">
        <f>IFERROR(VLOOKUP(March[[#This Row],[Drug Name]],'Data Options'!$R$1:$S$100,2,FALSE), " ")</f>
        <v xml:space="preserve"> </v>
      </c>
      <c r="S58" s="55"/>
      <c r="T58" s="32"/>
      <c r="U58" s="32"/>
      <c r="V58" s="55"/>
      <c r="W58" s="32"/>
      <c r="X58" s="54"/>
      <c r="Y58" s="21" t="str">
        <f>IFERROR(VLOOKUP(March[[#This Row],[Drug Name2]],'Data Options'!$R$1:$S$100,2,FALSE), " ")</f>
        <v xml:space="preserve"> </v>
      </c>
      <c r="Z58" s="55"/>
      <c r="AA58" s="32"/>
      <c r="AB58" s="32"/>
      <c r="AC58" s="55"/>
      <c r="AD58" s="32"/>
      <c r="AE58" s="54"/>
      <c r="AF58" s="21" t="str">
        <f>IFERROR(VLOOKUP(March[[#This Row],[Drug Name3]],'Data Options'!$R$1:$S$100,2,FALSE), " ")</f>
        <v xml:space="preserve"> </v>
      </c>
      <c r="AG58" s="55"/>
      <c r="AH58" s="32"/>
      <c r="AI58" s="32"/>
      <c r="AJ58" s="55"/>
      <c r="AK58" s="32"/>
      <c r="AL58" s="32"/>
      <c r="AM58" s="32"/>
      <c r="AN58" s="32"/>
      <c r="AO58" s="32"/>
      <c r="AP58" s="31"/>
      <c r="AQ58" s="31"/>
      <c r="AR58" s="54"/>
      <c r="AS58" s="21" t="str">
        <f>IFERROR(VLOOKUP(March[[#This Row],[Drug Name4]],'Data Options'!$R$1:$S$100,2,FALSE), " ")</f>
        <v xml:space="preserve"> </v>
      </c>
      <c r="AT58" s="55"/>
      <c r="AU58" s="32"/>
      <c r="AV58" s="32"/>
      <c r="AW58" s="55"/>
      <c r="AX58" s="32"/>
      <c r="AY58" s="54"/>
      <c r="AZ58" s="21" t="str">
        <f>IFERROR(VLOOKUP(March[[#This Row],[Drug Name5]],'Data Options'!$R$1:$S$100,2,FALSE), " ")</f>
        <v xml:space="preserve"> </v>
      </c>
      <c r="BA58" s="55"/>
      <c r="BB58" s="32"/>
      <c r="BC58" s="32"/>
      <c r="BD58" s="55"/>
      <c r="BE58" s="32"/>
      <c r="BF58" s="54"/>
      <c r="BG58" s="21" t="str">
        <f>IFERROR(VLOOKUP(March[[#This Row],[Drug Name6]],'Data Options'!$R$1:$S$100,2,FALSE), " ")</f>
        <v xml:space="preserve"> </v>
      </c>
      <c r="BH58" s="55"/>
      <c r="BI58" s="32"/>
      <c r="BJ58" s="32"/>
      <c r="BK58" s="55"/>
      <c r="BL58" s="32"/>
      <c r="BM58" s="32"/>
      <c r="BN58" s="32"/>
      <c r="BO58" s="32"/>
      <c r="BP58" s="32"/>
      <c r="BQ58" s="31"/>
      <c r="BR58" s="31"/>
      <c r="BS58" s="54"/>
      <c r="BT58" s="21" t="str">
        <f>IFERROR(VLOOKUP(March[[#This Row],[Drug Name7]],'Data Options'!$R$1:$S$100,2,FALSE), " ")</f>
        <v xml:space="preserve"> </v>
      </c>
      <c r="BU58" s="55"/>
      <c r="BV58" s="32"/>
      <c r="BW58" s="32"/>
      <c r="BX58" s="55"/>
      <c r="BY58" s="32"/>
      <c r="BZ58" s="54"/>
      <c r="CA58" s="21" t="str">
        <f>IFERROR(VLOOKUP(March[[#This Row],[Drug Name8]],'Data Options'!$R$1:$S$100,2,FALSE), " ")</f>
        <v xml:space="preserve"> </v>
      </c>
      <c r="CB58" s="55"/>
      <c r="CC58" s="32"/>
      <c r="CD58" s="32"/>
      <c r="CE58" s="55"/>
      <c r="CF58" s="32"/>
      <c r="CG58" s="54"/>
      <c r="CH58" s="21" t="str">
        <f>IFERROR(VLOOKUP(March[[#This Row],[Drug Name9]],'Data Options'!$R$1:$S$100,2,FALSE), " ")</f>
        <v xml:space="preserve"> </v>
      </c>
      <c r="CI58" s="55"/>
      <c r="CJ58" s="32"/>
      <c r="CK58" s="32"/>
      <c r="CL58" s="55"/>
      <c r="CM58" s="32"/>
    </row>
    <row r="59" spans="1:91">
      <c r="A59" s="5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31"/>
      <c r="Q59" s="54"/>
      <c r="R59" s="21" t="str">
        <f>IFERROR(VLOOKUP(March[[#This Row],[Drug Name]],'Data Options'!$R$1:$S$100,2,FALSE), " ")</f>
        <v xml:space="preserve"> </v>
      </c>
      <c r="S59" s="55"/>
      <c r="T59" s="32"/>
      <c r="U59" s="32"/>
      <c r="V59" s="55"/>
      <c r="W59" s="32"/>
      <c r="X59" s="54"/>
      <c r="Y59" s="21" t="str">
        <f>IFERROR(VLOOKUP(March[[#This Row],[Drug Name2]],'Data Options'!$R$1:$S$100,2,FALSE), " ")</f>
        <v xml:space="preserve"> </v>
      </c>
      <c r="Z59" s="55"/>
      <c r="AA59" s="32"/>
      <c r="AB59" s="32"/>
      <c r="AC59" s="55"/>
      <c r="AD59" s="32"/>
      <c r="AE59" s="54"/>
      <c r="AF59" s="21" t="str">
        <f>IFERROR(VLOOKUP(March[[#This Row],[Drug Name3]],'Data Options'!$R$1:$S$100,2,FALSE), " ")</f>
        <v xml:space="preserve"> </v>
      </c>
      <c r="AG59" s="55"/>
      <c r="AH59" s="32"/>
      <c r="AI59" s="32"/>
      <c r="AJ59" s="55"/>
      <c r="AK59" s="32"/>
      <c r="AL59" s="32"/>
      <c r="AM59" s="32"/>
      <c r="AN59" s="32"/>
      <c r="AO59" s="32"/>
      <c r="AP59" s="31"/>
      <c r="AQ59" s="31"/>
      <c r="AR59" s="54"/>
      <c r="AS59" s="21" t="str">
        <f>IFERROR(VLOOKUP(March[[#This Row],[Drug Name4]],'Data Options'!$R$1:$S$100,2,FALSE), " ")</f>
        <v xml:space="preserve"> </v>
      </c>
      <c r="AT59" s="55"/>
      <c r="AU59" s="32"/>
      <c r="AV59" s="32"/>
      <c r="AW59" s="55"/>
      <c r="AX59" s="32"/>
      <c r="AY59" s="54"/>
      <c r="AZ59" s="21" t="str">
        <f>IFERROR(VLOOKUP(March[[#This Row],[Drug Name5]],'Data Options'!$R$1:$S$100,2,FALSE), " ")</f>
        <v xml:space="preserve"> </v>
      </c>
      <c r="BA59" s="55"/>
      <c r="BB59" s="32"/>
      <c r="BC59" s="32"/>
      <c r="BD59" s="55"/>
      <c r="BE59" s="32"/>
      <c r="BF59" s="54"/>
      <c r="BG59" s="21" t="str">
        <f>IFERROR(VLOOKUP(March[[#This Row],[Drug Name6]],'Data Options'!$R$1:$S$100,2,FALSE), " ")</f>
        <v xml:space="preserve"> </v>
      </c>
      <c r="BH59" s="55"/>
      <c r="BI59" s="32"/>
      <c r="BJ59" s="32"/>
      <c r="BK59" s="55"/>
      <c r="BL59" s="32"/>
      <c r="BM59" s="32"/>
      <c r="BN59" s="32"/>
      <c r="BO59" s="32"/>
      <c r="BP59" s="32"/>
      <c r="BQ59" s="31"/>
      <c r="BR59" s="31"/>
      <c r="BS59" s="54"/>
      <c r="BT59" s="21" t="str">
        <f>IFERROR(VLOOKUP(March[[#This Row],[Drug Name7]],'Data Options'!$R$1:$S$100,2,FALSE), " ")</f>
        <v xml:space="preserve"> </v>
      </c>
      <c r="BU59" s="55"/>
      <c r="BV59" s="32"/>
      <c r="BW59" s="32"/>
      <c r="BX59" s="55"/>
      <c r="BY59" s="32"/>
      <c r="BZ59" s="54"/>
      <c r="CA59" s="21" t="str">
        <f>IFERROR(VLOOKUP(March[[#This Row],[Drug Name8]],'Data Options'!$R$1:$S$100,2,FALSE), " ")</f>
        <v xml:space="preserve"> </v>
      </c>
      <c r="CB59" s="55"/>
      <c r="CC59" s="32"/>
      <c r="CD59" s="32"/>
      <c r="CE59" s="55"/>
      <c r="CF59" s="32"/>
      <c r="CG59" s="54"/>
      <c r="CH59" s="21" t="str">
        <f>IFERROR(VLOOKUP(March[[#This Row],[Drug Name9]],'Data Options'!$R$1:$S$100,2,FALSE), " ")</f>
        <v xml:space="preserve"> </v>
      </c>
      <c r="CI59" s="55"/>
      <c r="CJ59" s="32"/>
      <c r="CK59" s="32"/>
      <c r="CL59" s="55"/>
      <c r="CM59" s="32"/>
    </row>
    <row r="60" spans="1:91">
      <c r="A60" s="5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31"/>
      <c r="Q60" s="54"/>
      <c r="R60" s="21" t="str">
        <f>IFERROR(VLOOKUP(March[[#This Row],[Drug Name]],'Data Options'!$R$1:$S$100,2,FALSE), " ")</f>
        <v xml:space="preserve"> </v>
      </c>
      <c r="S60" s="55"/>
      <c r="T60" s="32"/>
      <c r="U60" s="32"/>
      <c r="V60" s="55"/>
      <c r="W60" s="32"/>
      <c r="X60" s="54"/>
      <c r="Y60" s="21" t="str">
        <f>IFERROR(VLOOKUP(March[[#This Row],[Drug Name2]],'Data Options'!$R$1:$S$100,2,FALSE), " ")</f>
        <v xml:space="preserve"> </v>
      </c>
      <c r="Z60" s="55"/>
      <c r="AA60" s="32"/>
      <c r="AB60" s="32"/>
      <c r="AC60" s="55"/>
      <c r="AD60" s="32"/>
      <c r="AE60" s="54"/>
      <c r="AF60" s="21" t="str">
        <f>IFERROR(VLOOKUP(March[[#This Row],[Drug Name3]],'Data Options'!$R$1:$S$100,2,FALSE), " ")</f>
        <v xml:space="preserve"> </v>
      </c>
      <c r="AG60" s="55"/>
      <c r="AH60" s="32"/>
      <c r="AI60" s="32"/>
      <c r="AJ60" s="55"/>
      <c r="AK60" s="32"/>
      <c r="AL60" s="32"/>
      <c r="AM60" s="32"/>
      <c r="AN60" s="32"/>
      <c r="AO60" s="32"/>
      <c r="AP60" s="31"/>
      <c r="AQ60" s="31"/>
      <c r="AR60" s="54"/>
      <c r="AS60" s="21" t="str">
        <f>IFERROR(VLOOKUP(March[[#This Row],[Drug Name4]],'Data Options'!$R$1:$S$100,2,FALSE), " ")</f>
        <v xml:space="preserve"> </v>
      </c>
      <c r="AT60" s="55"/>
      <c r="AU60" s="32"/>
      <c r="AV60" s="32"/>
      <c r="AW60" s="55"/>
      <c r="AX60" s="32"/>
      <c r="AY60" s="54"/>
      <c r="AZ60" s="21" t="str">
        <f>IFERROR(VLOOKUP(March[[#This Row],[Drug Name5]],'Data Options'!$R$1:$S$100,2,FALSE), " ")</f>
        <v xml:space="preserve"> </v>
      </c>
      <c r="BA60" s="55"/>
      <c r="BB60" s="32"/>
      <c r="BC60" s="32"/>
      <c r="BD60" s="55"/>
      <c r="BE60" s="32"/>
      <c r="BF60" s="54"/>
      <c r="BG60" s="21" t="str">
        <f>IFERROR(VLOOKUP(March[[#This Row],[Drug Name6]],'Data Options'!$R$1:$S$100,2,FALSE), " ")</f>
        <v xml:space="preserve"> </v>
      </c>
      <c r="BH60" s="55"/>
      <c r="BI60" s="32"/>
      <c r="BJ60" s="32"/>
      <c r="BK60" s="55"/>
      <c r="BL60" s="32"/>
      <c r="BM60" s="32"/>
      <c r="BN60" s="32"/>
      <c r="BO60" s="32"/>
      <c r="BP60" s="32"/>
      <c r="BQ60" s="31"/>
      <c r="BR60" s="31"/>
      <c r="BS60" s="54"/>
      <c r="BT60" s="21" t="str">
        <f>IFERROR(VLOOKUP(March[[#This Row],[Drug Name7]],'Data Options'!$R$1:$S$100,2,FALSE), " ")</f>
        <v xml:space="preserve"> </v>
      </c>
      <c r="BU60" s="55"/>
      <c r="BV60" s="32"/>
      <c r="BW60" s="32"/>
      <c r="BX60" s="55"/>
      <c r="BY60" s="32"/>
      <c r="BZ60" s="54"/>
      <c r="CA60" s="21" t="str">
        <f>IFERROR(VLOOKUP(March[[#This Row],[Drug Name8]],'Data Options'!$R$1:$S$100,2,FALSE), " ")</f>
        <v xml:space="preserve"> </v>
      </c>
      <c r="CB60" s="55"/>
      <c r="CC60" s="32"/>
      <c r="CD60" s="32"/>
      <c r="CE60" s="55"/>
      <c r="CF60" s="32"/>
      <c r="CG60" s="54"/>
      <c r="CH60" s="21" t="str">
        <f>IFERROR(VLOOKUP(March[[#This Row],[Drug Name9]],'Data Options'!$R$1:$S$100,2,FALSE), " ")</f>
        <v xml:space="preserve"> </v>
      </c>
      <c r="CI60" s="55"/>
      <c r="CJ60" s="32"/>
      <c r="CK60" s="32"/>
      <c r="CL60" s="55"/>
      <c r="CM60" s="32"/>
    </row>
    <row r="61" spans="1:91">
      <c r="A61" s="5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31"/>
      <c r="Q61" s="54"/>
      <c r="R61" s="21" t="str">
        <f>IFERROR(VLOOKUP(March[[#This Row],[Drug Name]],'Data Options'!$R$1:$S$100,2,FALSE), " ")</f>
        <v xml:space="preserve"> </v>
      </c>
      <c r="S61" s="55"/>
      <c r="T61" s="32"/>
      <c r="U61" s="32"/>
      <c r="V61" s="55"/>
      <c r="W61" s="32"/>
      <c r="X61" s="54"/>
      <c r="Y61" s="21" t="str">
        <f>IFERROR(VLOOKUP(March[[#This Row],[Drug Name2]],'Data Options'!$R$1:$S$100,2,FALSE), " ")</f>
        <v xml:space="preserve"> </v>
      </c>
      <c r="Z61" s="55"/>
      <c r="AA61" s="32"/>
      <c r="AB61" s="32"/>
      <c r="AC61" s="55"/>
      <c r="AD61" s="32"/>
      <c r="AE61" s="54"/>
      <c r="AF61" s="21" t="str">
        <f>IFERROR(VLOOKUP(March[[#This Row],[Drug Name3]],'Data Options'!$R$1:$S$100,2,FALSE), " ")</f>
        <v xml:space="preserve"> </v>
      </c>
      <c r="AG61" s="55"/>
      <c r="AH61" s="32"/>
      <c r="AI61" s="32"/>
      <c r="AJ61" s="55"/>
      <c r="AK61" s="32"/>
      <c r="AL61" s="32"/>
      <c r="AM61" s="32"/>
      <c r="AN61" s="32"/>
      <c r="AO61" s="32"/>
      <c r="AP61" s="31"/>
      <c r="AQ61" s="31"/>
      <c r="AR61" s="54"/>
      <c r="AS61" s="21" t="str">
        <f>IFERROR(VLOOKUP(March[[#This Row],[Drug Name4]],'Data Options'!$R$1:$S$100,2,FALSE), " ")</f>
        <v xml:space="preserve"> </v>
      </c>
      <c r="AT61" s="55"/>
      <c r="AU61" s="32"/>
      <c r="AV61" s="32"/>
      <c r="AW61" s="55"/>
      <c r="AX61" s="32"/>
      <c r="AY61" s="54"/>
      <c r="AZ61" s="21" t="str">
        <f>IFERROR(VLOOKUP(March[[#This Row],[Drug Name5]],'Data Options'!$R$1:$S$100,2,FALSE), " ")</f>
        <v xml:space="preserve"> </v>
      </c>
      <c r="BA61" s="55"/>
      <c r="BB61" s="32"/>
      <c r="BC61" s="32"/>
      <c r="BD61" s="55"/>
      <c r="BE61" s="32"/>
      <c r="BF61" s="54"/>
      <c r="BG61" s="21" t="str">
        <f>IFERROR(VLOOKUP(March[[#This Row],[Drug Name6]],'Data Options'!$R$1:$S$100,2,FALSE), " ")</f>
        <v xml:space="preserve"> </v>
      </c>
      <c r="BH61" s="55"/>
      <c r="BI61" s="32"/>
      <c r="BJ61" s="32"/>
      <c r="BK61" s="55"/>
      <c r="BL61" s="32"/>
      <c r="BM61" s="32"/>
      <c r="BN61" s="32"/>
      <c r="BO61" s="32"/>
      <c r="BP61" s="32"/>
      <c r="BQ61" s="31"/>
      <c r="BR61" s="31"/>
      <c r="BS61" s="54"/>
      <c r="BT61" s="21" t="str">
        <f>IFERROR(VLOOKUP(March[[#This Row],[Drug Name7]],'Data Options'!$R$1:$S$100,2,FALSE), " ")</f>
        <v xml:space="preserve"> </v>
      </c>
      <c r="BU61" s="55"/>
      <c r="BV61" s="32"/>
      <c r="BW61" s="32"/>
      <c r="BX61" s="55"/>
      <c r="BY61" s="32"/>
      <c r="BZ61" s="54"/>
      <c r="CA61" s="21" t="str">
        <f>IFERROR(VLOOKUP(March[[#This Row],[Drug Name8]],'Data Options'!$R$1:$S$100,2,FALSE), " ")</f>
        <v xml:space="preserve"> </v>
      </c>
      <c r="CB61" s="55"/>
      <c r="CC61" s="32"/>
      <c r="CD61" s="32"/>
      <c r="CE61" s="55"/>
      <c r="CF61" s="32"/>
      <c r="CG61" s="54"/>
      <c r="CH61" s="21" t="str">
        <f>IFERROR(VLOOKUP(March[[#This Row],[Drug Name9]],'Data Options'!$R$1:$S$100,2,FALSE), " ")</f>
        <v xml:space="preserve"> </v>
      </c>
      <c r="CI61" s="55"/>
      <c r="CJ61" s="32"/>
      <c r="CK61" s="32"/>
      <c r="CL61" s="55"/>
      <c r="CM61" s="32"/>
    </row>
    <row r="62" spans="1:9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31"/>
      <c r="Q62" s="54"/>
      <c r="R62" s="21" t="str">
        <f>IFERROR(VLOOKUP(March[[#This Row],[Drug Name]],'Data Options'!$R$1:$S$100,2,FALSE), " ")</f>
        <v xml:space="preserve"> </v>
      </c>
      <c r="S62" s="55"/>
      <c r="T62" s="32"/>
      <c r="U62" s="32"/>
      <c r="V62" s="55"/>
      <c r="W62" s="32"/>
      <c r="X62" s="54"/>
      <c r="Y62" s="21" t="str">
        <f>IFERROR(VLOOKUP(March[[#This Row],[Drug Name2]],'Data Options'!$R$1:$S$100,2,FALSE), " ")</f>
        <v xml:space="preserve"> </v>
      </c>
      <c r="Z62" s="55"/>
      <c r="AA62" s="32"/>
      <c r="AB62" s="32"/>
      <c r="AC62" s="55"/>
      <c r="AD62" s="32"/>
      <c r="AE62" s="54"/>
      <c r="AF62" s="21" t="str">
        <f>IFERROR(VLOOKUP(March[[#This Row],[Drug Name3]],'Data Options'!$R$1:$S$100,2,FALSE), " ")</f>
        <v xml:space="preserve"> </v>
      </c>
      <c r="AG62" s="55"/>
      <c r="AH62" s="32"/>
      <c r="AI62" s="32"/>
      <c r="AJ62" s="55"/>
      <c r="AK62" s="32"/>
      <c r="AL62" s="32"/>
      <c r="AM62" s="32"/>
      <c r="AN62" s="32"/>
      <c r="AO62" s="32"/>
      <c r="AP62" s="31"/>
      <c r="AQ62" s="31"/>
      <c r="AR62" s="54"/>
      <c r="AS62" s="21" t="str">
        <f>IFERROR(VLOOKUP(March[[#This Row],[Drug Name4]],'Data Options'!$R$1:$S$100,2,FALSE), " ")</f>
        <v xml:space="preserve"> </v>
      </c>
      <c r="AT62" s="55"/>
      <c r="AU62" s="32"/>
      <c r="AV62" s="32"/>
      <c r="AW62" s="55"/>
      <c r="AX62" s="32"/>
      <c r="AY62" s="54"/>
      <c r="AZ62" s="21" t="str">
        <f>IFERROR(VLOOKUP(March[[#This Row],[Drug Name5]],'Data Options'!$R$1:$S$100,2,FALSE), " ")</f>
        <v xml:space="preserve"> </v>
      </c>
      <c r="BA62" s="55"/>
      <c r="BB62" s="32"/>
      <c r="BC62" s="32"/>
      <c r="BD62" s="55"/>
      <c r="BE62" s="32"/>
      <c r="BF62" s="54"/>
      <c r="BG62" s="21" t="str">
        <f>IFERROR(VLOOKUP(March[[#This Row],[Drug Name6]],'Data Options'!$R$1:$S$100,2,FALSE), " ")</f>
        <v xml:space="preserve"> </v>
      </c>
      <c r="BH62" s="55"/>
      <c r="BI62" s="32"/>
      <c r="BJ62" s="32"/>
      <c r="BK62" s="55"/>
      <c r="BL62" s="32"/>
      <c r="BM62" s="32"/>
      <c r="BN62" s="32"/>
      <c r="BO62" s="32"/>
      <c r="BP62" s="32"/>
      <c r="BQ62" s="31"/>
      <c r="BR62" s="31"/>
      <c r="BS62" s="54"/>
      <c r="BT62" s="21" t="str">
        <f>IFERROR(VLOOKUP(March[[#This Row],[Drug Name7]],'Data Options'!$R$1:$S$100,2,FALSE), " ")</f>
        <v xml:space="preserve"> </v>
      </c>
      <c r="BU62" s="55"/>
      <c r="BV62" s="32"/>
      <c r="BW62" s="32"/>
      <c r="BX62" s="55"/>
      <c r="BY62" s="32"/>
      <c r="BZ62" s="54"/>
      <c r="CA62" s="21" t="str">
        <f>IFERROR(VLOOKUP(March[[#This Row],[Drug Name8]],'Data Options'!$R$1:$S$100,2,FALSE), " ")</f>
        <v xml:space="preserve"> </v>
      </c>
      <c r="CB62" s="55"/>
      <c r="CC62" s="32"/>
      <c r="CD62" s="32"/>
      <c r="CE62" s="55"/>
      <c r="CF62" s="32"/>
      <c r="CG62" s="54"/>
      <c r="CH62" s="21" t="str">
        <f>IFERROR(VLOOKUP(March[[#This Row],[Drug Name9]],'Data Options'!$R$1:$S$100,2,FALSE), " ")</f>
        <v xml:space="preserve"> </v>
      </c>
      <c r="CI62" s="55"/>
      <c r="CJ62" s="32"/>
      <c r="CK62" s="32"/>
      <c r="CL62" s="55"/>
      <c r="CM62" s="32"/>
    </row>
    <row r="63" spans="1:91">
      <c r="A63" s="5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31"/>
      <c r="Q63" s="54"/>
      <c r="R63" s="21" t="str">
        <f>IFERROR(VLOOKUP(March[[#This Row],[Drug Name]],'Data Options'!$R$1:$S$100,2,FALSE), " ")</f>
        <v xml:space="preserve"> </v>
      </c>
      <c r="S63" s="55"/>
      <c r="T63" s="32"/>
      <c r="U63" s="32"/>
      <c r="V63" s="55"/>
      <c r="W63" s="32"/>
      <c r="X63" s="54"/>
      <c r="Y63" s="21" t="str">
        <f>IFERROR(VLOOKUP(March[[#This Row],[Drug Name2]],'Data Options'!$R$1:$S$100,2,FALSE), " ")</f>
        <v xml:space="preserve"> </v>
      </c>
      <c r="Z63" s="55"/>
      <c r="AA63" s="32"/>
      <c r="AB63" s="32"/>
      <c r="AC63" s="55"/>
      <c r="AD63" s="32"/>
      <c r="AE63" s="54"/>
      <c r="AF63" s="21" t="str">
        <f>IFERROR(VLOOKUP(March[[#This Row],[Drug Name3]],'Data Options'!$R$1:$S$100,2,FALSE), " ")</f>
        <v xml:space="preserve"> </v>
      </c>
      <c r="AG63" s="55"/>
      <c r="AH63" s="32"/>
      <c r="AI63" s="32"/>
      <c r="AJ63" s="55"/>
      <c r="AK63" s="32"/>
      <c r="AL63" s="32"/>
      <c r="AM63" s="32"/>
      <c r="AN63" s="32"/>
      <c r="AO63" s="32"/>
      <c r="AP63" s="31"/>
      <c r="AQ63" s="31"/>
      <c r="AR63" s="54"/>
      <c r="AS63" s="21" t="str">
        <f>IFERROR(VLOOKUP(March[[#This Row],[Drug Name4]],'Data Options'!$R$1:$S$100,2,FALSE), " ")</f>
        <v xml:space="preserve"> </v>
      </c>
      <c r="AT63" s="55"/>
      <c r="AU63" s="32"/>
      <c r="AV63" s="32"/>
      <c r="AW63" s="55"/>
      <c r="AX63" s="32"/>
      <c r="AY63" s="54"/>
      <c r="AZ63" s="21" t="str">
        <f>IFERROR(VLOOKUP(March[[#This Row],[Drug Name5]],'Data Options'!$R$1:$S$100,2,FALSE), " ")</f>
        <v xml:space="preserve"> </v>
      </c>
      <c r="BA63" s="55"/>
      <c r="BB63" s="32"/>
      <c r="BC63" s="32"/>
      <c r="BD63" s="55"/>
      <c r="BE63" s="32"/>
      <c r="BF63" s="54"/>
      <c r="BG63" s="21" t="str">
        <f>IFERROR(VLOOKUP(March[[#This Row],[Drug Name6]],'Data Options'!$R$1:$S$100,2,FALSE), " ")</f>
        <v xml:space="preserve"> </v>
      </c>
      <c r="BH63" s="55"/>
      <c r="BI63" s="32"/>
      <c r="BJ63" s="32"/>
      <c r="BK63" s="55"/>
      <c r="BL63" s="32"/>
      <c r="BM63" s="32"/>
      <c r="BN63" s="32"/>
      <c r="BO63" s="32"/>
      <c r="BP63" s="32"/>
      <c r="BQ63" s="31"/>
      <c r="BR63" s="31"/>
      <c r="BS63" s="54"/>
      <c r="BT63" s="21" t="str">
        <f>IFERROR(VLOOKUP(March[[#This Row],[Drug Name7]],'Data Options'!$R$1:$S$100,2,FALSE), " ")</f>
        <v xml:space="preserve"> </v>
      </c>
      <c r="BU63" s="55"/>
      <c r="BV63" s="32"/>
      <c r="BW63" s="32"/>
      <c r="BX63" s="55"/>
      <c r="BY63" s="32"/>
      <c r="BZ63" s="54"/>
      <c r="CA63" s="21" t="str">
        <f>IFERROR(VLOOKUP(March[[#This Row],[Drug Name8]],'Data Options'!$R$1:$S$100,2,FALSE), " ")</f>
        <v xml:space="preserve"> </v>
      </c>
      <c r="CB63" s="55"/>
      <c r="CC63" s="32"/>
      <c r="CD63" s="32"/>
      <c r="CE63" s="55"/>
      <c r="CF63" s="32"/>
      <c r="CG63" s="54"/>
      <c r="CH63" s="21" t="str">
        <f>IFERROR(VLOOKUP(March[[#This Row],[Drug Name9]],'Data Options'!$R$1:$S$100,2,FALSE), " ")</f>
        <v xml:space="preserve"> </v>
      </c>
      <c r="CI63" s="55"/>
      <c r="CJ63" s="32"/>
      <c r="CK63" s="32"/>
      <c r="CL63" s="55"/>
      <c r="CM63" s="32"/>
    </row>
    <row r="64" spans="1:91">
      <c r="A64" s="5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31"/>
      <c r="Q64" s="54"/>
      <c r="R64" s="21" t="str">
        <f>IFERROR(VLOOKUP(March[[#This Row],[Drug Name]],'Data Options'!$R$1:$S$100,2,FALSE), " ")</f>
        <v xml:space="preserve"> </v>
      </c>
      <c r="S64" s="55"/>
      <c r="T64" s="32"/>
      <c r="U64" s="32"/>
      <c r="V64" s="55"/>
      <c r="W64" s="32"/>
      <c r="X64" s="54"/>
      <c r="Y64" s="21" t="str">
        <f>IFERROR(VLOOKUP(March[[#This Row],[Drug Name2]],'Data Options'!$R$1:$S$100,2,FALSE), " ")</f>
        <v xml:space="preserve"> </v>
      </c>
      <c r="Z64" s="55"/>
      <c r="AA64" s="32"/>
      <c r="AB64" s="32"/>
      <c r="AC64" s="55"/>
      <c r="AD64" s="32"/>
      <c r="AE64" s="54"/>
      <c r="AF64" s="21" t="str">
        <f>IFERROR(VLOOKUP(March[[#This Row],[Drug Name3]],'Data Options'!$R$1:$S$100,2,FALSE), " ")</f>
        <v xml:space="preserve"> </v>
      </c>
      <c r="AG64" s="55"/>
      <c r="AH64" s="32"/>
      <c r="AI64" s="32"/>
      <c r="AJ64" s="55"/>
      <c r="AK64" s="32"/>
      <c r="AL64" s="32"/>
      <c r="AM64" s="32"/>
      <c r="AN64" s="32"/>
      <c r="AO64" s="32"/>
      <c r="AP64" s="31"/>
      <c r="AQ64" s="31"/>
      <c r="AR64" s="54"/>
      <c r="AS64" s="21" t="str">
        <f>IFERROR(VLOOKUP(March[[#This Row],[Drug Name4]],'Data Options'!$R$1:$S$100,2,FALSE), " ")</f>
        <v xml:space="preserve"> </v>
      </c>
      <c r="AT64" s="55"/>
      <c r="AU64" s="32"/>
      <c r="AV64" s="32"/>
      <c r="AW64" s="55"/>
      <c r="AX64" s="32"/>
      <c r="AY64" s="54"/>
      <c r="AZ64" s="21" t="str">
        <f>IFERROR(VLOOKUP(March[[#This Row],[Drug Name5]],'Data Options'!$R$1:$S$100,2,FALSE), " ")</f>
        <v xml:space="preserve"> </v>
      </c>
      <c r="BA64" s="55"/>
      <c r="BB64" s="32"/>
      <c r="BC64" s="32"/>
      <c r="BD64" s="55"/>
      <c r="BE64" s="32"/>
      <c r="BF64" s="54"/>
      <c r="BG64" s="21" t="str">
        <f>IFERROR(VLOOKUP(March[[#This Row],[Drug Name6]],'Data Options'!$R$1:$S$100,2,FALSE), " ")</f>
        <v xml:space="preserve"> </v>
      </c>
      <c r="BH64" s="55"/>
      <c r="BI64" s="32"/>
      <c r="BJ64" s="32"/>
      <c r="BK64" s="55"/>
      <c r="BL64" s="32"/>
      <c r="BM64" s="32"/>
      <c r="BN64" s="32"/>
      <c r="BO64" s="32"/>
      <c r="BP64" s="32"/>
      <c r="BQ64" s="31"/>
      <c r="BR64" s="31"/>
      <c r="BS64" s="54"/>
      <c r="BT64" s="21" t="str">
        <f>IFERROR(VLOOKUP(March[[#This Row],[Drug Name7]],'Data Options'!$R$1:$S$100,2,FALSE), " ")</f>
        <v xml:space="preserve"> </v>
      </c>
      <c r="BU64" s="55"/>
      <c r="BV64" s="32"/>
      <c r="BW64" s="32"/>
      <c r="BX64" s="55"/>
      <c r="BY64" s="32"/>
      <c r="BZ64" s="54"/>
      <c r="CA64" s="21" t="str">
        <f>IFERROR(VLOOKUP(March[[#This Row],[Drug Name8]],'Data Options'!$R$1:$S$100,2,FALSE), " ")</f>
        <v xml:space="preserve"> </v>
      </c>
      <c r="CB64" s="55"/>
      <c r="CC64" s="32"/>
      <c r="CD64" s="32"/>
      <c r="CE64" s="55"/>
      <c r="CF64" s="32"/>
      <c r="CG64" s="54"/>
      <c r="CH64" s="21" t="str">
        <f>IFERROR(VLOOKUP(March[[#This Row],[Drug Name9]],'Data Options'!$R$1:$S$100,2,FALSE), " ")</f>
        <v xml:space="preserve"> </v>
      </c>
      <c r="CI64" s="55"/>
      <c r="CJ64" s="32"/>
      <c r="CK64" s="32"/>
      <c r="CL64" s="55"/>
      <c r="CM64" s="32"/>
    </row>
    <row r="65" spans="1:91">
      <c r="A65" s="5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54"/>
      <c r="R65" s="21" t="str">
        <f>IFERROR(VLOOKUP(March[[#This Row],[Drug Name]],'Data Options'!$R$1:$S$100,2,FALSE), " ")</f>
        <v xml:space="preserve"> </v>
      </c>
      <c r="S65" s="55"/>
      <c r="T65" s="32"/>
      <c r="U65" s="32"/>
      <c r="V65" s="55"/>
      <c r="W65" s="32"/>
      <c r="X65" s="54"/>
      <c r="Y65" s="21" t="str">
        <f>IFERROR(VLOOKUP(March[[#This Row],[Drug Name2]],'Data Options'!$R$1:$S$100,2,FALSE), " ")</f>
        <v xml:space="preserve"> </v>
      </c>
      <c r="Z65" s="55"/>
      <c r="AA65" s="32"/>
      <c r="AB65" s="32"/>
      <c r="AC65" s="55"/>
      <c r="AD65" s="32"/>
      <c r="AE65" s="54"/>
      <c r="AF65" s="21" t="str">
        <f>IFERROR(VLOOKUP(March[[#This Row],[Drug Name3]],'Data Options'!$R$1:$S$100,2,FALSE), " ")</f>
        <v xml:space="preserve"> </v>
      </c>
      <c r="AG65" s="55"/>
      <c r="AH65" s="32"/>
      <c r="AI65" s="32"/>
      <c r="AJ65" s="55"/>
      <c r="AK65" s="32"/>
      <c r="AL65" s="32"/>
      <c r="AM65" s="32"/>
      <c r="AN65" s="32"/>
      <c r="AO65" s="32"/>
      <c r="AP65" s="31"/>
      <c r="AQ65" s="31"/>
      <c r="AR65" s="54"/>
      <c r="AS65" s="21" t="str">
        <f>IFERROR(VLOOKUP(March[[#This Row],[Drug Name4]],'Data Options'!$R$1:$S$100,2,FALSE), " ")</f>
        <v xml:space="preserve"> </v>
      </c>
      <c r="AT65" s="55"/>
      <c r="AU65" s="32"/>
      <c r="AV65" s="32"/>
      <c r="AW65" s="55"/>
      <c r="AX65" s="32"/>
      <c r="AY65" s="54"/>
      <c r="AZ65" s="21" t="str">
        <f>IFERROR(VLOOKUP(March[[#This Row],[Drug Name5]],'Data Options'!$R$1:$S$100,2,FALSE), " ")</f>
        <v xml:space="preserve"> </v>
      </c>
      <c r="BA65" s="55"/>
      <c r="BB65" s="32"/>
      <c r="BC65" s="32"/>
      <c r="BD65" s="55"/>
      <c r="BE65" s="32"/>
      <c r="BF65" s="54"/>
      <c r="BG65" s="21" t="str">
        <f>IFERROR(VLOOKUP(March[[#This Row],[Drug Name6]],'Data Options'!$R$1:$S$100,2,FALSE), " ")</f>
        <v xml:space="preserve"> </v>
      </c>
      <c r="BH65" s="55"/>
      <c r="BI65" s="32"/>
      <c r="BJ65" s="32"/>
      <c r="BK65" s="55"/>
      <c r="BL65" s="32"/>
      <c r="BM65" s="32"/>
      <c r="BN65" s="32"/>
      <c r="BO65" s="32"/>
      <c r="BP65" s="32"/>
      <c r="BQ65" s="31"/>
      <c r="BR65" s="31"/>
      <c r="BS65" s="54"/>
      <c r="BT65" s="21" t="str">
        <f>IFERROR(VLOOKUP(March[[#This Row],[Drug Name7]],'Data Options'!$R$1:$S$100,2,FALSE), " ")</f>
        <v xml:space="preserve"> </v>
      </c>
      <c r="BU65" s="55"/>
      <c r="BV65" s="32"/>
      <c r="BW65" s="32"/>
      <c r="BX65" s="55"/>
      <c r="BY65" s="32"/>
      <c r="BZ65" s="54"/>
      <c r="CA65" s="21" t="str">
        <f>IFERROR(VLOOKUP(March[[#This Row],[Drug Name8]],'Data Options'!$R$1:$S$100,2,FALSE), " ")</f>
        <v xml:space="preserve"> </v>
      </c>
      <c r="CB65" s="55"/>
      <c r="CC65" s="32"/>
      <c r="CD65" s="32"/>
      <c r="CE65" s="55"/>
      <c r="CF65" s="32"/>
      <c r="CG65" s="54"/>
      <c r="CH65" s="21" t="str">
        <f>IFERROR(VLOOKUP(March[[#This Row],[Drug Name9]],'Data Options'!$R$1:$S$100,2,FALSE), " ")</f>
        <v xml:space="preserve"> </v>
      </c>
      <c r="CI65" s="55"/>
      <c r="CJ65" s="32"/>
      <c r="CK65" s="32"/>
      <c r="CL65" s="55"/>
      <c r="CM65" s="32"/>
    </row>
    <row r="66" spans="1:91">
      <c r="A66" s="5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31"/>
      <c r="Q66" s="54"/>
      <c r="R66" s="21" t="str">
        <f>IFERROR(VLOOKUP(March[[#This Row],[Drug Name]],'Data Options'!$R$1:$S$100,2,FALSE), " ")</f>
        <v xml:space="preserve"> </v>
      </c>
      <c r="S66" s="55"/>
      <c r="T66" s="32"/>
      <c r="U66" s="32"/>
      <c r="V66" s="55"/>
      <c r="W66" s="32"/>
      <c r="X66" s="54"/>
      <c r="Y66" s="21" t="str">
        <f>IFERROR(VLOOKUP(March[[#This Row],[Drug Name2]],'Data Options'!$R$1:$S$100,2,FALSE), " ")</f>
        <v xml:space="preserve"> </v>
      </c>
      <c r="Z66" s="55"/>
      <c r="AA66" s="32"/>
      <c r="AB66" s="32"/>
      <c r="AC66" s="55"/>
      <c r="AD66" s="32"/>
      <c r="AE66" s="54"/>
      <c r="AF66" s="21" t="str">
        <f>IFERROR(VLOOKUP(March[[#This Row],[Drug Name3]],'Data Options'!$R$1:$S$100,2,FALSE), " ")</f>
        <v xml:space="preserve"> </v>
      </c>
      <c r="AG66" s="55"/>
      <c r="AH66" s="32"/>
      <c r="AI66" s="32"/>
      <c r="AJ66" s="55"/>
      <c r="AK66" s="32"/>
      <c r="AL66" s="32"/>
      <c r="AM66" s="32"/>
      <c r="AN66" s="32"/>
      <c r="AO66" s="32"/>
      <c r="AP66" s="31"/>
      <c r="AQ66" s="31"/>
      <c r="AR66" s="54"/>
      <c r="AS66" s="21" t="str">
        <f>IFERROR(VLOOKUP(March[[#This Row],[Drug Name4]],'Data Options'!$R$1:$S$100,2,FALSE), " ")</f>
        <v xml:space="preserve"> </v>
      </c>
      <c r="AT66" s="55"/>
      <c r="AU66" s="32"/>
      <c r="AV66" s="32"/>
      <c r="AW66" s="55"/>
      <c r="AX66" s="32"/>
      <c r="AY66" s="54"/>
      <c r="AZ66" s="21" t="str">
        <f>IFERROR(VLOOKUP(March[[#This Row],[Drug Name5]],'Data Options'!$R$1:$S$100,2,FALSE), " ")</f>
        <v xml:space="preserve"> </v>
      </c>
      <c r="BA66" s="55"/>
      <c r="BB66" s="32"/>
      <c r="BC66" s="32"/>
      <c r="BD66" s="55"/>
      <c r="BE66" s="32"/>
      <c r="BF66" s="54"/>
      <c r="BG66" s="21" t="str">
        <f>IFERROR(VLOOKUP(March[[#This Row],[Drug Name6]],'Data Options'!$R$1:$S$100,2,FALSE), " ")</f>
        <v xml:space="preserve"> </v>
      </c>
      <c r="BH66" s="55"/>
      <c r="BI66" s="32"/>
      <c r="BJ66" s="32"/>
      <c r="BK66" s="55"/>
      <c r="BL66" s="32"/>
      <c r="BM66" s="32"/>
      <c r="BN66" s="32"/>
      <c r="BO66" s="32"/>
      <c r="BP66" s="32"/>
      <c r="BQ66" s="31"/>
      <c r="BR66" s="31"/>
      <c r="BS66" s="54"/>
      <c r="BT66" s="21" t="str">
        <f>IFERROR(VLOOKUP(March[[#This Row],[Drug Name7]],'Data Options'!$R$1:$S$100,2,FALSE), " ")</f>
        <v xml:space="preserve"> </v>
      </c>
      <c r="BU66" s="55"/>
      <c r="BV66" s="32"/>
      <c r="BW66" s="32"/>
      <c r="BX66" s="55"/>
      <c r="BY66" s="32"/>
      <c r="BZ66" s="54"/>
      <c r="CA66" s="21" t="str">
        <f>IFERROR(VLOOKUP(March[[#This Row],[Drug Name8]],'Data Options'!$R$1:$S$100,2,FALSE), " ")</f>
        <v xml:space="preserve"> </v>
      </c>
      <c r="CB66" s="55"/>
      <c r="CC66" s="32"/>
      <c r="CD66" s="32"/>
      <c r="CE66" s="55"/>
      <c r="CF66" s="32"/>
      <c r="CG66" s="54"/>
      <c r="CH66" s="21" t="str">
        <f>IFERROR(VLOOKUP(March[[#This Row],[Drug Name9]],'Data Options'!$R$1:$S$100,2,FALSE), " ")</f>
        <v xml:space="preserve"> </v>
      </c>
      <c r="CI66" s="55"/>
      <c r="CJ66" s="32"/>
      <c r="CK66" s="32"/>
      <c r="CL66" s="55"/>
      <c r="CM66" s="32"/>
    </row>
    <row r="67" spans="1:91">
      <c r="A67" s="5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31"/>
      <c r="Q67" s="54"/>
      <c r="R67" s="21" t="str">
        <f>IFERROR(VLOOKUP(March[[#This Row],[Drug Name]],'Data Options'!$R$1:$S$100,2,FALSE), " ")</f>
        <v xml:space="preserve"> </v>
      </c>
      <c r="S67" s="55"/>
      <c r="T67" s="32"/>
      <c r="U67" s="32"/>
      <c r="V67" s="55"/>
      <c r="W67" s="32"/>
      <c r="X67" s="54"/>
      <c r="Y67" s="21" t="str">
        <f>IFERROR(VLOOKUP(March[[#This Row],[Drug Name2]],'Data Options'!$R$1:$S$100,2,FALSE), " ")</f>
        <v xml:space="preserve"> </v>
      </c>
      <c r="Z67" s="55"/>
      <c r="AA67" s="32"/>
      <c r="AB67" s="32"/>
      <c r="AC67" s="55"/>
      <c r="AD67" s="32"/>
      <c r="AE67" s="54"/>
      <c r="AF67" s="21" t="str">
        <f>IFERROR(VLOOKUP(March[[#This Row],[Drug Name3]],'Data Options'!$R$1:$S$100,2,FALSE), " ")</f>
        <v xml:space="preserve"> </v>
      </c>
      <c r="AG67" s="55"/>
      <c r="AH67" s="32"/>
      <c r="AI67" s="32"/>
      <c r="AJ67" s="55"/>
      <c r="AK67" s="32"/>
      <c r="AL67" s="32"/>
      <c r="AM67" s="32"/>
      <c r="AN67" s="32"/>
      <c r="AO67" s="32"/>
      <c r="AP67" s="31"/>
      <c r="AQ67" s="31"/>
      <c r="AR67" s="54"/>
      <c r="AS67" s="21" t="str">
        <f>IFERROR(VLOOKUP(March[[#This Row],[Drug Name4]],'Data Options'!$R$1:$S$100,2,FALSE), " ")</f>
        <v xml:space="preserve"> </v>
      </c>
      <c r="AT67" s="55"/>
      <c r="AU67" s="32"/>
      <c r="AV67" s="32"/>
      <c r="AW67" s="55"/>
      <c r="AX67" s="32"/>
      <c r="AY67" s="54"/>
      <c r="AZ67" s="21" t="str">
        <f>IFERROR(VLOOKUP(March[[#This Row],[Drug Name5]],'Data Options'!$R$1:$S$100,2,FALSE), " ")</f>
        <v xml:space="preserve"> </v>
      </c>
      <c r="BA67" s="55"/>
      <c r="BB67" s="32"/>
      <c r="BC67" s="32"/>
      <c r="BD67" s="55"/>
      <c r="BE67" s="32"/>
      <c r="BF67" s="54"/>
      <c r="BG67" s="21" t="str">
        <f>IFERROR(VLOOKUP(March[[#This Row],[Drug Name6]],'Data Options'!$R$1:$S$100,2,FALSE), " ")</f>
        <v xml:space="preserve"> </v>
      </c>
      <c r="BH67" s="55"/>
      <c r="BI67" s="32"/>
      <c r="BJ67" s="32"/>
      <c r="BK67" s="55"/>
      <c r="BL67" s="32"/>
      <c r="BM67" s="32"/>
      <c r="BN67" s="32"/>
      <c r="BO67" s="32"/>
      <c r="BP67" s="32"/>
      <c r="BQ67" s="31"/>
      <c r="BR67" s="31"/>
      <c r="BS67" s="54"/>
      <c r="BT67" s="21" t="str">
        <f>IFERROR(VLOOKUP(March[[#This Row],[Drug Name7]],'Data Options'!$R$1:$S$100,2,FALSE), " ")</f>
        <v xml:space="preserve"> </v>
      </c>
      <c r="BU67" s="55"/>
      <c r="BV67" s="32"/>
      <c r="BW67" s="32"/>
      <c r="BX67" s="55"/>
      <c r="BY67" s="32"/>
      <c r="BZ67" s="54"/>
      <c r="CA67" s="21" t="str">
        <f>IFERROR(VLOOKUP(March[[#This Row],[Drug Name8]],'Data Options'!$R$1:$S$100,2,FALSE), " ")</f>
        <v xml:space="preserve"> </v>
      </c>
      <c r="CB67" s="55"/>
      <c r="CC67" s="32"/>
      <c r="CD67" s="32"/>
      <c r="CE67" s="55"/>
      <c r="CF67" s="32"/>
      <c r="CG67" s="54"/>
      <c r="CH67" s="21" t="str">
        <f>IFERROR(VLOOKUP(March[[#This Row],[Drug Name9]],'Data Options'!$R$1:$S$100,2,FALSE), " ")</f>
        <v xml:space="preserve"> </v>
      </c>
      <c r="CI67" s="55"/>
      <c r="CJ67" s="32"/>
      <c r="CK67" s="32"/>
      <c r="CL67" s="55"/>
      <c r="CM67" s="32"/>
    </row>
    <row r="68" spans="1:91">
      <c r="A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31"/>
      <c r="Q68" s="54"/>
      <c r="R68" s="21" t="str">
        <f>IFERROR(VLOOKUP(March[[#This Row],[Drug Name]],'Data Options'!$R$1:$S$100,2,FALSE), " ")</f>
        <v xml:space="preserve"> </v>
      </c>
      <c r="S68" s="55"/>
      <c r="T68" s="32"/>
      <c r="U68" s="32"/>
      <c r="V68" s="55"/>
      <c r="W68" s="32"/>
      <c r="X68" s="54"/>
      <c r="Y68" s="21" t="str">
        <f>IFERROR(VLOOKUP(March[[#This Row],[Drug Name2]],'Data Options'!$R$1:$S$100,2,FALSE), " ")</f>
        <v xml:space="preserve"> </v>
      </c>
      <c r="Z68" s="55"/>
      <c r="AA68" s="32"/>
      <c r="AB68" s="32"/>
      <c r="AC68" s="55"/>
      <c r="AD68" s="32"/>
      <c r="AE68" s="54"/>
      <c r="AF68" s="21" t="str">
        <f>IFERROR(VLOOKUP(March[[#This Row],[Drug Name3]],'Data Options'!$R$1:$S$100,2,FALSE), " ")</f>
        <v xml:space="preserve"> </v>
      </c>
      <c r="AG68" s="55"/>
      <c r="AH68" s="32"/>
      <c r="AI68" s="32"/>
      <c r="AJ68" s="55"/>
      <c r="AK68" s="32"/>
      <c r="AL68" s="32"/>
      <c r="AM68" s="32"/>
      <c r="AN68" s="32"/>
      <c r="AO68" s="32"/>
      <c r="AP68" s="31"/>
      <c r="AQ68" s="31"/>
      <c r="AR68" s="54"/>
      <c r="AS68" s="21" t="str">
        <f>IFERROR(VLOOKUP(March[[#This Row],[Drug Name4]],'Data Options'!$R$1:$S$100,2,FALSE), " ")</f>
        <v xml:space="preserve"> </v>
      </c>
      <c r="AT68" s="55"/>
      <c r="AU68" s="32"/>
      <c r="AV68" s="32"/>
      <c r="AW68" s="55"/>
      <c r="AX68" s="32"/>
      <c r="AY68" s="54"/>
      <c r="AZ68" s="21" t="str">
        <f>IFERROR(VLOOKUP(March[[#This Row],[Drug Name5]],'Data Options'!$R$1:$S$100,2,FALSE), " ")</f>
        <v xml:space="preserve"> </v>
      </c>
      <c r="BA68" s="55"/>
      <c r="BB68" s="32"/>
      <c r="BC68" s="32"/>
      <c r="BD68" s="55"/>
      <c r="BE68" s="32"/>
      <c r="BF68" s="54"/>
      <c r="BG68" s="21" t="str">
        <f>IFERROR(VLOOKUP(March[[#This Row],[Drug Name6]],'Data Options'!$R$1:$S$100,2,FALSE), " ")</f>
        <v xml:space="preserve"> </v>
      </c>
      <c r="BH68" s="55"/>
      <c r="BI68" s="32"/>
      <c r="BJ68" s="32"/>
      <c r="BK68" s="55"/>
      <c r="BL68" s="32"/>
      <c r="BM68" s="32"/>
      <c r="BN68" s="32"/>
      <c r="BO68" s="32"/>
      <c r="BP68" s="32"/>
      <c r="BQ68" s="31"/>
      <c r="BR68" s="31"/>
      <c r="BS68" s="54"/>
      <c r="BT68" s="21" t="str">
        <f>IFERROR(VLOOKUP(March[[#This Row],[Drug Name7]],'Data Options'!$R$1:$S$100,2,FALSE), " ")</f>
        <v xml:space="preserve"> </v>
      </c>
      <c r="BU68" s="55"/>
      <c r="BV68" s="32"/>
      <c r="BW68" s="32"/>
      <c r="BX68" s="55"/>
      <c r="BY68" s="32"/>
      <c r="BZ68" s="54"/>
      <c r="CA68" s="21" t="str">
        <f>IFERROR(VLOOKUP(March[[#This Row],[Drug Name8]],'Data Options'!$R$1:$S$100,2,FALSE), " ")</f>
        <v xml:space="preserve"> </v>
      </c>
      <c r="CB68" s="55"/>
      <c r="CC68" s="32"/>
      <c r="CD68" s="32"/>
      <c r="CE68" s="55"/>
      <c r="CF68" s="32"/>
      <c r="CG68" s="54"/>
      <c r="CH68" s="21" t="str">
        <f>IFERROR(VLOOKUP(March[[#This Row],[Drug Name9]],'Data Options'!$R$1:$S$100,2,FALSE), " ")</f>
        <v xml:space="preserve"> </v>
      </c>
      <c r="CI68" s="55"/>
      <c r="CJ68" s="32"/>
      <c r="CK68" s="32"/>
      <c r="CL68" s="55"/>
      <c r="CM68" s="32"/>
    </row>
    <row r="69" spans="1:91">
      <c r="A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31"/>
      <c r="Q69" s="54"/>
      <c r="R69" s="21" t="str">
        <f>IFERROR(VLOOKUP(March[[#This Row],[Drug Name]],'Data Options'!$R$1:$S$100,2,FALSE), " ")</f>
        <v xml:space="preserve"> </v>
      </c>
      <c r="S69" s="55"/>
      <c r="T69" s="32"/>
      <c r="U69" s="32"/>
      <c r="V69" s="55"/>
      <c r="W69" s="32"/>
      <c r="X69" s="54"/>
      <c r="Y69" s="21" t="str">
        <f>IFERROR(VLOOKUP(March[[#This Row],[Drug Name2]],'Data Options'!$R$1:$S$100,2,FALSE), " ")</f>
        <v xml:space="preserve"> </v>
      </c>
      <c r="Z69" s="55"/>
      <c r="AA69" s="32"/>
      <c r="AB69" s="32"/>
      <c r="AC69" s="55"/>
      <c r="AD69" s="32"/>
      <c r="AE69" s="54"/>
      <c r="AF69" s="21" t="str">
        <f>IFERROR(VLOOKUP(March[[#This Row],[Drug Name3]],'Data Options'!$R$1:$S$100,2,FALSE), " ")</f>
        <v xml:space="preserve"> </v>
      </c>
      <c r="AG69" s="55"/>
      <c r="AH69" s="32"/>
      <c r="AI69" s="32"/>
      <c r="AJ69" s="55"/>
      <c r="AK69" s="32"/>
      <c r="AL69" s="32"/>
      <c r="AM69" s="32"/>
      <c r="AN69" s="32"/>
      <c r="AO69" s="32"/>
      <c r="AP69" s="31"/>
      <c r="AQ69" s="31"/>
      <c r="AR69" s="54"/>
      <c r="AS69" s="21" t="str">
        <f>IFERROR(VLOOKUP(March[[#This Row],[Drug Name4]],'Data Options'!$R$1:$S$100,2,FALSE), " ")</f>
        <v xml:space="preserve"> </v>
      </c>
      <c r="AT69" s="55"/>
      <c r="AU69" s="32"/>
      <c r="AV69" s="32"/>
      <c r="AW69" s="55"/>
      <c r="AX69" s="32"/>
      <c r="AY69" s="54"/>
      <c r="AZ69" s="21" t="str">
        <f>IFERROR(VLOOKUP(March[[#This Row],[Drug Name5]],'Data Options'!$R$1:$S$100,2,FALSE), " ")</f>
        <v xml:space="preserve"> </v>
      </c>
      <c r="BA69" s="55"/>
      <c r="BB69" s="32"/>
      <c r="BC69" s="32"/>
      <c r="BD69" s="55"/>
      <c r="BE69" s="32"/>
      <c r="BF69" s="54"/>
      <c r="BG69" s="21" t="str">
        <f>IFERROR(VLOOKUP(March[[#This Row],[Drug Name6]],'Data Options'!$R$1:$S$100,2,FALSE), " ")</f>
        <v xml:space="preserve"> </v>
      </c>
      <c r="BH69" s="55"/>
      <c r="BI69" s="32"/>
      <c r="BJ69" s="32"/>
      <c r="BK69" s="55"/>
      <c r="BL69" s="32"/>
      <c r="BM69" s="32"/>
      <c r="BN69" s="32"/>
      <c r="BO69" s="32"/>
      <c r="BP69" s="32"/>
      <c r="BQ69" s="31"/>
      <c r="BR69" s="31"/>
      <c r="BS69" s="54"/>
      <c r="BT69" s="21" t="str">
        <f>IFERROR(VLOOKUP(March[[#This Row],[Drug Name7]],'Data Options'!$R$1:$S$100,2,FALSE), " ")</f>
        <v xml:space="preserve"> </v>
      </c>
      <c r="BU69" s="55"/>
      <c r="BV69" s="32"/>
      <c r="BW69" s="32"/>
      <c r="BX69" s="55"/>
      <c r="BY69" s="32"/>
      <c r="BZ69" s="54"/>
      <c r="CA69" s="21" t="str">
        <f>IFERROR(VLOOKUP(March[[#This Row],[Drug Name8]],'Data Options'!$R$1:$S$100,2,FALSE), " ")</f>
        <v xml:space="preserve"> </v>
      </c>
      <c r="CB69" s="55"/>
      <c r="CC69" s="32"/>
      <c r="CD69" s="32"/>
      <c r="CE69" s="55"/>
      <c r="CF69" s="32"/>
      <c r="CG69" s="54"/>
      <c r="CH69" s="21" t="str">
        <f>IFERROR(VLOOKUP(March[[#This Row],[Drug Name9]],'Data Options'!$R$1:$S$100,2,FALSE), " ")</f>
        <v xml:space="preserve"> </v>
      </c>
      <c r="CI69" s="55"/>
      <c r="CJ69" s="32"/>
      <c r="CK69" s="32"/>
      <c r="CL69" s="55"/>
      <c r="CM69" s="32"/>
    </row>
    <row r="70" spans="1:91">
      <c r="A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31"/>
      <c r="Q70" s="54"/>
      <c r="R70" s="21" t="str">
        <f>IFERROR(VLOOKUP(March[[#This Row],[Drug Name]],'Data Options'!$R$1:$S$100,2,FALSE), " ")</f>
        <v xml:space="preserve"> </v>
      </c>
      <c r="S70" s="55"/>
      <c r="T70" s="32"/>
      <c r="U70" s="32"/>
      <c r="V70" s="55"/>
      <c r="W70" s="32"/>
      <c r="X70" s="54"/>
      <c r="Y70" s="21" t="str">
        <f>IFERROR(VLOOKUP(March[[#This Row],[Drug Name2]],'Data Options'!$R$1:$S$100,2,FALSE), " ")</f>
        <v xml:space="preserve"> </v>
      </c>
      <c r="Z70" s="55"/>
      <c r="AA70" s="32"/>
      <c r="AB70" s="32"/>
      <c r="AC70" s="55"/>
      <c r="AD70" s="32"/>
      <c r="AE70" s="54"/>
      <c r="AF70" s="21" t="str">
        <f>IFERROR(VLOOKUP(March[[#This Row],[Drug Name3]],'Data Options'!$R$1:$S$100,2,FALSE), " ")</f>
        <v xml:space="preserve"> </v>
      </c>
      <c r="AG70" s="55"/>
      <c r="AH70" s="32"/>
      <c r="AI70" s="32"/>
      <c r="AJ70" s="55"/>
      <c r="AK70" s="32"/>
      <c r="AL70" s="32"/>
      <c r="AM70" s="32"/>
      <c r="AN70" s="32"/>
      <c r="AO70" s="32"/>
      <c r="AP70" s="31"/>
      <c r="AQ70" s="31"/>
      <c r="AR70" s="54"/>
      <c r="AS70" s="21" t="str">
        <f>IFERROR(VLOOKUP(March[[#This Row],[Drug Name4]],'Data Options'!$R$1:$S$100,2,FALSE), " ")</f>
        <v xml:space="preserve"> </v>
      </c>
      <c r="AT70" s="55"/>
      <c r="AU70" s="32"/>
      <c r="AV70" s="32"/>
      <c r="AW70" s="55"/>
      <c r="AX70" s="32"/>
      <c r="AY70" s="54"/>
      <c r="AZ70" s="21" t="str">
        <f>IFERROR(VLOOKUP(March[[#This Row],[Drug Name5]],'Data Options'!$R$1:$S$100,2,FALSE), " ")</f>
        <v xml:space="preserve"> </v>
      </c>
      <c r="BA70" s="55"/>
      <c r="BB70" s="32"/>
      <c r="BC70" s="32"/>
      <c r="BD70" s="55"/>
      <c r="BE70" s="32"/>
      <c r="BF70" s="54"/>
      <c r="BG70" s="21" t="str">
        <f>IFERROR(VLOOKUP(March[[#This Row],[Drug Name6]],'Data Options'!$R$1:$S$100,2,FALSE), " ")</f>
        <v xml:space="preserve"> </v>
      </c>
      <c r="BH70" s="55"/>
      <c r="BI70" s="32"/>
      <c r="BJ70" s="32"/>
      <c r="BK70" s="55"/>
      <c r="BL70" s="32"/>
      <c r="BM70" s="32"/>
      <c r="BN70" s="32"/>
      <c r="BO70" s="32"/>
      <c r="BP70" s="32"/>
      <c r="BQ70" s="31"/>
      <c r="BR70" s="31"/>
      <c r="BS70" s="54"/>
      <c r="BT70" s="21" t="str">
        <f>IFERROR(VLOOKUP(March[[#This Row],[Drug Name7]],'Data Options'!$R$1:$S$100,2,FALSE), " ")</f>
        <v xml:space="preserve"> </v>
      </c>
      <c r="BU70" s="55"/>
      <c r="BV70" s="32"/>
      <c r="BW70" s="32"/>
      <c r="BX70" s="55"/>
      <c r="BY70" s="32"/>
      <c r="BZ70" s="54"/>
      <c r="CA70" s="21" t="str">
        <f>IFERROR(VLOOKUP(March[[#This Row],[Drug Name8]],'Data Options'!$R$1:$S$100,2,FALSE), " ")</f>
        <v xml:space="preserve"> </v>
      </c>
      <c r="CB70" s="55"/>
      <c r="CC70" s="32"/>
      <c r="CD70" s="32"/>
      <c r="CE70" s="55"/>
      <c r="CF70" s="32"/>
      <c r="CG70" s="54"/>
      <c r="CH70" s="21" t="str">
        <f>IFERROR(VLOOKUP(March[[#This Row],[Drug Name9]],'Data Options'!$R$1:$S$100,2,FALSE), " ")</f>
        <v xml:space="preserve"> </v>
      </c>
      <c r="CI70" s="55"/>
      <c r="CJ70" s="32"/>
      <c r="CK70" s="32"/>
      <c r="CL70" s="55"/>
      <c r="CM70" s="32"/>
    </row>
    <row r="71" spans="1:91">
      <c r="A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31"/>
      <c r="Q71" s="54"/>
      <c r="R71" s="21" t="str">
        <f>IFERROR(VLOOKUP(March[[#This Row],[Drug Name]],'Data Options'!$R$1:$S$100,2,FALSE), " ")</f>
        <v xml:space="preserve"> </v>
      </c>
      <c r="S71" s="55"/>
      <c r="T71" s="32"/>
      <c r="U71" s="32"/>
      <c r="V71" s="55"/>
      <c r="W71" s="32"/>
      <c r="X71" s="54"/>
      <c r="Y71" s="21" t="str">
        <f>IFERROR(VLOOKUP(March[[#This Row],[Drug Name2]],'Data Options'!$R$1:$S$100,2,FALSE), " ")</f>
        <v xml:space="preserve"> </v>
      </c>
      <c r="Z71" s="55"/>
      <c r="AA71" s="32"/>
      <c r="AB71" s="32"/>
      <c r="AC71" s="55"/>
      <c r="AD71" s="32"/>
      <c r="AE71" s="54"/>
      <c r="AF71" s="21" t="str">
        <f>IFERROR(VLOOKUP(March[[#This Row],[Drug Name3]],'Data Options'!$R$1:$S$100,2,FALSE), " ")</f>
        <v xml:space="preserve"> </v>
      </c>
      <c r="AG71" s="55"/>
      <c r="AH71" s="32"/>
      <c r="AI71" s="32"/>
      <c r="AJ71" s="55"/>
      <c r="AK71" s="32"/>
      <c r="AL71" s="32"/>
      <c r="AM71" s="32"/>
      <c r="AN71" s="32"/>
      <c r="AO71" s="32"/>
      <c r="AP71" s="31"/>
      <c r="AQ71" s="31"/>
      <c r="AR71" s="54"/>
      <c r="AS71" s="21" t="str">
        <f>IFERROR(VLOOKUP(March[[#This Row],[Drug Name4]],'Data Options'!$R$1:$S$100,2,FALSE), " ")</f>
        <v xml:space="preserve"> </v>
      </c>
      <c r="AT71" s="55"/>
      <c r="AU71" s="32"/>
      <c r="AV71" s="32"/>
      <c r="AW71" s="55"/>
      <c r="AX71" s="32"/>
      <c r="AY71" s="54"/>
      <c r="AZ71" s="21" t="str">
        <f>IFERROR(VLOOKUP(March[[#This Row],[Drug Name5]],'Data Options'!$R$1:$S$100,2,FALSE), " ")</f>
        <v xml:space="preserve"> </v>
      </c>
      <c r="BA71" s="55"/>
      <c r="BB71" s="32"/>
      <c r="BC71" s="32"/>
      <c r="BD71" s="55"/>
      <c r="BE71" s="32"/>
      <c r="BF71" s="54"/>
      <c r="BG71" s="21" t="str">
        <f>IFERROR(VLOOKUP(March[[#This Row],[Drug Name6]],'Data Options'!$R$1:$S$100,2,FALSE), " ")</f>
        <v xml:space="preserve"> </v>
      </c>
      <c r="BH71" s="55"/>
      <c r="BI71" s="32"/>
      <c r="BJ71" s="32"/>
      <c r="BK71" s="55"/>
      <c r="BL71" s="32"/>
      <c r="BM71" s="32"/>
      <c r="BN71" s="32"/>
      <c r="BO71" s="32"/>
      <c r="BP71" s="32"/>
      <c r="BQ71" s="31"/>
      <c r="BR71" s="31"/>
      <c r="BS71" s="54"/>
      <c r="BT71" s="21" t="str">
        <f>IFERROR(VLOOKUP(March[[#This Row],[Drug Name7]],'Data Options'!$R$1:$S$100,2,FALSE), " ")</f>
        <v xml:space="preserve"> </v>
      </c>
      <c r="BU71" s="55"/>
      <c r="BV71" s="32"/>
      <c r="BW71" s="32"/>
      <c r="BX71" s="55"/>
      <c r="BY71" s="32"/>
      <c r="BZ71" s="54"/>
      <c r="CA71" s="21" t="str">
        <f>IFERROR(VLOOKUP(March[[#This Row],[Drug Name8]],'Data Options'!$R$1:$S$100,2,FALSE), " ")</f>
        <v xml:space="preserve"> </v>
      </c>
      <c r="CB71" s="55"/>
      <c r="CC71" s="32"/>
      <c r="CD71" s="32"/>
      <c r="CE71" s="55"/>
      <c r="CF71" s="32"/>
      <c r="CG71" s="54"/>
      <c r="CH71" s="21" t="str">
        <f>IFERROR(VLOOKUP(March[[#This Row],[Drug Name9]],'Data Options'!$R$1:$S$100,2,FALSE), " ")</f>
        <v xml:space="preserve"> </v>
      </c>
      <c r="CI71" s="55"/>
      <c r="CJ71" s="32"/>
      <c r="CK71" s="32"/>
      <c r="CL71" s="55"/>
      <c r="CM71" s="32"/>
    </row>
    <row r="72" spans="1:91">
      <c r="A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54"/>
      <c r="R72" s="21" t="str">
        <f>IFERROR(VLOOKUP(March[[#This Row],[Drug Name]],'Data Options'!$R$1:$S$100,2,FALSE), " ")</f>
        <v xml:space="preserve"> </v>
      </c>
      <c r="S72" s="55"/>
      <c r="T72" s="32"/>
      <c r="U72" s="32"/>
      <c r="V72" s="55"/>
      <c r="W72" s="32"/>
      <c r="X72" s="54"/>
      <c r="Y72" s="21" t="str">
        <f>IFERROR(VLOOKUP(March[[#This Row],[Drug Name2]],'Data Options'!$R$1:$S$100,2,FALSE), " ")</f>
        <v xml:space="preserve"> </v>
      </c>
      <c r="Z72" s="55"/>
      <c r="AA72" s="32"/>
      <c r="AB72" s="32"/>
      <c r="AC72" s="55"/>
      <c r="AD72" s="32"/>
      <c r="AE72" s="54"/>
      <c r="AF72" s="21" t="str">
        <f>IFERROR(VLOOKUP(March[[#This Row],[Drug Name3]],'Data Options'!$R$1:$S$100,2,FALSE), " ")</f>
        <v xml:space="preserve"> </v>
      </c>
      <c r="AG72" s="55"/>
      <c r="AH72" s="32"/>
      <c r="AI72" s="32"/>
      <c r="AJ72" s="55"/>
      <c r="AK72" s="32"/>
      <c r="AL72" s="32"/>
      <c r="AM72" s="32"/>
      <c r="AN72" s="32"/>
      <c r="AO72" s="32"/>
      <c r="AP72" s="31"/>
      <c r="AQ72" s="31"/>
      <c r="AR72" s="54"/>
      <c r="AS72" s="21" t="str">
        <f>IFERROR(VLOOKUP(March[[#This Row],[Drug Name4]],'Data Options'!$R$1:$S$100,2,FALSE), " ")</f>
        <v xml:space="preserve"> </v>
      </c>
      <c r="AT72" s="55"/>
      <c r="AU72" s="32"/>
      <c r="AV72" s="32"/>
      <c r="AW72" s="55"/>
      <c r="AX72" s="32"/>
      <c r="AY72" s="54"/>
      <c r="AZ72" s="21" t="str">
        <f>IFERROR(VLOOKUP(March[[#This Row],[Drug Name5]],'Data Options'!$R$1:$S$100,2,FALSE), " ")</f>
        <v xml:space="preserve"> </v>
      </c>
      <c r="BA72" s="55"/>
      <c r="BB72" s="32"/>
      <c r="BC72" s="32"/>
      <c r="BD72" s="55"/>
      <c r="BE72" s="32"/>
      <c r="BF72" s="54"/>
      <c r="BG72" s="21" t="str">
        <f>IFERROR(VLOOKUP(March[[#This Row],[Drug Name6]],'Data Options'!$R$1:$S$100,2,FALSE), " ")</f>
        <v xml:space="preserve"> </v>
      </c>
      <c r="BH72" s="55"/>
      <c r="BI72" s="32"/>
      <c r="BJ72" s="32"/>
      <c r="BK72" s="55"/>
      <c r="BL72" s="32"/>
      <c r="BM72" s="32"/>
      <c r="BN72" s="32"/>
      <c r="BO72" s="32"/>
      <c r="BP72" s="32"/>
      <c r="BQ72" s="31"/>
      <c r="BR72" s="31"/>
      <c r="BS72" s="54"/>
      <c r="BT72" s="21" t="str">
        <f>IFERROR(VLOOKUP(March[[#This Row],[Drug Name7]],'Data Options'!$R$1:$S$100,2,FALSE), " ")</f>
        <v xml:space="preserve"> </v>
      </c>
      <c r="BU72" s="55"/>
      <c r="BV72" s="32"/>
      <c r="BW72" s="32"/>
      <c r="BX72" s="55"/>
      <c r="BY72" s="32"/>
      <c r="BZ72" s="54"/>
      <c r="CA72" s="21" t="str">
        <f>IFERROR(VLOOKUP(March[[#This Row],[Drug Name8]],'Data Options'!$R$1:$S$100,2,FALSE), " ")</f>
        <v xml:space="preserve"> </v>
      </c>
      <c r="CB72" s="55"/>
      <c r="CC72" s="32"/>
      <c r="CD72" s="32"/>
      <c r="CE72" s="55"/>
      <c r="CF72" s="32"/>
      <c r="CG72" s="54"/>
      <c r="CH72" s="21" t="str">
        <f>IFERROR(VLOOKUP(March[[#This Row],[Drug Name9]],'Data Options'!$R$1:$S$100,2,FALSE), " ")</f>
        <v xml:space="preserve"> </v>
      </c>
      <c r="CI72" s="55"/>
      <c r="CJ72" s="32"/>
      <c r="CK72" s="32"/>
      <c r="CL72" s="55"/>
      <c r="CM72" s="32"/>
    </row>
    <row r="73" spans="1:91">
      <c r="A73" s="5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31"/>
      <c r="Q73" s="54"/>
      <c r="R73" s="21" t="str">
        <f>IFERROR(VLOOKUP(March[[#This Row],[Drug Name]],'Data Options'!$R$1:$S$100,2,FALSE), " ")</f>
        <v xml:space="preserve"> </v>
      </c>
      <c r="S73" s="55"/>
      <c r="T73" s="32"/>
      <c r="U73" s="32"/>
      <c r="V73" s="55"/>
      <c r="W73" s="32"/>
      <c r="X73" s="54"/>
      <c r="Y73" s="21" t="str">
        <f>IFERROR(VLOOKUP(March[[#This Row],[Drug Name2]],'Data Options'!$R$1:$S$100,2,FALSE), " ")</f>
        <v xml:space="preserve"> </v>
      </c>
      <c r="Z73" s="55"/>
      <c r="AA73" s="32"/>
      <c r="AB73" s="32"/>
      <c r="AC73" s="55"/>
      <c r="AD73" s="32"/>
      <c r="AE73" s="54"/>
      <c r="AF73" s="21" t="str">
        <f>IFERROR(VLOOKUP(March[[#This Row],[Drug Name3]],'Data Options'!$R$1:$S$100,2,FALSE), " ")</f>
        <v xml:space="preserve"> </v>
      </c>
      <c r="AG73" s="55"/>
      <c r="AH73" s="32"/>
      <c r="AI73" s="32"/>
      <c r="AJ73" s="55"/>
      <c r="AK73" s="32"/>
      <c r="AL73" s="32"/>
      <c r="AM73" s="32"/>
      <c r="AN73" s="32"/>
      <c r="AO73" s="32"/>
      <c r="AP73" s="31"/>
      <c r="AQ73" s="31"/>
      <c r="AR73" s="54"/>
      <c r="AS73" s="21" t="str">
        <f>IFERROR(VLOOKUP(March[[#This Row],[Drug Name4]],'Data Options'!$R$1:$S$100,2,FALSE), " ")</f>
        <v xml:space="preserve"> </v>
      </c>
      <c r="AT73" s="55"/>
      <c r="AU73" s="32"/>
      <c r="AV73" s="32"/>
      <c r="AW73" s="55"/>
      <c r="AX73" s="32"/>
      <c r="AY73" s="54"/>
      <c r="AZ73" s="21" t="str">
        <f>IFERROR(VLOOKUP(March[[#This Row],[Drug Name5]],'Data Options'!$R$1:$S$100,2,FALSE), " ")</f>
        <v xml:space="preserve"> </v>
      </c>
      <c r="BA73" s="55"/>
      <c r="BB73" s="32"/>
      <c r="BC73" s="32"/>
      <c r="BD73" s="55"/>
      <c r="BE73" s="32"/>
      <c r="BF73" s="54"/>
      <c r="BG73" s="21" t="str">
        <f>IFERROR(VLOOKUP(March[[#This Row],[Drug Name6]],'Data Options'!$R$1:$S$100,2,FALSE), " ")</f>
        <v xml:space="preserve"> </v>
      </c>
      <c r="BH73" s="55"/>
      <c r="BI73" s="32"/>
      <c r="BJ73" s="32"/>
      <c r="BK73" s="55"/>
      <c r="BL73" s="32"/>
      <c r="BM73" s="32"/>
      <c r="BN73" s="32"/>
      <c r="BO73" s="32"/>
      <c r="BP73" s="32"/>
      <c r="BQ73" s="31"/>
      <c r="BR73" s="31"/>
      <c r="BS73" s="54"/>
      <c r="BT73" s="21" t="str">
        <f>IFERROR(VLOOKUP(March[[#This Row],[Drug Name7]],'Data Options'!$R$1:$S$100,2,FALSE), " ")</f>
        <v xml:space="preserve"> </v>
      </c>
      <c r="BU73" s="55"/>
      <c r="BV73" s="32"/>
      <c r="BW73" s="32"/>
      <c r="BX73" s="55"/>
      <c r="BY73" s="32"/>
      <c r="BZ73" s="54"/>
      <c r="CA73" s="21" t="str">
        <f>IFERROR(VLOOKUP(March[[#This Row],[Drug Name8]],'Data Options'!$R$1:$S$100,2,FALSE), " ")</f>
        <v xml:space="preserve"> </v>
      </c>
      <c r="CB73" s="55"/>
      <c r="CC73" s="32"/>
      <c r="CD73" s="32"/>
      <c r="CE73" s="55"/>
      <c r="CF73" s="32"/>
      <c r="CG73" s="54"/>
      <c r="CH73" s="21" t="str">
        <f>IFERROR(VLOOKUP(March[[#This Row],[Drug Name9]],'Data Options'!$R$1:$S$100,2,FALSE), " ")</f>
        <v xml:space="preserve"> </v>
      </c>
      <c r="CI73" s="55"/>
      <c r="CJ73" s="32"/>
      <c r="CK73" s="32"/>
      <c r="CL73" s="55"/>
      <c r="CM73" s="32"/>
    </row>
    <row r="74" spans="1:91">
      <c r="A74" s="5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31"/>
      <c r="Q74" s="54"/>
      <c r="R74" s="21" t="str">
        <f>IFERROR(VLOOKUP(March[[#This Row],[Drug Name]],'Data Options'!$R$1:$S$100,2,FALSE), " ")</f>
        <v xml:space="preserve"> </v>
      </c>
      <c r="S74" s="55"/>
      <c r="T74" s="32"/>
      <c r="U74" s="32"/>
      <c r="V74" s="55"/>
      <c r="W74" s="32"/>
      <c r="X74" s="54"/>
      <c r="Y74" s="21" t="str">
        <f>IFERROR(VLOOKUP(March[[#This Row],[Drug Name2]],'Data Options'!$R$1:$S$100,2,FALSE), " ")</f>
        <v xml:space="preserve"> </v>
      </c>
      <c r="Z74" s="55"/>
      <c r="AA74" s="32"/>
      <c r="AB74" s="32"/>
      <c r="AC74" s="55"/>
      <c r="AD74" s="32"/>
      <c r="AE74" s="54"/>
      <c r="AF74" s="21" t="str">
        <f>IFERROR(VLOOKUP(March[[#This Row],[Drug Name3]],'Data Options'!$R$1:$S$100,2,FALSE), " ")</f>
        <v xml:space="preserve"> </v>
      </c>
      <c r="AG74" s="55"/>
      <c r="AH74" s="32"/>
      <c r="AI74" s="32"/>
      <c r="AJ74" s="55"/>
      <c r="AK74" s="32"/>
      <c r="AL74" s="32"/>
      <c r="AM74" s="32"/>
      <c r="AN74" s="32"/>
      <c r="AO74" s="32"/>
      <c r="AP74" s="31"/>
      <c r="AQ74" s="31"/>
      <c r="AR74" s="54"/>
      <c r="AS74" s="21" t="str">
        <f>IFERROR(VLOOKUP(March[[#This Row],[Drug Name4]],'Data Options'!$R$1:$S$100,2,FALSE), " ")</f>
        <v xml:space="preserve"> </v>
      </c>
      <c r="AT74" s="55"/>
      <c r="AU74" s="32"/>
      <c r="AV74" s="32"/>
      <c r="AW74" s="55"/>
      <c r="AX74" s="32"/>
      <c r="AY74" s="54"/>
      <c r="AZ74" s="21" t="str">
        <f>IFERROR(VLOOKUP(March[[#This Row],[Drug Name5]],'Data Options'!$R$1:$S$100,2,FALSE), " ")</f>
        <v xml:space="preserve"> </v>
      </c>
      <c r="BA74" s="55"/>
      <c r="BB74" s="32"/>
      <c r="BC74" s="32"/>
      <c r="BD74" s="55"/>
      <c r="BE74" s="32"/>
      <c r="BF74" s="54"/>
      <c r="BG74" s="21" t="str">
        <f>IFERROR(VLOOKUP(March[[#This Row],[Drug Name6]],'Data Options'!$R$1:$S$100,2,FALSE), " ")</f>
        <v xml:space="preserve"> </v>
      </c>
      <c r="BH74" s="55"/>
      <c r="BI74" s="32"/>
      <c r="BJ74" s="32"/>
      <c r="BK74" s="55"/>
      <c r="BL74" s="32"/>
      <c r="BM74" s="32"/>
      <c r="BN74" s="32"/>
      <c r="BO74" s="32"/>
      <c r="BP74" s="32"/>
      <c r="BQ74" s="31"/>
      <c r="BR74" s="31"/>
      <c r="BS74" s="54"/>
      <c r="BT74" s="21" t="str">
        <f>IFERROR(VLOOKUP(March[[#This Row],[Drug Name7]],'Data Options'!$R$1:$S$100,2,FALSE), " ")</f>
        <v xml:space="preserve"> </v>
      </c>
      <c r="BU74" s="55"/>
      <c r="BV74" s="32"/>
      <c r="BW74" s="32"/>
      <c r="BX74" s="55"/>
      <c r="BY74" s="32"/>
      <c r="BZ74" s="54"/>
      <c r="CA74" s="21" t="str">
        <f>IFERROR(VLOOKUP(March[[#This Row],[Drug Name8]],'Data Options'!$R$1:$S$100,2,FALSE), " ")</f>
        <v xml:space="preserve"> </v>
      </c>
      <c r="CB74" s="55"/>
      <c r="CC74" s="32"/>
      <c r="CD74" s="32"/>
      <c r="CE74" s="55"/>
      <c r="CF74" s="32"/>
      <c r="CG74" s="54"/>
      <c r="CH74" s="21" t="str">
        <f>IFERROR(VLOOKUP(March[[#This Row],[Drug Name9]],'Data Options'!$R$1:$S$100,2,FALSE), " ")</f>
        <v xml:space="preserve"> </v>
      </c>
      <c r="CI74" s="55"/>
      <c r="CJ74" s="32"/>
      <c r="CK74" s="32"/>
      <c r="CL74" s="55"/>
      <c r="CM74" s="32"/>
    </row>
    <row r="75" spans="1:91">
      <c r="A75" s="5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31"/>
      <c r="Q75" s="54"/>
      <c r="R75" s="21" t="str">
        <f>IFERROR(VLOOKUP(March[[#This Row],[Drug Name]],'Data Options'!$R$1:$S$100,2,FALSE), " ")</f>
        <v xml:space="preserve"> </v>
      </c>
      <c r="S75" s="55"/>
      <c r="T75" s="32"/>
      <c r="U75" s="32"/>
      <c r="V75" s="55"/>
      <c r="W75" s="32"/>
      <c r="X75" s="54"/>
      <c r="Y75" s="21" t="str">
        <f>IFERROR(VLOOKUP(March[[#This Row],[Drug Name2]],'Data Options'!$R$1:$S$100,2,FALSE), " ")</f>
        <v xml:space="preserve"> </v>
      </c>
      <c r="Z75" s="55"/>
      <c r="AA75" s="32"/>
      <c r="AB75" s="32"/>
      <c r="AC75" s="55"/>
      <c r="AD75" s="32"/>
      <c r="AE75" s="54"/>
      <c r="AF75" s="21" t="str">
        <f>IFERROR(VLOOKUP(March[[#This Row],[Drug Name3]],'Data Options'!$R$1:$S$100,2,FALSE), " ")</f>
        <v xml:space="preserve"> </v>
      </c>
      <c r="AG75" s="55"/>
      <c r="AH75" s="32"/>
      <c r="AI75" s="32"/>
      <c r="AJ75" s="55"/>
      <c r="AK75" s="32"/>
      <c r="AL75" s="32"/>
      <c r="AM75" s="32"/>
      <c r="AN75" s="32"/>
      <c r="AO75" s="32"/>
      <c r="AP75" s="31"/>
      <c r="AQ75" s="31"/>
      <c r="AR75" s="54"/>
      <c r="AS75" s="21" t="str">
        <f>IFERROR(VLOOKUP(March[[#This Row],[Drug Name4]],'Data Options'!$R$1:$S$100,2,FALSE), " ")</f>
        <v xml:space="preserve"> </v>
      </c>
      <c r="AT75" s="55"/>
      <c r="AU75" s="32"/>
      <c r="AV75" s="32"/>
      <c r="AW75" s="55"/>
      <c r="AX75" s="32"/>
      <c r="AY75" s="54"/>
      <c r="AZ75" s="21" t="str">
        <f>IFERROR(VLOOKUP(March[[#This Row],[Drug Name5]],'Data Options'!$R$1:$S$100,2,FALSE), " ")</f>
        <v xml:space="preserve"> </v>
      </c>
      <c r="BA75" s="55"/>
      <c r="BB75" s="32"/>
      <c r="BC75" s="32"/>
      <c r="BD75" s="55"/>
      <c r="BE75" s="32"/>
      <c r="BF75" s="54"/>
      <c r="BG75" s="21" t="str">
        <f>IFERROR(VLOOKUP(March[[#This Row],[Drug Name6]],'Data Options'!$R$1:$S$100,2,FALSE), " ")</f>
        <v xml:space="preserve"> </v>
      </c>
      <c r="BH75" s="55"/>
      <c r="BI75" s="32"/>
      <c r="BJ75" s="32"/>
      <c r="BK75" s="55"/>
      <c r="BL75" s="32"/>
      <c r="BM75" s="32"/>
      <c r="BN75" s="32"/>
      <c r="BO75" s="32"/>
      <c r="BP75" s="32"/>
      <c r="BQ75" s="31"/>
      <c r="BR75" s="31"/>
      <c r="BS75" s="54"/>
      <c r="BT75" s="21" t="str">
        <f>IFERROR(VLOOKUP(March[[#This Row],[Drug Name7]],'Data Options'!$R$1:$S$100,2,FALSE), " ")</f>
        <v xml:space="preserve"> </v>
      </c>
      <c r="BU75" s="55"/>
      <c r="BV75" s="32"/>
      <c r="BW75" s="32"/>
      <c r="BX75" s="55"/>
      <c r="BY75" s="32"/>
      <c r="BZ75" s="54"/>
      <c r="CA75" s="21" t="str">
        <f>IFERROR(VLOOKUP(March[[#This Row],[Drug Name8]],'Data Options'!$R$1:$S$100,2,FALSE), " ")</f>
        <v xml:space="preserve"> </v>
      </c>
      <c r="CB75" s="55"/>
      <c r="CC75" s="32"/>
      <c r="CD75" s="32"/>
      <c r="CE75" s="55"/>
      <c r="CF75" s="32"/>
      <c r="CG75" s="54"/>
      <c r="CH75" s="21" t="str">
        <f>IFERROR(VLOOKUP(March[[#This Row],[Drug Name9]],'Data Options'!$R$1:$S$100,2,FALSE), " ")</f>
        <v xml:space="preserve"> </v>
      </c>
      <c r="CI75" s="55"/>
      <c r="CJ75" s="32"/>
      <c r="CK75" s="32"/>
      <c r="CL75" s="55"/>
      <c r="CM75" s="32"/>
    </row>
    <row r="76" spans="1:91">
      <c r="A76" s="5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54"/>
      <c r="R76" s="21" t="str">
        <f>IFERROR(VLOOKUP(March[[#This Row],[Drug Name]],'Data Options'!$R$1:$S$100,2,FALSE), " ")</f>
        <v xml:space="preserve"> </v>
      </c>
      <c r="S76" s="55"/>
      <c r="T76" s="32"/>
      <c r="U76" s="32"/>
      <c r="V76" s="55"/>
      <c r="W76" s="32"/>
      <c r="X76" s="54"/>
      <c r="Y76" s="21" t="str">
        <f>IFERROR(VLOOKUP(March[[#This Row],[Drug Name2]],'Data Options'!$R$1:$S$100,2,FALSE), " ")</f>
        <v xml:space="preserve"> </v>
      </c>
      <c r="Z76" s="55"/>
      <c r="AA76" s="32"/>
      <c r="AB76" s="32"/>
      <c r="AC76" s="55"/>
      <c r="AD76" s="32"/>
      <c r="AE76" s="54"/>
      <c r="AF76" s="21" t="str">
        <f>IFERROR(VLOOKUP(March[[#This Row],[Drug Name3]],'Data Options'!$R$1:$S$100,2,FALSE), " ")</f>
        <v xml:space="preserve"> </v>
      </c>
      <c r="AG76" s="55"/>
      <c r="AH76" s="32"/>
      <c r="AI76" s="32"/>
      <c r="AJ76" s="55"/>
      <c r="AK76" s="32"/>
      <c r="AL76" s="32"/>
      <c r="AM76" s="32"/>
      <c r="AN76" s="32"/>
      <c r="AO76" s="32"/>
      <c r="AP76" s="31"/>
      <c r="AQ76" s="31"/>
      <c r="AR76" s="54"/>
      <c r="AS76" s="21" t="str">
        <f>IFERROR(VLOOKUP(March[[#This Row],[Drug Name4]],'Data Options'!$R$1:$S$100,2,FALSE), " ")</f>
        <v xml:space="preserve"> </v>
      </c>
      <c r="AT76" s="55"/>
      <c r="AU76" s="32"/>
      <c r="AV76" s="32"/>
      <c r="AW76" s="55"/>
      <c r="AX76" s="32"/>
      <c r="AY76" s="54"/>
      <c r="AZ76" s="21" t="str">
        <f>IFERROR(VLOOKUP(March[[#This Row],[Drug Name5]],'Data Options'!$R$1:$S$100,2,FALSE), " ")</f>
        <v xml:space="preserve"> </v>
      </c>
      <c r="BA76" s="55"/>
      <c r="BB76" s="32"/>
      <c r="BC76" s="32"/>
      <c r="BD76" s="55"/>
      <c r="BE76" s="32"/>
      <c r="BF76" s="54"/>
      <c r="BG76" s="21" t="str">
        <f>IFERROR(VLOOKUP(March[[#This Row],[Drug Name6]],'Data Options'!$R$1:$S$100,2,FALSE), " ")</f>
        <v xml:space="preserve"> </v>
      </c>
      <c r="BH76" s="55"/>
      <c r="BI76" s="32"/>
      <c r="BJ76" s="32"/>
      <c r="BK76" s="55"/>
      <c r="BL76" s="32"/>
      <c r="BM76" s="32"/>
      <c r="BN76" s="32"/>
      <c r="BO76" s="32"/>
      <c r="BP76" s="32"/>
      <c r="BQ76" s="31"/>
      <c r="BR76" s="31"/>
      <c r="BS76" s="54"/>
      <c r="BT76" s="21" t="str">
        <f>IFERROR(VLOOKUP(March[[#This Row],[Drug Name7]],'Data Options'!$R$1:$S$100,2,FALSE), " ")</f>
        <v xml:space="preserve"> </v>
      </c>
      <c r="BU76" s="55"/>
      <c r="BV76" s="32"/>
      <c r="BW76" s="32"/>
      <c r="BX76" s="55"/>
      <c r="BY76" s="32"/>
      <c r="BZ76" s="54"/>
      <c r="CA76" s="21" t="str">
        <f>IFERROR(VLOOKUP(March[[#This Row],[Drug Name8]],'Data Options'!$R$1:$S$100,2,FALSE), " ")</f>
        <v xml:space="preserve"> </v>
      </c>
      <c r="CB76" s="55"/>
      <c r="CC76" s="32"/>
      <c r="CD76" s="32"/>
      <c r="CE76" s="55"/>
      <c r="CF76" s="32"/>
      <c r="CG76" s="54"/>
      <c r="CH76" s="21" t="str">
        <f>IFERROR(VLOOKUP(March[[#This Row],[Drug Name9]],'Data Options'!$R$1:$S$100,2,FALSE), " ")</f>
        <v xml:space="preserve"> </v>
      </c>
      <c r="CI76" s="55"/>
      <c r="CJ76" s="32"/>
      <c r="CK76" s="32"/>
      <c r="CL76" s="55"/>
      <c r="CM76" s="32"/>
    </row>
    <row r="77" spans="1:91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31"/>
      <c r="Q77" s="54"/>
      <c r="R77" s="21" t="str">
        <f>IFERROR(VLOOKUP(March[[#This Row],[Drug Name]],'Data Options'!$R$1:$S$100,2,FALSE), " ")</f>
        <v xml:space="preserve"> </v>
      </c>
      <c r="S77" s="55"/>
      <c r="T77" s="32"/>
      <c r="U77" s="32"/>
      <c r="V77" s="55"/>
      <c r="W77" s="32"/>
      <c r="X77" s="54"/>
      <c r="Y77" s="21" t="str">
        <f>IFERROR(VLOOKUP(March[[#This Row],[Drug Name2]],'Data Options'!$R$1:$S$100,2,FALSE), " ")</f>
        <v xml:space="preserve"> </v>
      </c>
      <c r="Z77" s="55"/>
      <c r="AA77" s="32"/>
      <c r="AB77" s="32"/>
      <c r="AC77" s="55"/>
      <c r="AD77" s="32"/>
      <c r="AE77" s="54"/>
      <c r="AF77" s="21" t="str">
        <f>IFERROR(VLOOKUP(March[[#This Row],[Drug Name3]],'Data Options'!$R$1:$S$100,2,FALSE), " ")</f>
        <v xml:space="preserve"> </v>
      </c>
      <c r="AG77" s="55"/>
      <c r="AH77" s="32"/>
      <c r="AI77" s="32"/>
      <c r="AJ77" s="55"/>
      <c r="AK77" s="32"/>
      <c r="AL77" s="32"/>
      <c r="AM77" s="32"/>
      <c r="AN77" s="32"/>
      <c r="AO77" s="32"/>
      <c r="AP77" s="31"/>
      <c r="AQ77" s="31"/>
      <c r="AR77" s="54"/>
      <c r="AS77" s="21" t="str">
        <f>IFERROR(VLOOKUP(March[[#This Row],[Drug Name4]],'Data Options'!$R$1:$S$100,2,FALSE), " ")</f>
        <v xml:space="preserve"> </v>
      </c>
      <c r="AT77" s="55"/>
      <c r="AU77" s="32"/>
      <c r="AV77" s="32"/>
      <c r="AW77" s="55"/>
      <c r="AX77" s="32"/>
      <c r="AY77" s="54"/>
      <c r="AZ77" s="21" t="str">
        <f>IFERROR(VLOOKUP(March[[#This Row],[Drug Name5]],'Data Options'!$R$1:$S$100,2,FALSE), " ")</f>
        <v xml:space="preserve"> </v>
      </c>
      <c r="BA77" s="55"/>
      <c r="BB77" s="32"/>
      <c r="BC77" s="32"/>
      <c r="BD77" s="55"/>
      <c r="BE77" s="32"/>
      <c r="BF77" s="54"/>
      <c r="BG77" s="21" t="str">
        <f>IFERROR(VLOOKUP(March[[#This Row],[Drug Name6]],'Data Options'!$R$1:$S$100,2,FALSE), " ")</f>
        <v xml:space="preserve"> </v>
      </c>
      <c r="BH77" s="55"/>
      <c r="BI77" s="32"/>
      <c r="BJ77" s="32"/>
      <c r="BK77" s="55"/>
      <c r="BL77" s="32"/>
      <c r="BM77" s="32"/>
      <c r="BN77" s="32"/>
      <c r="BO77" s="32"/>
      <c r="BP77" s="32"/>
      <c r="BQ77" s="31"/>
      <c r="BR77" s="31"/>
      <c r="BS77" s="54"/>
      <c r="BT77" s="21" t="str">
        <f>IFERROR(VLOOKUP(March[[#This Row],[Drug Name7]],'Data Options'!$R$1:$S$100,2,FALSE), " ")</f>
        <v xml:space="preserve"> </v>
      </c>
      <c r="BU77" s="55"/>
      <c r="BV77" s="32"/>
      <c r="BW77" s="32"/>
      <c r="BX77" s="55"/>
      <c r="BY77" s="32"/>
      <c r="BZ77" s="54"/>
      <c r="CA77" s="21" t="str">
        <f>IFERROR(VLOOKUP(March[[#This Row],[Drug Name8]],'Data Options'!$R$1:$S$100,2,FALSE), " ")</f>
        <v xml:space="preserve"> </v>
      </c>
      <c r="CB77" s="55"/>
      <c r="CC77" s="32"/>
      <c r="CD77" s="32"/>
      <c r="CE77" s="55"/>
      <c r="CF77" s="32"/>
      <c r="CG77" s="54"/>
      <c r="CH77" s="21" t="str">
        <f>IFERROR(VLOOKUP(March[[#This Row],[Drug Name9]],'Data Options'!$R$1:$S$100,2,FALSE), " ")</f>
        <v xml:space="preserve"> </v>
      </c>
      <c r="CI77" s="55"/>
      <c r="CJ77" s="32"/>
      <c r="CK77" s="32"/>
      <c r="CL77" s="55"/>
      <c r="CM77" s="32"/>
    </row>
    <row r="78" spans="1:91">
      <c r="A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31"/>
      <c r="Q78" s="54"/>
      <c r="R78" s="21" t="str">
        <f>IFERROR(VLOOKUP(March[[#This Row],[Drug Name]],'Data Options'!$R$1:$S$100,2,FALSE), " ")</f>
        <v xml:space="preserve"> </v>
      </c>
      <c r="S78" s="55"/>
      <c r="T78" s="32"/>
      <c r="U78" s="32"/>
      <c r="V78" s="55"/>
      <c r="W78" s="32"/>
      <c r="X78" s="54"/>
      <c r="Y78" s="21" t="str">
        <f>IFERROR(VLOOKUP(March[[#This Row],[Drug Name2]],'Data Options'!$R$1:$S$100,2,FALSE), " ")</f>
        <v xml:space="preserve"> </v>
      </c>
      <c r="Z78" s="55"/>
      <c r="AA78" s="32"/>
      <c r="AB78" s="32"/>
      <c r="AC78" s="55"/>
      <c r="AD78" s="32"/>
      <c r="AE78" s="54"/>
      <c r="AF78" s="21" t="str">
        <f>IFERROR(VLOOKUP(March[[#This Row],[Drug Name3]],'Data Options'!$R$1:$S$100,2,FALSE), " ")</f>
        <v xml:space="preserve"> </v>
      </c>
      <c r="AG78" s="55"/>
      <c r="AH78" s="32"/>
      <c r="AI78" s="32"/>
      <c r="AJ78" s="55"/>
      <c r="AK78" s="32"/>
      <c r="AL78" s="32"/>
      <c r="AM78" s="32"/>
      <c r="AN78" s="32"/>
      <c r="AO78" s="32"/>
      <c r="AP78" s="31"/>
      <c r="AQ78" s="31"/>
      <c r="AR78" s="54"/>
      <c r="AS78" s="21" t="str">
        <f>IFERROR(VLOOKUP(March[[#This Row],[Drug Name4]],'Data Options'!$R$1:$S$100,2,FALSE), " ")</f>
        <v xml:space="preserve"> </v>
      </c>
      <c r="AT78" s="55"/>
      <c r="AU78" s="32"/>
      <c r="AV78" s="32"/>
      <c r="AW78" s="55"/>
      <c r="AX78" s="32"/>
      <c r="AY78" s="54"/>
      <c r="AZ78" s="21" t="str">
        <f>IFERROR(VLOOKUP(March[[#This Row],[Drug Name5]],'Data Options'!$R$1:$S$100,2,FALSE), " ")</f>
        <v xml:space="preserve"> </v>
      </c>
      <c r="BA78" s="55"/>
      <c r="BB78" s="32"/>
      <c r="BC78" s="32"/>
      <c r="BD78" s="55"/>
      <c r="BE78" s="32"/>
      <c r="BF78" s="54"/>
      <c r="BG78" s="21" t="str">
        <f>IFERROR(VLOOKUP(March[[#This Row],[Drug Name6]],'Data Options'!$R$1:$S$100,2,FALSE), " ")</f>
        <v xml:space="preserve"> </v>
      </c>
      <c r="BH78" s="55"/>
      <c r="BI78" s="32"/>
      <c r="BJ78" s="32"/>
      <c r="BK78" s="55"/>
      <c r="BL78" s="32"/>
      <c r="BM78" s="32"/>
      <c r="BN78" s="32"/>
      <c r="BO78" s="32"/>
      <c r="BP78" s="32"/>
      <c r="BQ78" s="31"/>
      <c r="BR78" s="31"/>
      <c r="BS78" s="54"/>
      <c r="BT78" s="21" t="str">
        <f>IFERROR(VLOOKUP(March[[#This Row],[Drug Name7]],'Data Options'!$R$1:$S$100,2,FALSE), " ")</f>
        <v xml:space="preserve"> </v>
      </c>
      <c r="BU78" s="55"/>
      <c r="BV78" s="32"/>
      <c r="BW78" s="32"/>
      <c r="BX78" s="55"/>
      <c r="BY78" s="32"/>
      <c r="BZ78" s="54"/>
      <c r="CA78" s="21" t="str">
        <f>IFERROR(VLOOKUP(March[[#This Row],[Drug Name8]],'Data Options'!$R$1:$S$100,2,FALSE), " ")</f>
        <v xml:space="preserve"> </v>
      </c>
      <c r="CB78" s="55"/>
      <c r="CC78" s="32"/>
      <c r="CD78" s="32"/>
      <c r="CE78" s="55"/>
      <c r="CF78" s="32"/>
      <c r="CG78" s="54"/>
      <c r="CH78" s="21" t="str">
        <f>IFERROR(VLOOKUP(March[[#This Row],[Drug Name9]],'Data Options'!$R$1:$S$100,2,FALSE), " ")</f>
        <v xml:space="preserve"> </v>
      </c>
      <c r="CI78" s="55"/>
      <c r="CJ78" s="32"/>
      <c r="CK78" s="32"/>
      <c r="CL78" s="55"/>
      <c r="CM78" s="32"/>
    </row>
    <row r="79" spans="1:91">
      <c r="A79" s="5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31"/>
      <c r="Q79" s="54"/>
      <c r="R79" s="21" t="str">
        <f>IFERROR(VLOOKUP(March[[#This Row],[Drug Name]],'Data Options'!$R$1:$S$100,2,FALSE), " ")</f>
        <v xml:space="preserve"> </v>
      </c>
      <c r="S79" s="55"/>
      <c r="T79" s="32"/>
      <c r="U79" s="32"/>
      <c r="V79" s="55"/>
      <c r="W79" s="32"/>
      <c r="X79" s="54"/>
      <c r="Y79" s="21" t="str">
        <f>IFERROR(VLOOKUP(March[[#This Row],[Drug Name2]],'Data Options'!$R$1:$S$100,2,FALSE), " ")</f>
        <v xml:space="preserve"> </v>
      </c>
      <c r="Z79" s="55"/>
      <c r="AA79" s="32"/>
      <c r="AB79" s="32"/>
      <c r="AC79" s="55"/>
      <c r="AD79" s="32"/>
      <c r="AE79" s="54"/>
      <c r="AF79" s="21" t="str">
        <f>IFERROR(VLOOKUP(March[[#This Row],[Drug Name3]],'Data Options'!$R$1:$S$100,2,FALSE), " ")</f>
        <v xml:space="preserve"> </v>
      </c>
      <c r="AG79" s="55"/>
      <c r="AH79" s="32"/>
      <c r="AI79" s="32"/>
      <c r="AJ79" s="55"/>
      <c r="AK79" s="32"/>
      <c r="AL79" s="32"/>
      <c r="AM79" s="32"/>
      <c r="AN79" s="32"/>
      <c r="AO79" s="32"/>
      <c r="AP79" s="31"/>
      <c r="AQ79" s="31"/>
      <c r="AR79" s="54"/>
      <c r="AS79" s="21" t="str">
        <f>IFERROR(VLOOKUP(March[[#This Row],[Drug Name4]],'Data Options'!$R$1:$S$100,2,FALSE), " ")</f>
        <v xml:space="preserve"> </v>
      </c>
      <c r="AT79" s="55"/>
      <c r="AU79" s="32"/>
      <c r="AV79" s="32"/>
      <c r="AW79" s="55"/>
      <c r="AX79" s="32"/>
      <c r="AY79" s="54"/>
      <c r="AZ79" s="21" t="str">
        <f>IFERROR(VLOOKUP(March[[#This Row],[Drug Name5]],'Data Options'!$R$1:$S$100,2,FALSE), " ")</f>
        <v xml:space="preserve"> </v>
      </c>
      <c r="BA79" s="55"/>
      <c r="BB79" s="32"/>
      <c r="BC79" s="32"/>
      <c r="BD79" s="55"/>
      <c r="BE79" s="32"/>
      <c r="BF79" s="54"/>
      <c r="BG79" s="21" t="str">
        <f>IFERROR(VLOOKUP(March[[#This Row],[Drug Name6]],'Data Options'!$R$1:$S$100,2,FALSE), " ")</f>
        <v xml:space="preserve"> </v>
      </c>
      <c r="BH79" s="55"/>
      <c r="BI79" s="32"/>
      <c r="BJ79" s="32"/>
      <c r="BK79" s="55"/>
      <c r="BL79" s="32"/>
      <c r="BM79" s="32"/>
      <c r="BN79" s="32"/>
      <c r="BO79" s="32"/>
      <c r="BP79" s="32"/>
      <c r="BQ79" s="31"/>
      <c r="BR79" s="31"/>
      <c r="BS79" s="54"/>
      <c r="BT79" s="21" t="str">
        <f>IFERROR(VLOOKUP(March[[#This Row],[Drug Name7]],'Data Options'!$R$1:$S$100,2,FALSE), " ")</f>
        <v xml:space="preserve"> </v>
      </c>
      <c r="BU79" s="55"/>
      <c r="BV79" s="32"/>
      <c r="BW79" s="32"/>
      <c r="BX79" s="55"/>
      <c r="BY79" s="32"/>
      <c r="BZ79" s="54"/>
      <c r="CA79" s="21" t="str">
        <f>IFERROR(VLOOKUP(March[[#This Row],[Drug Name8]],'Data Options'!$R$1:$S$100,2,FALSE), " ")</f>
        <v xml:space="preserve"> </v>
      </c>
      <c r="CB79" s="55"/>
      <c r="CC79" s="32"/>
      <c r="CD79" s="32"/>
      <c r="CE79" s="55"/>
      <c r="CF79" s="32"/>
      <c r="CG79" s="54"/>
      <c r="CH79" s="21" t="str">
        <f>IFERROR(VLOOKUP(March[[#This Row],[Drug Name9]],'Data Options'!$R$1:$S$100,2,FALSE), " ")</f>
        <v xml:space="preserve"> </v>
      </c>
      <c r="CI79" s="55"/>
      <c r="CJ79" s="32"/>
      <c r="CK79" s="32"/>
      <c r="CL79" s="55"/>
      <c r="CM79" s="32"/>
    </row>
    <row r="80" spans="1:91">
      <c r="A80" s="5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31"/>
      <c r="Q80" s="54"/>
      <c r="R80" s="21" t="str">
        <f>IFERROR(VLOOKUP(March[[#This Row],[Drug Name]],'Data Options'!$R$1:$S$100,2,FALSE), " ")</f>
        <v xml:space="preserve"> </v>
      </c>
      <c r="S80" s="55"/>
      <c r="T80" s="32"/>
      <c r="U80" s="32"/>
      <c r="V80" s="55"/>
      <c r="W80" s="32"/>
      <c r="X80" s="54"/>
      <c r="Y80" s="21" t="str">
        <f>IFERROR(VLOOKUP(March[[#This Row],[Drug Name2]],'Data Options'!$R$1:$S$100,2,FALSE), " ")</f>
        <v xml:space="preserve"> </v>
      </c>
      <c r="Z80" s="55"/>
      <c r="AA80" s="32"/>
      <c r="AB80" s="32"/>
      <c r="AC80" s="55"/>
      <c r="AD80" s="32"/>
      <c r="AE80" s="54"/>
      <c r="AF80" s="21" t="str">
        <f>IFERROR(VLOOKUP(March[[#This Row],[Drug Name3]],'Data Options'!$R$1:$S$100,2,FALSE), " ")</f>
        <v xml:space="preserve"> </v>
      </c>
      <c r="AG80" s="55"/>
      <c r="AH80" s="32"/>
      <c r="AI80" s="32"/>
      <c r="AJ80" s="55"/>
      <c r="AK80" s="32"/>
      <c r="AL80" s="32"/>
      <c r="AM80" s="32"/>
      <c r="AN80" s="32"/>
      <c r="AO80" s="32"/>
      <c r="AP80" s="31"/>
      <c r="AQ80" s="31"/>
      <c r="AR80" s="54"/>
      <c r="AS80" s="21" t="str">
        <f>IFERROR(VLOOKUP(March[[#This Row],[Drug Name4]],'Data Options'!$R$1:$S$100,2,FALSE), " ")</f>
        <v xml:space="preserve"> </v>
      </c>
      <c r="AT80" s="55"/>
      <c r="AU80" s="32"/>
      <c r="AV80" s="32"/>
      <c r="AW80" s="55"/>
      <c r="AX80" s="32"/>
      <c r="AY80" s="54"/>
      <c r="AZ80" s="21" t="str">
        <f>IFERROR(VLOOKUP(March[[#This Row],[Drug Name5]],'Data Options'!$R$1:$S$100,2,FALSE), " ")</f>
        <v xml:space="preserve"> </v>
      </c>
      <c r="BA80" s="55"/>
      <c r="BB80" s="32"/>
      <c r="BC80" s="32"/>
      <c r="BD80" s="55"/>
      <c r="BE80" s="32"/>
      <c r="BF80" s="54"/>
      <c r="BG80" s="21" t="str">
        <f>IFERROR(VLOOKUP(March[[#This Row],[Drug Name6]],'Data Options'!$R$1:$S$100,2,FALSE), " ")</f>
        <v xml:space="preserve"> </v>
      </c>
      <c r="BH80" s="55"/>
      <c r="BI80" s="32"/>
      <c r="BJ80" s="32"/>
      <c r="BK80" s="55"/>
      <c r="BL80" s="32"/>
      <c r="BM80" s="32"/>
      <c r="BN80" s="32"/>
      <c r="BO80" s="32"/>
      <c r="BP80" s="32"/>
      <c r="BQ80" s="31"/>
      <c r="BR80" s="31"/>
      <c r="BS80" s="54"/>
      <c r="BT80" s="21" t="str">
        <f>IFERROR(VLOOKUP(March[[#This Row],[Drug Name7]],'Data Options'!$R$1:$S$100,2,FALSE), " ")</f>
        <v xml:space="preserve"> </v>
      </c>
      <c r="BU80" s="55"/>
      <c r="BV80" s="32"/>
      <c r="BW80" s="32"/>
      <c r="BX80" s="55"/>
      <c r="BY80" s="32"/>
      <c r="BZ80" s="54"/>
      <c r="CA80" s="21" t="str">
        <f>IFERROR(VLOOKUP(March[[#This Row],[Drug Name8]],'Data Options'!$R$1:$S$100,2,FALSE), " ")</f>
        <v xml:space="preserve"> </v>
      </c>
      <c r="CB80" s="55"/>
      <c r="CC80" s="32"/>
      <c r="CD80" s="32"/>
      <c r="CE80" s="55"/>
      <c r="CF80" s="32"/>
      <c r="CG80" s="54"/>
      <c r="CH80" s="21" t="str">
        <f>IFERROR(VLOOKUP(March[[#This Row],[Drug Name9]],'Data Options'!$R$1:$S$100,2,FALSE), " ")</f>
        <v xml:space="preserve"> </v>
      </c>
      <c r="CI80" s="55"/>
      <c r="CJ80" s="32"/>
      <c r="CK80" s="32"/>
      <c r="CL80" s="55"/>
      <c r="CM80" s="32"/>
    </row>
    <row r="81" spans="1:91">
      <c r="A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54"/>
      <c r="R81" s="21" t="str">
        <f>IFERROR(VLOOKUP(March[[#This Row],[Drug Name]],'Data Options'!$R$1:$S$100,2,FALSE), " ")</f>
        <v xml:space="preserve"> </v>
      </c>
      <c r="S81" s="55"/>
      <c r="T81" s="32"/>
      <c r="U81" s="32"/>
      <c r="V81" s="55"/>
      <c r="W81" s="32"/>
      <c r="X81" s="54"/>
      <c r="Y81" s="21" t="str">
        <f>IFERROR(VLOOKUP(March[[#This Row],[Drug Name2]],'Data Options'!$R$1:$S$100,2,FALSE), " ")</f>
        <v xml:space="preserve"> </v>
      </c>
      <c r="Z81" s="55"/>
      <c r="AA81" s="32"/>
      <c r="AB81" s="32"/>
      <c r="AC81" s="55"/>
      <c r="AD81" s="32"/>
      <c r="AE81" s="54"/>
      <c r="AF81" s="21" t="str">
        <f>IFERROR(VLOOKUP(March[[#This Row],[Drug Name3]],'Data Options'!$R$1:$S$100,2,FALSE), " ")</f>
        <v xml:space="preserve"> </v>
      </c>
      <c r="AG81" s="55"/>
      <c r="AH81" s="32"/>
      <c r="AI81" s="32"/>
      <c r="AJ81" s="55"/>
      <c r="AK81" s="32"/>
      <c r="AL81" s="32"/>
      <c r="AM81" s="32"/>
      <c r="AN81" s="32"/>
      <c r="AO81" s="32"/>
      <c r="AP81" s="31"/>
      <c r="AQ81" s="31"/>
      <c r="AR81" s="54"/>
      <c r="AS81" s="21" t="str">
        <f>IFERROR(VLOOKUP(March[[#This Row],[Drug Name4]],'Data Options'!$R$1:$S$100,2,FALSE), " ")</f>
        <v xml:space="preserve"> </v>
      </c>
      <c r="AT81" s="55"/>
      <c r="AU81" s="32"/>
      <c r="AV81" s="32"/>
      <c r="AW81" s="55"/>
      <c r="AX81" s="32"/>
      <c r="AY81" s="54"/>
      <c r="AZ81" s="21" t="str">
        <f>IFERROR(VLOOKUP(March[[#This Row],[Drug Name5]],'Data Options'!$R$1:$S$100,2,FALSE), " ")</f>
        <v xml:space="preserve"> </v>
      </c>
      <c r="BA81" s="55"/>
      <c r="BB81" s="32"/>
      <c r="BC81" s="32"/>
      <c r="BD81" s="55"/>
      <c r="BE81" s="32"/>
      <c r="BF81" s="54"/>
      <c r="BG81" s="21" t="str">
        <f>IFERROR(VLOOKUP(March[[#This Row],[Drug Name6]],'Data Options'!$R$1:$S$100,2,FALSE), " ")</f>
        <v xml:space="preserve"> </v>
      </c>
      <c r="BH81" s="55"/>
      <c r="BI81" s="32"/>
      <c r="BJ81" s="32"/>
      <c r="BK81" s="55"/>
      <c r="BL81" s="32"/>
      <c r="BM81" s="32"/>
      <c r="BN81" s="32"/>
      <c r="BO81" s="32"/>
      <c r="BP81" s="32"/>
      <c r="BQ81" s="31"/>
      <c r="BR81" s="31"/>
      <c r="BS81" s="54"/>
      <c r="BT81" s="21" t="str">
        <f>IFERROR(VLOOKUP(March[[#This Row],[Drug Name7]],'Data Options'!$R$1:$S$100,2,FALSE), " ")</f>
        <v xml:space="preserve"> </v>
      </c>
      <c r="BU81" s="55"/>
      <c r="BV81" s="32"/>
      <c r="BW81" s="32"/>
      <c r="BX81" s="55"/>
      <c r="BY81" s="32"/>
      <c r="BZ81" s="54"/>
      <c r="CA81" s="21" t="str">
        <f>IFERROR(VLOOKUP(March[[#This Row],[Drug Name8]],'Data Options'!$R$1:$S$100,2,FALSE), " ")</f>
        <v xml:space="preserve"> </v>
      </c>
      <c r="CB81" s="55"/>
      <c r="CC81" s="32"/>
      <c r="CD81" s="32"/>
      <c r="CE81" s="55"/>
      <c r="CF81" s="32"/>
      <c r="CG81" s="54"/>
      <c r="CH81" s="21" t="str">
        <f>IFERROR(VLOOKUP(March[[#This Row],[Drug Name9]],'Data Options'!$R$1:$S$100,2,FALSE), " ")</f>
        <v xml:space="preserve"> </v>
      </c>
      <c r="CI81" s="55"/>
      <c r="CJ81" s="32"/>
      <c r="CK81" s="32"/>
      <c r="CL81" s="55"/>
      <c r="CM81" s="32"/>
    </row>
    <row r="82" spans="1:91">
      <c r="A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54"/>
      <c r="R82" s="21" t="str">
        <f>IFERROR(VLOOKUP(March[[#This Row],[Drug Name]],'Data Options'!$R$1:$S$100,2,FALSE), " ")</f>
        <v xml:space="preserve"> </v>
      </c>
      <c r="S82" s="55"/>
      <c r="T82" s="32"/>
      <c r="U82" s="32"/>
      <c r="V82" s="55"/>
      <c r="W82" s="32"/>
      <c r="X82" s="54"/>
      <c r="Y82" s="21" t="str">
        <f>IFERROR(VLOOKUP(March[[#This Row],[Drug Name2]],'Data Options'!$R$1:$S$100,2,FALSE), " ")</f>
        <v xml:space="preserve"> </v>
      </c>
      <c r="Z82" s="55"/>
      <c r="AA82" s="32"/>
      <c r="AB82" s="32"/>
      <c r="AC82" s="55"/>
      <c r="AD82" s="32"/>
      <c r="AE82" s="54"/>
      <c r="AF82" s="21" t="str">
        <f>IFERROR(VLOOKUP(March[[#This Row],[Drug Name3]],'Data Options'!$R$1:$S$100,2,FALSE), " ")</f>
        <v xml:space="preserve"> </v>
      </c>
      <c r="AG82" s="55"/>
      <c r="AH82" s="32"/>
      <c r="AI82" s="32"/>
      <c r="AJ82" s="55"/>
      <c r="AK82" s="32"/>
      <c r="AL82" s="32"/>
      <c r="AM82" s="32"/>
      <c r="AN82" s="32"/>
      <c r="AO82" s="32"/>
      <c r="AP82" s="31"/>
      <c r="AQ82" s="31"/>
      <c r="AR82" s="54"/>
      <c r="AS82" s="21" t="str">
        <f>IFERROR(VLOOKUP(March[[#This Row],[Drug Name4]],'Data Options'!$R$1:$S$100,2,FALSE), " ")</f>
        <v xml:space="preserve"> </v>
      </c>
      <c r="AT82" s="55"/>
      <c r="AU82" s="32"/>
      <c r="AV82" s="32"/>
      <c r="AW82" s="55"/>
      <c r="AX82" s="32"/>
      <c r="AY82" s="54"/>
      <c r="AZ82" s="21" t="str">
        <f>IFERROR(VLOOKUP(March[[#This Row],[Drug Name5]],'Data Options'!$R$1:$S$100,2,FALSE), " ")</f>
        <v xml:space="preserve"> </v>
      </c>
      <c r="BA82" s="55"/>
      <c r="BB82" s="32"/>
      <c r="BC82" s="32"/>
      <c r="BD82" s="55"/>
      <c r="BE82" s="32"/>
      <c r="BF82" s="54"/>
      <c r="BG82" s="21" t="str">
        <f>IFERROR(VLOOKUP(March[[#This Row],[Drug Name6]],'Data Options'!$R$1:$S$100,2,FALSE), " ")</f>
        <v xml:space="preserve"> </v>
      </c>
      <c r="BH82" s="55"/>
      <c r="BI82" s="32"/>
      <c r="BJ82" s="32"/>
      <c r="BK82" s="55"/>
      <c r="BL82" s="32"/>
      <c r="BM82" s="32"/>
      <c r="BN82" s="32"/>
      <c r="BO82" s="32"/>
      <c r="BP82" s="32"/>
      <c r="BQ82" s="31"/>
      <c r="BR82" s="31"/>
      <c r="BS82" s="54"/>
      <c r="BT82" s="21" t="str">
        <f>IFERROR(VLOOKUP(March[[#This Row],[Drug Name7]],'Data Options'!$R$1:$S$100,2,FALSE), " ")</f>
        <v xml:space="preserve"> </v>
      </c>
      <c r="BU82" s="55"/>
      <c r="BV82" s="32"/>
      <c r="BW82" s="32"/>
      <c r="BX82" s="55"/>
      <c r="BY82" s="32"/>
      <c r="BZ82" s="54"/>
      <c r="CA82" s="21" t="str">
        <f>IFERROR(VLOOKUP(March[[#This Row],[Drug Name8]],'Data Options'!$R$1:$S$100,2,FALSE), " ")</f>
        <v xml:space="preserve"> </v>
      </c>
      <c r="CB82" s="55"/>
      <c r="CC82" s="32"/>
      <c r="CD82" s="32"/>
      <c r="CE82" s="55"/>
      <c r="CF82" s="32"/>
      <c r="CG82" s="54"/>
      <c r="CH82" s="21" t="str">
        <f>IFERROR(VLOOKUP(March[[#This Row],[Drug Name9]],'Data Options'!$R$1:$S$100,2,FALSE), " ")</f>
        <v xml:space="preserve"> </v>
      </c>
      <c r="CI82" s="55"/>
      <c r="CJ82" s="32"/>
      <c r="CK82" s="32"/>
      <c r="CL82" s="55"/>
      <c r="CM82" s="32"/>
    </row>
    <row r="83" spans="1:91">
      <c r="A83" s="5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31"/>
      <c r="Q83" s="54"/>
      <c r="R83" s="21" t="str">
        <f>IFERROR(VLOOKUP(March[[#This Row],[Drug Name]],'Data Options'!$R$1:$S$100,2,FALSE), " ")</f>
        <v xml:space="preserve"> </v>
      </c>
      <c r="S83" s="55"/>
      <c r="T83" s="32"/>
      <c r="U83" s="32"/>
      <c r="V83" s="55"/>
      <c r="W83" s="32"/>
      <c r="X83" s="54"/>
      <c r="Y83" s="21" t="str">
        <f>IFERROR(VLOOKUP(March[[#This Row],[Drug Name2]],'Data Options'!$R$1:$S$100,2,FALSE), " ")</f>
        <v xml:space="preserve"> </v>
      </c>
      <c r="Z83" s="55"/>
      <c r="AA83" s="32"/>
      <c r="AB83" s="32"/>
      <c r="AC83" s="55"/>
      <c r="AD83" s="32"/>
      <c r="AE83" s="54"/>
      <c r="AF83" s="21" t="str">
        <f>IFERROR(VLOOKUP(March[[#This Row],[Drug Name3]],'Data Options'!$R$1:$S$100,2,FALSE), " ")</f>
        <v xml:space="preserve"> </v>
      </c>
      <c r="AG83" s="55"/>
      <c r="AH83" s="32"/>
      <c r="AI83" s="32"/>
      <c r="AJ83" s="55"/>
      <c r="AK83" s="32"/>
      <c r="AL83" s="32"/>
      <c r="AM83" s="32"/>
      <c r="AN83" s="32"/>
      <c r="AO83" s="32"/>
      <c r="AP83" s="31"/>
      <c r="AQ83" s="31"/>
      <c r="AR83" s="54"/>
      <c r="AS83" s="21" t="str">
        <f>IFERROR(VLOOKUP(March[[#This Row],[Drug Name4]],'Data Options'!$R$1:$S$100,2,FALSE), " ")</f>
        <v xml:space="preserve"> </v>
      </c>
      <c r="AT83" s="55"/>
      <c r="AU83" s="32"/>
      <c r="AV83" s="32"/>
      <c r="AW83" s="55"/>
      <c r="AX83" s="32"/>
      <c r="AY83" s="54"/>
      <c r="AZ83" s="21" t="str">
        <f>IFERROR(VLOOKUP(March[[#This Row],[Drug Name5]],'Data Options'!$R$1:$S$100,2,FALSE), " ")</f>
        <v xml:space="preserve"> </v>
      </c>
      <c r="BA83" s="55"/>
      <c r="BB83" s="32"/>
      <c r="BC83" s="32"/>
      <c r="BD83" s="55"/>
      <c r="BE83" s="32"/>
      <c r="BF83" s="54"/>
      <c r="BG83" s="21" t="str">
        <f>IFERROR(VLOOKUP(March[[#This Row],[Drug Name6]],'Data Options'!$R$1:$S$100,2,FALSE), " ")</f>
        <v xml:space="preserve"> </v>
      </c>
      <c r="BH83" s="55"/>
      <c r="BI83" s="32"/>
      <c r="BJ83" s="32"/>
      <c r="BK83" s="55"/>
      <c r="BL83" s="32"/>
      <c r="BM83" s="32"/>
      <c r="BN83" s="32"/>
      <c r="BO83" s="32"/>
      <c r="BP83" s="32"/>
      <c r="BQ83" s="31"/>
      <c r="BR83" s="31"/>
      <c r="BS83" s="54"/>
      <c r="BT83" s="21" t="str">
        <f>IFERROR(VLOOKUP(March[[#This Row],[Drug Name7]],'Data Options'!$R$1:$S$100,2,FALSE), " ")</f>
        <v xml:space="preserve"> </v>
      </c>
      <c r="BU83" s="55"/>
      <c r="BV83" s="32"/>
      <c r="BW83" s="32"/>
      <c r="BX83" s="55"/>
      <c r="BY83" s="32"/>
      <c r="BZ83" s="54"/>
      <c r="CA83" s="21" t="str">
        <f>IFERROR(VLOOKUP(March[[#This Row],[Drug Name8]],'Data Options'!$R$1:$S$100,2,FALSE), " ")</f>
        <v xml:space="preserve"> </v>
      </c>
      <c r="CB83" s="55"/>
      <c r="CC83" s="32"/>
      <c r="CD83" s="32"/>
      <c r="CE83" s="55"/>
      <c r="CF83" s="32"/>
      <c r="CG83" s="54"/>
      <c r="CH83" s="21" t="str">
        <f>IFERROR(VLOOKUP(March[[#This Row],[Drug Name9]],'Data Options'!$R$1:$S$100,2,FALSE), " ")</f>
        <v xml:space="preserve"> </v>
      </c>
      <c r="CI83" s="55"/>
      <c r="CJ83" s="32"/>
      <c r="CK83" s="32"/>
      <c r="CL83" s="55"/>
      <c r="CM83" s="32"/>
    </row>
    <row r="84" spans="1:91">
      <c r="A84" s="5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31"/>
      <c r="Q84" s="54"/>
      <c r="R84" s="21" t="str">
        <f>IFERROR(VLOOKUP(March[[#This Row],[Drug Name]],'Data Options'!$R$1:$S$100,2,FALSE), " ")</f>
        <v xml:space="preserve"> </v>
      </c>
      <c r="S84" s="55"/>
      <c r="T84" s="32"/>
      <c r="U84" s="32"/>
      <c r="V84" s="55"/>
      <c r="W84" s="32"/>
      <c r="X84" s="54"/>
      <c r="Y84" s="21" t="str">
        <f>IFERROR(VLOOKUP(March[[#This Row],[Drug Name2]],'Data Options'!$R$1:$S$100,2,FALSE), " ")</f>
        <v xml:space="preserve"> </v>
      </c>
      <c r="Z84" s="55"/>
      <c r="AA84" s="32"/>
      <c r="AB84" s="32"/>
      <c r="AC84" s="55"/>
      <c r="AD84" s="32"/>
      <c r="AE84" s="54"/>
      <c r="AF84" s="21" t="str">
        <f>IFERROR(VLOOKUP(March[[#This Row],[Drug Name3]],'Data Options'!$R$1:$S$100,2,FALSE), " ")</f>
        <v xml:space="preserve"> </v>
      </c>
      <c r="AG84" s="55"/>
      <c r="AH84" s="32"/>
      <c r="AI84" s="32"/>
      <c r="AJ84" s="55"/>
      <c r="AK84" s="32"/>
      <c r="AL84" s="32"/>
      <c r="AM84" s="32"/>
      <c r="AN84" s="32"/>
      <c r="AO84" s="32"/>
      <c r="AP84" s="31"/>
      <c r="AQ84" s="31"/>
      <c r="AR84" s="54"/>
      <c r="AS84" s="21" t="str">
        <f>IFERROR(VLOOKUP(March[[#This Row],[Drug Name4]],'Data Options'!$R$1:$S$100,2,FALSE), " ")</f>
        <v xml:space="preserve"> </v>
      </c>
      <c r="AT84" s="55"/>
      <c r="AU84" s="32"/>
      <c r="AV84" s="32"/>
      <c r="AW84" s="55"/>
      <c r="AX84" s="32"/>
      <c r="AY84" s="54"/>
      <c r="AZ84" s="21" t="str">
        <f>IFERROR(VLOOKUP(March[[#This Row],[Drug Name5]],'Data Options'!$R$1:$S$100,2,FALSE), " ")</f>
        <v xml:space="preserve"> </v>
      </c>
      <c r="BA84" s="55"/>
      <c r="BB84" s="32"/>
      <c r="BC84" s="32"/>
      <c r="BD84" s="55"/>
      <c r="BE84" s="32"/>
      <c r="BF84" s="54"/>
      <c r="BG84" s="21" t="str">
        <f>IFERROR(VLOOKUP(March[[#This Row],[Drug Name6]],'Data Options'!$R$1:$S$100,2,FALSE), " ")</f>
        <v xml:space="preserve"> </v>
      </c>
      <c r="BH84" s="55"/>
      <c r="BI84" s="32"/>
      <c r="BJ84" s="32"/>
      <c r="BK84" s="55"/>
      <c r="BL84" s="32"/>
      <c r="BM84" s="32"/>
      <c r="BN84" s="32"/>
      <c r="BO84" s="32"/>
      <c r="BP84" s="32"/>
      <c r="BQ84" s="31"/>
      <c r="BR84" s="31"/>
      <c r="BS84" s="54"/>
      <c r="BT84" s="21" t="str">
        <f>IFERROR(VLOOKUP(March[[#This Row],[Drug Name7]],'Data Options'!$R$1:$S$100,2,FALSE), " ")</f>
        <v xml:space="preserve"> </v>
      </c>
      <c r="BU84" s="55"/>
      <c r="BV84" s="32"/>
      <c r="BW84" s="32"/>
      <c r="BX84" s="55"/>
      <c r="BY84" s="32"/>
      <c r="BZ84" s="54"/>
      <c r="CA84" s="21" t="str">
        <f>IFERROR(VLOOKUP(March[[#This Row],[Drug Name8]],'Data Options'!$R$1:$S$100,2,FALSE), " ")</f>
        <v xml:space="preserve"> </v>
      </c>
      <c r="CB84" s="55"/>
      <c r="CC84" s="32"/>
      <c r="CD84" s="32"/>
      <c r="CE84" s="55"/>
      <c r="CF84" s="32"/>
      <c r="CG84" s="54"/>
      <c r="CH84" s="21" t="str">
        <f>IFERROR(VLOOKUP(March[[#This Row],[Drug Name9]],'Data Options'!$R$1:$S$100,2,FALSE), " ")</f>
        <v xml:space="preserve"> </v>
      </c>
      <c r="CI84" s="55"/>
      <c r="CJ84" s="32"/>
      <c r="CK84" s="32"/>
      <c r="CL84" s="55"/>
      <c r="CM84" s="32"/>
    </row>
    <row r="85" spans="1:91">
      <c r="A85" s="5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31"/>
      <c r="Q85" s="54"/>
      <c r="R85" s="21" t="str">
        <f>IFERROR(VLOOKUP(March[[#This Row],[Drug Name]],'Data Options'!$R$1:$S$100,2,FALSE), " ")</f>
        <v xml:space="preserve"> </v>
      </c>
      <c r="S85" s="55"/>
      <c r="T85" s="32"/>
      <c r="U85" s="32"/>
      <c r="V85" s="55"/>
      <c r="W85" s="32"/>
      <c r="X85" s="54"/>
      <c r="Y85" s="21" t="str">
        <f>IFERROR(VLOOKUP(March[[#This Row],[Drug Name2]],'Data Options'!$R$1:$S$100,2,FALSE), " ")</f>
        <v xml:space="preserve"> </v>
      </c>
      <c r="Z85" s="55"/>
      <c r="AA85" s="32"/>
      <c r="AB85" s="32"/>
      <c r="AC85" s="55"/>
      <c r="AD85" s="32"/>
      <c r="AE85" s="54"/>
      <c r="AF85" s="21" t="str">
        <f>IFERROR(VLOOKUP(March[[#This Row],[Drug Name3]],'Data Options'!$R$1:$S$100,2,FALSE), " ")</f>
        <v xml:space="preserve"> </v>
      </c>
      <c r="AG85" s="55"/>
      <c r="AH85" s="32"/>
      <c r="AI85" s="32"/>
      <c r="AJ85" s="55"/>
      <c r="AK85" s="32"/>
      <c r="AL85" s="32"/>
      <c r="AM85" s="32"/>
      <c r="AN85" s="32"/>
      <c r="AO85" s="32"/>
      <c r="AP85" s="31"/>
      <c r="AQ85" s="31"/>
      <c r="AR85" s="54"/>
      <c r="AS85" s="21" t="str">
        <f>IFERROR(VLOOKUP(March[[#This Row],[Drug Name4]],'Data Options'!$R$1:$S$100,2,FALSE), " ")</f>
        <v xml:space="preserve"> </v>
      </c>
      <c r="AT85" s="55"/>
      <c r="AU85" s="32"/>
      <c r="AV85" s="32"/>
      <c r="AW85" s="55"/>
      <c r="AX85" s="32"/>
      <c r="AY85" s="54"/>
      <c r="AZ85" s="21" t="str">
        <f>IFERROR(VLOOKUP(March[[#This Row],[Drug Name5]],'Data Options'!$R$1:$S$100,2,FALSE), " ")</f>
        <v xml:space="preserve"> </v>
      </c>
      <c r="BA85" s="55"/>
      <c r="BB85" s="32"/>
      <c r="BC85" s="32"/>
      <c r="BD85" s="55"/>
      <c r="BE85" s="32"/>
      <c r="BF85" s="54"/>
      <c r="BG85" s="21" t="str">
        <f>IFERROR(VLOOKUP(March[[#This Row],[Drug Name6]],'Data Options'!$R$1:$S$100,2,FALSE), " ")</f>
        <v xml:space="preserve"> </v>
      </c>
      <c r="BH85" s="55"/>
      <c r="BI85" s="32"/>
      <c r="BJ85" s="32"/>
      <c r="BK85" s="55"/>
      <c r="BL85" s="32"/>
      <c r="BM85" s="32"/>
      <c r="BN85" s="32"/>
      <c r="BO85" s="32"/>
      <c r="BP85" s="32"/>
      <c r="BQ85" s="31"/>
      <c r="BR85" s="31"/>
      <c r="BS85" s="54"/>
      <c r="BT85" s="21" t="str">
        <f>IFERROR(VLOOKUP(March[[#This Row],[Drug Name7]],'Data Options'!$R$1:$S$100,2,FALSE), " ")</f>
        <v xml:space="preserve"> </v>
      </c>
      <c r="BU85" s="55"/>
      <c r="BV85" s="32"/>
      <c r="BW85" s="32"/>
      <c r="BX85" s="55"/>
      <c r="BY85" s="32"/>
      <c r="BZ85" s="54"/>
      <c r="CA85" s="21" t="str">
        <f>IFERROR(VLOOKUP(March[[#This Row],[Drug Name8]],'Data Options'!$R$1:$S$100,2,FALSE), " ")</f>
        <v xml:space="preserve"> </v>
      </c>
      <c r="CB85" s="55"/>
      <c r="CC85" s="32"/>
      <c r="CD85" s="32"/>
      <c r="CE85" s="55"/>
      <c r="CF85" s="32"/>
      <c r="CG85" s="54"/>
      <c r="CH85" s="21" t="str">
        <f>IFERROR(VLOOKUP(March[[#This Row],[Drug Name9]],'Data Options'!$R$1:$S$100,2,FALSE), " ")</f>
        <v xml:space="preserve"> </v>
      </c>
      <c r="CI85" s="55"/>
      <c r="CJ85" s="32"/>
      <c r="CK85" s="32"/>
      <c r="CL85" s="55"/>
      <c r="CM85" s="32"/>
    </row>
    <row r="86" spans="1:91">
      <c r="A86" s="5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31"/>
      <c r="Q86" s="54"/>
      <c r="R86" s="21" t="str">
        <f>IFERROR(VLOOKUP(March[[#This Row],[Drug Name]],'Data Options'!$R$1:$S$100,2,FALSE), " ")</f>
        <v xml:space="preserve"> </v>
      </c>
      <c r="S86" s="55"/>
      <c r="T86" s="32"/>
      <c r="U86" s="32"/>
      <c r="V86" s="55"/>
      <c r="W86" s="32"/>
      <c r="X86" s="54"/>
      <c r="Y86" s="21" t="str">
        <f>IFERROR(VLOOKUP(March[[#This Row],[Drug Name2]],'Data Options'!$R$1:$S$100,2,FALSE), " ")</f>
        <v xml:space="preserve"> </v>
      </c>
      <c r="Z86" s="55"/>
      <c r="AA86" s="32"/>
      <c r="AB86" s="32"/>
      <c r="AC86" s="55"/>
      <c r="AD86" s="32"/>
      <c r="AE86" s="54"/>
      <c r="AF86" s="21" t="str">
        <f>IFERROR(VLOOKUP(March[[#This Row],[Drug Name3]],'Data Options'!$R$1:$S$100,2,FALSE), " ")</f>
        <v xml:space="preserve"> </v>
      </c>
      <c r="AG86" s="55"/>
      <c r="AH86" s="32"/>
      <c r="AI86" s="32"/>
      <c r="AJ86" s="55"/>
      <c r="AK86" s="32"/>
      <c r="AL86" s="32"/>
      <c r="AM86" s="32"/>
      <c r="AN86" s="32"/>
      <c r="AO86" s="32"/>
      <c r="AP86" s="31"/>
      <c r="AQ86" s="31"/>
      <c r="AR86" s="54"/>
      <c r="AS86" s="21" t="str">
        <f>IFERROR(VLOOKUP(March[[#This Row],[Drug Name4]],'Data Options'!$R$1:$S$100,2,FALSE), " ")</f>
        <v xml:space="preserve"> </v>
      </c>
      <c r="AT86" s="55"/>
      <c r="AU86" s="32"/>
      <c r="AV86" s="32"/>
      <c r="AW86" s="55"/>
      <c r="AX86" s="32"/>
      <c r="AY86" s="54"/>
      <c r="AZ86" s="21" t="str">
        <f>IFERROR(VLOOKUP(March[[#This Row],[Drug Name5]],'Data Options'!$R$1:$S$100,2,FALSE), " ")</f>
        <v xml:space="preserve"> </v>
      </c>
      <c r="BA86" s="55"/>
      <c r="BB86" s="32"/>
      <c r="BC86" s="32"/>
      <c r="BD86" s="55"/>
      <c r="BE86" s="32"/>
      <c r="BF86" s="54"/>
      <c r="BG86" s="21" t="str">
        <f>IFERROR(VLOOKUP(March[[#This Row],[Drug Name6]],'Data Options'!$R$1:$S$100,2,FALSE), " ")</f>
        <v xml:space="preserve"> </v>
      </c>
      <c r="BH86" s="55"/>
      <c r="BI86" s="32"/>
      <c r="BJ86" s="32"/>
      <c r="BK86" s="55"/>
      <c r="BL86" s="32"/>
      <c r="BM86" s="32"/>
      <c r="BN86" s="32"/>
      <c r="BO86" s="32"/>
      <c r="BP86" s="32"/>
      <c r="BQ86" s="31"/>
      <c r="BR86" s="31"/>
      <c r="BS86" s="54"/>
      <c r="BT86" s="21" t="str">
        <f>IFERROR(VLOOKUP(March[[#This Row],[Drug Name7]],'Data Options'!$R$1:$S$100,2,FALSE), " ")</f>
        <v xml:space="preserve"> </v>
      </c>
      <c r="BU86" s="55"/>
      <c r="BV86" s="32"/>
      <c r="BW86" s="32"/>
      <c r="BX86" s="55"/>
      <c r="BY86" s="32"/>
      <c r="BZ86" s="54"/>
      <c r="CA86" s="21" t="str">
        <f>IFERROR(VLOOKUP(March[[#This Row],[Drug Name8]],'Data Options'!$R$1:$S$100,2,FALSE), " ")</f>
        <v xml:space="preserve"> </v>
      </c>
      <c r="CB86" s="55"/>
      <c r="CC86" s="32"/>
      <c r="CD86" s="32"/>
      <c r="CE86" s="55"/>
      <c r="CF86" s="32"/>
      <c r="CG86" s="54"/>
      <c r="CH86" s="21" t="str">
        <f>IFERROR(VLOOKUP(March[[#This Row],[Drug Name9]],'Data Options'!$R$1:$S$100,2,FALSE), " ")</f>
        <v xml:space="preserve"> </v>
      </c>
      <c r="CI86" s="55"/>
      <c r="CJ86" s="32"/>
      <c r="CK86" s="32"/>
      <c r="CL86" s="55"/>
      <c r="CM86" s="32"/>
    </row>
    <row r="87" spans="1:91">
      <c r="A87" s="5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31"/>
      <c r="Q87" s="54"/>
      <c r="R87" s="21" t="str">
        <f>IFERROR(VLOOKUP(March[[#This Row],[Drug Name]],'Data Options'!$R$1:$S$100,2,FALSE), " ")</f>
        <v xml:space="preserve"> </v>
      </c>
      <c r="S87" s="55"/>
      <c r="T87" s="32"/>
      <c r="U87" s="32"/>
      <c r="V87" s="55"/>
      <c r="W87" s="32"/>
      <c r="X87" s="54"/>
      <c r="Y87" s="21" t="str">
        <f>IFERROR(VLOOKUP(March[[#This Row],[Drug Name2]],'Data Options'!$R$1:$S$100,2,FALSE), " ")</f>
        <v xml:space="preserve"> </v>
      </c>
      <c r="Z87" s="55"/>
      <c r="AA87" s="32"/>
      <c r="AB87" s="32"/>
      <c r="AC87" s="55"/>
      <c r="AD87" s="32"/>
      <c r="AE87" s="54"/>
      <c r="AF87" s="21" t="str">
        <f>IFERROR(VLOOKUP(March[[#This Row],[Drug Name3]],'Data Options'!$R$1:$S$100,2,FALSE), " ")</f>
        <v xml:space="preserve"> </v>
      </c>
      <c r="AG87" s="55"/>
      <c r="AH87" s="32"/>
      <c r="AI87" s="32"/>
      <c r="AJ87" s="55"/>
      <c r="AK87" s="32"/>
      <c r="AL87" s="32"/>
      <c r="AM87" s="32"/>
      <c r="AN87" s="32"/>
      <c r="AO87" s="32"/>
      <c r="AP87" s="31"/>
      <c r="AQ87" s="31"/>
      <c r="AR87" s="54"/>
      <c r="AS87" s="21" t="str">
        <f>IFERROR(VLOOKUP(March[[#This Row],[Drug Name4]],'Data Options'!$R$1:$S$100,2,FALSE), " ")</f>
        <v xml:space="preserve"> </v>
      </c>
      <c r="AT87" s="55"/>
      <c r="AU87" s="32"/>
      <c r="AV87" s="32"/>
      <c r="AW87" s="55"/>
      <c r="AX87" s="32"/>
      <c r="AY87" s="54"/>
      <c r="AZ87" s="21" t="str">
        <f>IFERROR(VLOOKUP(March[[#This Row],[Drug Name5]],'Data Options'!$R$1:$S$100,2,FALSE), " ")</f>
        <v xml:space="preserve"> </v>
      </c>
      <c r="BA87" s="55"/>
      <c r="BB87" s="32"/>
      <c r="BC87" s="32"/>
      <c r="BD87" s="55"/>
      <c r="BE87" s="32"/>
      <c r="BF87" s="54"/>
      <c r="BG87" s="21" t="str">
        <f>IFERROR(VLOOKUP(March[[#This Row],[Drug Name6]],'Data Options'!$R$1:$S$100,2,FALSE), " ")</f>
        <v xml:space="preserve"> </v>
      </c>
      <c r="BH87" s="55"/>
      <c r="BI87" s="32"/>
      <c r="BJ87" s="32"/>
      <c r="BK87" s="55"/>
      <c r="BL87" s="32"/>
      <c r="BM87" s="32"/>
      <c r="BN87" s="32"/>
      <c r="BO87" s="32"/>
      <c r="BP87" s="32"/>
      <c r="BQ87" s="31"/>
      <c r="BR87" s="31"/>
      <c r="BS87" s="54"/>
      <c r="BT87" s="21" t="str">
        <f>IFERROR(VLOOKUP(March[[#This Row],[Drug Name7]],'Data Options'!$R$1:$S$100,2,FALSE), " ")</f>
        <v xml:space="preserve"> </v>
      </c>
      <c r="BU87" s="55"/>
      <c r="BV87" s="32"/>
      <c r="BW87" s="32"/>
      <c r="BX87" s="55"/>
      <c r="BY87" s="32"/>
      <c r="BZ87" s="54"/>
      <c r="CA87" s="21" t="str">
        <f>IFERROR(VLOOKUP(March[[#This Row],[Drug Name8]],'Data Options'!$R$1:$S$100,2,FALSE), " ")</f>
        <v xml:space="preserve"> </v>
      </c>
      <c r="CB87" s="55"/>
      <c r="CC87" s="32"/>
      <c r="CD87" s="32"/>
      <c r="CE87" s="55"/>
      <c r="CF87" s="32"/>
      <c r="CG87" s="54"/>
      <c r="CH87" s="21" t="str">
        <f>IFERROR(VLOOKUP(March[[#This Row],[Drug Name9]],'Data Options'!$R$1:$S$100,2,FALSE), " ")</f>
        <v xml:space="preserve"> </v>
      </c>
      <c r="CI87" s="55"/>
      <c r="CJ87" s="32"/>
      <c r="CK87" s="32"/>
      <c r="CL87" s="55"/>
      <c r="CM87" s="32"/>
    </row>
    <row r="88" spans="1:91">
      <c r="A88" s="5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31"/>
      <c r="Q88" s="54"/>
      <c r="R88" s="21" t="str">
        <f>IFERROR(VLOOKUP(March[[#This Row],[Drug Name]],'Data Options'!$R$1:$S$100,2,FALSE), " ")</f>
        <v xml:space="preserve"> </v>
      </c>
      <c r="S88" s="55"/>
      <c r="T88" s="32"/>
      <c r="U88" s="32"/>
      <c r="V88" s="55"/>
      <c r="W88" s="32"/>
      <c r="X88" s="54"/>
      <c r="Y88" s="21" t="str">
        <f>IFERROR(VLOOKUP(March[[#This Row],[Drug Name2]],'Data Options'!$R$1:$S$100,2,FALSE), " ")</f>
        <v xml:space="preserve"> </v>
      </c>
      <c r="Z88" s="55"/>
      <c r="AA88" s="32"/>
      <c r="AB88" s="32"/>
      <c r="AC88" s="55"/>
      <c r="AD88" s="32"/>
      <c r="AE88" s="54"/>
      <c r="AF88" s="21" t="str">
        <f>IFERROR(VLOOKUP(March[[#This Row],[Drug Name3]],'Data Options'!$R$1:$S$100,2,FALSE), " ")</f>
        <v xml:space="preserve"> </v>
      </c>
      <c r="AG88" s="55"/>
      <c r="AH88" s="32"/>
      <c r="AI88" s="32"/>
      <c r="AJ88" s="55"/>
      <c r="AK88" s="32"/>
      <c r="AL88" s="32"/>
      <c r="AM88" s="32"/>
      <c r="AN88" s="32"/>
      <c r="AO88" s="32"/>
      <c r="AP88" s="31"/>
      <c r="AQ88" s="31"/>
      <c r="AR88" s="54"/>
      <c r="AS88" s="21" t="str">
        <f>IFERROR(VLOOKUP(March[[#This Row],[Drug Name4]],'Data Options'!$R$1:$S$100,2,FALSE), " ")</f>
        <v xml:space="preserve"> </v>
      </c>
      <c r="AT88" s="55"/>
      <c r="AU88" s="32"/>
      <c r="AV88" s="32"/>
      <c r="AW88" s="55"/>
      <c r="AX88" s="32"/>
      <c r="AY88" s="54"/>
      <c r="AZ88" s="21" t="str">
        <f>IFERROR(VLOOKUP(March[[#This Row],[Drug Name5]],'Data Options'!$R$1:$S$100,2,FALSE), " ")</f>
        <v xml:space="preserve"> </v>
      </c>
      <c r="BA88" s="55"/>
      <c r="BB88" s="32"/>
      <c r="BC88" s="32"/>
      <c r="BD88" s="55"/>
      <c r="BE88" s="32"/>
      <c r="BF88" s="54"/>
      <c r="BG88" s="21" t="str">
        <f>IFERROR(VLOOKUP(March[[#This Row],[Drug Name6]],'Data Options'!$R$1:$S$100,2,FALSE), " ")</f>
        <v xml:space="preserve"> </v>
      </c>
      <c r="BH88" s="55"/>
      <c r="BI88" s="32"/>
      <c r="BJ88" s="32"/>
      <c r="BK88" s="55"/>
      <c r="BL88" s="32"/>
      <c r="BM88" s="32"/>
      <c r="BN88" s="32"/>
      <c r="BO88" s="32"/>
      <c r="BP88" s="32"/>
      <c r="BQ88" s="31"/>
      <c r="BR88" s="31"/>
      <c r="BS88" s="54"/>
      <c r="BT88" s="21" t="str">
        <f>IFERROR(VLOOKUP(March[[#This Row],[Drug Name7]],'Data Options'!$R$1:$S$100,2,FALSE), " ")</f>
        <v xml:space="preserve"> </v>
      </c>
      <c r="BU88" s="55"/>
      <c r="BV88" s="32"/>
      <c r="BW88" s="32"/>
      <c r="BX88" s="55"/>
      <c r="BY88" s="32"/>
      <c r="BZ88" s="54"/>
      <c r="CA88" s="21" t="str">
        <f>IFERROR(VLOOKUP(March[[#This Row],[Drug Name8]],'Data Options'!$R$1:$S$100,2,FALSE), " ")</f>
        <v xml:space="preserve"> </v>
      </c>
      <c r="CB88" s="55"/>
      <c r="CC88" s="32"/>
      <c r="CD88" s="32"/>
      <c r="CE88" s="55"/>
      <c r="CF88" s="32"/>
      <c r="CG88" s="54"/>
      <c r="CH88" s="21" t="str">
        <f>IFERROR(VLOOKUP(March[[#This Row],[Drug Name9]],'Data Options'!$R$1:$S$100,2,FALSE), " ")</f>
        <v xml:space="preserve"> </v>
      </c>
      <c r="CI88" s="55"/>
      <c r="CJ88" s="32"/>
      <c r="CK88" s="32"/>
      <c r="CL88" s="55"/>
      <c r="CM88" s="32"/>
    </row>
    <row r="89" spans="1:91">
      <c r="A89" s="5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31"/>
      <c r="Q89" s="54"/>
      <c r="R89" s="21" t="str">
        <f>IFERROR(VLOOKUP(March[[#This Row],[Drug Name]],'Data Options'!$R$1:$S$100,2,FALSE), " ")</f>
        <v xml:space="preserve"> </v>
      </c>
      <c r="S89" s="55"/>
      <c r="T89" s="32"/>
      <c r="U89" s="32"/>
      <c r="V89" s="55"/>
      <c r="W89" s="32"/>
      <c r="X89" s="54"/>
      <c r="Y89" s="21" t="str">
        <f>IFERROR(VLOOKUP(March[[#This Row],[Drug Name2]],'Data Options'!$R$1:$S$100,2,FALSE), " ")</f>
        <v xml:space="preserve"> </v>
      </c>
      <c r="Z89" s="55"/>
      <c r="AA89" s="32"/>
      <c r="AB89" s="32"/>
      <c r="AC89" s="55"/>
      <c r="AD89" s="32"/>
      <c r="AE89" s="54"/>
      <c r="AF89" s="21" t="str">
        <f>IFERROR(VLOOKUP(March[[#This Row],[Drug Name3]],'Data Options'!$R$1:$S$100,2,FALSE), " ")</f>
        <v xml:space="preserve"> </v>
      </c>
      <c r="AG89" s="55"/>
      <c r="AH89" s="32"/>
      <c r="AI89" s="32"/>
      <c r="AJ89" s="55"/>
      <c r="AK89" s="32"/>
      <c r="AL89" s="32"/>
      <c r="AM89" s="32"/>
      <c r="AN89" s="32"/>
      <c r="AO89" s="32"/>
      <c r="AP89" s="31"/>
      <c r="AQ89" s="31"/>
      <c r="AR89" s="54"/>
      <c r="AS89" s="21" t="str">
        <f>IFERROR(VLOOKUP(March[[#This Row],[Drug Name4]],'Data Options'!$R$1:$S$100,2,FALSE), " ")</f>
        <v xml:space="preserve"> </v>
      </c>
      <c r="AT89" s="55"/>
      <c r="AU89" s="32"/>
      <c r="AV89" s="32"/>
      <c r="AW89" s="55"/>
      <c r="AX89" s="32"/>
      <c r="AY89" s="54"/>
      <c r="AZ89" s="21" t="str">
        <f>IFERROR(VLOOKUP(March[[#This Row],[Drug Name5]],'Data Options'!$R$1:$S$100,2,FALSE), " ")</f>
        <v xml:space="preserve"> </v>
      </c>
      <c r="BA89" s="55"/>
      <c r="BB89" s="32"/>
      <c r="BC89" s="32"/>
      <c r="BD89" s="55"/>
      <c r="BE89" s="32"/>
      <c r="BF89" s="54"/>
      <c r="BG89" s="21" t="str">
        <f>IFERROR(VLOOKUP(March[[#This Row],[Drug Name6]],'Data Options'!$R$1:$S$100,2,FALSE), " ")</f>
        <v xml:space="preserve"> </v>
      </c>
      <c r="BH89" s="55"/>
      <c r="BI89" s="32"/>
      <c r="BJ89" s="32"/>
      <c r="BK89" s="55"/>
      <c r="BL89" s="32"/>
      <c r="BM89" s="32"/>
      <c r="BN89" s="32"/>
      <c r="BO89" s="32"/>
      <c r="BP89" s="32"/>
      <c r="BQ89" s="31"/>
      <c r="BR89" s="31"/>
      <c r="BS89" s="54"/>
      <c r="BT89" s="21" t="str">
        <f>IFERROR(VLOOKUP(March[[#This Row],[Drug Name7]],'Data Options'!$R$1:$S$100,2,FALSE), " ")</f>
        <v xml:space="preserve"> </v>
      </c>
      <c r="BU89" s="55"/>
      <c r="BV89" s="32"/>
      <c r="BW89" s="32"/>
      <c r="BX89" s="55"/>
      <c r="BY89" s="32"/>
      <c r="BZ89" s="54"/>
      <c r="CA89" s="21" t="str">
        <f>IFERROR(VLOOKUP(March[[#This Row],[Drug Name8]],'Data Options'!$R$1:$S$100,2,FALSE), " ")</f>
        <v xml:space="preserve"> </v>
      </c>
      <c r="CB89" s="55"/>
      <c r="CC89" s="32"/>
      <c r="CD89" s="32"/>
      <c r="CE89" s="55"/>
      <c r="CF89" s="32"/>
      <c r="CG89" s="54"/>
      <c r="CH89" s="21" t="str">
        <f>IFERROR(VLOOKUP(March[[#This Row],[Drug Name9]],'Data Options'!$R$1:$S$100,2,FALSE), " ")</f>
        <v xml:space="preserve"> </v>
      </c>
      <c r="CI89" s="55"/>
      <c r="CJ89" s="32"/>
      <c r="CK89" s="32"/>
      <c r="CL89" s="55"/>
      <c r="CM89" s="32"/>
    </row>
    <row r="90" spans="1:91">
      <c r="A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1"/>
      <c r="Q90" s="54"/>
      <c r="R90" s="21" t="str">
        <f>IFERROR(VLOOKUP(March[[#This Row],[Drug Name]],'Data Options'!$R$1:$S$100,2,FALSE), " ")</f>
        <v xml:space="preserve"> </v>
      </c>
      <c r="S90" s="55"/>
      <c r="T90" s="32"/>
      <c r="U90" s="32"/>
      <c r="V90" s="55"/>
      <c r="W90" s="32"/>
      <c r="X90" s="54"/>
      <c r="Y90" s="21" t="str">
        <f>IFERROR(VLOOKUP(March[[#This Row],[Drug Name2]],'Data Options'!$R$1:$S$100,2,FALSE), " ")</f>
        <v xml:space="preserve"> </v>
      </c>
      <c r="Z90" s="55"/>
      <c r="AA90" s="32"/>
      <c r="AB90" s="32"/>
      <c r="AC90" s="55"/>
      <c r="AD90" s="32"/>
      <c r="AE90" s="54"/>
      <c r="AF90" s="21" t="str">
        <f>IFERROR(VLOOKUP(March[[#This Row],[Drug Name3]],'Data Options'!$R$1:$S$100,2,FALSE), " ")</f>
        <v xml:space="preserve"> </v>
      </c>
      <c r="AG90" s="55"/>
      <c r="AH90" s="32"/>
      <c r="AI90" s="32"/>
      <c r="AJ90" s="55"/>
      <c r="AK90" s="32"/>
      <c r="AL90" s="32"/>
      <c r="AM90" s="32"/>
      <c r="AN90" s="32"/>
      <c r="AO90" s="32"/>
      <c r="AP90" s="31"/>
      <c r="AQ90" s="31"/>
      <c r="AR90" s="54"/>
      <c r="AS90" s="21" t="str">
        <f>IFERROR(VLOOKUP(March[[#This Row],[Drug Name4]],'Data Options'!$R$1:$S$100,2,FALSE), " ")</f>
        <v xml:space="preserve"> </v>
      </c>
      <c r="AT90" s="55"/>
      <c r="AU90" s="32"/>
      <c r="AV90" s="32"/>
      <c r="AW90" s="55"/>
      <c r="AX90" s="32"/>
      <c r="AY90" s="54"/>
      <c r="AZ90" s="21" t="str">
        <f>IFERROR(VLOOKUP(March[[#This Row],[Drug Name5]],'Data Options'!$R$1:$S$100,2,FALSE), " ")</f>
        <v xml:space="preserve"> </v>
      </c>
      <c r="BA90" s="55"/>
      <c r="BB90" s="32"/>
      <c r="BC90" s="32"/>
      <c r="BD90" s="55"/>
      <c r="BE90" s="32"/>
      <c r="BF90" s="54"/>
      <c r="BG90" s="21" t="str">
        <f>IFERROR(VLOOKUP(March[[#This Row],[Drug Name6]],'Data Options'!$R$1:$S$100,2,FALSE), " ")</f>
        <v xml:space="preserve"> </v>
      </c>
      <c r="BH90" s="55"/>
      <c r="BI90" s="32"/>
      <c r="BJ90" s="32"/>
      <c r="BK90" s="55"/>
      <c r="BL90" s="32"/>
      <c r="BM90" s="32"/>
      <c r="BN90" s="32"/>
      <c r="BO90" s="32"/>
      <c r="BP90" s="32"/>
      <c r="BQ90" s="31"/>
      <c r="BR90" s="31"/>
      <c r="BS90" s="54"/>
      <c r="BT90" s="21" t="str">
        <f>IFERROR(VLOOKUP(March[[#This Row],[Drug Name7]],'Data Options'!$R$1:$S$100,2,FALSE), " ")</f>
        <v xml:space="preserve"> </v>
      </c>
      <c r="BU90" s="55"/>
      <c r="BV90" s="32"/>
      <c r="BW90" s="32"/>
      <c r="BX90" s="55"/>
      <c r="BY90" s="32"/>
      <c r="BZ90" s="54"/>
      <c r="CA90" s="21" t="str">
        <f>IFERROR(VLOOKUP(March[[#This Row],[Drug Name8]],'Data Options'!$R$1:$S$100,2,FALSE), " ")</f>
        <v xml:space="preserve"> </v>
      </c>
      <c r="CB90" s="55"/>
      <c r="CC90" s="32"/>
      <c r="CD90" s="32"/>
      <c r="CE90" s="55"/>
      <c r="CF90" s="32"/>
      <c r="CG90" s="54"/>
      <c r="CH90" s="21" t="str">
        <f>IFERROR(VLOOKUP(March[[#This Row],[Drug Name9]],'Data Options'!$R$1:$S$100,2,FALSE), " ")</f>
        <v xml:space="preserve"> </v>
      </c>
      <c r="CI90" s="55"/>
      <c r="CJ90" s="32"/>
      <c r="CK90" s="32"/>
      <c r="CL90" s="55"/>
      <c r="CM90" s="32"/>
    </row>
    <row r="91" spans="1:91">
      <c r="A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1"/>
      <c r="Q91" s="54"/>
      <c r="R91" s="21" t="str">
        <f>IFERROR(VLOOKUP(March[[#This Row],[Drug Name]],'Data Options'!$R$1:$S$100,2,FALSE), " ")</f>
        <v xml:space="preserve"> </v>
      </c>
      <c r="S91" s="55"/>
      <c r="T91" s="32"/>
      <c r="U91" s="32"/>
      <c r="V91" s="55"/>
      <c r="W91" s="32"/>
      <c r="X91" s="54"/>
      <c r="Y91" s="21" t="str">
        <f>IFERROR(VLOOKUP(March[[#This Row],[Drug Name2]],'Data Options'!$R$1:$S$100,2,FALSE), " ")</f>
        <v xml:space="preserve"> </v>
      </c>
      <c r="Z91" s="55"/>
      <c r="AA91" s="32"/>
      <c r="AB91" s="32"/>
      <c r="AC91" s="55"/>
      <c r="AD91" s="32"/>
      <c r="AE91" s="54"/>
      <c r="AF91" s="21" t="str">
        <f>IFERROR(VLOOKUP(March[[#This Row],[Drug Name3]],'Data Options'!$R$1:$S$100,2,FALSE), " ")</f>
        <v xml:space="preserve"> </v>
      </c>
      <c r="AG91" s="55"/>
      <c r="AH91" s="32"/>
      <c r="AI91" s="32"/>
      <c r="AJ91" s="55"/>
      <c r="AK91" s="32"/>
      <c r="AL91" s="32"/>
      <c r="AM91" s="32"/>
      <c r="AN91" s="32"/>
      <c r="AO91" s="32"/>
      <c r="AP91" s="31"/>
      <c r="AQ91" s="31"/>
      <c r="AR91" s="54"/>
      <c r="AS91" s="21" t="str">
        <f>IFERROR(VLOOKUP(March[[#This Row],[Drug Name4]],'Data Options'!$R$1:$S$100,2,FALSE), " ")</f>
        <v xml:space="preserve"> </v>
      </c>
      <c r="AT91" s="55"/>
      <c r="AU91" s="32"/>
      <c r="AV91" s="32"/>
      <c r="AW91" s="55"/>
      <c r="AX91" s="32"/>
      <c r="AY91" s="54"/>
      <c r="AZ91" s="21" t="str">
        <f>IFERROR(VLOOKUP(March[[#This Row],[Drug Name5]],'Data Options'!$R$1:$S$100,2,FALSE), " ")</f>
        <v xml:space="preserve"> </v>
      </c>
      <c r="BA91" s="55"/>
      <c r="BB91" s="32"/>
      <c r="BC91" s="32"/>
      <c r="BD91" s="55"/>
      <c r="BE91" s="32"/>
      <c r="BF91" s="54"/>
      <c r="BG91" s="21" t="str">
        <f>IFERROR(VLOOKUP(March[[#This Row],[Drug Name6]],'Data Options'!$R$1:$S$100,2,FALSE), " ")</f>
        <v xml:space="preserve"> </v>
      </c>
      <c r="BH91" s="55"/>
      <c r="BI91" s="32"/>
      <c r="BJ91" s="32"/>
      <c r="BK91" s="55"/>
      <c r="BL91" s="32"/>
      <c r="BM91" s="32"/>
      <c r="BN91" s="32"/>
      <c r="BO91" s="32"/>
      <c r="BP91" s="32"/>
      <c r="BQ91" s="31"/>
      <c r="BR91" s="31"/>
      <c r="BS91" s="54"/>
      <c r="BT91" s="21" t="str">
        <f>IFERROR(VLOOKUP(March[[#This Row],[Drug Name7]],'Data Options'!$R$1:$S$100,2,FALSE), " ")</f>
        <v xml:space="preserve"> </v>
      </c>
      <c r="BU91" s="55"/>
      <c r="BV91" s="32"/>
      <c r="BW91" s="32"/>
      <c r="BX91" s="55"/>
      <c r="BY91" s="32"/>
      <c r="BZ91" s="54"/>
      <c r="CA91" s="21" t="str">
        <f>IFERROR(VLOOKUP(March[[#This Row],[Drug Name8]],'Data Options'!$R$1:$S$100,2,FALSE), " ")</f>
        <v xml:space="preserve"> </v>
      </c>
      <c r="CB91" s="55"/>
      <c r="CC91" s="32"/>
      <c r="CD91" s="32"/>
      <c r="CE91" s="55"/>
      <c r="CF91" s="32"/>
      <c r="CG91" s="54"/>
      <c r="CH91" s="21" t="str">
        <f>IFERROR(VLOOKUP(March[[#This Row],[Drug Name9]],'Data Options'!$R$1:$S$100,2,FALSE), " ")</f>
        <v xml:space="preserve"> </v>
      </c>
      <c r="CI91" s="55"/>
      <c r="CJ91" s="32"/>
      <c r="CK91" s="32"/>
      <c r="CL91" s="55"/>
      <c r="CM91" s="32"/>
    </row>
    <row r="92" spans="1:91">
      <c r="A92" s="5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1"/>
      <c r="Q92" s="54"/>
      <c r="R92" s="21" t="str">
        <f>IFERROR(VLOOKUP(March[[#This Row],[Drug Name]],'Data Options'!$R$1:$S$100,2,FALSE), " ")</f>
        <v xml:space="preserve"> </v>
      </c>
      <c r="S92" s="55"/>
      <c r="T92" s="32"/>
      <c r="U92" s="32"/>
      <c r="V92" s="55"/>
      <c r="W92" s="32"/>
      <c r="X92" s="54"/>
      <c r="Y92" s="21" t="str">
        <f>IFERROR(VLOOKUP(March[[#This Row],[Drug Name2]],'Data Options'!$R$1:$S$100,2,FALSE), " ")</f>
        <v xml:space="preserve"> </v>
      </c>
      <c r="Z92" s="55"/>
      <c r="AA92" s="32"/>
      <c r="AB92" s="32"/>
      <c r="AC92" s="55"/>
      <c r="AD92" s="32"/>
      <c r="AE92" s="54"/>
      <c r="AF92" s="21" t="str">
        <f>IFERROR(VLOOKUP(March[[#This Row],[Drug Name3]],'Data Options'!$R$1:$S$100,2,FALSE), " ")</f>
        <v xml:space="preserve"> </v>
      </c>
      <c r="AG92" s="55"/>
      <c r="AH92" s="32"/>
      <c r="AI92" s="32"/>
      <c r="AJ92" s="55"/>
      <c r="AK92" s="32"/>
      <c r="AL92" s="32"/>
      <c r="AM92" s="32"/>
      <c r="AN92" s="32"/>
      <c r="AO92" s="32"/>
      <c r="AP92" s="31"/>
      <c r="AQ92" s="31"/>
      <c r="AR92" s="54"/>
      <c r="AS92" s="21" t="str">
        <f>IFERROR(VLOOKUP(March[[#This Row],[Drug Name4]],'Data Options'!$R$1:$S$100,2,FALSE), " ")</f>
        <v xml:space="preserve"> </v>
      </c>
      <c r="AT92" s="55"/>
      <c r="AU92" s="32"/>
      <c r="AV92" s="32"/>
      <c r="AW92" s="55"/>
      <c r="AX92" s="32"/>
      <c r="AY92" s="54"/>
      <c r="AZ92" s="21" t="str">
        <f>IFERROR(VLOOKUP(March[[#This Row],[Drug Name5]],'Data Options'!$R$1:$S$100,2,FALSE), " ")</f>
        <v xml:space="preserve"> </v>
      </c>
      <c r="BA92" s="55"/>
      <c r="BB92" s="32"/>
      <c r="BC92" s="32"/>
      <c r="BD92" s="55"/>
      <c r="BE92" s="32"/>
      <c r="BF92" s="54"/>
      <c r="BG92" s="21" t="str">
        <f>IFERROR(VLOOKUP(March[[#This Row],[Drug Name6]],'Data Options'!$R$1:$S$100,2,FALSE), " ")</f>
        <v xml:space="preserve"> </v>
      </c>
      <c r="BH92" s="55"/>
      <c r="BI92" s="32"/>
      <c r="BJ92" s="32"/>
      <c r="BK92" s="55"/>
      <c r="BL92" s="32"/>
      <c r="BM92" s="32"/>
      <c r="BN92" s="32"/>
      <c r="BO92" s="32"/>
      <c r="BP92" s="32"/>
      <c r="BQ92" s="31"/>
      <c r="BR92" s="31"/>
      <c r="BS92" s="54"/>
      <c r="BT92" s="21" t="str">
        <f>IFERROR(VLOOKUP(March[[#This Row],[Drug Name7]],'Data Options'!$R$1:$S$100,2,FALSE), " ")</f>
        <v xml:space="preserve"> </v>
      </c>
      <c r="BU92" s="55"/>
      <c r="BV92" s="32"/>
      <c r="BW92" s="32"/>
      <c r="BX92" s="55"/>
      <c r="BY92" s="32"/>
      <c r="BZ92" s="54"/>
      <c r="CA92" s="21" t="str">
        <f>IFERROR(VLOOKUP(March[[#This Row],[Drug Name8]],'Data Options'!$R$1:$S$100,2,FALSE), " ")</f>
        <v xml:space="preserve"> </v>
      </c>
      <c r="CB92" s="55"/>
      <c r="CC92" s="32"/>
      <c r="CD92" s="32"/>
      <c r="CE92" s="55"/>
      <c r="CF92" s="32"/>
      <c r="CG92" s="54"/>
      <c r="CH92" s="21" t="str">
        <f>IFERROR(VLOOKUP(March[[#This Row],[Drug Name9]],'Data Options'!$R$1:$S$100,2,FALSE), " ")</f>
        <v xml:space="preserve"> </v>
      </c>
      <c r="CI92" s="55"/>
      <c r="CJ92" s="32"/>
      <c r="CK92" s="32"/>
      <c r="CL92" s="55"/>
      <c r="CM92" s="32"/>
    </row>
    <row r="93" spans="1:91">
      <c r="A93" s="5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1"/>
      <c r="Q93" s="54"/>
      <c r="R93" s="21" t="str">
        <f>IFERROR(VLOOKUP(March[[#This Row],[Drug Name]],'Data Options'!$R$1:$S$100,2,FALSE), " ")</f>
        <v xml:space="preserve"> </v>
      </c>
      <c r="S93" s="55"/>
      <c r="T93" s="32"/>
      <c r="U93" s="32"/>
      <c r="V93" s="55"/>
      <c r="W93" s="32"/>
      <c r="X93" s="54"/>
      <c r="Y93" s="21" t="str">
        <f>IFERROR(VLOOKUP(March[[#This Row],[Drug Name2]],'Data Options'!$R$1:$S$100,2,FALSE), " ")</f>
        <v xml:space="preserve"> </v>
      </c>
      <c r="Z93" s="55"/>
      <c r="AA93" s="32"/>
      <c r="AB93" s="32"/>
      <c r="AC93" s="55"/>
      <c r="AD93" s="32"/>
      <c r="AE93" s="54"/>
      <c r="AF93" s="21" t="str">
        <f>IFERROR(VLOOKUP(March[[#This Row],[Drug Name3]],'Data Options'!$R$1:$S$100,2,FALSE), " ")</f>
        <v xml:space="preserve"> </v>
      </c>
      <c r="AG93" s="55"/>
      <c r="AH93" s="32"/>
      <c r="AI93" s="32"/>
      <c r="AJ93" s="55"/>
      <c r="AK93" s="32"/>
      <c r="AL93" s="32"/>
      <c r="AM93" s="32"/>
      <c r="AN93" s="32"/>
      <c r="AO93" s="32"/>
      <c r="AP93" s="31"/>
      <c r="AQ93" s="31"/>
      <c r="AR93" s="54"/>
      <c r="AS93" s="21" t="str">
        <f>IFERROR(VLOOKUP(March[[#This Row],[Drug Name4]],'Data Options'!$R$1:$S$100,2,FALSE), " ")</f>
        <v xml:space="preserve"> </v>
      </c>
      <c r="AT93" s="55"/>
      <c r="AU93" s="32"/>
      <c r="AV93" s="32"/>
      <c r="AW93" s="55"/>
      <c r="AX93" s="32"/>
      <c r="AY93" s="54"/>
      <c r="AZ93" s="21" t="str">
        <f>IFERROR(VLOOKUP(March[[#This Row],[Drug Name5]],'Data Options'!$R$1:$S$100,2,FALSE), " ")</f>
        <v xml:space="preserve"> </v>
      </c>
      <c r="BA93" s="55"/>
      <c r="BB93" s="32"/>
      <c r="BC93" s="32"/>
      <c r="BD93" s="55"/>
      <c r="BE93" s="32"/>
      <c r="BF93" s="54"/>
      <c r="BG93" s="21" t="str">
        <f>IFERROR(VLOOKUP(March[[#This Row],[Drug Name6]],'Data Options'!$R$1:$S$100,2,FALSE), " ")</f>
        <v xml:space="preserve"> </v>
      </c>
      <c r="BH93" s="55"/>
      <c r="BI93" s="32"/>
      <c r="BJ93" s="32"/>
      <c r="BK93" s="55"/>
      <c r="BL93" s="32"/>
      <c r="BM93" s="32"/>
      <c r="BN93" s="32"/>
      <c r="BO93" s="32"/>
      <c r="BP93" s="32"/>
      <c r="BQ93" s="31"/>
      <c r="BR93" s="31"/>
      <c r="BS93" s="54"/>
      <c r="BT93" s="21" t="str">
        <f>IFERROR(VLOOKUP(March[[#This Row],[Drug Name7]],'Data Options'!$R$1:$S$100,2,FALSE), " ")</f>
        <v xml:space="preserve"> </v>
      </c>
      <c r="BU93" s="55"/>
      <c r="BV93" s="32"/>
      <c r="BW93" s="32"/>
      <c r="BX93" s="55"/>
      <c r="BY93" s="32"/>
      <c r="BZ93" s="54"/>
      <c r="CA93" s="21" t="str">
        <f>IFERROR(VLOOKUP(March[[#This Row],[Drug Name8]],'Data Options'!$R$1:$S$100,2,FALSE), " ")</f>
        <v xml:space="preserve"> </v>
      </c>
      <c r="CB93" s="55"/>
      <c r="CC93" s="32"/>
      <c r="CD93" s="32"/>
      <c r="CE93" s="55"/>
      <c r="CF93" s="32"/>
      <c r="CG93" s="54"/>
      <c r="CH93" s="21" t="str">
        <f>IFERROR(VLOOKUP(March[[#This Row],[Drug Name9]],'Data Options'!$R$1:$S$100,2,FALSE), " ")</f>
        <v xml:space="preserve"> </v>
      </c>
      <c r="CI93" s="55"/>
      <c r="CJ93" s="32"/>
      <c r="CK93" s="32"/>
      <c r="CL93" s="55"/>
      <c r="CM93" s="32"/>
    </row>
    <row r="94" spans="1:91">
      <c r="A94" s="5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1"/>
      <c r="Q94" s="54"/>
      <c r="R94" s="21" t="str">
        <f>IFERROR(VLOOKUP(March[[#This Row],[Drug Name]],'Data Options'!$R$1:$S$100,2,FALSE), " ")</f>
        <v xml:space="preserve"> </v>
      </c>
      <c r="S94" s="55"/>
      <c r="T94" s="32"/>
      <c r="U94" s="32"/>
      <c r="V94" s="55"/>
      <c r="W94" s="32"/>
      <c r="X94" s="54"/>
      <c r="Y94" s="21" t="str">
        <f>IFERROR(VLOOKUP(March[[#This Row],[Drug Name2]],'Data Options'!$R$1:$S$100,2,FALSE), " ")</f>
        <v xml:space="preserve"> </v>
      </c>
      <c r="Z94" s="55"/>
      <c r="AA94" s="32"/>
      <c r="AB94" s="32"/>
      <c r="AC94" s="55"/>
      <c r="AD94" s="32"/>
      <c r="AE94" s="54"/>
      <c r="AF94" s="21" t="str">
        <f>IFERROR(VLOOKUP(March[[#This Row],[Drug Name3]],'Data Options'!$R$1:$S$100,2,FALSE), " ")</f>
        <v xml:space="preserve"> </v>
      </c>
      <c r="AG94" s="55"/>
      <c r="AH94" s="32"/>
      <c r="AI94" s="32"/>
      <c r="AJ94" s="55"/>
      <c r="AK94" s="32"/>
      <c r="AL94" s="32"/>
      <c r="AM94" s="32"/>
      <c r="AN94" s="32"/>
      <c r="AO94" s="32"/>
      <c r="AP94" s="31"/>
      <c r="AQ94" s="31"/>
      <c r="AR94" s="54"/>
      <c r="AS94" s="21" t="str">
        <f>IFERROR(VLOOKUP(March[[#This Row],[Drug Name4]],'Data Options'!$R$1:$S$100,2,FALSE), " ")</f>
        <v xml:space="preserve"> </v>
      </c>
      <c r="AT94" s="55"/>
      <c r="AU94" s="32"/>
      <c r="AV94" s="32"/>
      <c r="AW94" s="55"/>
      <c r="AX94" s="32"/>
      <c r="AY94" s="54"/>
      <c r="AZ94" s="21" t="str">
        <f>IFERROR(VLOOKUP(March[[#This Row],[Drug Name5]],'Data Options'!$R$1:$S$100,2,FALSE), " ")</f>
        <v xml:space="preserve"> </v>
      </c>
      <c r="BA94" s="55"/>
      <c r="BB94" s="32"/>
      <c r="BC94" s="32"/>
      <c r="BD94" s="55"/>
      <c r="BE94" s="32"/>
      <c r="BF94" s="54"/>
      <c r="BG94" s="21" t="str">
        <f>IFERROR(VLOOKUP(March[[#This Row],[Drug Name6]],'Data Options'!$R$1:$S$100,2,FALSE), " ")</f>
        <v xml:space="preserve"> </v>
      </c>
      <c r="BH94" s="55"/>
      <c r="BI94" s="32"/>
      <c r="BJ94" s="32"/>
      <c r="BK94" s="55"/>
      <c r="BL94" s="32"/>
      <c r="BM94" s="32"/>
      <c r="BN94" s="32"/>
      <c r="BO94" s="32"/>
      <c r="BP94" s="32"/>
      <c r="BQ94" s="31"/>
      <c r="BR94" s="31"/>
      <c r="BS94" s="54"/>
      <c r="BT94" s="21" t="str">
        <f>IFERROR(VLOOKUP(March[[#This Row],[Drug Name7]],'Data Options'!$R$1:$S$100,2,FALSE), " ")</f>
        <v xml:space="preserve"> </v>
      </c>
      <c r="BU94" s="55"/>
      <c r="BV94" s="32"/>
      <c r="BW94" s="32"/>
      <c r="BX94" s="55"/>
      <c r="BY94" s="32"/>
      <c r="BZ94" s="54"/>
      <c r="CA94" s="21" t="str">
        <f>IFERROR(VLOOKUP(March[[#This Row],[Drug Name8]],'Data Options'!$R$1:$S$100,2,FALSE), " ")</f>
        <v xml:space="preserve"> </v>
      </c>
      <c r="CB94" s="55"/>
      <c r="CC94" s="32"/>
      <c r="CD94" s="32"/>
      <c r="CE94" s="55"/>
      <c r="CF94" s="32"/>
      <c r="CG94" s="54"/>
      <c r="CH94" s="21" t="str">
        <f>IFERROR(VLOOKUP(March[[#This Row],[Drug Name9]],'Data Options'!$R$1:$S$100,2,FALSE), " ")</f>
        <v xml:space="preserve"> </v>
      </c>
      <c r="CI94" s="55"/>
      <c r="CJ94" s="32"/>
      <c r="CK94" s="32"/>
      <c r="CL94" s="55"/>
      <c r="CM94" s="32"/>
    </row>
    <row r="95" spans="1:91">
      <c r="A95" s="5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1"/>
      <c r="P95" s="31"/>
      <c r="Q95" s="54"/>
      <c r="R95" s="21" t="str">
        <f>IFERROR(VLOOKUP(March[[#This Row],[Drug Name]],'Data Options'!$R$1:$S$100,2,FALSE), " ")</f>
        <v xml:space="preserve"> </v>
      </c>
      <c r="S95" s="55"/>
      <c r="T95" s="32"/>
      <c r="U95" s="32"/>
      <c r="V95" s="55"/>
      <c r="W95" s="32"/>
      <c r="X95" s="54"/>
      <c r="Y95" s="21" t="str">
        <f>IFERROR(VLOOKUP(March[[#This Row],[Drug Name2]],'Data Options'!$R$1:$S$100,2,FALSE), " ")</f>
        <v xml:space="preserve"> </v>
      </c>
      <c r="Z95" s="55"/>
      <c r="AA95" s="32"/>
      <c r="AB95" s="32"/>
      <c r="AC95" s="55"/>
      <c r="AD95" s="32"/>
      <c r="AE95" s="54"/>
      <c r="AF95" s="21" t="str">
        <f>IFERROR(VLOOKUP(March[[#This Row],[Drug Name3]],'Data Options'!$R$1:$S$100,2,FALSE), " ")</f>
        <v xml:space="preserve"> </v>
      </c>
      <c r="AG95" s="55"/>
      <c r="AH95" s="32"/>
      <c r="AI95" s="32"/>
      <c r="AJ95" s="55"/>
      <c r="AK95" s="32"/>
      <c r="AL95" s="32"/>
      <c r="AM95" s="32"/>
      <c r="AN95" s="32"/>
      <c r="AO95" s="32"/>
      <c r="AP95" s="31"/>
      <c r="AQ95" s="31"/>
      <c r="AR95" s="54"/>
      <c r="AS95" s="21" t="str">
        <f>IFERROR(VLOOKUP(March[[#This Row],[Drug Name4]],'Data Options'!$R$1:$S$100,2,FALSE), " ")</f>
        <v xml:space="preserve"> </v>
      </c>
      <c r="AT95" s="55"/>
      <c r="AU95" s="32"/>
      <c r="AV95" s="32"/>
      <c r="AW95" s="55"/>
      <c r="AX95" s="32"/>
      <c r="AY95" s="54"/>
      <c r="AZ95" s="21" t="str">
        <f>IFERROR(VLOOKUP(March[[#This Row],[Drug Name5]],'Data Options'!$R$1:$S$100,2,FALSE), " ")</f>
        <v xml:space="preserve"> </v>
      </c>
      <c r="BA95" s="55"/>
      <c r="BB95" s="32"/>
      <c r="BC95" s="32"/>
      <c r="BD95" s="55"/>
      <c r="BE95" s="32"/>
      <c r="BF95" s="54"/>
      <c r="BG95" s="21" t="str">
        <f>IFERROR(VLOOKUP(March[[#This Row],[Drug Name6]],'Data Options'!$R$1:$S$100,2,FALSE), " ")</f>
        <v xml:space="preserve"> </v>
      </c>
      <c r="BH95" s="55"/>
      <c r="BI95" s="32"/>
      <c r="BJ95" s="32"/>
      <c r="BK95" s="55"/>
      <c r="BL95" s="32"/>
      <c r="BM95" s="32"/>
      <c r="BN95" s="32"/>
      <c r="BO95" s="32"/>
      <c r="BP95" s="32"/>
      <c r="BQ95" s="31"/>
      <c r="BR95" s="31"/>
      <c r="BS95" s="54"/>
      <c r="BT95" s="21" t="str">
        <f>IFERROR(VLOOKUP(March[[#This Row],[Drug Name7]],'Data Options'!$R$1:$S$100,2,FALSE), " ")</f>
        <v xml:space="preserve"> </v>
      </c>
      <c r="BU95" s="55"/>
      <c r="BV95" s="32"/>
      <c r="BW95" s="32"/>
      <c r="BX95" s="55"/>
      <c r="BY95" s="32"/>
      <c r="BZ95" s="54"/>
      <c r="CA95" s="21" t="str">
        <f>IFERROR(VLOOKUP(March[[#This Row],[Drug Name8]],'Data Options'!$R$1:$S$100,2,FALSE), " ")</f>
        <v xml:space="preserve"> </v>
      </c>
      <c r="CB95" s="55"/>
      <c r="CC95" s="32"/>
      <c r="CD95" s="32"/>
      <c r="CE95" s="55"/>
      <c r="CF95" s="32"/>
      <c r="CG95" s="54"/>
      <c r="CH95" s="21" t="str">
        <f>IFERROR(VLOOKUP(March[[#This Row],[Drug Name9]],'Data Options'!$R$1:$S$100,2,FALSE), " ")</f>
        <v xml:space="preserve"> </v>
      </c>
      <c r="CI95" s="55"/>
      <c r="CJ95" s="32"/>
      <c r="CK95" s="32"/>
      <c r="CL95" s="55"/>
      <c r="CM95" s="32"/>
    </row>
    <row r="96" spans="1:91">
      <c r="A96" s="5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1"/>
      <c r="P96" s="31"/>
      <c r="Q96" s="54"/>
      <c r="R96" s="21" t="str">
        <f>IFERROR(VLOOKUP(March[[#This Row],[Drug Name]],'Data Options'!$R$1:$S$100,2,FALSE), " ")</f>
        <v xml:space="preserve"> </v>
      </c>
      <c r="S96" s="55"/>
      <c r="T96" s="32"/>
      <c r="U96" s="32"/>
      <c r="V96" s="55"/>
      <c r="W96" s="32"/>
      <c r="X96" s="54"/>
      <c r="Y96" s="21" t="str">
        <f>IFERROR(VLOOKUP(March[[#This Row],[Drug Name2]],'Data Options'!$R$1:$S$100,2,FALSE), " ")</f>
        <v xml:space="preserve"> </v>
      </c>
      <c r="Z96" s="55"/>
      <c r="AA96" s="32"/>
      <c r="AB96" s="32"/>
      <c r="AC96" s="55"/>
      <c r="AD96" s="32"/>
      <c r="AE96" s="54"/>
      <c r="AF96" s="21" t="str">
        <f>IFERROR(VLOOKUP(March[[#This Row],[Drug Name3]],'Data Options'!$R$1:$S$100,2,FALSE), " ")</f>
        <v xml:space="preserve"> </v>
      </c>
      <c r="AG96" s="55"/>
      <c r="AH96" s="32"/>
      <c r="AI96" s="32"/>
      <c r="AJ96" s="55"/>
      <c r="AK96" s="32"/>
      <c r="AL96" s="32"/>
      <c r="AM96" s="32"/>
      <c r="AN96" s="32"/>
      <c r="AO96" s="32"/>
      <c r="AP96" s="31"/>
      <c r="AQ96" s="31"/>
      <c r="AR96" s="54"/>
      <c r="AS96" s="21" t="str">
        <f>IFERROR(VLOOKUP(March[[#This Row],[Drug Name4]],'Data Options'!$R$1:$S$100,2,FALSE), " ")</f>
        <v xml:space="preserve"> </v>
      </c>
      <c r="AT96" s="55"/>
      <c r="AU96" s="32"/>
      <c r="AV96" s="32"/>
      <c r="AW96" s="55"/>
      <c r="AX96" s="32"/>
      <c r="AY96" s="54"/>
      <c r="AZ96" s="21" t="str">
        <f>IFERROR(VLOOKUP(March[[#This Row],[Drug Name5]],'Data Options'!$R$1:$S$100,2,FALSE), " ")</f>
        <v xml:space="preserve"> </v>
      </c>
      <c r="BA96" s="55"/>
      <c r="BB96" s="32"/>
      <c r="BC96" s="32"/>
      <c r="BD96" s="55"/>
      <c r="BE96" s="32"/>
      <c r="BF96" s="54"/>
      <c r="BG96" s="21" t="str">
        <f>IFERROR(VLOOKUP(March[[#This Row],[Drug Name6]],'Data Options'!$R$1:$S$100,2,FALSE), " ")</f>
        <v xml:space="preserve"> </v>
      </c>
      <c r="BH96" s="55"/>
      <c r="BI96" s="32"/>
      <c r="BJ96" s="32"/>
      <c r="BK96" s="55"/>
      <c r="BL96" s="32"/>
      <c r="BM96" s="32"/>
      <c r="BN96" s="32"/>
      <c r="BO96" s="32"/>
      <c r="BP96" s="32"/>
      <c r="BQ96" s="31"/>
      <c r="BR96" s="31"/>
      <c r="BS96" s="54"/>
      <c r="BT96" s="21" t="str">
        <f>IFERROR(VLOOKUP(March[[#This Row],[Drug Name7]],'Data Options'!$R$1:$S$100,2,FALSE), " ")</f>
        <v xml:space="preserve"> </v>
      </c>
      <c r="BU96" s="55"/>
      <c r="BV96" s="32"/>
      <c r="BW96" s="32"/>
      <c r="BX96" s="55"/>
      <c r="BY96" s="32"/>
      <c r="BZ96" s="54"/>
      <c r="CA96" s="21" t="str">
        <f>IFERROR(VLOOKUP(March[[#This Row],[Drug Name8]],'Data Options'!$R$1:$S$100,2,FALSE), " ")</f>
        <v xml:space="preserve"> </v>
      </c>
      <c r="CB96" s="55"/>
      <c r="CC96" s="32"/>
      <c r="CD96" s="32"/>
      <c r="CE96" s="55"/>
      <c r="CF96" s="32"/>
      <c r="CG96" s="54"/>
      <c r="CH96" s="21" t="str">
        <f>IFERROR(VLOOKUP(March[[#This Row],[Drug Name9]],'Data Options'!$R$1:$S$100,2,FALSE), " ")</f>
        <v xml:space="preserve"> </v>
      </c>
      <c r="CI96" s="55"/>
      <c r="CJ96" s="32"/>
      <c r="CK96" s="32"/>
      <c r="CL96" s="55"/>
      <c r="CM96" s="32"/>
    </row>
    <row r="97" spans="1:91">
      <c r="A97" s="5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1"/>
      <c r="P97" s="31"/>
      <c r="Q97" s="54"/>
      <c r="R97" s="21" t="str">
        <f>IFERROR(VLOOKUP(March[[#This Row],[Drug Name]],'Data Options'!$R$1:$S$100,2,FALSE), " ")</f>
        <v xml:space="preserve"> </v>
      </c>
      <c r="S97" s="55"/>
      <c r="T97" s="32"/>
      <c r="U97" s="32"/>
      <c r="V97" s="55"/>
      <c r="W97" s="32"/>
      <c r="X97" s="54"/>
      <c r="Y97" s="21" t="str">
        <f>IFERROR(VLOOKUP(March[[#This Row],[Drug Name2]],'Data Options'!$R$1:$S$100,2,FALSE), " ")</f>
        <v xml:space="preserve"> </v>
      </c>
      <c r="Z97" s="55"/>
      <c r="AA97" s="32"/>
      <c r="AB97" s="32"/>
      <c r="AC97" s="55"/>
      <c r="AD97" s="32"/>
      <c r="AE97" s="54"/>
      <c r="AF97" s="21" t="str">
        <f>IFERROR(VLOOKUP(March[[#This Row],[Drug Name3]],'Data Options'!$R$1:$S$100,2,FALSE), " ")</f>
        <v xml:space="preserve"> </v>
      </c>
      <c r="AG97" s="55"/>
      <c r="AH97" s="32"/>
      <c r="AI97" s="32"/>
      <c r="AJ97" s="55"/>
      <c r="AK97" s="32"/>
      <c r="AL97" s="32"/>
      <c r="AM97" s="32"/>
      <c r="AN97" s="32"/>
      <c r="AO97" s="32"/>
      <c r="AP97" s="31"/>
      <c r="AQ97" s="31"/>
      <c r="AR97" s="54"/>
      <c r="AS97" s="21" t="str">
        <f>IFERROR(VLOOKUP(March[[#This Row],[Drug Name4]],'Data Options'!$R$1:$S$100,2,FALSE), " ")</f>
        <v xml:space="preserve"> </v>
      </c>
      <c r="AT97" s="55"/>
      <c r="AU97" s="32"/>
      <c r="AV97" s="32"/>
      <c r="AW97" s="55"/>
      <c r="AX97" s="32"/>
      <c r="AY97" s="54"/>
      <c r="AZ97" s="21" t="str">
        <f>IFERROR(VLOOKUP(March[[#This Row],[Drug Name5]],'Data Options'!$R$1:$S$100,2,FALSE), " ")</f>
        <v xml:space="preserve"> </v>
      </c>
      <c r="BA97" s="55"/>
      <c r="BB97" s="32"/>
      <c r="BC97" s="32"/>
      <c r="BD97" s="55"/>
      <c r="BE97" s="32"/>
      <c r="BF97" s="54"/>
      <c r="BG97" s="21" t="str">
        <f>IFERROR(VLOOKUP(March[[#This Row],[Drug Name6]],'Data Options'!$R$1:$S$100,2,FALSE), " ")</f>
        <v xml:space="preserve"> </v>
      </c>
      <c r="BH97" s="55"/>
      <c r="BI97" s="32"/>
      <c r="BJ97" s="32"/>
      <c r="BK97" s="55"/>
      <c r="BL97" s="32"/>
      <c r="BM97" s="32"/>
      <c r="BN97" s="32"/>
      <c r="BO97" s="32"/>
      <c r="BP97" s="32"/>
      <c r="BQ97" s="31"/>
      <c r="BR97" s="31"/>
      <c r="BS97" s="54"/>
      <c r="BT97" s="21" t="str">
        <f>IFERROR(VLOOKUP(March[[#This Row],[Drug Name7]],'Data Options'!$R$1:$S$100,2,FALSE), " ")</f>
        <v xml:space="preserve"> </v>
      </c>
      <c r="BU97" s="55"/>
      <c r="BV97" s="32"/>
      <c r="BW97" s="32"/>
      <c r="BX97" s="55"/>
      <c r="BY97" s="32"/>
      <c r="BZ97" s="54"/>
      <c r="CA97" s="21" t="str">
        <f>IFERROR(VLOOKUP(March[[#This Row],[Drug Name8]],'Data Options'!$R$1:$S$100,2,FALSE), " ")</f>
        <v xml:space="preserve"> </v>
      </c>
      <c r="CB97" s="55"/>
      <c r="CC97" s="32"/>
      <c r="CD97" s="32"/>
      <c r="CE97" s="55"/>
      <c r="CF97" s="32"/>
      <c r="CG97" s="54"/>
      <c r="CH97" s="21" t="str">
        <f>IFERROR(VLOOKUP(March[[#This Row],[Drug Name9]],'Data Options'!$R$1:$S$100,2,FALSE), " ")</f>
        <v xml:space="preserve"> </v>
      </c>
      <c r="CI97" s="55"/>
      <c r="CJ97" s="32"/>
      <c r="CK97" s="32"/>
      <c r="CL97" s="55"/>
      <c r="CM97" s="32"/>
    </row>
    <row r="98" spans="1:91">
      <c r="A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1"/>
      <c r="P98" s="31"/>
      <c r="Q98" s="54"/>
      <c r="R98" s="21" t="str">
        <f>IFERROR(VLOOKUP(March[[#This Row],[Drug Name]],'Data Options'!$R$1:$S$100,2,FALSE), " ")</f>
        <v xml:space="preserve"> </v>
      </c>
      <c r="S98" s="55"/>
      <c r="T98" s="32"/>
      <c r="U98" s="32"/>
      <c r="V98" s="55"/>
      <c r="W98" s="32"/>
      <c r="X98" s="54"/>
      <c r="Y98" s="21" t="str">
        <f>IFERROR(VLOOKUP(March[[#This Row],[Drug Name2]],'Data Options'!$R$1:$S$100,2,FALSE), " ")</f>
        <v xml:space="preserve"> </v>
      </c>
      <c r="Z98" s="55"/>
      <c r="AA98" s="32"/>
      <c r="AB98" s="32"/>
      <c r="AC98" s="55"/>
      <c r="AD98" s="32"/>
      <c r="AE98" s="54"/>
      <c r="AF98" s="21" t="str">
        <f>IFERROR(VLOOKUP(March[[#This Row],[Drug Name3]],'Data Options'!$R$1:$S$100,2,FALSE), " ")</f>
        <v xml:space="preserve"> </v>
      </c>
      <c r="AG98" s="55"/>
      <c r="AH98" s="32"/>
      <c r="AI98" s="32"/>
      <c r="AJ98" s="55"/>
      <c r="AK98" s="32"/>
      <c r="AL98" s="32"/>
      <c r="AM98" s="32"/>
      <c r="AN98" s="32"/>
      <c r="AO98" s="32"/>
      <c r="AP98" s="31"/>
      <c r="AQ98" s="31"/>
      <c r="AR98" s="54"/>
      <c r="AS98" s="21" t="str">
        <f>IFERROR(VLOOKUP(March[[#This Row],[Drug Name4]],'Data Options'!$R$1:$S$100,2,FALSE), " ")</f>
        <v xml:space="preserve"> </v>
      </c>
      <c r="AT98" s="55"/>
      <c r="AU98" s="32"/>
      <c r="AV98" s="32"/>
      <c r="AW98" s="55"/>
      <c r="AX98" s="32"/>
      <c r="AY98" s="54"/>
      <c r="AZ98" s="21" t="str">
        <f>IFERROR(VLOOKUP(March[[#This Row],[Drug Name5]],'Data Options'!$R$1:$S$100,2,FALSE), " ")</f>
        <v xml:space="preserve"> </v>
      </c>
      <c r="BA98" s="55"/>
      <c r="BB98" s="32"/>
      <c r="BC98" s="32"/>
      <c r="BD98" s="55"/>
      <c r="BE98" s="32"/>
      <c r="BF98" s="54"/>
      <c r="BG98" s="21" t="str">
        <f>IFERROR(VLOOKUP(March[[#This Row],[Drug Name6]],'Data Options'!$R$1:$S$100,2,FALSE), " ")</f>
        <v xml:space="preserve"> </v>
      </c>
      <c r="BH98" s="55"/>
      <c r="BI98" s="32"/>
      <c r="BJ98" s="32"/>
      <c r="BK98" s="55"/>
      <c r="BL98" s="32"/>
      <c r="BM98" s="32"/>
      <c r="BN98" s="32"/>
      <c r="BO98" s="32"/>
      <c r="BP98" s="32"/>
      <c r="BQ98" s="31"/>
      <c r="BR98" s="31"/>
      <c r="BS98" s="54"/>
      <c r="BT98" s="21" t="str">
        <f>IFERROR(VLOOKUP(March[[#This Row],[Drug Name7]],'Data Options'!$R$1:$S$100,2,FALSE), " ")</f>
        <v xml:space="preserve"> </v>
      </c>
      <c r="BU98" s="55"/>
      <c r="BV98" s="32"/>
      <c r="BW98" s="32"/>
      <c r="BX98" s="55"/>
      <c r="BY98" s="32"/>
      <c r="BZ98" s="54"/>
      <c r="CA98" s="21" t="str">
        <f>IFERROR(VLOOKUP(March[[#This Row],[Drug Name8]],'Data Options'!$R$1:$S$100,2,FALSE), " ")</f>
        <v xml:space="preserve"> </v>
      </c>
      <c r="CB98" s="55"/>
      <c r="CC98" s="32"/>
      <c r="CD98" s="32"/>
      <c r="CE98" s="55"/>
      <c r="CF98" s="32"/>
      <c r="CG98" s="54"/>
      <c r="CH98" s="21" t="str">
        <f>IFERROR(VLOOKUP(March[[#This Row],[Drug Name9]],'Data Options'!$R$1:$S$100,2,FALSE), " ")</f>
        <v xml:space="preserve"> </v>
      </c>
      <c r="CI98" s="55"/>
      <c r="CJ98" s="32"/>
      <c r="CK98" s="32"/>
      <c r="CL98" s="55"/>
      <c r="CM98" s="32"/>
    </row>
    <row r="99" spans="1:91">
      <c r="A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1"/>
      <c r="P99" s="31"/>
      <c r="Q99" s="54"/>
      <c r="R99" s="21" t="str">
        <f>IFERROR(VLOOKUP(March[[#This Row],[Drug Name]],'Data Options'!$R$1:$S$100,2,FALSE), " ")</f>
        <v xml:space="preserve"> </v>
      </c>
      <c r="S99" s="55"/>
      <c r="T99" s="32"/>
      <c r="U99" s="32"/>
      <c r="V99" s="55"/>
      <c r="W99" s="32"/>
      <c r="X99" s="54"/>
      <c r="Y99" s="21" t="str">
        <f>IFERROR(VLOOKUP(March[[#This Row],[Drug Name2]],'Data Options'!$R$1:$S$100,2,FALSE), " ")</f>
        <v xml:space="preserve"> </v>
      </c>
      <c r="Z99" s="55"/>
      <c r="AA99" s="32"/>
      <c r="AB99" s="32"/>
      <c r="AC99" s="55"/>
      <c r="AD99" s="32"/>
      <c r="AE99" s="54"/>
      <c r="AF99" s="21" t="str">
        <f>IFERROR(VLOOKUP(March[[#This Row],[Drug Name3]],'Data Options'!$R$1:$S$100,2,FALSE), " ")</f>
        <v xml:space="preserve"> </v>
      </c>
      <c r="AG99" s="55"/>
      <c r="AH99" s="32"/>
      <c r="AI99" s="32"/>
      <c r="AJ99" s="55"/>
      <c r="AK99" s="32"/>
      <c r="AL99" s="32"/>
      <c r="AM99" s="32"/>
      <c r="AN99" s="32"/>
      <c r="AO99" s="32"/>
      <c r="AP99" s="31"/>
      <c r="AQ99" s="31"/>
      <c r="AR99" s="54"/>
      <c r="AS99" s="21" t="str">
        <f>IFERROR(VLOOKUP(March[[#This Row],[Drug Name4]],'Data Options'!$R$1:$S$100,2,FALSE), " ")</f>
        <v xml:space="preserve"> </v>
      </c>
      <c r="AT99" s="55"/>
      <c r="AU99" s="32"/>
      <c r="AV99" s="32"/>
      <c r="AW99" s="55"/>
      <c r="AX99" s="32"/>
      <c r="AY99" s="54"/>
      <c r="AZ99" s="21" t="str">
        <f>IFERROR(VLOOKUP(March[[#This Row],[Drug Name5]],'Data Options'!$R$1:$S$100,2,FALSE), " ")</f>
        <v xml:space="preserve"> </v>
      </c>
      <c r="BA99" s="55"/>
      <c r="BB99" s="32"/>
      <c r="BC99" s="32"/>
      <c r="BD99" s="55"/>
      <c r="BE99" s="32"/>
      <c r="BF99" s="54"/>
      <c r="BG99" s="21" t="str">
        <f>IFERROR(VLOOKUP(March[[#This Row],[Drug Name6]],'Data Options'!$R$1:$S$100,2,FALSE), " ")</f>
        <v xml:space="preserve"> </v>
      </c>
      <c r="BH99" s="55"/>
      <c r="BI99" s="32"/>
      <c r="BJ99" s="32"/>
      <c r="BK99" s="55"/>
      <c r="BL99" s="32"/>
      <c r="BM99" s="32"/>
      <c r="BN99" s="32"/>
      <c r="BO99" s="32"/>
      <c r="BP99" s="32"/>
      <c r="BQ99" s="31"/>
      <c r="BR99" s="31"/>
      <c r="BS99" s="54"/>
      <c r="BT99" s="21" t="str">
        <f>IFERROR(VLOOKUP(March[[#This Row],[Drug Name7]],'Data Options'!$R$1:$S$100,2,FALSE), " ")</f>
        <v xml:space="preserve"> </v>
      </c>
      <c r="BU99" s="55"/>
      <c r="BV99" s="32"/>
      <c r="BW99" s="32"/>
      <c r="BX99" s="55"/>
      <c r="BY99" s="32"/>
      <c r="BZ99" s="54"/>
      <c r="CA99" s="21" t="str">
        <f>IFERROR(VLOOKUP(March[[#This Row],[Drug Name8]],'Data Options'!$R$1:$S$100,2,FALSE), " ")</f>
        <v xml:space="preserve"> </v>
      </c>
      <c r="CB99" s="55"/>
      <c r="CC99" s="32"/>
      <c r="CD99" s="32"/>
      <c r="CE99" s="55"/>
      <c r="CF99" s="32"/>
      <c r="CG99" s="54"/>
      <c r="CH99" s="21" t="str">
        <f>IFERROR(VLOOKUP(March[[#This Row],[Drug Name9]],'Data Options'!$R$1:$S$100,2,FALSE), " ")</f>
        <v xml:space="preserve"> </v>
      </c>
      <c r="CI99" s="55"/>
      <c r="CJ99" s="32"/>
      <c r="CK99" s="32"/>
      <c r="CL99" s="55"/>
      <c r="CM99" s="32"/>
    </row>
    <row r="100" spans="1:91">
      <c r="A100" s="5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1"/>
      <c r="P100" s="31"/>
      <c r="Q100" s="54"/>
      <c r="R100" s="21" t="str">
        <f>IFERROR(VLOOKUP(March[[#This Row],[Drug Name]],'Data Options'!$R$1:$S$100,2,FALSE), " ")</f>
        <v xml:space="preserve"> </v>
      </c>
      <c r="S100" s="55"/>
      <c r="T100" s="32"/>
      <c r="U100" s="32"/>
      <c r="V100" s="55"/>
      <c r="W100" s="32"/>
      <c r="X100" s="54"/>
      <c r="Y100" s="21" t="str">
        <f>IFERROR(VLOOKUP(March[[#This Row],[Drug Name2]],'Data Options'!$R$1:$S$100,2,FALSE), " ")</f>
        <v xml:space="preserve"> </v>
      </c>
      <c r="Z100" s="55"/>
      <c r="AA100" s="32"/>
      <c r="AB100" s="32"/>
      <c r="AC100" s="55"/>
      <c r="AD100" s="32"/>
      <c r="AE100" s="54"/>
      <c r="AF100" s="21" t="str">
        <f>IFERROR(VLOOKUP(March[[#This Row],[Drug Name3]],'Data Options'!$R$1:$S$100,2,FALSE), " ")</f>
        <v xml:space="preserve"> </v>
      </c>
      <c r="AG100" s="55"/>
      <c r="AH100" s="32"/>
      <c r="AI100" s="32"/>
      <c r="AJ100" s="55"/>
      <c r="AK100" s="32"/>
      <c r="AL100" s="32"/>
      <c r="AM100" s="32"/>
      <c r="AN100" s="32"/>
      <c r="AO100" s="32"/>
      <c r="AP100" s="31"/>
      <c r="AQ100" s="31"/>
      <c r="AR100" s="54"/>
      <c r="AS100" s="21" t="str">
        <f>IFERROR(VLOOKUP(March[[#This Row],[Drug Name4]],'Data Options'!$R$1:$S$100,2,FALSE), " ")</f>
        <v xml:space="preserve"> </v>
      </c>
      <c r="AT100" s="55"/>
      <c r="AU100" s="32"/>
      <c r="AV100" s="32"/>
      <c r="AW100" s="55"/>
      <c r="AX100" s="32"/>
      <c r="AY100" s="54"/>
      <c r="AZ100" s="21" t="str">
        <f>IFERROR(VLOOKUP(March[[#This Row],[Drug Name5]],'Data Options'!$R$1:$S$100,2,FALSE), " ")</f>
        <v xml:space="preserve"> </v>
      </c>
      <c r="BA100" s="55"/>
      <c r="BB100" s="32"/>
      <c r="BC100" s="32"/>
      <c r="BD100" s="55"/>
      <c r="BE100" s="32"/>
      <c r="BF100" s="54"/>
      <c r="BG100" s="21" t="str">
        <f>IFERROR(VLOOKUP(March[[#This Row],[Drug Name6]],'Data Options'!$R$1:$S$100,2,FALSE), " ")</f>
        <v xml:space="preserve"> </v>
      </c>
      <c r="BH100" s="55"/>
      <c r="BI100" s="32"/>
      <c r="BJ100" s="32"/>
      <c r="BK100" s="55"/>
      <c r="BL100" s="32"/>
      <c r="BM100" s="32"/>
      <c r="BN100" s="32"/>
      <c r="BO100" s="32"/>
      <c r="BP100" s="32"/>
      <c r="BQ100" s="31"/>
      <c r="BR100" s="31"/>
      <c r="BS100" s="54"/>
      <c r="BT100" s="21" t="str">
        <f>IFERROR(VLOOKUP(March[[#This Row],[Drug Name7]],'Data Options'!$R$1:$S$100,2,FALSE), " ")</f>
        <v xml:space="preserve"> </v>
      </c>
      <c r="BU100" s="55"/>
      <c r="BV100" s="32"/>
      <c r="BW100" s="32"/>
      <c r="BX100" s="55"/>
      <c r="BY100" s="32"/>
      <c r="BZ100" s="54"/>
      <c r="CA100" s="21" t="str">
        <f>IFERROR(VLOOKUP(March[[#This Row],[Drug Name8]],'Data Options'!$R$1:$S$100,2,FALSE), " ")</f>
        <v xml:space="preserve"> </v>
      </c>
      <c r="CB100" s="55"/>
      <c r="CC100" s="32"/>
      <c r="CD100" s="32"/>
      <c r="CE100" s="55"/>
      <c r="CF100" s="32"/>
      <c r="CG100" s="54"/>
      <c r="CH100" s="21" t="str">
        <f>IFERROR(VLOOKUP(March[[#This Row],[Drug Name9]],'Data Options'!$R$1:$S$100,2,FALSE), " ")</f>
        <v xml:space="preserve"> </v>
      </c>
      <c r="CI100" s="55"/>
      <c r="CJ100" s="32"/>
      <c r="CK100" s="32"/>
      <c r="CL100" s="55"/>
      <c r="CM100" s="32"/>
    </row>
    <row r="101" spans="1:91">
      <c r="A101" s="5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1"/>
      <c r="P101" s="31"/>
      <c r="Q101" s="54"/>
      <c r="R101" s="21" t="str">
        <f>IFERROR(VLOOKUP(March[[#This Row],[Drug Name]],'Data Options'!$R$1:$S$100,2,FALSE), " ")</f>
        <v xml:space="preserve"> </v>
      </c>
      <c r="S101" s="55"/>
      <c r="T101" s="32"/>
      <c r="U101" s="32"/>
      <c r="V101" s="55"/>
      <c r="W101" s="32"/>
      <c r="X101" s="54"/>
      <c r="Y101" s="21" t="str">
        <f>IFERROR(VLOOKUP(March[[#This Row],[Drug Name2]],'Data Options'!$R$1:$S$100,2,FALSE), " ")</f>
        <v xml:space="preserve"> </v>
      </c>
      <c r="Z101" s="55"/>
      <c r="AA101" s="32"/>
      <c r="AB101" s="32"/>
      <c r="AC101" s="55"/>
      <c r="AD101" s="32"/>
      <c r="AE101" s="54"/>
      <c r="AF101" s="21" t="str">
        <f>IFERROR(VLOOKUP(March[[#This Row],[Drug Name3]],'Data Options'!$R$1:$S$100,2,FALSE), " ")</f>
        <v xml:space="preserve"> </v>
      </c>
      <c r="AG101" s="55"/>
      <c r="AH101" s="32"/>
      <c r="AI101" s="32"/>
      <c r="AJ101" s="55"/>
      <c r="AK101" s="32"/>
      <c r="AL101" s="32"/>
      <c r="AM101" s="32"/>
      <c r="AN101" s="32"/>
      <c r="AO101" s="32"/>
      <c r="AP101" s="31"/>
      <c r="AQ101" s="31"/>
      <c r="AR101" s="54"/>
      <c r="AS101" s="21" t="str">
        <f>IFERROR(VLOOKUP(March[[#This Row],[Drug Name4]],'Data Options'!$R$1:$S$100,2,FALSE), " ")</f>
        <v xml:space="preserve"> </v>
      </c>
      <c r="AT101" s="55"/>
      <c r="AU101" s="32"/>
      <c r="AV101" s="32"/>
      <c r="AW101" s="55"/>
      <c r="AX101" s="32"/>
      <c r="AY101" s="54"/>
      <c r="AZ101" s="21" t="str">
        <f>IFERROR(VLOOKUP(March[[#This Row],[Drug Name5]],'Data Options'!$R$1:$S$100,2,FALSE), " ")</f>
        <v xml:space="preserve"> </v>
      </c>
      <c r="BA101" s="55"/>
      <c r="BB101" s="32"/>
      <c r="BC101" s="32"/>
      <c r="BD101" s="55"/>
      <c r="BE101" s="32"/>
      <c r="BF101" s="54"/>
      <c r="BG101" s="21" t="str">
        <f>IFERROR(VLOOKUP(March[[#This Row],[Drug Name6]],'Data Options'!$R$1:$S$100,2,FALSE), " ")</f>
        <v xml:space="preserve"> </v>
      </c>
      <c r="BH101" s="55"/>
      <c r="BI101" s="32"/>
      <c r="BJ101" s="32"/>
      <c r="BK101" s="55"/>
      <c r="BL101" s="32"/>
      <c r="BM101" s="32"/>
      <c r="BN101" s="32"/>
      <c r="BO101" s="32"/>
      <c r="BP101" s="32"/>
      <c r="BQ101" s="31"/>
      <c r="BR101" s="31"/>
      <c r="BS101" s="54"/>
      <c r="BT101" s="21" t="str">
        <f>IFERROR(VLOOKUP(March[[#This Row],[Drug Name7]],'Data Options'!$R$1:$S$100,2,FALSE), " ")</f>
        <v xml:space="preserve"> </v>
      </c>
      <c r="BU101" s="55"/>
      <c r="BV101" s="32"/>
      <c r="BW101" s="32"/>
      <c r="BX101" s="55"/>
      <c r="BY101" s="32"/>
      <c r="BZ101" s="54"/>
      <c r="CA101" s="21" t="str">
        <f>IFERROR(VLOOKUP(March[[#This Row],[Drug Name8]],'Data Options'!$R$1:$S$100,2,FALSE), " ")</f>
        <v xml:space="preserve"> </v>
      </c>
      <c r="CB101" s="55"/>
      <c r="CC101" s="32"/>
      <c r="CD101" s="32"/>
      <c r="CE101" s="55"/>
      <c r="CF101" s="32"/>
      <c r="CG101" s="54"/>
      <c r="CH101" s="21" t="str">
        <f>IFERROR(VLOOKUP(March[[#This Row],[Drug Name9]],'Data Options'!$R$1:$S$100,2,FALSE), " ")</f>
        <v xml:space="preserve"> </v>
      </c>
      <c r="CI101" s="55"/>
      <c r="CJ101" s="32"/>
      <c r="CK101" s="32"/>
      <c r="CL101" s="55"/>
      <c r="CM101" s="32"/>
    </row>
    <row r="102" spans="1:91">
      <c r="A102" s="5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1"/>
      <c r="P102" s="31"/>
      <c r="Q102" s="54"/>
      <c r="R102" s="21" t="str">
        <f>IFERROR(VLOOKUP(March[[#This Row],[Drug Name]],'Data Options'!$R$1:$S$100,2,FALSE), " ")</f>
        <v xml:space="preserve"> </v>
      </c>
      <c r="S102" s="55"/>
      <c r="T102" s="32"/>
      <c r="U102" s="32"/>
      <c r="V102" s="55"/>
      <c r="W102" s="32"/>
      <c r="X102" s="54"/>
      <c r="Y102" s="21" t="str">
        <f>IFERROR(VLOOKUP(March[[#This Row],[Drug Name2]],'Data Options'!$R$1:$S$100,2,FALSE), " ")</f>
        <v xml:space="preserve"> </v>
      </c>
      <c r="Z102" s="55"/>
      <c r="AA102" s="32"/>
      <c r="AB102" s="32"/>
      <c r="AC102" s="55"/>
      <c r="AD102" s="32"/>
      <c r="AE102" s="54"/>
      <c r="AF102" s="21" t="str">
        <f>IFERROR(VLOOKUP(March[[#This Row],[Drug Name3]],'Data Options'!$R$1:$S$100,2,FALSE), " ")</f>
        <v xml:space="preserve"> </v>
      </c>
      <c r="AG102" s="55"/>
      <c r="AH102" s="32"/>
      <c r="AI102" s="32"/>
      <c r="AJ102" s="55"/>
      <c r="AK102" s="32"/>
      <c r="AL102" s="32"/>
      <c r="AM102" s="32"/>
      <c r="AN102" s="32"/>
      <c r="AO102" s="32"/>
      <c r="AP102" s="31"/>
      <c r="AQ102" s="31"/>
      <c r="AR102" s="54"/>
      <c r="AS102" s="21" t="str">
        <f>IFERROR(VLOOKUP(March[[#This Row],[Drug Name4]],'Data Options'!$R$1:$S$100,2,FALSE), " ")</f>
        <v xml:space="preserve"> </v>
      </c>
      <c r="AT102" s="55"/>
      <c r="AU102" s="32"/>
      <c r="AV102" s="32"/>
      <c r="AW102" s="55"/>
      <c r="AX102" s="32"/>
      <c r="AY102" s="54"/>
      <c r="AZ102" s="21" t="str">
        <f>IFERROR(VLOOKUP(March[[#This Row],[Drug Name5]],'Data Options'!$R$1:$S$100,2,FALSE), " ")</f>
        <v xml:space="preserve"> </v>
      </c>
      <c r="BA102" s="55"/>
      <c r="BB102" s="32"/>
      <c r="BC102" s="32"/>
      <c r="BD102" s="55"/>
      <c r="BE102" s="32"/>
      <c r="BF102" s="54"/>
      <c r="BG102" s="21" t="str">
        <f>IFERROR(VLOOKUP(March[[#This Row],[Drug Name6]],'Data Options'!$R$1:$S$100,2,FALSE), " ")</f>
        <v xml:space="preserve"> </v>
      </c>
      <c r="BH102" s="55"/>
      <c r="BI102" s="32"/>
      <c r="BJ102" s="32"/>
      <c r="BK102" s="55"/>
      <c r="BL102" s="32"/>
      <c r="BM102" s="32"/>
      <c r="BN102" s="32"/>
      <c r="BO102" s="32"/>
      <c r="BP102" s="32"/>
      <c r="BQ102" s="31"/>
      <c r="BR102" s="31"/>
      <c r="BS102" s="54"/>
      <c r="BT102" s="21" t="str">
        <f>IFERROR(VLOOKUP(March[[#This Row],[Drug Name7]],'Data Options'!$R$1:$S$100,2,FALSE), " ")</f>
        <v xml:space="preserve"> </v>
      </c>
      <c r="BU102" s="55"/>
      <c r="BV102" s="32"/>
      <c r="BW102" s="32"/>
      <c r="BX102" s="55"/>
      <c r="BY102" s="32"/>
      <c r="BZ102" s="54"/>
      <c r="CA102" s="21" t="str">
        <f>IFERROR(VLOOKUP(March[[#This Row],[Drug Name8]],'Data Options'!$R$1:$S$100,2,FALSE), " ")</f>
        <v xml:space="preserve"> </v>
      </c>
      <c r="CB102" s="55"/>
      <c r="CC102" s="32"/>
      <c r="CD102" s="32"/>
      <c r="CE102" s="55"/>
      <c r="CF102" s="32"/>
      <c r="CG102" s="54"/>
      <c r="CH102" s="21" t="str">
        <f>IFERROR(VLOOKUP(March[[#This Row],[Drug Name9]],'Data Options'!$R$1:$S$100,2,FALSE), " ")</f>
        <v xml:space="preserve"> </v>
      </c>
      <c r="CI102" s="55"/>
      <c r="CJ102" s="32"/>
      <c r="CK102" s="32"/>
      <c r="CL102" s="55"/>
      <c r="CM102" s="32"/>
    </row>
    <row r="103" spans="1:91">
      <c r="A103" s="5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1"/>
      <c r="Q103" s="54"/>
      <c r="R103" s="21" t="str">
        <f>IFERROR(VLOOKUP(March[[#This Row],[Drug Name]],'Data Options'!$R$1:$S$100,2,FALSE), " ")</f>
        <v xml:space="preserve"> </v>
      </c>
      <c r="S103" s="55"/>
      <c r="T103" s="32"/>
      <c r="U103" s="32"/>
      <c r="V103" s="55"/>
      <c r="W103" s="32"/>
      <c r="X103" s="54"/>
      <c r="Y103" s="21" t="str">
        <f>IFERROR(VLOOKUP(March[[#This Row],[Drug Name2]],'Data Options'!$R$1:$S$100,2,FALSE), " ")</f>
        <v xml:space="preserve"> </v>
      </c>
      <c r="Z103" s="55"/>
      <c r="AA103" s="32"/>
      <c r="AB103" s="32"/>
      <c r="AC103" s="55"/>
      <c r="AD103" s="32"/>
      <c r="AE103" s="54"/>
      <c r="AF103" s="21" t="str">
        <f>IFERROR(VLOOKUP(March[[#This Row],[Drug Name3]],'Data Options'!$R$1:$S$100,2,FALSE), " ")</f>
        <v xml:space="preserve"> </v>
      </c>
      <c r="AG103" s="55"/>
      <c r="AH103" s="32"/>
      <c r="AI103" s="32"/>
      <c r="AJ103" s="55"/>
      <c r="AK103" s="32"/>
      <c r="AL103" s="32"/>
      <c r="AM103" s="32"/>
      <c r="AN103" s="32"/>
      <c r="AO103" s="32"/>
      <c r="AP103" s="31"/>
      <c r="AQ103" s="31"/>
      <c r="AR103" s="54"/>
      <c r="AS103" s="21" t="str">
        <f>IFERROR(VLOOKUP(March[[#This Row],[Drug Name4]],'Data Options'!$R$1:$S$100,2,FALSE), " ")</f>
        <v xml:space="preserve"> </v>
      </c>
      <c r="AT103" s="55"/>
      <c r="AU103" s="32"/>
      <c r="AV103" s="32"/>
      <c r="AW103" s="55"/>
      <c r="AX103" s="32"/>
      <c r="AY103" s="54"/>
      <c r="AZ103" s="21" t="str">
        <f>IFERROR(VLOOKUP(March[[#This Row],[Drug Name5]],'Data Options'!$R$1:$S$100,2,FALSE), " ")</f>
        <v xml:space="preserve"> </v>
      </c>
      <c r="BA103" s="55"/>
      <c r="BB103" s="32"/>
      <c r="BC103" s="32"/>
      <c r="BD103" s="55"/>
      <c r="BE103" s="32"/>
      <c r="BF103" s="54"/>
      <c r="BG103" s="21" t="str">
        <f>IFERROR(VLOOKUP(March[[#This Row],[Drug Name6]],'Data Options'!$R$1:$S$100,2,FALSE), " ")</f>
        <v xml:space="preserve"> </v>
      </c>
      <c r="BH103" s="55"/>
      <c r="BI103" s="32"/>
      <c r="BJ103" s="32"/>
      <c r="BK103" s="55"/>
      <c r="BL103" s="32"/>
      <c r="BM103" s="32"/>
      <c r="BN103" s="32"/>
      <c r="BO103" s="32"/>
      <c r="BP103" s="32"/>
      <c r="BQ103" s="31"/>
      <c r="BR103" s="31"/>
      <c r="BS103" s="54"/>
      <c r="BT103" s="21" t="str">
        <f>IFERROR(VLOOKUP(March[[#This Row],[Drug Name7]],'Data Options'!$R$1:$S$100,2,FALSE), " ")</f>
        <v xml:space="preserve"> </v>
      </c>
      <c r="BU103" s="55"/>
      <c r="BV103" s="32"/>
      <c r="BW103" s="32"/>
      <c r="BX103" s="55"/>
      <c r="BY103" s="32"/>
      <c r="BZ103" s="54"/>
      <c r="CA103" s="21" t="str">
        <f>IFERROR(VLOOKUP(March[[#This Row],[Drug Name8]],'Data Options'!$R$1:$S$100,2,FALSE), " ")</f>
        <v xml:space="preserve"> </v>
      </c>
      <c r="CB103" s="55"/>
      <c r="CC103" s="32"/>
      <c r="CD103" s="32"/>
      <c r="CE103" s="55"/>
      <c r="CF103" s="32"/>
      <c r="CG103" s="54"/>
      <c r="CH103" s="21" t="str">
        <f>IFERROR(VLOOKUP(March[[#This Row],[Drug Name9]],'Data Options'!$R$1:$S$100,2,FALSE), " ")</f>
        <v xml:space="preserve"> </v>
      </c>
      <c r="CI103" s="55"/>
      <c r="CJ103" s="32"/>
      <c r="CK103" s="32"/>
      <c r="CL103" s="55"/>
      <c r="CM103" s="32"/>
    </row>
    <row r="104" spans="1:91">
      <c r="A104" s="5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Q104" s="54"/>
      <c r="R104" s="21" t="str">
        <f>IFERROR(VLOOKUP(March[[#This Row],[Drug Name]],'Data Options'!$R$1:$S$100,2,FALSE), " ")</f>
        <v xml:space="preserve"> </v>
      </c>
      <c r="S104" s="55"/>
      <c r="T104" s="32"/>
      <c r="U104" s="32"/>
      <c r="V104" s="55"/>
      <c r="W104" s="32"/>
      <c r="X104" s="54"/>
      <c r="Y104" s="21" t="str">
        <f>IFERROR(VLOOKUP(March[[#This Row],[Drug Name2]],'Data Options'!$R$1:$S$100,2,FALSE), " ")</f>
        <v xml:space="preserve"> </v>
      </c>
      <c r="Z104" s="55"/>
      <c r="AA104" s="32"/>
      <c r="AB104" s="32"/>
      <c r="AC104" s="55"/>
      <c r="AD104" s="32"/>
      <c r="AE104" s="54"/>
      <c r="AF104" s="21" t="str">
        <f>IFERROR(VLOOKUP(March[[#This Row],[Drug Name3]],'Data Options'!$R$1:$S$100,2,FALSE), " ")</f>
        <v xml:space="preserve"> </v>
      </c>
      <c r="AG104" s="55"/>
      <c r="AH104" s="32"/>
      <c r="AI104" s="32"/>
      <c r="AJ104" s="55"/>
      <c r="AK104" s="32"/>
      <c r="AL104" s="32"/>
      <c r="AM104" s="32"/>
      <c r="AN104" s="32"/>
      <c r="AO104" s="32"/>
      <c r="AP104" s="31"/>
      <c r="AQ104" s="31"/>
      <c r="AR104" s="54"/>
      <c r="AS104" s="21" t="str">
        <f>IFERROR(VLOOKUP(March[[#This Row],[Drug Name4]],'Data Options'!$R$1:$S$100,2,FALSE), " ")</f>
        <v xml:space="preserve"> </v>
      </c>
      <c r="AT104" s="55"/>
      <c r="AU104" s="32"/>
      <c r="AV104" s="32"/>
      <c r="AW104" s="55"/>
      <c r="AX104" s="32"/>
      <c r="AY104" s="54"/>
      <c r="AZ104" s="21" t="str">
        <f>IFERROR(VLOOKUP(March[[#This Row],[Drug Name5]],'Data Options'!$R$1:$S$100,2,FALSE), " ")</f>
        <v xml:space="preserve"> </v>
      </c>
      <c r="BA104" s="55"/>
      <c r="BB104" s="32"/>
      <c r="BC104" s="32"/>
      <c r="BD104" s="55"/>
      <c r="BE104" s="32"/>
      <c r="BF104" s="54"/>
      <c r="BG104" s="21" t="str">
        <f>IFERROR(VLOOKUP(March[[#This Row],[Drug Name6]],'Data Options'!$R$1:$S$100,2,FALSE), " ")</f>
        <v xml:space="preserve"> </v>
      </c>
      <c r="BH104" s="55"/>
      <c r="BI104" s="32"/>
      <c r="BJ104" s="32"/>
      <c r="BK104" s="55"/>
      <c r="BL104" s="32"/>
      <c r="BM104" s="32"/>
      <c r="BN104" s="32"/>
      <c r="BO104" s="32"/>
      <c r="BP104" s="32"/>
      <c r="BQ104" s="31"/>
      <c r="BR104" s="31"/>
      <c r="BS104" s="54"/>
      <c r="BT104" s="21" t="str">
        <f>IFERROR(VLOOKUP(March[[#This Row],[Drug Name7]],'Data Options'!$R$1:$S$100,2,FALSE), " ")</f>
        <v xml:space="preserve"> </v>
      </c>
      <c r="BU104" s="55"/>
      <c r="BV104" s="32"/>
      <c r="BW104" s="32"/>
      <c r="BX104" s="55"/>
      <c r="BY104" s="32"/>
      <c r="BZ104" s="54"/>
      <c r="CA104" s="21" t="str">
        <f>IFERROR(VLOOKUP(March[[#This Row],[Drug Name8]],'Data Options'!$R$1:$S$100,2,FALSE), " ")</f>
        <v xml:space="preserve"> </v>
      </c>
      <c r="CB104" s="55"/>
      <c r="CC104" s="32"/>
      <c r="CD104" s="32"/>
      <c r="CE104" s="55"/>
      <c r="CF104" s="32"/>
      <c r="CG104" s="54"/>
      <c r="CH104" s="21" t="str">
        <f>IFERROR(VLOOKUP(March[[#This Row],[Drug Name9]],'Data Options'!$R$1:$S$100,2,FALSE), " ")</f>
        <v xml:space="preserve"> </v>
      </c>
      <c r="CI104" s="55"/>
      <c r="CJ104" s="32"/>
      <c r="CK104" s="32"/>
      <c r="CL104" s="55"/>
      <c r="CM104" s="32"/>
    </row>
    <row r="105" spans="1:91">
      <c r="A105" s="5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1"/>
      <c r="Q105" s="54"/>
      <c r="R105" s="21" t="str">
        <f>IFERROR(VLOOKUP(March[[#This Row],[Drug Name]],'Data Options'!$R$1:$S$100,2,FALSE), " ")</f>
        <v xml:space="preserve"> </v>
      </c>
      <c r="S105" s="55"/>
      <c r="T105" s="32"/>
      <c r="U105" s="32"/>
      <c r="V105" s="55"/>
      <c r="W105" s="32"/>
      <c r="X105" s="54"/>
      <c r="Y105" s="21" t="str">
        <f>IFERROR(VLOOKUP(March[[#This Row],[Drug Name2]],'Data Options'!$R$1:$S$100,2,FALSE), " ")</f>
        <v xml:space="preserve"> </v>
      </c>
      <c r="Z105" s="55"/>
      <c r="AA105" s="32"/>
      <c r="AB105" s="32"/>
      <c r="AC105" s="55"/>
      <c r="AD105" s="32"/>
      <c r="AE105" s="54"/>
      <c r="AF105" s="21" t="str">
        <f>IFERROR(VLOOKUP(March[[#This Row],[Drug Name3]],'Data Options'!$R$1:$S$100,2,FALSE), " ")</f>
        <v xml:space="preserve"> </v>
      </c>
      <c r="AG105" s="55"/>
      <c r="AH105" s="32"/>
      <c r="AI105" s="32"/>
      <c r="AJ105" s="55"/>
      <c r="AK105" s="32"/>
      <c r="AL105" s="32"/>
      <c r="AM105" s="32"/>
      <c r="AN105" s="32"/>
      <c r="AO105" s="32"/>
      <c r="AP105" s="31"/>
      <c r="AQ105" s="31"/>
      <c r="AR105" s="54"/>
      <c r="AS105" s="21" t="str">
        <f>IFERROR(VLOOKUP(March[[#This Row],[Drug Name4]],'Data Options'!$R$1:$S$100,2,FALSE), " ")</f>
        <v xml:space="preserve"> </v>
      </c>
      <c r="AT105" s="55"/>
      <c r="AU105" s="32"/>
      <c r="AV105" s="32"/>
      <c r="AW105" s="55"/>
      <c r="AX105" s="32"/>
      <c r="AY105" s="54"/>
      <c r="AZ105" s="21" t="str">
        <f>IFERROR(VLOOKUP(March[[#This Row],[Drug Name5]],'Data Options'!$R$1:$S$100,2,FALSE), " ")</f>
        <v xml:space="preserve"> </v>
      </c>
      <c r="BA105" s="55"/>
      <c r="BB105" s="32"/>
      <c r="BC105" s="32"/>
      <c r="BD105" s="55"/>
      <c r="BE105" s="32"/>
      <c r="BF105" s="54"/>
      <c r="BG105" s="21" t="str">
        <f>IFERROR(VLOOKUP(March[[#This Row],[Drug Name6]],'Data Options'!$R$1:$S$100,2,FALSE), " ")</f>
        <v xml:space="preserve"> </v>
      </c>
      <c r="BH105" s="55"/>
      <c r="BI105" s="32"/>
      <c r="BJ105" s="32"/>
      <c r="BK105" s="55"/>
      <c r="BL105" s="32"/>
      <c r="BM105" s="32"/>
      <c r="BN105" s="32"/>
      <c r="BO105" s="32"/>
      <c r="BP105" s="32"/>
      <c r="BQ105" s="31"/>
      <c r="BR105" s="31"/>
      <c r="BS105" s="54"/>
      <c r="BT105" s="21" t="str">
        <f>IFERROR(VLOOKUP(March[[#This Row],[Drug Name7]],'Data Options'!$R$1:$S$100,2,FALSE), " ")</f>
        <v xml:space="preserve"> </v>
      </c>
      <c r="BU105" s="55"/>
      <c r="BV105" s="32"/>
      <c r="BW105" s="32"/>
      <c r="BX105" s="55"/>
      <c r="BY105" s="32"/>
      <c r="BZ105" s="54"/>
      <c r="CA105" s="21" t="str">
        <f>IFERROR(VLOOKUP(March[[#This Row],[Drug Name8]],'Data Options'!$R$1:$S$100,2,FALSE), " ")</f>
        <v xml:space="preserve"> </v>
      </c>
      <c r="CB105" s="55"/>
      <c r="CC105" s="32"/>
      <c r="CD105" s="32"/>
      <c r="CE105" s="55"/>
      <c r="CF105" s="32"/>
      <c r="CG105" s="54"/>
      <c r="CH105" s="21" t="str">
        <f>IFERROR(VLOOKUP(March[[#This Row],[Drug Name9]],'Data Options'!$R$1:$S$100,2,FALSE), " ")</f>
        <v xml:space="preserve"> </v>
      </c>
      <c r="CI105" s="55"/>
      <c r="CJ105" s="32"/>
      <c r="CK105" s="32"/>
      <c r="CL105" s="55"/>
      <c r="CM105" s="32"/>
    </row>
    <row r="106" spans="1:91">
      <c r="A106" s="5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1"/>
      <c r="P106" s="31"/>
      <c r="Q106" s="54"/>
      <c r="R106" s="21" t="str">
        <f>IFERROR(VLOOKUP(March[[#This Row],[Drug Name]],'Data Options'!$R$1:$S$100,2,FALSE), " ")</f>
        <v xml:space="preserve"> </v>
      </c>
      <c r="S106" s="55"/>
      <c r="T106" s="32"/>
      <c r="U106" s="32"/>
      <c r="V106" s="55"/>
      <c r="W106" s="32"/>
      <c r="X106" s="54"/>
      <c r="Y106" s="21" t="str">
        <f>IFERROR(VLOOKUP(March[[#This Row],[Drug Name2]],'Data Options'!$R$1:$S$100,2,FALSE), " ")</f>
        <v xml:space="preserve"> </v>
      </c>
      <c r="Z106" s="55"/>
      <c r="AA106" s="32"/>
      <c r="AB106" s="32"/>
      <c r="AC106" s="55"/>
      <c r="AD106" s="32"/>
      <c r="AE106" s="54"/>
      <c r="AF106" s="21" t="str">
        <f>IFERROR(VLOOKUP(March[[#This Row],[Drug Name3]],'Data Options'!$R$1:$S$100,2,FALSE), " ")</f>
        <v xml:space="preserve"> </v>
      </c>
      <c r="AG106" s="55"/>
      <c r="AH106" s="32"/>
      <c r="AI106" s="32"/>
      <c r="AJ106" s="55"/>
      <c r="AK106" s="32"/>
      <c r="AL106" s="32"/>
      <c r="AM106" s="32"/>
      <c r="AN106" s="32"/>
      <c r="AO106" s="32"/>
      <c r="AP106" s="31"/>
      <c r="AQ106" s="31"/>
      <c r="AR106" s="54"/>
      <c r="AS106" s="21" t="str">
        <f>IFERROR(VLOOKUP(March[[#This Row],[Drug Name4]],'Data Options'!$R$1:$S$100,2,FALSE), " ")</f>
        <v xml:space="preserve"> </v>
      </c>
      <c r="AT106" s="55"/>
      <c r="AU106" s="32"/>
      <c r="AV106" s="32"/>
      <c r="AW106" s="55"/>
      <c r="AX106" s="32"/>
      <c r="AY106" s="54"/>
      <c r="AZ106" s="21" t="str">
        <f>IFERROR(VLOOKUP(March[[#This Row],[Drug Name5]],'Data Options'!$R$1:$S$100,2,FALSE), " ")</f>
        <v xml:space="preserve"> </v>
      </c>
      <c r="BA106" s="55"/>
      <c r="BB106" s="32"/>
      <c r="BC106" s="32"/>
      <c r="BD106" s="55"/>
      <c r="BE106" s="32"/>
      <c r="BF106" s="54"/>
      <c r="BG106" s="21" t="str">
        <f>IFERROR(VLOOKUP(March[[#This Row],[Drug Name6]],'Data Options'!$R$1:$S$100,2,FALSE), " ")</f>
        <v xml:space="preserve"> </v>
      </c>
      <c r="BH106" s="55"/>
      <c r="BI106" s="32"/>
      <c r="BJ106" s="32"/>
      <c r="BK106" s="55"/>
      <c r="BL106" s="32"/>
      <c r="BM106" s="32"/>
      <c r="BN106" s="32"/>
      <c r="BO106" s="32"/>
      <c r="BP106" s="32"/>
      <c r="BQ106" s="31"/>
      <c r="BR106" s="31"/>
      <c r="BS106" s="54"/>
      <c r="BT106" s="21" t="str">
        <f>IFERROR(VLOOKUP(March[[#This Row],[Drug Name7]],'Data Options'!$R$1:$S$100,2,FALSE), " ")</f>
        <v xml:space="preserve"> </v>
      </c>
      <c r="BU106" s="55"/>
      <c r="BV106" s="32"/>
      <c r="BW106" s="32"/>
      <c r="BX106" s="55"/>
      <c r="BY106" s="32"/>
      <c r="BZ106" s="54"/>
      <c r="CA106" s="21" t="str">
        <f>IFERROR(VLOOKUP(March[[#This Row],[Drug Name8]],'Data Options'!$R$1:$S$100,2,FALSE), " ")</f>
        <v xml:space="preserve"> </v>
      </c>
      <c r="CB106" s="55"/>
      <c r="CC106" s="32"/>
      <c r="CD106" s="32"/>
      <c r="CE106" s="55"/>
      <c r="CF106" s="32"/>
      <c r="CG106" s="54"/>
      <c r="CH106" s="21" t="str">
        <f>IFERROR(VLOOKUP(March[[#This Row],[Drug Name9]],'Data Options'!$R$1:$S$100,2,FALSE), " ")</f>
        <v xml:space="preserve"> </v>
      </c>
      <c r="CI106" s="55"/>
      <c r="CJ106" s="32"/>
      <c r="CK106" s="32"/>
      <c r="CL106" s="55"/>
      <c r="CM106" s="32"/>
    </row>
    <row r="107" spans="1:91">
      <c r="A107" s="5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1"/>
      <c r="P107" s="31"/>
      <c r="Q107" s="54"/>
      <c r="R107" s="21" t="str">
        <f>IFERROR(VLOOKUP(March[[#This Row],[Drug Name]],'Data Options'!$R$1:$S$100,2,FALSE), " ")</f>
        <v xml:space="preserve"> </v>
      </c>
      <c r="S107" s="55"/>
      <c r="T107" s="32"/>
      <c r="U107" s="32"/>
      <c r="V107" s="55"/>
      <c r="W107" s="32"/>
      <c r="X107" s="54"/>
      <c r="Y107" s="21" t="str">
        <f>IFERROR(VLOOKUP(March[[#This Row],[Drug Name2]],'Data Options'!$R$1:$S$100,2,FALSE), " ")</f>
        <v xml:space="preserve"> </v>
      </c>
      <c r="Z107" s="55"/>
      <c r="AA107" s="32"/>
      <c r="AB107" s="32"/>
      <c r="AC107" s="55"/>
      <c r="AD107" s="32"/>
      <c r="AE107" s="54"/>
      <c r="AF107" s="21" t="str">
        <f>IFERROR(VLOOKUP(March[[#This Row],[Drug Name3]],'Data Options'!$R$1:$S$100,2,FALSE), " ")</f>
        <v xml:space="preserve"> </v>
      </c>
      <c r="AG107" s="55"/>
      <c r="AH107" s="32"/>
      <c r="AI107" s="32"/>
      <c r="AJ107" s="55"/>
      <c r="AK107" s="32"/>
      <c r="AL107" s="32"/>
      <c r="AM107" s="32"/>
      <c r="AN107" s="32"/>
      <c r="AO107" s="32"/>
      <c r="AP107" s="31"/>
      <c r="AQ107" s="31"/>
      <c r="AR107" s="54"/>
      <c r="AS107" s="21" t="str">
        <f>IFERROR(VLOOKUP(March[[#This Row],[Drug Name4]],'Data Options'!$R$1:$S$100,2,FALSE), " ")</f>
        <v xml:space="preserve"> </v>
      </c>
      <c r="AT107" s="55"/>
      <c r="AU107" s="32"/>
      <c r="AV107" s="32"/>
      <c r="AW107" s="55"/>
      <c r="AX107" s="32"/>
      <c r="AY107" s="54"/>
      <c r="AZ107" s="21" t="str">
        <f>IFERROR(VLOOKUP(March[[#This Row],[Drug Name5]],'Data Options'!$R$1:$S$100,2,FALSE), " ")</f>
        <v xml:space="preserve"> </v>
      </c>
      <c r="BA107" s="55"/>
      <c r="BB107" s="32"/>
      <c r="BC107" s="32"/>
      <c r="BD107" s="55"/>
      <c r="BE107" s="32"/>
      <c r="BF107" s="54"/>
      <c r="BG107" s="21" t="str">
        <f>IFERROR(VLOOKUP(March[[#This Row],[Drug Name6]],'Data Options'!$R$1:$S$100,2,FALSE), " ")</f>
        <v xml:space="preserve"> </v>
      </c>
      <c r="BH107" s="55"/>
      <c r="BI107" s="32"/>
      <c r="BJ107" s="32"/>
      <c r="BK107" s="55"/>
      <c r="BL107" s="32"/>
      <c r="BM107" s="32"/>
      <c r="BN107" s="32"/>
      <c r="BO107" s="32"/>
      <c r="BP107" s="32"/>
      <c r="BQ107" s="31"/>
      <c r="BR107" s="31"/>
      <c r="BS107" s="54"/>
      <c r="BT107" s="21" t="str">
        <f>IFERROR(VLOOKUP(March[[#This Row],[Drug Name7]],'Data Options'!$R$1:$S$100,2,FALSE), " ")</f>
        <v xml:space="preserve"> </v>
      </c>
      <c r="BU107" s="55"/>
      <c r="BV107" s="32"/>
      <c r="BW107" s="32"/>
      <c r="BX107" s="55"/>
      <c r="BY107" s="32"/>
      <c r="BZ107" s="54"/>
      <c r="CA107" s="21" t="str">
        <f>IFERROR(VLOOKUP(March[[#This Row],[Drug Name8]],'Data Options'!$R$1:$S$100,2,FALSE), " ")</f>
        <v xml:space="preserve"> </v>
      </c>
      <c r="CB107" s="55"/>
      <c r="CC107" s="32"/>
      <c r="CD107" s="32"/>
      <c r="CE107" s="55"/>
      <c r="CF107" s="32"/>
      <c r="CG107" s="54"/>
      <c r="CH107" s="21" t="str">
        <f>IFERROR(VLOOKUP(March[[#This Row],[Drug Name9]],'Data Options'!$R$1:$S$100,2,FALSE), " ")</f>
        <v xml:space="preserve"> </v>
      </c>
      <c r="CI107" s="55"/>
      <c r="CJ107" s="32"/>
      <c r="CK107" s="32"/>
      <c r="CL107" s="55"/>
      <c r="CM107" s="32"/>
    </row>
    <row r="108" spans="1:91">
      <c r="A108" s="5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1"/>
      <c r="P108" s="31"/>
      <c r="Q108" s="54"/>
      <c r="R108" s="21" t="str">
        <f>IFERROR(VLOOKUP(March[[#This Row],[Drug Name]],'Data Options'!$R$1:$S$100,2,FALSE), " ")</f>
        <v xml:space="preserve"> </v>
      </c>
      <c r="S108" s="55"/>
      <c r="T108" s="32"/>
      <c r="U108" s="32"/>
      <c r="V108" s="55"/>
      <c r="W108" s="32"/>
      <c r="X108" s="54"/>
      <c r="Y108" s="21" t="str">
        <f>IFERROR(VLOOKUP(March[[#This Row],[Drug Name2]],'Data Options'!$R$1:$S$100,2,FALSE), " ")</f>
        <v xml:space="preserve"> </v>
      </c>
      <c r="Z108" s="55"/>
      <c r="AA108" s="32"/>
      <c r="AB108" s="32"/>
      <c r="AC108" s="55"/>
      <c r="AD108" s="32"/>
      <c r="AE108" s="54"/>
      <c r="AF108" s="21" t="str">
        <f>IFERROR(VLOOKUP(March[[#This Row],[Drug Name3]],'Data Options'!$R$1:$S$100,2,FALSE), " ")</f>
        <v xml:space="preserve"> </v>
      </c>
      <c r="AG108" s="55"/>
      <c r="AH108" s="32"/>
      <c r="AI108" s="32"/>
      <c r="AJ108" s="55"/>
      <c r="AK108" s="32"/>
      <c r="AL108" s="32"/>
      <c r="AM108" s="32"/>
      <c r="AN108" s="32"/>
      <c r="AO108" s="32"/>
      <c r="AP108" s="31"/>
      <c r="AQ108" s="31"/>
      <c r="AR108" s="54"/>
      <c r="AS108" s="21" t="str">
        <f>IFERROR(VLOOKUP(March[[#This Row],[Drug Name4]],'Data Options'!$R$1:$S$100,2,FALSE), " ")</f>
        <v xml:space="preserve"> </v>
      </c>
      <c r="AT108" s="55"/>
      <c r="AU108" s="32"/>
      <c r="AV108" s="32"/>
      <c r="AW108" s="55"/>
      <c r="AX108" s="32"/>
      <c r="AY108" s="54"/>
      <c r="AZ108" s="21" t="str">
        <f>IFERROR(VLOOKUP(March[[#This Row],[Drug Name5]],'Data Options'!$R$1:$S$100,2,FALSE), " ")</f>
        <v xml:space="preserve"> </v>
      </c>
      <c r="BA108" s="55"/>
      <c r="BB108" s="32"/>
      <c r="BC108" s="32"/>
      <c r="BD108" s="55"/>
      <c r="BE108" s="32"/>
      <c r="BF108" s="54"/>
      <c r="BG108" s="21" t="str">
        <f>IFERROR(VLOOKUP(March[[#This Row],[Drug Name6]],'Data Options'!$R$1:$S$100,2,FALSE), " ")</f>
        <v xml:space="preserve"> </v>
      </c>
      <c r="BH108" s="55"/>
      <c r="BI108" s="32"/>
      <c r="BJ108" s="32"/>
      <c r="BK108" s="55"/>
      <c r="BL108" s="32"/>
      <c r="BM108" s="32"/>
      <c r="BN108" s="32"/>
      <c r="BO108" s="32"/>
      <c r="BP108" s="32"/>
      <c r="BQ108" s="31"/>
      <c r="BR108" s="31"/>
      <c r="BS108" s="54"/>
      <c r="BT108" s="21" t="str">
        <f>IFERROR(VLOOKUP(March[[#This Row],[Drug Name7]],'Data Options'!$R$1:$S$100,2,FALSE), " ")</f>
        <v xml:space="preserve"> </v>
      </c>
      <c r="BU108" s="55"/>
      <c r="BV108" s="32"/>
      <c r="BW108" s="32"/>
      <c r="BX108" s="55"/>
      <c r="BY108" s="32"/>
      <c r="BZ108" s="54"/>
      <c r="CA108" s="21" t="str">
        <f>IFERROR(VLOOKUP(March[[#This Row],[Drug Name8]],'Data Options'!$R$1:$S$100,2,FALSE), " ")</f>
        <v xml:space="preserve"> </v>
      </c>
      <c r="CB108" s="55"/>
      <c r="CC108" s="32"/>
      <c r="CD108" s="32"/>
      <c r="CE108" s="55"/>
      <c r="CF108" s="32"/>
      <c r="CG108" s="54"/>
      <c r="CH108" s="21" t="str">
        <f>IFERROR(VLOOKUP(March[[#This Row],[Drug Name9]],'Data Options'!$R$1:$S$100,2,FALSE), " ")</f>
        <v xml:space="preserve"> </v>
      </c>
      <c r="CI108" s="55"/>
      <c r="CJ108" s="32"/>
      <c r="CK108" s="32"/>
      <c r="CL108" s="55"/>
      <c r="CM108" s="32"/>
    </row>
    <row r="109" spans="1:91">
      <c r="A109" s="5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1"/>
      <c r="P109" s="31"/>
      <c r="Q109" s="54"/>
      <c r="R109" s="21" t="str">
        <f>IFERROR(VLOOKUP(March[[#This Row],[Drug Name]],'Data Options'!$R$1:$S$100,2,FALSE), " ")</f>
        <v xml:space="preserve"> </v>
      </c>
      <c r="S109" s="55"/>
      <c r="T109" s="32"/>
      <c r="U109" s="32"/>
      <c r="V109" s="55"/>
      <c r="W109" s="32"/>
      <c r="X109" s="54"/>
      <c r="Y109" s="21" t="str">
        <f>IFERROR(VLOOKUP(March[[#This Row],[Drug Name2]],'Data Options'!$R$1:$S$100,2,FALSE), " ")</f>
        <v xml:space="preserve"> </v>
      </c>
      <c r="Z109" s="55"/>
      <c r="AA109" s="32"/>
      <c r="AB109" s="32"/>
      <c r="AC109" s="55"/>
      <c r="AD109" s="32"/>
      <c r="AE109" s="54"/>
      <c r="AF109" s="21" t="str">
        <f>IFERROR(VLOOKUP(March[[#This Row],[Drug Name3]],'Data Options'!$R$1:$S$100,2,FALSE), " ")</f>
        <v xml:space="preserve"> </v>
      </c>
      <c r="AG109" s="55"/>
      <c r="AH109" s="32"/>
      <c r="AI109" s="32"/>
      <c r="AJ109" s="55"/>
      <c r="AK109" s="32"/>
      <c r="AL109" s="32"/>
      <c r="AM109" s="32"/>
      <c r="AN109" s="32"/>
      <c r="AO109" s="32"/>
      <c r="AP109" s="31"/>
      <c r="AQ109" s="31"/>
      <c r="AR109" s="54"/>
      <c r="AS109" s="21" t="str">
        <f>IFERROR(VLOOKUP(March[[#This Row],[Drug Name4]],'Data Options'!$R$1:$S$100,2,FALSE), " ")</f>
        <v xml:space="preserve"> </v>
      </c>
      <c r="AT109" s="55"/>
      <c r="AU109" s="32"/>
      <c r="AV109" s="32"/>
      <c r="AW109" s="55"/>
      <c r="AX109" s="32"/>
      <c r="AY109" s="54"/>
      <c r="AZ109" s="21" t="str">
        <f>IFERROR(VLOOKUP(March[[#This Row],[Drug Name5]],'Data Options'!$R$1:$S$100,2,FALSE), " ")</f>
        <v xml:space="preserve"> </v>
      </c>
      <c r="BA109" s="55"/>
      <c r="BB109" s="32"/>
      <c r="BC109" s="32"/>
      <c r="BD109" s="55"/>
      <c r="BE109" s="32"/>
      <c r="BF109" s="54"/>
      <c r="BG109" s="21" t="str">
        <f>IFERROR(VLOOKUP(March[[#This Row],[Drug Name6]],'Data Options'!$R$1:$S$100,2,FALSE), " ")</f>
        <v xml:space="preserve"> </v>
      </c>
      <c r="BH109" s="55"/>
      <c r="BI109" s="32"/>
      <c r="BJ109" s="32"/>
      <c r="BK109" s="55"/>
      <c r="BL109" s="32"/>
      <c r="BM109" s="32"/>
      <c r="BN109" s="32"/>
      <c r="BO109" s="32"/>
      <c r="BP109" s="32"/>
      <c r="BQ109" s="31"/>
      <c r="BR109" s="31"/>
      <c r="BS109" s="54"/>
      <c r="BT109" s="21" t="str">
        <f>IFERROR(VLOOKUP(March[[#This Row],[Drug Name7]],'Data Options'!$R$1:$S$100,2,FALSE), " ")</f>
        <v xml:space="preserve"> </v>
      </c>
      <c r="BU109" s="55"/>
      <c r="BV109" s="32"/>
      <c r="BW109" s="32"/>
      <c r="BX109" s="55"/>
      <c r="BY109" s="32"/>
      <c r="BZ109" s="54"/>
      <c r="CA109" s="21" t="str">
        <f>IFERROR(VLOOKUP(March[[#This Row],[Drug Name8]],'Data Options'!$R$1:$S$100,2,FALSE), " ")</f>
        <v xml:space="preserve"> </v>
      </c>
      <c r="CB109" s="55"/>
      <c r="CC109" s="32"/>
      <c r="CD109" s="32"/>
      <c r="CE109" s="55"/>
      <c r="CF109" s="32"/>
      <c r="CG109" s="54"/>
      <c r="CH109" s="21" t="str">
        <f>IFERROR(VLOOKUP(March[[#This Row],[Drug Name9]],'Data Options'!$R$1:$S$100,2,FALSE), " ")</f>
        <v xml:space="preserve"> </v>
      </c>
      <c r="CI109" s="55"/>
      <c r="CJ109" s="32"/>
      <c r="CK109" s="32"/>
      <c r="CL109" s="55"/>
      <c r="CM109" s="32"/>
    </row>
    <row r="110" spans="1:91">
      <c r="A110" s="5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54"/>
      <c r="R110" s="21" t="str">
        <f>IFERROR(VLOOKUP(March[[#This Row],[Drug Name]],'Data Options'!$R$1:$S$100,2,FALSE), " ")</f>
        <v xml:space="preserve"> </v>
      </c>
      <c r="S110" s="55"/>
      <c r="T110" s="32"/>
      <c r="U110" s="32"/>
      <c r="V110" s="55"/>
      <c r="W110" s="32"/>
      <c r="X110" s="54"/>
      <c r="Y110" s="21" t="str">
        <f>IFERROR(VLOOKUP(March[[#This Row],[Drug Name2]],'Data Options'!$R$1:$S$100,2,FALSE), " ")</f>
        <v xml:space="preserve"> </v>
      </c>
      <c r="Z110" s="55"/>
      <c r="AA110" s="32"/>
      <c r="AB110" s="32"/>
      <c r="AC110" s="55"/>
      <c r="AD110" s="32"/>
      <c r="AE110" s="54"/>
      <c r="AF110" s="21" t="str">
        <f>IFERROR(VLOOKUP(March[[#This Row],[Drug Name3]],'Data Options'!$R$1:$S$100,2,FALSE), " ")</f>
        <v xml:space="preserve"> </v>
      </c>
      <c r="AG110" s="55"/>
      <c r="AH110" s="32"/>
      <c r="AI110" s="32"/>
      <c r="AJ110" s="55"/>
      <c r="AK110" s="32"/>
      <c r="AL110" s="32"/>
      <c r="AM110" s="32"/>
      <c r="AN110" s="32"/>
      <c r="AO110" s="32"/>
      <c r="AP110" s="31"/>
      <c r="AQ110" s="31"/>
      <c r="AR110" s="54"/>
      <c r="AS110" s="21" t="str">
        <f>IFERROR(VLOOKUP(March[[#This Row],[Drug Name4]],'Data Options'!$R$1:$S$100,2,FALSE), " ")</f>
        <v xml:space="preserve"> </v>
      </c>
      <c r="AT110" s="55"/>
      <c r="AU110" s="32"/>
      <c r="AV110" s="32"/>
      <c r="AW110" s="55"/>
      <c r="AX110" s="32"/>
      <c r="AY110" s="54"/>
      <c r="AZ110" s="21" t="str">
        <f>IFERROR(VLOOKUP(March[[#This Row],[Drug Name5]],'Data Options'!$R$1:$S$100,2,FALSE), " ")</f>
        <v xml:space="preserve"> </v>
      </c>
      <c r="BA110" s="55"/>
      <c r="BB110" s="32"/>
      <c r="BC110" s="32"/>
      <c r="BD110" s="55"/>
      <c r="BE110" s="32"/>
      <c r="BF110" s="54"/>
      <c r="BG110" s="21" t="str">
        <f>IFERROR(VLOOKUP(March[[#This Row],[Drug Name6]],'Data Options'!$R$1:$S$100,2,FALSE), " ")</f>
        <v xml:space="preserve"> </v>
      </c>
      <c r="BH110" s="55"/>
      <c r="BI110" s="32"/>
      <c r="BJ110" s="32"/>
      <c r="BK110" s="55"/>
      <c r="BL110" s="32"/>
      <c r="BM110" s="32"/>
      <c r="BN110" s="32"/>
      <c r="BO110" s="32"/>
      <c r="BP110" s="32"/>
      <c r="BQ110" s="31"/>
      <c r="BR110" s="31"/>
      <c r="BS110" s="54"/>
      <c r="BT110" s="21" t="str">
        <f>IFERROR(VLOOKUP(March[[#This Row],[Drug Name7]],'Data Options'!$R$1:$S$100,2,FALSE), " ")</f>
        <v xml:space="preserve"> </v>
      </c>
      <c r="BU110" s="55"/>
      <c r="BV110" s="32"/>
      <c r="BW110" s="32"/>
      <c r="BX110" s="55"/>
      <c r="BY110" s="32"/>
      <c r="BZ110" s="54"/>
      <c r="CA110" s="21" t="str">
        <f>IFERROR(VLOOKUP(March[[#This Row],[Drug Name8]],'Data Options'!$R$1:$S$100,2,FALSE), " ")</f>
        <v xml:space="preserve"> </v>
      </c>
      <c r="CB110" s="55"/>
      <c r="CC110" s="32"/>
      <c r="CD110" s="32"/>
      <c r="CE110" s="55"/>
      <c r="CF110" s="32"/>
      <c r="CG110" s="54"/>
      <c r="CH110" s="21" t="str">
        <f>IFERROR(VLOOKUP(March[[#This Row],[Drug Name9]],'Data Options'!$R$1:$S$100,2,FALSE), " ")</f>
        <v xml:space="preserve"> </v>
      </c>
      <c r="CI110" s="55"/>
      <c r="CJ110" s="32"/>
      <c r="CK110" s="32"/>
      <c r="CL110" s="55"/>
      <c r="CM110" s="32"/>
    </row>
    <row r="111" spans="1:91">
      <c r="A111" s="5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1"/>
      <c r="P111" s="31"/>
      <c r="Q111" s="54"/>
      <c r="R111" s="21" t="str">
        <f>IFERROR(VLOOKUP(March[[#This Row],[Drug Name]],'Data Options'!$R$1:$S$100,2,FALSE), " ")</f>
        <v xml:space="preserve"> </v>
      </c>
      <c r="S111" s="55"/>
      <c r="T111" s="32"/>
      <c r="U111" s="32"/>
      <c r="V111" s="55"/>
      <c r="W111" s="32"/>
      <c r="X111" s="54"/>
      <c r="Y111" s="21" t="str">
        <f>IFERROR(VLOOKUP(March[[#This Row],[Drug Name2]],'Data Options'!$R$1:$S$100,2,FALSE), " ")</f>
        <v xml:space="preserve"> </v>
      </c>
      <c r="Z111" s="55"/>
      <c r="AA111" s="32"/>
      <c r="AB111" s="32"/>
      <c r="AC111" s="55"/>
      <c r="AD111" s="32"/>
      <c r="AE111" s="54"/>
      <c r="AF111" s="21" t="str">
        <f>IFERROR(VLOOKUP(March[[#This Row],[Drug Name3]],'Data Options'!$R$1:$S$100,2,FALSE), " ")</f>
        <v xml:space="preserve"> </v>
      </c>
      <c r="AG111" s="55"/>
      <c r="AH111" s="32"/>
      <c r="AI111" s="32"/>
      <c r="AJ111" s="55"/>
      <c r="AK111" s="32"/>
      <c r="AL111" s="32"/>
      <c r="AM111" s="32"/>
      <c r="AN111" s="32"/>
      <c r="AO111" s="32"/>
      <c r="AP111" s="31"/>
      <c r="AQ111" s="31"/>
      <c r="AR111" s="54"/>
      <c r="AS111" s="21" t="str">
        <f>IFERROR(VLOOKUP(March[[#This Row],[Drug Name4]],'Data Options'!$R$1:$S$100,2,FALSE), " ")</f>
        <v xml:space="preserve"> </v>
      </c>
      <c r="AT111" s="55"/>
      <c r="AU111" s="32"/>
      <c r="AV111" s="32"/>
      <c r="AW111" s="55"/>
      <c r="AX111" s="32"/>
      <c r="AY111" s="54"/>
      <c r="AZ111" s="21" t="str">
        <f>IFERROR(VLOOKUP(March[[#This Row],[Drug Name5]],'Data Options'!$R$1:$S$100,2,FALSE), " ")</f>
        <v xml:space="preserve"> </v>
      </c>
      <c r="BA111" s="55"/>
      <c r="BB111" s="32"/>
      <c r="BC111" s="32"/>
      <c r="BD111" s="55"/>
      <c r="BE111" s="32"/>
      <c r="BF111" s="54"/>
      <c r="BG111" s="21" t="str">
        <f>IFERROR(VLOOKUP(March[[#This Row],[Drug Name6]],'Data Options'!$R$1:$S$100,2,FALSE), " ")</f>
        <v xml:space="preserve"> </v>
      </c>
      <c r="BH111" s="55"/>
      <c r="BI111" s="32"/>
      <c r="BJ111" s="32"/>
      <c r="BK111" s="55"/>
      <c r="BL111" s="32"/>
      <c r="BM111" s="32"/>
      <c r="BN111" s="32"/>
      <c r="BO111" s="32"/>
      <c r="BP111" s="32"/>
      <c r="BQ111" s="31"/>
      <c r="BR111" s="31"/>
      <c r="BS111" s="54"/>
      <c r="BT111" s="21" t="str">
        <f>IFERROR(VLOOKUP(March[[#This Row],[Drug Name7]],'Data Options'!$R$1:$S$100,2,FALSE), " ")</f>
        <v xml:space="preserve"> </v>
      </c>
      <c r="BU111" s="55"/>
      <c r="BV111" s="32"/>
      <c r="BW111" s="32"/>
      <c r="BX111" s="55"/>
      <c r="BY111" s="32"/>
      <c r="BZ111" s="54"/>
      <c r="CA111" s="21" t="str">
        <f>IFERROR(VLOOKUP(March[[#This Row],[Drug Name8]],'Data Options'!$R$1:$S$100,2,FALSE), " ")</f>
        <v xml:space="preserve"> </v>
      </c>
      <c r="CB111" s="55"/>
      <c r="CC111" s="32"/>
      <c r="CD111" s="32"/>
      <c r="CE111" s="55"/>
      <c r="CF111" s="32"/>
      <c r="CG111" s="54"/>
      <c r="CH111" s="21" t="str">
        <f>IFERROR(VLOOKUP(March[[#This Row],[Drug Name9]],'Data Options'!$R$1:$S$100,2,FALSE), " ")</f>
        <v xml:space="preserve"> </v>
      </c>
      <c r="CI111" s="55"/>
      <c r="CJ111" s="32"/>
      <c r="CK111" s="32"/>
      <c r="CL111" s="55"/>
      <c r="CM111" s="32"/>
    </row>
    <row r="112" spans="1:91">
      <c r="A112" s="5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1"/>
      <c r="P112" s="31"/>
      <c r="Q112" s="54"/>
      <c r="R112" s="21" t="str">
        <f>IFERROR(VLOOKUP(March[[#This Row],[Drug Name]],'Data Options'!$R$1:$S$100,2,FALSE), " ")</f>
        <v xml:space="preserve"> </v>
      </c>
      <c r="S112" s="55"/>
      <c r="T112" s="32"/>
      <c r="U112" s="32"/>
      <c r="V112" s="55"/>
      <c r="W112" s="32"/>
      <c r="X112" s="54"/>
      <c r="Y112" s="21" t="str">
        <f>IFERROR(VLOOKUP(March[[#This Row],[Drug Name2]],'Data Options'!$R$1:$S$100,2,FALSE), " ")</f>
        <v xml:space="preserve"> </v>
      </c>
      <c r="Z112" s="55"/>
      <c r="AA112" s="32"/>
      <c r="AB112" s="32"/>
      <c r="AC112" s="55"/>
      <c r="AD112" s="32"/>
      <c r="AE112" s="54"/>
      <c r="AF112" s="21" t="str">
        <f>IFERROR(VLOOKUP(March[[#This Row],[Drug Name3]],'Data Options'!$R$1:$S$100,2,FALSE), " ")</f>
        <v xml:space="preserve"> </v>
      </c>
      <c r="AG112" s="55"/>
      <c r="AH112" s="32"/>
      <c r="AI112" s="32"/>
      <c r="AJ112" s="55"/>
      <c r="AK112" s="32"/>
      <c r="AL112" s="32"/>
      <c r="AM112" s="32"/>
      <c r="AN112" s="32"/>
      <c r="AO112" s="32"/>
      <c r="AP112" s="31"/>
      <c r="AQ112" s="31"/>
      <c r="AR112" s="54"/>
      <c r="AS112" s="21" t="str">
        <f>IFERROR(VLOOKUP(March[[#This Row],[Drug Name4]],'Data Options'!$R$1:$S$100,2,FALSE), " ")</f>
        <v xml:space="preserve"> </v>
      </c>
      <c r="AT112" s="55"/>
      <c r="AU112" s="32"/>
      <c r="AV112" s="32"/>
      <c r="AW112" s="55"/>
      <c r="AX112" s="32"/>
      <c r="AY112" s="54"/>
      <c r="AZ112" s="21" t="str">
        <f>IFERROR(VLOOKUP(March[[#This Row],[Drug Name5]],'Data Options'!$R$1:$S$100,2,FALSE), " ")</f>
        <v xml:space="preserve"> </v>
      </c>
      <c r="BA112" s="55"/>
      <c r="BB112" s="32"/>
      <c r="BC112" s="32"/>
      <c r="BD112" s="55"/>
      <c r="BE112" s="32"/>
      <c r="BF112" s="54"/>
      <c r="BG112" s="21" t="str">
        <f>IFERROR(VLOOKUP(March[[#This Row],[Drug Name6]],'Data Options'!$R$1:$S$100,2,FALSE), " ")</f>
        <v xml:space="preserve"> </v>
      </c>
      <c r="BH112" s="55"/>
      <c r="BI112" s="32"/>
      <c r="BJ112" s="32"/>
      <c r="BK112" s="55"/>
      <c r="BL112" s="32"/>
      <c r="BM112" s="32"/>
      <c r="BN112" s="32"/>
      <c r="BO112" s="32"/>
      <c r="BP112" s="32"/>
      <c r="BQ112" s="31"/>
      <c r="BR112" s="31"/>
      <c r="BS112" s="54"/>
      <c r="BT112" s="21" t="str">
        <f>IFERROR(VLOOKUP(March[[#This Row],[Drug Name7]],'Data Options'!$R$1:$S$100,2,FALSE), " ")</f>
        <v xml:space="preserve"> </v>
      </c>
      <c r="BU112" s="55"/>
      <c r="BV112" s="32"/>
      <c r="BW112" s="32"/>
      <c r="BX112" s="55"/>
      <c r="BY112" s="32"/>
      <c r="BZ112" s="54"/>
      <c r="CA112" s="21" t="str">
        <f>IFERROR(VLOOKUP(March[[#This Row],[Drug Name8]],'Data Options'!$R$1:$S$100,2,FALSE), " ")</f>
        <v xml:space="preserve"> </v>
      </c>
      <c r="CB112" s="55"/>
      <c r="CC112" s="32"/>
      <c r="CD112" s="32"/>
      <c r="CE112" s="55"/>
      <c r="CF112" s="32"/>
      <c r="CG112" s="54"/>
      <c r="CH112" s="21" t="str">
        <f>IFERROR(VLOOKUP(March[[#This Row],[Drug Name9]],'Data Options'!$R$1:$S$100,2,FALSE), " ")</f>
        <v xml:space="preserve"> </v>
      </c>
      <c r="CI112" s="55"/>
      <c r="CJ112" s="32"/>
      <c r="CK112" s="32"/>
      <c r="CL112" s="55"/>
      <c r="CM112" s="32"/>
    </row>
    <row r="113" spans="1:91">
      <c r="A113" s="5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1"/>
      <c r="P113" s="31"/>
      <c r="Q113" s="54"/>
      <c r="R113" s="21" t="str">
        <f>IFERROR(VLOOKUP(March[[#This Row],[Drug Name]],'Data Options'!$R$1:$S$100,2,FALSE), " ")</f>
        <v xml:space="preserve"> </v>
      </c>
      <c r="S113" s="55"/>
      <c r="T113" s="32"/>
      <c r="U113" s="32"/>
      <c r="V113" s="55"/>
      <c r="W113" s="32"/>
      <c r="X113" s="54"/>
      <c r="Y113" s="21" t="str">
        <f>IFERROR(VLOOKUP(March[[#This Row],[Drug Name2]],'Data Options'!$R$1:$S$100,2,FALSE), " ")</f>
        <v xml:space="preserve"> </v>
      </c>
      <c r="Z113" s="55"/>
      <c r="AA113" s="32"/>
      <c r="AB113" s="32"/>
      <c r="AC113" s="55"/>
      <c r="AD113" s="32"/>
      <c r="AE113" s="54"/>
      <c r="AF113" s="21" t="str">
        <f>IFERROR(VLOOKUP(March[[#This Row],[Drug Name3]],'Data Options'!$R$1:$S$100,2,FALSE), " ")</f>
        <v xml:space="preserve"> </v>
      </c>
      <c r="AG113" s="55"/>
      <c r="AH113" s="32"/>
      <c r="AI113" s="32"/>
      <c r="AJ113" s="55"/>
      <c r="AK113" s="32"/>
      <c r="AL113" s="32"/>
      <c r="AM113" s="32"/>
      <c r="AN113" s="32"/>
      <c r="AO113" s="32"/>
      <c r="AP113" s="31"/>
      <c r="AQ113" s="31"/>
      <c r="AR113" s="54"/>
      <c r="AS113" s="21" t="str">
        <f>IFERROR(VLOOKUP(March[[#This Row],[Drug Name4]],'Data Options'!$R$1:$S$100,2,FALSE), " ")</f>
        <v xml:space="preserve"> </v>
      </c>
      <c r="AT113" s="55"/>
      <c r="AU113" s="32"/>
      <c r="AV113" s="32"/>
      <c r="AW113" s="55"/>
      <c r="AX113" s="32"/>
      <c r="AY113" s="54"/>
      <c r="AZ113" s="21" t="str">
        <f>IFERROR(VLOOKUP(March[[#This Row],[Drug Name5]],'Data Options'!$R$1:$S$100,2,FALSE), " ")</f>
        <v xml:space="preserve"> </v>
      </c>
      <c r="BA113" s="55"/>
      <c r="BB113" s="32"/>
      <c r="BC113" s="32"/>
      <c r="BD113" s="55"/>
      <c r="BE113" s="32"/>
      <c r="BF113" s="54"/>
      <c r="BG113" s="21" t="str">
        <f>IFERROR(VLOOKUP(March[[#This Row],[Drug Name6]],'Data Options'!$R$1:$S$100,2,FALSE), " ")</f>
        <v xml:space="preserve"> </v>
      </c>
      <c r="BH113" s="55"/>
      <c r="BI113" s="32"/>
      <c r="BJ113" s="32"/>
      <c r="BK113" s="55"/>
      <c r="BL113" s="32"/>
      <c r="BM113" s="32"/>
      <c r="BN113" s="32"/>
      <c r="BO113" s="32"/>
      <c r="BP113" s="32"/>
      <c r="BQ113" s="31"/>
      <c r="BR113" s="31"/>
      <c r="BS113" s="54"/>
      <c r="BT113" s="21" t="str">
        <f>IFERROR(VLOOKUP(March[[#This Row],[Drug Name7]],'Data Options'!$R$1:$S$100,2,FALSE), " ")</f>
        <v xml:space="preserve"> </v>
      </c>
      <c r="BU113" s="55"/>
      <c r="BV113" s="32"/>
      <c r="BW113" s="32"/>
      <c r="BX113" s="55"/>
      <c r="BY113" s="32"/>
      <c r="BZ113" s="54"/>
      <c r="CA113" s="21" t="str">
        <f>IFERROR(VLOOKUP(March[[#This Row],[Drug Name8]],'Data Options'!$R$1:$S$100,2,FALSE), " ")</f>
        <v xml:space="preserve"> </v>
      </c>
      <c r="CB113" s="55"/>
      <c r="CC113" s="32"/>
      <c r="CD113" s="32"/>
      <c r="CE113" s="55"/>
      <c r="CF113" s="32"/>
      <c r="CG113" s="54"/>
      <c r="CH113" s="21" t="str">
        <f>IFERROR(VLOOKUP(March[[#This Row],[Drug Name9]],'Data Options'!$R$1:$S$100,2,FALSE), " ")</f>
        <v xml:space="preserve"> </v>
      </c>
      <c r="CI113" s="55"/>
      <c r="CJ113" s="32"/>
      <c r="CK113" s="32"/>
      <c r="CL113" s="55"/>
      <c r="CM113" s="32"/>
    </row>
    <row r="114" spans="1:91">
      <c r="A114" s="5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1"/>
      <c r="P114" s="31"/>
      <c r="Q114" s="54"/>
      <c r="R114" s="21" t="str">
        <f>IFERROR(VLOOKUP(March[[#This Row],[Drug Name]],'Data Options'!$R$1:$S$100,2,FALSE), " ")</f>
        <v xml:space="preserve"> </v>
      </c>
      <c r="S114" s="55"/>
      <c r="T114" s="32"/>
      <c r="U114" s="32"/>
      <c r="V114" s="55"/>
      <c r="W114" s="32"/>
      <c r="X114" s="54"/>
      <c r="Y114" s="21" t="str">
        <f>IFERROR(VLOOKUP(March[[#This Row],[Drug Name2]],'Data Options'!$R$1:$S$100,2,FALSE), " ")</f>
        <v xml:space="preserve"> </v>
      </c>
      <c r="Z114" s="55"/>
      <c r="AA114" s="32"/>
      <c r="AB114" s="32"/>
      <c r="AC114" s="55"/>
      <c r="AD114" s="32"/>
      <c r="AE114" s="54"/>
      <c r="AF114" s="21" t="str">
        <f>IFERROR(VLOOKUP(March[[#This Row],[Drug Name3]],'Data Options'!$R$1:$S$100,2,FALSE), " ")</f>
        <v xml:space="preserve"> </v>
      </c>
      <c r="AG114" s="55"/>
      <c r="AH114" s="32"/>
      <c r="AI114" s="32"/>
      <c r="AJ114" s="55"/>
      <c r="AK114" s="32"/>
      <c r="AL114" s="32"/>
      <c r="AM114" s="32"/>
      <c r="AN114" s="32"/>
      <c r="AO114" s="32"/>
      <c r="AP114" s="31"/>
      <c r="AQ114" s="31"/>
      <c r="AR114" s="54"/>
      <c r="AS114" s="21" t="str">
        <f>IFERROR(VLOOKUP(March[[#This Row],[Drug Name4]],'Data Options'!$R$1:$S$100,2,FALSE), " ")</f>
        <v xml:space="preserve"> </v>
      </c>
      <c r="AT114" s="55"/>
      <c r="AU114" s="32"/>
      <c r="AV114" s="32"/>
      <c r="AW114" s="55"/>
      <c r="AX114" s="32"/>
      <c r="AY114" s="54"/>
      <c r="AZ114" s="21" t="str">
        <f>IFERROR(VLOOKUP(March[[#This Row],[Drug Name5]],'Data Options'!$R$1:$S$100,2,FALSE), " ")</f>
        <v xml:space="preserve"> </v>
      </c>
      <c r="BA114" s="55"/>
      <c r="BB114" s="32"/>
      <c r="BC114" s="32"/>
      <c r="BD114" s="55"/>
      <c r="BE114" s="32"/>
      <c r="BF114" s="54"/>
      <c r="BG114" s="21" t="str">
        <f>IFERROR(VLOOKUP(March[[#This Row],[Drug Name6]],'Data Options'!$R$1:$S$100,2,FALSE), " ")</f>
        <v xml:space="preserve"> </v>
      </c>
      <c r="BH114" s="55"/>
      <c r="BI114" s="32"/>
      <c r="BJ114" s="32"/>
      <c r="BK114" s="55"/>
      <c r="BL114" s="32"/>
      <c r="BM114" s="32"/>
      <c r="BN114" s="32"/>
      <c r="BO114" s="32"/>
      <c r="BP114" s="32"/>
      <c r="BQ114" s="31"/>
      <c r="BR114" s="31"/>
      <c r="BS114" s="54"/>
      <c r="BT114" s="21" t="str">
        <f>IFERROR(VLOOKUP(March[[#This Row],[Drug Name7]],'Data Options'!$R$1:$S$100,2,FALSE), " ")</f>
        <v xml:space="preserve"> </v>
      </c>
      <c r="BU114" s="55"/>
      <c r="BV114" s="32"/>
      <c r="BW114" s="32"/>
      <c r="BX114" s="55"/>
      <c r="BY114" s="32"/>
      <c r="BZ114" s="54"/>
      <c r="CA114" s="21" t="str">
        <f>IFERROR(VLOOKUP(March[[#This Row],[Drug Name8]],'Data Options'!$R$1:$S$100,2,FALSE), " ")</f>
        <v xml:space="preserve"> </v>
      </c>
      <c r="CB114" s="55"/>
      <c r="CC114" s="32"/>
      <c r="CD114" s="32"/>
      <c r="CE114" s="55"/>
      <c r="CF114" s="32"/>
      <c r="CG114" s="54"/>
      <c r="CH114" s="21" t="str">
        <f>IFERROR(VLOOKUP(March[[#This Row],[Drug Name9]],'Data Options'!$R$1:$S$100,2,FALSE), " ")</f>
        <v xml:space="preserve"> </v>
      </c>
      <c r="CI114" s="55"/>
      <c r="CJ114" s="32"/>
      <c r="CK114" s="32"/>
      <c r="CL114" s="55"/>
      <c r="CM114" s="32"/>
    </row>
    <row r="115" spans="1:91">
      <c r="A115" s="5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1"/>
      <c r="P115" s="31"/>
      <c r="Q115" s="54"/>
      <c r="R115" s="21" t="str">
        <f>IFERROR(VLOOKUP(March[[#This Row],[Drug Name]],'Data Options'!$R$1:$S$100,2,FALSE), " ")</f>
        <v xml:space="preserve"> </v>
      </c>
      <c r="S115" s="55"/>
      <c r="T115" s="32"/>
      <c r="U115" s="32"/>
      <c r="V115" s="55"/>
      <c r="W115" s="32"/>
      <c r="X115" s="54"/>
      <c r="Y115" s="21" t="str">
        <f>IFERROR(VLOOKUP(March[[#This Row],[Drug Name2]],'Data Options'!$R$1:$S$100,2,FALSE), " ")</f>
        <v xml:space="preserve"> </v>
      </c>
      <c r="Z115" s="55"/>
      <c r="AA115" s="32"/>
      <c r="AB115" s="32"/>
      <c r="AC115" s="55"/>
      <c r="AD115" s="32"/>
      <c r="AE115" s="54"/>
      <c r="AF115" s="21" t="str">
        <f>IFERROR(VLOOKUP(March[[#This Row],[Drug Name3]],'Data Options'!$R$1:$S$100,2,FALSE), " ")</f>
        <v xml:space="preserve"> </v>
      </c>
      <c r="AG115" s="55"/>
      <c r="AH115" s="32"/>
      <c r="AI115" s="32"/>
      <c r="AJ115" s="55"/>
      <c r="AK115" s="32"/>
      <c r="AL115" s="32"/>
      <c r="AM115" s="32"/>
      <c r="AN115" s="32"/>
      <c r="AO115" s="32"/>
      <c r="AP115" s="31"/>
      <c r="AQ115" s="31"/>
      <c r="AR115" s="54"/>
      <c r="AS115" s="21" t="str">
        <f>IFERROR(VLOOKUP(March[[#This Row],[Drug Name4]],'Data Options'!$R$1:$S$100,2,FALSE), " ")</f>
        <v xml:space="preserve"> </v>
      </c>
      <c r="AT115" s="55"/>
      <c r="AU115" s="32"/>
      <c r="AV115" s="32"/>
      <c r="AW115" s="55"/>
      <c r="AX115" s="32"/>
      <c r="AY115" s="54"/>
      <c r="AZ115" s="21" t="str">
        <f>IFERROR(VLOOKUP(March[[#This Row],[Drug Name5]],'Data Options'!$R$1:$S$100,2,FALSE), " ")</f>
        <v xml:space="preserve"> </v>
      </c>
      <c r="BA115" s="55"/>
      <c r="BB115" s="32"/>
      <c r="BC115" s="32"/>
      <c r="BD115" s="55"/>
      <c r="BE115" s="32"/>
      <c r="BF115" s="54"/>
      <c r="BG115" s="21" t="str">
        <f>IFERROR(VLOOKUP(March[[#This Row],[Drug Name6]],'Data Options'!$R$1:$S$100,2,FALSE), " ")</f>
        <v xml:space="preserve"> </v>
      </c>
      <c r="BH115" s="55"/>
      <c r="BI115" s="32"/>
      <c r="BJ115" s="32"/>
      <c r="BK115" s="55"/>
      <c r="BL115" s="32"/>
      <c r="BM115" s="32"/>
      <c r="BN115" s="32"/>
      <c r="BO115" s="32"/>
      <c r="BP115" s="32"/>
      <c r="BQ115" s="31"/>
      <c r="BR115" s="31"/>
      <c r="BS115" s="54"/>
      <c r="BT115" s="21" t="str">
        <f>IFERROR(VLOOKUP(March[[#This Row],[Drug Name7]],'Data Options'!$R$1:$S$100,2,FALSE), " ")</f>
        <v xml:space="preserve"> </v>
      </c>
      <c r="BU115" s="55"/>
      <c r="BV115" s="32"/>
      <c r="BW115" s="32"/>
      <c r="BX115" s="55"/>
      <c r="BY115" s="32"/>
      <c r="BZ115" s="54"/>
      <c r="CA115" s="21" t="str">
        <f>IFERROR(VLOOKUP(March[[#This Row],[Drug Name8]],'Data Options'!$R$1:$S$100,2,FALSE), " ")</f>
        <v xml:space="preserve"> </v>
      </c>
      <c r="CB115" s="55"/>
      <c r="CC115" s="32"/>
      <c r="CD115" s="32"/>
      <c r="CE115" s="55"/>
      <c r="CF115" s="32"/>
      <c r="CG115" s="54"/>
      <c r="CH115" s="21" t="str">
        <f>IFERROR(VLOOKUP(March[[#This Row],[Drug Name9]],'Data Options'!$R$1:$S$100,2,FALSE), " ")</f>
        <v xml:space="preserve"> </v>
      </c>
      <c r="CI115" s="55"/>
      <c r="CJ115" s="32"/>
      <c r="CK115" s="32"/>
      <c r="CL115" s="55"/>
      <c r="CM115" s="32"/>
    </row>
    <row r="116" spans="1:91">
      <c r="A116" s="5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1"/>
      <c r="P116" s="31"/>
      <c r="Q116" s="54"/>
      <c r="R116" s="21" t="str">
        <f>IFERROR(VLOOKUP(March[[#This Row],[Drug Name]],'Data Options'!$R$1:$S$100,2,FALSE), " ")</f>
        <v xml:space="preserve"> </v>
      </c>
      <c r="S116" s="55"/>
      <c r="T116" s="32"/>
      <c r="U116" s="32"/>
      <c r="V116" s="55"/>
      <c r="W116" s="32"/>
      <c r="X116" s="54"/>
      <c r="Y116" s="21" t="str">
        <f>IFERROR(VLOOKUP(March[[#This Row],[Drug Name2]],'Data Options'!$R$1:$S$100,2,FALSE), " ")</f>
        <v xml:space="preserve"> </v>
      </c>
      <c r="Z116" s="55"/>
      <c r="AA116" s="32"/>
      <c r="AB116" s="32"/>
      <c r="AC116" s="55"/>
      <c r="AD116" s="32"/>
      <c r="AE116" s="54"/>
      <c r="AF116" s="21" t="str">
        <f>IFERROR(VLOOKUP(March[[#This Row],[Drug Name3]],'Data Options'!$R$1:$S$100,2,FALSE), " ")</f>
        <v xml:space="preserve"> </v>
      </c>
      <c r="AG116" s="55"/>
      <c r="AH116" s="32"/>
      <c r="AI116" s="32"/>
      <c r="AJ116" s="55"/>
      <c r="AK116" s="32"/>
      <c r="AL116" s="32"/>
      <c r="AM116" s="32"/>
      <c r="AN116" s="32"/>
      <c r="AO116" s="32"/>
      <c r="AP116" s="31"/>
      <c r="AQ116" s="31"/>
      <c r="AR116" s="54"/>
      <c r="AS116" s="21" t="str">
        <f>IFERROR(VLOOKUP(March[[#This Row],[Drug Name4]],'Data Options'!$R$1:$S$100,2,FALSE), " ")</f>
        <v xml:space="preserve"> </v>
      </c>
      <c r="AT116" s="55"/>
      <c r="AU116" s="32"/>
      <c r="AV116" s="32"/>
      <c r="AW116" s="55"/>
      <c r="AX116" s="32"/>
      <c r="AY116" s="54"/>
      <c r="AZ116" s="21" t="str">
        <f>IFERROR(VLOOKUP(March[[#This Row],[Drug Name5]],'Data Options'!$R$1:$S$100,2,FALSE), " ")</f>
        <v xml:space="preserve"> </v>
      </c>
      <c r="BA116" s="55"/>
      <c r="BB116" s="32"/>
      <c r="BC116" s="32"/>
      <c r="BD116" s="55"/>
      <c r="BE116" s="32"/>
      <c r="BF116" s="54"/>
      <c r="BG116" s="21" t="str">
        <f>IFERROR(VLOOKUP(March[[#This Row],[Drug Name6]],'Data Options'!$R$1:$S$100,2,FALSE), " ")</f>
        <v xml:space="preserve"> </v>
      </c>
      <c r="BH116" s="55"/>
      <c r="BI116" s="32"/>
      <c r="BJ116" s="32"/>
      <c r="BK116" s="55"/>
      <c r="BL116" s="32"/>
      <c r="BM116" s="32"/>
      <c r="BN116" s="32"/>
      <c r="BO116" s="32"/>
      <c r="BP116" s="32"/>
      <c r="BQ116" s="31"/>
      <c r="BR116" s="31"/>
      <c r="BS116" s="54"/>
      <c r="BT116" s="21" t="str">
        <f>IFERROR(VLOOKUP(March[[#This Row],[Drug Name7]],'Data Options'!$R$1:$S$100,2,FALSE), " ")</f>
        <v xml:space="preserve"> </v>
      </c>
      <c r="BU116" s="55"/>
      <c r="BV116" s="32"/>
      <c r="BW116" s="32"/>
      <c r="BX116" s="55"/>
      <c r="BY116" s="32"/>
      <c r="BZ116" s="54"/>
      <c r="CA116" s="21" t="str">
        <f>IFERROR(VLOOKUP(March[[#This Row],[Drug Name8]],'Data Options'!$R$1:$S$100,2,FALSE), " ")</f>
        <v xml:space="preserve"> </v>
      </c>
      <c r="CB116" s="55"/>
      <c r="CC116" s="32"/>
      <c r="CD116" s="32"/>
      <c r="CE116" s="55"/>
      <c r="CF116" s="32"/>
      <c r="CG116" s="54"/>
      <c r="CH116" s="21" t="str">
        <f>IFERROR(VLOOKUP(March[[#This Row],[Drug Name9]],'Data Options'!$R$1:$S$100,2,FALSE), " ")</f>
        <v xml:space="preserve"> </v>
      </c>
      <c r="CI116" s="55"/>
      <c r="CJ116" s="32"/>
      <c r="CK116" s="32"/>
      <c r="CL116" s="55"/>
      <c r="CM116" s="32"/>
    </row>
    <row r="117" spans="1:91">
      <c r="A117" s="5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1"/>
      <c r="P117" s="31"/>
      <c r="Q117" s="54"/>
      <c r="R117" s="21" t="str">
        <f>IFERROR(VLOOKUP(March[[#This Row],[Drug Name]],'Data Options'!$R$1:$S$100,2,FALSE), " ")</f>
        <v xml:space="preserve"> </v>
      </c>
      <c r="S117" s="55"/>
      <c r="T117" s="32"/>
      <c r="U117" s="32"/>
      <c r="V117" s="55"/>
      <c r="W117" s="32"/>
      <c r="X117" s="54"/>
      <c r="Y117" s="21" t="str">
        <f>IFERROR(VLOOKUP(March[[#This Row],[Drug Name2]],'Data Options'!$R$1:$S$100,2,FALSE), " ")</f>
        <v xml:space="preserve"> </v>
      </c>
      <c r="Z117" s="55"/>
      <c r="AA117" s="32"/>
      <c r="AB117" s="32"/>
      <c r="AC117" s="55"/>
      <c r="AD117" s="32"/>
      <c r="AE117" s="54"/>
      <c r="AF117" s="21" t="str">
        <f>IFERROR(VLOOKUP(March[[#This Row],[Drug Name3]],'Data Options'!$R$1:$S$100,2,FALSE), " ")</f>
        <v xml:space="preserve"> </v>
      </c>
      <c r="AG117" s="55"/>
      <c r="AH117" s="32"/>
      <c r="AI117" s="32"/>
      <c r="AJ117" s="55"/>
      <c r="AK117" s="32"/>
      <c r="AL117" s="32"/>
      <c r="AM117" s="32"/>
      <c r="AN117" s="32"/>
      <c r="AO117" s="32"/>
      <c r="AP117" s="31"/>
      <c r="AQ117" s="31"/>
      <c r="AR117" s="54"/>
      <c r="AS117" s="21" t="str">
        <f>IFERROR(VLOOKUP(March[[#This Row],[Drug Name4]],'Data Options'!$R$1:$S$100,2,FALSE), " ")</f>
        <v xml:space="preserve"> </v>
      </c>
      <c r="AT117" s="55"/>
      <c r="AU117" s="32"/>
      <c r="AV117" s="32"/>
      <c r="AW117" s="55"/>
      <c r="AX117" s="32"/>
      <c r="AY117" s="54"/>
      <c r="AZ117" s="21" t="str">
        <f>IFERROR(VLOOKUP(March[[#This Row],[Drug Name5]],'Data Options'!$R$1:$S$100,2,FALSE), " ")</f>
        <v xml:space="preserve"> </v>
      </c>
      <c r="BA117" s="55"/>
      <c r="BB117" s="32"/>
      <c r="BC117" s="32"/>
      <c r="BD117" s="55"/>
      <c r="BE117" s="32"/>
      <c r="BF117" s="54"/>
      <c r="BG117" s="21" t="str">
        <f>IFERROR(VLOOKUP(March[[#This Row],[Drug Name6]],'Data Options'!$R$1:$S$100,2,FALSE), " ")</f>
        <v xml:space="preserve"> </v>
      </c>
      <c r="BH117" s="55"/>
      <c r="BI117" s="32"/>
      <c r="BJ117" s="32"/>
      <c r="BK117" s="55"/>
      <c r="BL117" s="32"/>
      <c r="BM117" s="32"/>
      <c r="BN117" s="32"/>
      <c r="BO117" s="32"/>
      <c r="BP117" s="32"/>
      <c r="BQ117" s="31"/>
      <c r="BR117" s="31"/>
      <c r="BS117" s="54"/>
      <c r="BT117" s="21" t="str">
        <f>IFERROR(VLOOKUP(March[[#This Row],[Drug Name7]],'Data Options'!$R$1:$S$100,2,FALSE), " ")</f>
        <v xml:space="preserve"> </v>
      </c>
      <c r="BU117" s="55"/>
      <c r="BV117" s="32"/>
      <c r="BW117" s="32"/>
      <c r="BX117" s="55"/>
      <c r="BY117" s="32"/>
      <c r="BZ117" s="54"/>
      <c r="CA117" s="21" t="str">
        <f>IFERROR(VLOOKUP(March[[#This Row],[Drug Name8]],'Data Options'!$R$1:$S$100,2,FALSE), " ")</f>
        <v xml:space="preserve"> </v>
      </c>
      <c r="CB117" s="55"/>
      <c r="CC117" s="32"/>
      <c r="CD117" s="32"/>
      <c r="CE117" s="55"/>
      <c r="CF117" s="32"/>
      <c r="CG117" s="54"/>
      <c r="CH117" s="21" t="str">
        <f>IFERROR(VLOOKUP(March[[#This Row],[Drug Name9]],'Data Options'!$R$1:$S$100,2,FALSE), " ")</f>
        <v xml:space="preserve"> </v>
      </c>
      <c r="CI117" s="55"/>
      <c r="CJ117" s="32"/>
      <c r="CK117" s="32"/>
      <c r="CL117" s="55"/>
      <c r="CM117" s="32"/>
    </row>
    <row r="118" spans="1:91">
      <c r="A118" s="5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/>
      <c r="P118" s="31"/>
      <c r="Q118" s="54"/>
      <c r="R118" s="21" t="str">
        <f>IFERROR(VLOOKUP(March[[#This Row],[Drug Name]],'Data Options'!$R$1:$S$100,2,FALSE), " ")</f>
        <v xml:space="preserve"> </v>
      </c>
      <c r="S118" s="55"/>
      <c r="T118" s="32"/>
      <c r="U118" s="32"/>
      <c r="V118" s="55"/>
      <c r="W118" s="32"/>
      <c r="X118" s="54"/>
      <c r="Y118" s="21" t="str">
        <f>IFERROR(VLOOKUP(March[[#This Row],[Drug Name2]],'Data Options'!$R$1:$S$100,2,FALSE), " ")</f>
        <v xml:space="preserve"> </v>
      </c>
      <c r="Z118" s="55"/>
      <c r="AA118" s="32"/>
      <c r="AB118" s="32"/>
      <c r="AC118" s="55"/>
      <c r="AD118" s="32"/>
      <c r="AE118" s="54"/>
      <c r="AF118" s="21" t="str">
        <f>IFERROR(VLOOKUP(March[[#This Row],[Drug Name3]],'Data Options'!$R$1:$S$100,2,FALSE), " ")</f>
        <v xml:space="preserve"> </v>
      </c>
      <c r="AG118" s="55"/>
      <c r="AH118" s="32"/>
      <c r="AI118" s="32"/>
      <c r="AJ118" s="55"/>
      <c r="AK118" s="32"/>
      <c r="AL118" s="32"/>
      <c r="AM118" s="32"/>
      <c r="AN118" s="32"/>
      <c r="AO118" s="32"/>
      <c r="AP118" s="31"/>
      <c r="AQ118" s="31"/>
      <c r="AR118" s="54"/>
      <c r="AS118" s="21" t="str">
        <f>IFERROR(VLOOKUP(March[[#This Row],[Drug Name4]],'Data Options'!$R$1:$S$100,2,FALSE), " ")</f>
        <v xml:space="preserve"> </v>
      </c>
      <c r="AT118" s="55"/>
      <c r="AU118" s="32"/>
      <c r="AV118" s="32"/>
      <c r="AW118" s="55"/>
      <c r="AX118" s="32"/>
      <c r="AY118" s="54"/>
      <c r="AZ118" s="21" t="str">
        <f>IFERROR(VLOOKUP(March[[#This Row],[Drug Name5]],'Data Options'!$R$1:$S$100,2,FALSE), " ")</f>
        <v xml:space="preserve"> </v>
      </c>
      <c r="BA118" s="55"/>
      <c r="BB118" s="32"/>
      <c r="BC118" s="32"/>
      <c r="BD118" s="55"/>
      <c r="BE118" s="32"/>
      <c r="BF118" s="54"/>
      <c r="BG118" s="21" t="str">
        <f>IFERROR(VLOOKUP(March[[#This Row],[Drug Name6]],'Data Options'!$R$1:$S$100,2,FALSE), " ")</f>
        <v xml:space="preserve"> </v>
      </c>
      <c r="BH118" s="55"/>
      <c r="BI118" s="32"/>
      <c r="BJ118" s="32"/>
      <c r="BK118" s="55"/>
      <c r="BL118" s="32"/>
      <c r="BM118" s="32"/>
      <c r="BN118" s="32"/>
      <c r="BO118" s="32"/>
      <c r="BP118" s="32"/>
      <c r="BQ118" s="31"/>
      <c r="BR118" s="31"/>
      <c r="BS118" s="54"/>
      <c r="BT118" s="21" t="str">
        <f>IFERROR(VLOOKUP(March[[#This Row],[Drug Name7]],'Data Options'!$R$1:$S$100,2,FALSE), " ")</f>
        <v xml:space="preserve"> </v>
      </c>
      <c r="BU118" s="55"/>
      <c r="BV118" s="32"/>
      <c r="BW118" s="32"/>
      <c r="BX118" s="55"/>
      <c r="BY118" s="32"/>
      <c r="BZ118" s="54"/>
      <c r="CA118" s="21" t="str">
        <f>IFERROR(VLOOKUP(March[[#This Row],[Drug Name8]],'Data Options'!$R$1:$S$100,2,FALSE), " ")</f>
        <v xml:space="preserve"> </v>
      </c>
      <c r="CB118" s="55"/>
      <c r="CC118" s="32"/>
      <c r="CD118" s="32"/>
      <c r="CE118" s="55"/>
      <c r="CF118" s="32"/>
      <c r="CG118" s="54"/>
      <c r="CH118" s="21" t="str">
        <f>IFERROR(VLOOKUP(March[[#This Row],[Drug Name9]],'Data Options'!$R$1:$S$100,2,FALSE), " ")</f>
        <v xml:space="preserve"> </v>
      </c>
      <c r="CI118" s="55"/>
      <c r="CJ118" s="32"/>
      <c r="CK118" s="32"/>
      <c r="CL118" s="55"/>
      <c r="CM118" s="32"/>
    </row>
    <row r="119" spans="1:91">
      <c r="A119" s="5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1"/>
      <c r="P119" s="31"/>
      <c r="Q119" s="54"/>
      <c r="R119" s="21" t="str">
        <f>IFERROR(VLOOKUP(March[[#This Row],[Drug Name]],'Data Options'!$R$1:$S$100,2,FALSE), " ")</f>
        <v xml:space="preserve"> </v>
      </c>
      <c r="S119" s="55"/>
      <c r="T119" s="32"/>
      <c r="U119" s="32"/>
      <c r="V119" s="55"/>
      <c r="W119" s="32"/>
      <c r="X119" s="54"/>
      <c r="Y119" s="21" t="str">
        <f>IFERROR(VLOOKUP(March[[#This Row],[Drug Name2]],'Data Options'!$R$1:$S$100,2,FALSE), " ")</f>
        <v xml:space="preserve"> </v>
      </c>
      <c r="Z119" s="55"/>
      <c r="AA119" s="32"/>
      <c r="AB119" s="32"/>
      <c r="AC119" s="55"/>
      <c r="AD119" s="32"/>
      <c r="AE119" s="54"/>
      <c r="AF119" s="21" t="str">
        <f>IFERROR(VLOOKUP(March[[#This Row],[Drug Name3]],'Data Options'!$R$1:$S$100,2,FALSE), " ")</f>
        <v xml:space="preserve"> </v>
      </c>
      <c r="AG119" s="55"/>
      <c r="AH119" s="32"/>
      <c r="AI119" s="32"/>
      <c r="AJ119" s="55"/>
      <c r="AK119" s="32"/>
      <c r="AL119" s="32"/>
      <c r="AM119" s="32"/>
      <c r="AN119" s="32"/>
      <c r="AO119" s="32"/>
      <c r="AP119" s="31"/>
      <c r="AQ119" s="31"/>
      <c r="AR119" s="54"/>
      <c r="AS119" s="21" t="str">
        <f>IFERROR(VLOOKUP(March[[#This Row],[Drug Name4]],'Data Options'!$R$1:$S$100,2,FALSE), " ")</f>
        <v xml:space="preserve"> </v>
      </c>
      <c r="AT119" s="55"/>
      <c r="AU119" s="32"/>
      <c r="AV119" s="32"/>
      <c r="AW119" s="55"/>
      <c r="AX119" s="32"/>
      <c r="AY119" s="54"/>
      <c r="AZ119" s="21" t="str">
        <f>IFERROR(VLOOKUP(March[[#This Row],[Drug Name5]],'Data Options'!$R$1:$S$100,2,FALSE), " ")</f>
        <v xml:space="preserve"> </v>
      </c>
      <c r="BA119" s="55"/>
      <c r="BB119" s="32"/>
      <c r="BC119" s="32"/>
      <c r="BD119" s="55"/>
      <c r="BE119" s="32"/>
      <c r="BF119" s="54"/>
      <c r="BG119" s="21" t="str">
        <f>IFERROR(VLOOKUP(March[[#This Row],[Drug Name6]],'Data Options'!$R$1:$S$100,2,FALSE), " ")</f>
        <v xml:space="preserve"> </v>
      </c>
      <c r="BH119" s="55"/>
      <c r="BI119" s="32"/>
      <c r="BJ119" s="32"/>
      <c r="BK119" s="55"/>
      <c r="BL119" s="32"/>
      <c r="BM119" s="32"/>
      <c r="BN119" s="32"/>
      <c r="BO119" s="32"/>
      <c r="BP119" s="32"/>
      <c r="BQ119" s="31"/>
      <c r="BR119" s="31"/>
      <c r="BS119" s="54"/>
      <c r="BT119" s="21" t="str">
        <f>IFERROR(VLOOKUP(March[[#This Row],[Drug Name7]],'Data Options'!$R$1:$S$100,2,FALSE), " ")</f>
        <v xml:space="preserve"> </v>
      </c>
      <c r="BU119" s="55"/>
      <c r="BV119" s="32"/>
      <c r="BW119" s="32"/>
      <c r="BX119" s="55"/>
      <c r="BY119" s="32"/>
      <c r="BZ119" s="54"/>
      <c r="CA119" s="21" t="str">
        <f>IFERROR(VLOOKUP(March[[#This Row],[Drug Name8]],'Data Options'!$R$1:$S$100,2,FALSE), " ")</f>
        <v xml:space="preserve"> </v>
      </c>
      <c r="CB119" s="55"/>
      <c r="CC119" s="32"/>
      <c r="CD119" s="32"/>
      <c r="CE119" s="55"/>
      <c r="CF119" s="32"/>
      <c r="CG119" s="54"/>
      <c r="CH119" s="21" t="str">
        <f>IFERROR(VLOOKUP(March[[#This Row],[Drug Name9]],'Data Options'!$R$1:$S$100,2,FALSE), " ")</f>
        <v xml:space="preserve"> </v>
      </c>
      <c r="CI119" s="55"/>
      <c r="CJ119" s="32"/>
      <c r="CK119" s="32"/>
      <c r="CL119" s="55"/>
      <c r="CM119" s="32"/>
    </row>
    <row r="120" spans="1:91">
      <c r="A120" s="5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/>
      <c r="P120" s="31"/>
      <c r="Q120" s="54"/>
      <c r="R120" s="21" t="str">
        <f>IFERROR(VLOOKUP(March[[#This Row],[Drug Name]],'Data Options'!$R$1:$S$100,2,FALSE), " ")</f>
        <v xml:space="preserve"> </v>
      </c>
      <c r="S120" s="55"/>
      <c r="T120" s="32"/>
      <c r="U120" s="32"/>
      <c r="V120" s="55"/>
      <c r="W120" s="32"/>
      <c r="X120" s="54"/>
      <c r="Y120" s="21" t="str">
        <f>IFERROR(VLOOKUP(March[[#This Row],[Drug Name2]],'Data Options'!$R$1:$S$100,2,FALSE), " ")</f>
        <v xml:space="preserve"> </v>
      </c>
      <c r="Z120" s="55"/>
      <c r="AA120" s="32"/>
      <c r="AB120" s="32"/>
      <c r="AC120" s="55"/>
      <c r="AD120" s="32"/>
      <c r="AE120" s="54"/>
      <c r="AF120" s="21" t="str">
        <f>IFERROR(VLOOKUP(March[[#This Row],[Drug Name3]],'Data Options'!$R$1:$S$100,2,FALSE), " ")</f>
        <v xml:space="preserve"> </v>
      </c>
      <c r="AG120" s="55"/>
      <c r="AH120" s="32"/>
      <c r="AI120" s="32"/>
      <c r="AJ120" s="55"/>
      <c r="AK120" s="32"/>
      <c r="AL120" s="32"/>
      <c r="AM120" s="32"/>
      <c r="AN120" s="32"/>
      <c r="AO120" s="32"/>
      <c r="AP120" s="31"/>
      <c r="AQ120" s="31"/>
      <c r="AR120" s="54"/>
      <c r="AS120" s="21" t="str">
        <f>IFERROR(VLOOKUP(March[[#This Row],[Drug Name4]],'Data Options'!$R$1:$S$100,2,FALSE), " ")</f>
        <v xml:space="preserve"> </v>
      </c>
      <c r="AT120" s="55"/>
      <c r="AU120" s="32"/>
      <c r="AV120" s="32"/>
      <c r="AW120" s="55"/>
      <c r="AX120" s="32"/>
      <c r="AY120" s="54"/>
      <c r="AZ120" s="21" t="str">
        <f>IFERROR(VLOOKUP(March[[#This Row],[Drug Name5]],'Data Options'!$R$1:$S$100,2,FALSE), " ")</f>
        <v xml:space="preserve"> </v>
      </c>
      <c r="BA120" s="55"/>
      <c r="BB120" s="32"/>
      <c r="BC120" s="32"/>
      <c r="BD120" s="55"/>
      <c r="BE120" s="32"/>
      <c r="BF120" s="54"/>
      <c r="BG120" s="21" t="str">
        <f>IFERROR(VLOOKUP(March[[#This Row],[Drug Name6]],'Data Options'!$R$1:$S$100,2,FALSE), " ")</f>
        <v xml:space="preserve"> </v>
      </c>
      <c r="BH120" s="55"/>
      <c r="BI120" s="32"/>
      <c r="BJ120" s="32"/>
      <c r="BK120" s="55"/>
      <c r="BL120" s="32"/>
      <c r="BM120" s="32"/>
      <c r="BN120" s="32"/>
      <c r="BO120" s="32"/>
      <c r="BP120" s="32"/>
      <c r="BQ120" s="31"/>
      <c r="BR120" s="31"/>
      <c r="BS120" s="54"/>
      <c r="BT120" s="21" t="str">
        <f>IFERROR(VLOOKUP(March[[#This Row],[Drug Name7]],'Data Options'!$R$1:$S$100,2,FALSE), " ")</f>
        <v xml:space="preserve"> </v>
      </c>
      <c r="BU120" s="55"/>
      <c r="BV120" s="32"/>
      <c r="BW120" s="32"/>
      <c r="BX120" s="55"/>
      <c r="BY120" s="32"/>
      <c r="BZ120" s="54"/>
      <c r="CA120" s="21" t="str">
        <f>IFERROR(VLOOKUP(March[[#This Row],[Drug Name8]],'Data Options'!$R$1:$S$100,2,FALSE), " ")</f>
        <v xml:space="preserve"> </v>
      </c>
      <c r="CB120" s="55"/>
      <c r="CC120" s="32"/>
      <c r="CD120" s="32"/>
      <c r="CE120" s="55"/>
      <c r="CF120" s="32"/>
      <c r="CG120" s="54"/>
      <c r="CH120" s="21" t="str">
        <f>IFERROR(VLOOKUP(March[[#This Row],[Drug Name9]],'Data Options'!$R$1:$S$100,2,FALSE), " ")</f>
        <v xml:space="preserve"> </v>
      </c>
      <c r="CI120" s="55"/>
      <c r="CJ120" s="32"/>
      <c r="CK120" s="32"/>
      <c r="CL120" s="55"/>
      <c r="CM120" s="32"/>
    </row>
    <row r="121" spans="1:91">
      <c r="A121" s="5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1"/>
      <c r="P121" s="31"/>
      <c r="Q121" s="54"/>
      <c r="R121" s="21" t="str">
        <f>IFERROR(VLOOKUP(March[[#This Row],[Drug Name]],'Data Options'!$R$1:$S$100,2,FALSE), " ")</f>
        <v xml:space="preserve"> </v>
      </c>
      <c r="S121" s="55"/>
      <c r="T121" s="32"/>
      <c r="U121" s="32"/>
      <c r="V121" s="55"/>
      <c r="W121" s="32"/>
      <c r="X121" s="54"/>
      <c r="Y121" s="21" t="str">
        <f>IFERROR(VLOOKUP(March[[#This Row],[Drug Name2]],'Data Options'!$R$1:$S$100,2,FALSE), " ")</f>
        <v xml:space="preserve"> </v>
      </c>
      <c r="Z121" s="55"/>
      <c r="AA121" s="32"/>
      <c r="AB121" s="32"/>
      <c r="AC121" s="55"/>
      <c r="AD121" s="32"/>
      <c r="AE121" s="54"/>
      <c r="AF121" s="21" t="str">
        <f>IFERROR(VLOOKUP(March[[#This Row],[Drug Name3]],'Data Options'!$R$1:$S$100,2,FALSE), " ")</f>
        <v xml:space="preserve"> </v>
      </c>
      <c r="AG121" s="55"/>
      <c r="AH121" s="32"/>
      <c r="AI121" s="32"/>
      <c r="AJ121" s="55"/>
      <c r="AK121" s="32"/>
      <c r="AL121" s="32"/>
      <c r="AM121" s="32"/>
      <c r="AN121" s="32"/>
      <c r="AO121" s="32"/>
      <c r="AP121" s="31"/>
      <c r="AQ121" s="31"/>
      <c r="AR121" s="54"/>
      <c r="AS121" s="21" t="str">
        <f>IFERROR(VLOOKUP(March[[#This Row],[Drug Name4]],'Data Options'!$R$1:$S$100,2,FALSE), " ")</f>
        <v xml:space="preserve"> </v>
      </c>
      <c r="AT121" s="55"/>
      <c r="AU121" s="32"/>
      <c r="AV121" s="32"/>
      <c r="AW121" s="55"/>
      <c r="AX121" s="32"/>
      <c r="AY121" s="54"/>
      <c r="AZ121" s="21" t="str">
        <f>IFERROR(VLOOKUP(March[[#This Row],[Drug Name5]],'Data Options'!$R$1:$S$100,2,FALSE), " ")</f>
        <v xml:space="preserve"> </v>
      </c>
      <c r="BA121" s="55"/>
      <c r="BB121" s="32"/>
      <c r="BC121" s="32"/>
      <c r="BD121" s="55"/>
      <c r="BE121" s="32"/>
      <c r="BF121" s="54"/>
      <c r="BG121" s="21" t="str">
        <f>IFERROR(VLOOKUP(March[[#This Row],[Drug Name6]],'Data Options'!$R$1:$S$100,2,FALSE), " ")</f>
        <v xml:space="preserve"> </v>
      </c>
      <c r="BH121" s="55"/>
      <c r="BI121" s="32"/>
      <c r="BJ121" s="32"/>
      <c r="BK121" s="55"/>
      <c r="BL121" s="32"/>
      <c r="BM121" s="32"/>
      <c r="BN121" s="32"/>
      <c r="BO121" s="32"/>
      <c r="BP121" s="32"/>
      <c r="BQ121" s="31"/>
      <c r="BR121" s="31"/>
      <c r="BS121" s="54"/>
      <c r="BT121" s="21" t="str">
        <f>IFERROR(VLOOKUP(March[[#This Row],[Drug Name7]],'Data Options'!$R$1:$S$100,2,FALSE), " ")</f>
        <v xml:space="preserve"> </v>
      </c>
      <c r="BU121" s="55"/>
      <c r="BV121" s="32"/>
      <c r="BW121" s="32"/>
      <c r="BX121" s="55"/>
      <c r="BY121" s="32"/>
      <c r="BZ121" s="54"/>
      <c r="CA121" s="21" t="str">
        <f>IFERROR(VLOOKUP(March[[#This Row],[Drug Name8]],'Data Options'!$R$1:$S$100,2,FALSE), " ")</f>
        <v xml:space="preserve"> </v>
      </c>
      <c r="CB121" s="55"/>
      <c r="CC121" s="32"/>
      <c r="CD121" s="32"/>
      <c r="CE121" s="55"/>
      <c r="CF121" s="32"/>
      <c r="CG121" s="54"/>
      <c r="CH121" s="21" t="str">
        <f>IFERROR(VLOOKUP(March[[#This Row],[Drug Name9]],'Data Options'!$R$1:$S$100,2,FALSE), " ")</f>
        <v xml:space="preserve"> </v>
      </c>
      <c r="CI121" s="55"/>
      <c r="CJ121" s="32"/>
      <c r="CK121" s="32"/>
      <c r="CL121" s="55"/>
      <c r="CM121" s="32"/>
    </row>
    <row r="122" spans="1:91">
      <c r="A122" s="5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1"/>
      <c r="P122" s="31"/>
      <c r="Q122" s="54"/>
      <c r="R122" s="21" t="str">
        <f>IFERROR(VLOOKUP(March[[#This Row],[Drug Name]],'Data Options'!$R$1:$S$100,2,FALSE), " ")</f>
        <v xml:space="preserve"> </v>
      </c>
      <c r="S122" s="55"/>
      <c r="T122" s="32"/>
      <c r="U122" s="32"/>
      <c r="V122" s="55"/>
      <c r="W122" s="32"/>
      <c r="X122" s="54"/>
      <c r="Y122" s="21" t="str">
        <f>IFERROR(VLOOKUP(March[[#This Row],[Drug Name2]],'Data Options'!$R$1:$S$100,2,FALSE), " ")</f>
        <v xml:space="preserve"> </v>
      </c>
      <c r="Z122" s="55"/>
      <c r="AA122" s="32"/>
      <c r="AB122" s="32"/>
      <c r="AC122" s="55"/>
      <c r="AD122" s="32"/>
      <c r="AE122" s="54"/>
      <c r="AF122" s="21" t="str">
        <f>IFERROR(VLOOKUP(March[[#This Row],[Drug Name3]],'Data Options'!$R$1:$S$100,2,FALSE), " ")</f>
        <v xml:space="preserve"> </v>
      </c>
      <c r="AG122" s="55"/>
      <c r="AH122" s="32"/>
      <c r="AI122" s="32"/>
      <c r="AJ122" s="55"/>
      <c r="AK122" s="32"/>
      <c r="AL122" s="32"/>
      <c r="AM122" s="32"/>
      <c r="AN122" s="32"/>
      <c r="AO122" s="32"/>
      <c r="AP122" s="31"/>
      <c r="AQ122" s="31"/>
      <c r="AR122" s="54"/>
      <c r="AS122" s="21" t="str">
        <f>IFERROR(VLOOKUP(March[[#This Row],[Drug Name4]],'Data Options'!$R$1:$S$100,2,FALSE), " ")</f>
        <v xml:space="preserve"> </v>
      </c>
      <c r="AT122" s="55"/>
      <c r="AU122" s="32"/>
      <c r="AV122" s="32"/>
      <c r="AW122" s="55"/>
      <c r="AX122" s="32"/>
      <c r="AY122" s="54"/>
      <c r="AZ122" s="21" t="str">
        <f>IFERROR(VLOOKUP(March[[#This Row],[Drug Name5]],'Data Options'!$R$1:$S$100,2,FALSE), " ")</f>
        <v xml:space="preserve"> </v>
      </c>
      <c r="BA122" s="55"/>
      <c r="BB122" s="32"/>
      <c r="BC122" s="32"/>
      <c r="BD122" s="55"/>
      <c r="BE122" s="32"/>
      <c r="BF122" s="54"/>
      <c r="BG122" s="21" t="str">
        <f>IFERROR(VLOOKUP(March[[#This Row],[Drug Name6]],'Data Options'!$R$1:$S$100,2,FALSE), " ")</f>
        <v xml:space="preserve"> </v>
      </c>
      <c r="BH122" s="55"/>
      <c r="BI122" s="32"/>
      <c r="BJ122" s="32"/>
      <c r="BK122" s="55"/>
      <c r="BL122" s="32"/>
      <c r="BM122" s="32"/>
      <c r="BN122" s="32"/>
      <c r="BO122" s="32"/>
      <c r="BP122" s="32"/>
      <c r="BQ122" s="31"/>
      <c r="BR122" s="31"/>
      <c r="BS122" s="54"/>
      <c r="BT122" s="21" t="str">
        <f>IFERROR(VLOOKUP(March[[#This Row],[Drug Name7]],'Data Options'!$R$1:$S$100,2,FALSE), " ")</f>
        <v xml:space="preserve"> </v>
      </c>
      <c r="BU122" s="55"/>
      <c r="BV122" s="32"/>
      <c r="BW122" s="32"/>
      <c r="BX122" s="55"/>
      <c r="BY122" s="32"/>
      <c r="BZ122" s="54"/>
      <c r="CA122" s="21" t="str">
        <f>IFERROR(VLOOKUP(March[[#This Row],[Drug Name8]],'Data Options'!$R$1:$S$100,2,FALSE), " ")</f>
        <v xml:space="preserve"> </v>
      </c>
      <c r="CB122" s="55"/>
      <c r="CC122" s="32"/>
      <c r="CD122" s="32"/>
      <c r="CE122" s="55"/>
      <c r="CF122" s="32"/>
      <c r="CG122" s="54"/>
      <c r="CH122" s="21" t="str">
        <f>IFERROR(VLOOKUP(March[[#This Row],[Drug Name9]],'Data Options'!$R$1:$S$100,2,FALSE), " ")</f>
        <v xml:space="preserve"> </v>
      </c>
      <c r="CI122" s="55"/>
      <c r="CJ122" s="32"/>
      <c r="CK122" s="32"/>
      <c r="CL122" s="55"/>
      <c r="CM122" s="32"/>
    </row>
    <row r="123" spans="1:91">
      <c r="A123" s="5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1"/>
      <c r="P123" s="31"/>
      <c r="Q123" s="54"/>
      <c r="R123" s="21" t="str">
        <f>IFERROR(VLOOKUP(March[[#This Row],[Drug Name]],'Data Options'!$R$1:$S$100,2,FALSE), " ")</f>
        <v xml:space="preserve"> </v>
      </c>
      <c r="S123" s="55"/>
      <c r="T123" s="32"/>
      <c r="U123" s="32"/>
      <c r="V123" s="55"/>
      <c r="W123" s="32"/>
      <c r="X123" s="54"/>
      <c r="Y123" s="21" t="str">
        <f>IFERROR(VLOOKUP(March[[#This Row],[Drug Name2]],'Data Options'!$R$1:$S$100,2,FALSE), " ")</f>
        <v xml:space="preserve"> </v>
      </c>
      <c r="Z123" s="55"/>
      <c r="AA123" s="32"/>
      <c r="AB123" s="32"/>
      <c r="AC123" s="55"/>
      <c r="AD123" s="32"/>
      <c r="AE123" s="54"/>
      <c r="AF123" s="21" t="str">
        <f>IFERROR(VLOOKUP(March[[#This Row],[Drug Name3]],'Data Options'!$R$1:$S$100,2,FALSE), " ")</f>
        <v xml:space="preserve"> </v>
      </c>
      <c r="AG123" s="55"/>
      <c r="AH123" s="32"/>
      <c r="AI123" s="32"/>
      <c r="AJ123" s="55"/>
      <c r="AK123" s="32"/>
      <c r="AL123" s="32"/>
      <c r="AM123" s="32"/>
      <c r="AN123" s="32"/>
      <c r="AO123" s="32"/>
      <c r="AP123" s="31"/>
      <c r="AQ123" s="31"/>
      <c r="AR123" s="54"/>
      <c r="AS123" s="21" t="str">
        <f>IFERROR(VLOOKUP(March[[#This Row],[Drug Name4]],'Data Options'!$R$1:$S$100,2,FALSE), " ")</f>
        <v xml:space="preserve"> </v>
      </c>
      <c r="AT123" s="55"/>
      <c r="AU123" s="32"/>
      <c r="AV123" s="32"/>
      <c r="AW123" s="55"/>
      <c r="AX123" s="32"/>
      <c r="AY123" s="54"/>
      <c r="AZ123" s="21" t="str">
        <f>IFERROR(VLOOKUP(March[[#This Row],[Drug Name5]],'Data Options'!$R$1:$S$100,2,FALSE), " ")</f>
        <v xml:space="preserve"> </v>
      </c>
      <c r="BA123" s="55"/>
      <c r="BB123" s="32"/>
      <c r="BC123" s="32"/>
      <c r="BD123" s="55"/>
      <c r="BE123" s="32"/>
      <c r="BF123" s="54"/>
      <c r="BG123" s="21" t="str">
        <f>IFERROR(VLOOKUP(March[[#This Row],[Drug Name6]],'Data Options'!$R$1:$S$100,2,FALSE), " ")</f>
        <v xml:space="preserve"> </v>
      </c>
      <c r="BH123" s="55"/>
      <c r="BI123" s="32"/>
      <c r="BJ123" s="32"/>
      <c r="BK123" s="55"/>
      <c r="BL123" s="32"/>
      <c r="BM123" s="32"/>
      <c r="BN123" s="32"/>
      <c r="BO123" s="32"/>
      <c r="BP123" s="32"/>
      <c r="BQ123" s="31"/>
      <c r="BR123" s="31"/>
      <c r="BS123" s="54"/>
      <c r="BT123" s="21" t="str">
        <f>IFERROR(VLOOKUP(March[[#This Row],[Drug Name7]],'Data Options'!$R$1:$S$100,2,FALSE), " ")</f>
        <v xml:space="preserve"> </v>
      </c>
      <c r="BU123" s="55"/>
      <c r="BV123" s="32"/>
      <c r="BW123" s="32"/>
      <c r="BX123" s="55"/>
      <c r="BY123" s="32"/>
      <c r="BZ123" s="54"/>
      <c r="CA123" s="21" t="str">
        <f>IFERROR(VLOOKUP(March[[#This Row],[Drug Name8]],'Data Options'!$R$1:$S$100,2,FALSE), " ")</f>
        <v xml:space="preserve"> </v>
      </c>
      <c r="CB123" s="55"/>
      <c r="CC123" s="32"/>
      <c r="CD123" s="32"/>
      <c r="CE123" s="55"/>
      <c r="CF123" s="32"/>
      <c r="CG123" s="54"/>
      <c r="CH123" s="21" t="str">
        <f>IFERROR(VLOOKUP(March[[#This Row],[Drug Name9]],'Data Options'!$R$1:$S$100,2,FALSE), " ")</f>
        <v xml:space="preserve"> </v>
      </c>
      <c r="CI123" s="55"/>
      <c r="CJ123" s="32"/>
      <c r="CK123" s="32"/>
      <c r="CL123" s="55"/>
      <c r="CM123" s="32"/>
    </row>
    <row r="124" spans="1:91">
      <c r="A124" s="5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1"/>
      <c r="P124" s="31"/>
      <c r="Q124" s="54"/>
      <c r="R124" s="21" t="str">
        <f>IFERROR(VLOOKUP(March[[#This Row],[Drug Name]],'Data Options'!$R$1:$S$100,2,FALSE), " ")</f>
        <v xml:space="preserve"> </v>
      </c>
      <c r="S124" s="55"/>
      <c r="T124" s="32"/>
      <c r="U124" s="32"/>
      <c r="V124" s="55"/>
      <c r="W124" s="32"/>
      <c r="X124" s="54"/>
      <c r="Y124" s="21" t="str">
        <f>IFERROR(VLOOKUP(March[[#This Row],[Drug Name2]],'Data Options'!$R$1:$S$100,2,FALSE), " ")</f>
        <v xml:space="preserve"> </v>
      </c>
      <c r="Z124" s="55"/>
      <c r="AA124" s="32"/>
      <c r="AB124" s="32"/>
      <c r="AC124" s="55"/>
      <c r="AD124" s="32"/>
      <c r="AE124" s="54"/>
      <c r="AF124" s="21" t="str">
        <f>IFERROR(VLOOKUP(March[[#This Row],[Drug Name3]],'Data Options'!$R$1:$S$100,2,FALSE), " ")</f>
        <v xml:space="preserve"> </v>
      </c>
      <c r="AG124" s="55"/>
      <c r="AH124" s="32"/>
      <c r="AI124" s="32"/>
      <c r="AJ124" s="55"/>
      <c r="AK124" s="32"/>
      <c r="AL124" s="32"/>
      <c r="AM124" s="32"/>
      <c r="AN124" s="32"/>
      <c r="AO124" s="32"/>
      <c r="AP124" s="31"/>
      <c r="AQ124" s="31"/>
      <c r="AR124" s="54"/>
      <c r="AS124" s="21" t="str">
        <f>IFERROR(VLOOKUP(March[[#This Row],[Drug Name4]],'Data Options'!$R$1:$S$100,2,FALSE), " ")</f>
        <v xml:space="preserve"> </v>
      </c>
      <c r="AT124" s="55"/>
      <c r="AU124" s="32"/>
      <c r="AV124" s="32"/>
      <c r="AW124" s="55"/>
      <c r="AX124" s="32"/>
      <c r="AY124" s="54"/>
      <c r="AZ124" s="21" t="str">
        <f>IFERROR(VLOOKUP(March[[#This Row],[Drug Name5]],'Data Options'!$R$1:$S$100,2,FALSE), " ")</f>
        <v xml:space="preserve"> </v>
      </c>
      <c r="BA124" s="55"/>
      <c r="BB124" s="32"/>
      <c r="BC124" s="32"/>
      <c r="BD124" s="55"/>
      <c r="BE124" s="32"/>
      <c r="BF124" s="54"/>
      <c r="BG124" s="21" t="str">
        <f>IFERROR(VLOOKUP(March[[#This Row],[Drug Name6]],'Data Options'!$R$1:$S$100,2,FALSE), " ")</f>
        <v xml:space="preserve"> </v>
      </c>
      <c r="BH124" s="55"/>
      <c r="BI124" s="32"/>
      <c r="BJ124" s="32"/>
      <c r="BK124" s="55"/>
      <c r="BL124" s="32"/>
      <c r="BM124" s="32"/>
      <c r="BN124" s="32"/>
      <c r="BO124" s="32"/>
      <c r="BP124" s="32"/>
      <c r="BQ124" s="31"/>
      <c r="BR124" s="31"/>
      <c r="BS124" s="54"/>
      <c r="BT124" s="21" t="str">
        <f>IFERROR(VLOOKUP(March[[#This Row],[Drug Name7]],'Data Options'!$R$1:$S$100,2,FALSE), " ")</f>
        <v xml:space="preserve"> </v>
      </c>
      <c r="BU124" s="55"/>
      <c r="BV124" s="32"/>
      <c r="BW124" s="32"/>
      <c r="BX124" s="55"/>
      <c r="BY124" s="32"/>
      <c r="BZ124" s="54"/>
      <c r="CA124" s="21" t="str">
        <f>IFERROR(VLOOKUP(March[[#This Row],[Drug Name8]],'Data Options'!$R$1:$S$100,2,FALSE), " ")</f>
        <v xml:space="preserve"> </v>
      </c>
      <c r="CB124" s="55"/>
      <c r="CC124" s="32"/>
      <c r="CD124" s="32"/>
      <c r="CE124" s="55"/>
      <c r="CF124" s="32"/>
      <c r="CG124" s="54"/>
      <c r="CH124" s="21" t="str">
        <f>IFERROR(VLOOKUP(March[[#This Row],[Drug Name9]],'Data Options'!$R$1:$S$100,2,FALSE), " ")</f>
        <v xml:space="preserve"> </v>
      </c>
      <c r="CI124" s="55"/>
      <c r="CJ124" s="32"/>
      <c r="CK124" s="32"/>
      <c r="CL124" s="55"/>
      <c r="CM124" s="32"/>
    </row>
    <row r="125" spans="1:91">
      <c r="A125" s="5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1"/>
      <c r="P125" s="31"/>
      <c r="Q125" s="54"/>
      <c r="R125" s="21" t="str">
        <f>IFERROR(VLOOKUP(March[[#This Row],[Drug Name]],'Data Options'!$R$1:$S$100,2,FALSE), " ")</f>
        <v xml:space="preserve"> </v>
      </c>
      <c r="S125" s="55"/>
      <c r="T125" s="32"/>
      <c r="U125" s="32"/>
      <c r="V125" s="55"/>
      <c r="W125" s="32"/>
      <c r="X125" s="54"/>
      <c r="Y125" s="21" t="str">
        <f>IFERROR(VLOOKUP(March[[#This Row],[Drug Name2]],'Data Options'!$R$1:$S$100,2,FALSE), " ")</f>
        <v xml:space="preserve"> </v>
      </c>
      <c r="Z125" s="55"/>
      <c r="AA125" s="32"/>
      <c r="AB125" s="32"/>
      <c r="AC125" s="55"/>
      <c r="AD125" s="32"/>
      <c r="AE125" s="54"/>
      <c r="AF125" s="21" t="str">
        <f>IFERROR(VLOOKUP(March[[#This Row],[Drug Name3]],'Data Options'!$R$1:$S$100,2,FALSE), " ")</f>
        <v xml:space="preserve"> </v>
      </c>
      <c r="AG125" s="55"/>
      <c r="AH125" s="32"/>
      <c r="AI125" s="32"/>
      <c r="AJ125" s="55"/>
      <c r="AK125" s="32"/>
      <c r="AL125" s="32"/>
      <c r="AM125" s="32"/>
      <c r="AN125" s="32"/>
      <c r="AO125" s="32"/>
      <c r="AP125" s="31"/>
      <c r="AQ125" s="31"/>
      <c r="AR125" s="54"/>
      <c r="AS125" s="21" t="str">
        <f>IFERROR(VLOOKUP(March[[#This Row],[Drug Name4]],'Data Options'!$R$1:$S$100,2,FALSE), " ")</f>
        <v xml:space="preserve"> </v>
      </c>
      <c r="AT125" s="55"/>
      <c r="AU125" s="32"/>
      <c r="AV125" s="32"/>
      <c r="AW125" s="55"/>
      <c r="AX125" s="32"/>
      <c r="AY125" s="54"/>
      <c r="AZ125" s="21" t="str">
        <f>IFERROR(VLOOKUP(March[[#This Row],[Drug Name5]],'Data Options'!$R$1:$S$100,2,FALSE), " ")</f>
        <v xml:space="preserve"> </v>
      </c>
      <c r="BA125" s="55"/>
      <c r="BB125" s="32"/>
      <c r="BC125" s="32"/>
      <c r="BD125" s="55"/>
      <c r="BE125" s="32"/>
      <c r="BF125" s="54"/>
      <c r="BG125" s="21" t="str">
        <f>IFERROR(VLOOKUP(March[[#This Row],[Drug Name6]],'Data Options'!$R$1:$S$100,2,FALSE), " ")</f>
        <v xml:space="preserve"> </v>
      </c>
      <c r="BH125" s="55"/>
      <c r="BI125" s="32"/>
      <c r="BJ125" s="32"/>
      <c r="BK125" s="55"/>
      <c r="BL125" s="32"/>
      <c r="BM125" s="32"/>
      <c r="BN125" s="32"/>
      <c r="BO125" s="32"/>
      <c r="BP125" s="32"/>
      <c r="BQ125" s="31"/>
      <c r="BR125" s="31"/>
      <c r="BS125" s="54"/>
      <c r="BT125" s="21" t="str">
        <f>IFERROR(VLOOKUP(March[[#This Row],[Drug Name7]],'Data Options'!$R$1:$S$100,2,FALSE), " ")</f>
        <v xml:space="preserve"> </v>
      </c>
      <c r="BU125" s="55"/>
      <c r="BV125" s="32"/>
      <c r="BW125" s="32"/>
      <c r="BX125" s="55"/>
      <c r="BY125" s="32"/>
      <c r="BZ125" s="54"/>
      <c r="CA125" s="21" t="str">
        <f>IFERROR(VLOOKUP(March[[#This Row],[Drug Name8]],'Data Options'!$R$1:$S$100,2,FALSE), " ")</f>
        <v xml:space="preserve"> </v>
      </c>
      <c r="CB125" s="55"/>
      <c r="CC125" s="32"/>
      <c r="CD125" s="32"/>
      <c r="CE125" s="55"/>
      <c r="CF125" s="32"/>
      <c r="CG125" s="54"/>
      <c r="CH125" s="21" t="str">
        <f>IFERROR(VLOOKUP(March[[#This Row],[Drug Name9]],'Data Options'!$R$1:$S$100,2,FALSE), " ")</f>
        <v xml:space="preserve"> </v>
      </c>
      <c r="CI125" s="55"/>
      <c r="CJ125" s="32"/>
      <c r="CK125" s="32"/>
      <c r="CL125" s="55"/>
      <c r="CM125" s="32"/>
    </row>
    <row r="126" spans="1:91">
      <c r="A126" s="5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1"/>
      <c r="P126" s="31"/>
      <c r="Q126" s="54"/>
      <c r="R126" s="21" t="str">
        <f>IFERROR(VLOOKUP(March[[#This Row],[Drug Name]],'Data Options'!$R$1:$S$100,2,FALSE), " ")</f>
        <v xml:space="preserve"> </v>
      </c>
      <c r="S126" s="55"/>
      <c r="T126" s="32"/>
      <c r="U126" s="32"/>
      <c r="V126" s="55"/>
      <c r="W126" s="32"/>
      <c r="X126" s="54"/>
      <c r="Y126" s="21" t="str">
        <f>IFERROR(VLOOKUP(March[[#This Row],[Drug Name2]],'Data Options'!$R$1:$S$100,2,FALSE), " ")</f>
        <v xml:space="preserve"> </v>
      </c>
      <c r="Z126" s="55"/>
      <c r="AA126" s="32"/>
      <c r="AB126" s="32"/>
      <c r="AC126" s="55"/>
      <c r="AD126" s="32"/>
      <c r="AE126" s="54"/>
      <c r="AF126" s="21" t="str">
        <f>IFERROR(VLOOKUP(March[[#This Row],[Drug Name3]],'Data Options'!$R$1:$S$100,2,FALSE), " ")</f>
        <v xml:space="preserve"> </v>
      </c>
      <c r="AG126" s="55"/>
      <c r="AH126" s="32"/>
      <c r="AI126" s="32"/>
      <c r="AJ126" s="55"/>
      <c r="AK126" s="32"/>
      <c r="AL126" s="32"/>
      <c r="AM126" s="32"/>
      <c r="AN126" s="32"/>
      <c r="AO126" s="32"/>
      <c r="AP126" s="31"/>
      <c r="AQ126" s="31"/>
      <c r="AR126" s="54"/>
      <c r="AS126" s="21" t="str">
        <f>IFERROR(VLOOKUP(March[[#This Row],[Drug Name4]],'Data Options'!$R$1:$S$100,2,FALSE), " ")</f>
        <v xml:space="preserve"> </v>
      </c>
      <c r="AT126" s="55"/>
      <c r="AU126" s="32"/>
      <c r="AV126" s="32"/>
      <c r="AW126" s="55"/>
      <c r="AX126" s="32"/>
      <c r="AY126" s="54"/>
      <c r="AZ126" s="21" t="str">
        <f>IFERROR(VLOOKUP(March[[#This Row],[Drug Name5]],'Data Options'!$R$1:$S$100,2,FALSE), " ")</f>
        <v xml:space="preserve"> </v>
      </c>
      <c r="BA126" s="55"/>
      <c r="BB126" s="32"/>
      <c r="BC126" s="32"/>
      <c r="BD126" s="55"/>
      <c r="BE126" s="32"/>
      <c r="BF126" s="54"/>
      <c r="BG126" s="21" t="str">
        <f>IFERROR(VLOOKUP(March[[#This Row],[Drug Name6]],'Data Options'!$R$1:$S$100,2,FALSE), " ")</f>
        <v xml:space="preserve"> </v>
      </c>
      <c r="BH126" s="55"/>
      <c r="BI126" s="32"/>
      <c r="BJ126" s="32"/>
      <c r="BK126" s="55"/>
      <c r="BL126" s="32"/>
      <c r="BM126" s="32"/>
      <c r="BN126" s="32"/>
      <c r="BO126" s="32"/>
      <c r="BP126" s="32"/>
      <c r="BQ126" s="31"/>
      <c r="BR126" s="31"/>
      <c r="BS126" s="54"/>
      <c r="BT126" s="21" t="str">
        <f>IFERROR(VLOOKUP(March[[#This Row],[Drug Name7]],'Data Options'!$R$1:$S$100,2,FALSE), " ")</f>
        <v xml:space="preserve"> </v>
      </c>
      <c r="BU126" s="55"/>
      <c r="BV126" s="32"/>
      <c r="BW126" s="32"/>
      <c r="BX126" s="55"/>
      <c r="BY126" s="32"/>
      <c r="BZ126" s="54"/>
      <c r="CA126" s="21" t="str">
        <f>IFERROR(VLOOKUP(March[[#This Row],[Drug Name8]],'Data Options'!$R$1:$S$100,2,FALSE), " ")</f>
        <v xml:space="preserve"> </v>
      </c>
      <c r="CB126" s="55"/>
      <c r="CC126" s="32"/>
      <c r="CD126" s="32"/>
      <c r="CE126" s="55"/>
      <c r="CF126" s="32"/>
      <c r="CG126" s="54"/>
      <c r="CH126" s="21" t="str">
        <f>IFERROR(VLOOKUP(March[[#This Row],[Drug Name9]],'Data Options'!$R$1:$S$100,2,FALSE), " ")</f>
        <v xml:space="preserve"> </v>
      </c>
      <c r="CI126" s="55"/>
      <c r="CJ126" s="32"/>
      <c r="CK126" s="32"/>
      <c r="CL126" s="55"/>
      <c r="CM126" s="32"/>
    </row>
    <row r="127" spans="1:91">
      <c r="A127" s="5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1"/>
      <c r="P127" s="31"/>
      <c r="Q127" s="54"/>
      <c r="R127" s="21" t="str">
        <f>IFERROR(VLOOKUP(March[[#This Row],[Drug Name]],'Data Options'!$R$1:$S$100,2,FALSE), " ")</f>
        <v xml:space="preserve"> </v>
      </c>
      <c r="S127" s="55"/>
      <c r="T127" s="32"/>
      <c r="U127" s="32"/>
      <c r="V127" s="55"/>
      <c r="W127" s="32"/>
      <c r="X127" s="54"/>
      <c r="Y127" s="21" t="str">
        <f>IFERROR(VLOOKUP(March[[#This Row],[Drug Name2]],'Data Options'!$R$1:$S$100,2,FALSE), " ")</f>
        <v xml:space="preserve"> </v>
      </c>
      <c r="Z127" s="55"/>
      <c r="AA127" s="32"/>
      <c r="AB127" s="32"/>
      <c r="AC127" s="55"/>
      <c r="AD127" s="32"/>
      <c r="AE127" s="54"/>
      <c r="AF127" s="21" t="str">
        <f>IFERROR(VLOOKUP(March[[#This Row],[Drug Name3]],'Data Options'!$R$1:$S$100,2,FALSE), " ")</f>
        <v xml:space="preserve"> </v>
      </c>
      <c r="AG127" s="55"/>
      <c r="AH127" s="32"/>
      <c r="AI127" s="32"/>
      <c r="AJ127" s="55"/>
      <c r="AK127" s="32"/>
      <c r="AL127" s="32"/>
      <c r="AM127" s="32"/>
      <c r="AN127" s="32"/>
      <c r="AO127" s="32"/>
      <c r="AP127" s="31"/>
      <c r="AQ127" s="31"/>
      <c r="AR127" s="54"/>
      <c r="AS127" s="21" t="str">
        <f>IFERROR(VLOOKUP(March[[#This Row],[Drug Name4]],'Data Options'!$R$1:$S$100,2,FALSE), " ")</f>
        <v xml:space="preserve"> </v>
      </c>
      <c r="AT127" s="55"/>
      <c r="AU127" s="32"/>
      <c r="AV127" s="32"/>
      <c r="AW127" s="55"/>
      <c r="AX127" s="32"/>
      <c r="AY127" s="54"/>
      <c r="AZ127" s="21" t="str">
        <f>IFERROR(VLOOKUP(March[[#This Row],[Drug Name5]],'Data Options'!$R$1:$S$100,2,FALSE), " ")</f>
        <v xml:space="preserve"> </v>
      </c>
      <c r="BA127" s="55"/>
      <c r="BB127" s="32"/>
      <c r="BC127" s="32"/>
      <c r="BD127" s="55"/>
      <c r="BE127" s="32"/>
      <c r="BF127" s="54"/>
      <c r="BG127" s="21" t="str">
        <f>IFERROR(VLOOKUP(March[[#This Row],[Drug Name6]],'Data Options'!$R$1:$S$100,2,FALSE), " ")</f>
        <v xml:space="preserve"> </v>
      </c>
      <c r="BH127" s="55"/>
      <c r="BI127" s="32"/>
      <c r="BJ127" s="32"/>
      <c r="BK127" s="55"/>
      <c r="BL127" s="32"/>
      <c r="BM127" s="32"/>
      <c r="BN127" s="32"/>
      <c r="BO127" s="32"/>
      <c r="BP127" s="32"/>
      <c r="BQ127" s="31"/>
      <c r="BR127" s="31"/>
      <c r="BS127" s="54"/>
      <c r="BT127" s="21" t="str">
        <f>IFERROR(VLOOKUP(March[[#This Row],[Drug Name7]],'Data Options'!$R$1:$S$100,2,FALSE), " ")</f>
        <v xml:space="preserve"> </v>
      </c>
      <c r="BU127" s="55"/>
      <c r="BV127" s="32"/>
      <c r="BW127" s="32"/>
      <c r="BX127" s="55"/>
      <c r="BY127" s="32"/>
      <c r="BZ127" s="54"/>
      <c r="CA127" s="21" t="str">
        <f>IFERROR(VLOOKUP(March[[#This Row],[Drug Name8]],'Data Options'!$R$1:$S$100,2,FALSE), " ")</f>
        <v xml:space="preserve"> </v>
      </c>
      <c r="CB127" s="55"/>
      <c r="CC127" s="32"/>
      <c r="CD127" s="32"/>
      <c r="CE127" s="55"/>
      <c r="CF127" s="32"/>
      <c r="CG127" s="54"/>
      <c r="CH127" s="21" t="str">
        <f>IFERROR(VLOOKUP(March[[#This Row],[Drug Name9]],'Data Options'!$R$1:$S$100,2,FALSE), " ")</f>
        <v xml:space="preserve"> </v>
      </c>
      <c r="CI127" s="55"/>
      <c r="CJ127" s="32"/>
      <c r="CK127" s="32"/>
      <c r="CL127" s="55"/>
      <c r="CM127" s="32"/>
    </row>
    <row r="128" spans="1:91">
      <c r="A128" s="5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1"/>
      <c r="P128" s="31"/>
      <c r="Q128" s="54"/>
      <c r="R128" s="21" t="str">
        <f>IFERROR(VLOOKUP(March[[#This Row],[Drug Name]],'Data Options'!$R$1:$S$100,2,FALSE), " ")</f>
        <v xml:space="preserve"> </v>
      </c>
      <c r="S128" s="55"/>
      <c r="T128" s="32"/>
      <c r="U128" s="32"/>
      <c r="V128" s="55"/>
      <c r="W128" s="32"/>
      <c r="X128" s="54"/>
      <c r="Y128" s="21" t="str">
        <f>IFERROR(VLOOKUP(March[[#This Row],[Drug Name2]],'Data Options'!$R$1:$S$100,2,FALSE), " ")</f>
        <v xml:space="preserve"> </v>
      </c>
      <c r="Z128" s="55"/>
      <c r="AA128" s="32"/>
      <c r="AB128" s="32"/>
      <c r="AC128" s="55"/>
      <c r="AD128" s="32"/>
      <c r="AE128" s="54"/>
      <c r="AF128" s="21" t="str">
        <f>IFERROR(VLOOKUP(March[[#This Row],[Drug Name3]],'Data Options'!$R$1:$S$100,2,FALSE), " ")</f>
        <v xml:space="preserve"> </v>
      </c>
      <c r="AG128" s="55"/>
      <c r="AH128" s="32"/>
      <c r="AI128" s="32"/>
      <c r="AJ128" s="55"/>
      <c r="AK128" s="32"/>
      <c r="AL128" s="32"/>
      <c r="AM128" s="32"/>
      <c r="AN128" s="32"/>
      <c r="AO128" s="32"/>
      <c r="AP128" s="31"/>
      <c r="AQ128" s="31"/>
      <c r="AR128" s="54"/>
      <c r="AS128" s="21" t="str">
        <f>IFERROR(VLOOKUP(March[[#This Row],[Drug Name4]],'Data Options'!$R$1:$S$100,2,FALSE), " ")</f>
        <v xml:space="preserve"> </v>
      </c>
      <c r="AT128" s="55"/>
      <c r="AU128" s="32"/>
      <c r="AV128" s="32"/>
      <c r="AW128" s="55"/>
      <c r="AX128" s="32"/>
      <c r="AY128" s="54"/>
      <c r="AZ128" s="21" t="str">
        <f>IFERROR(VLOOKUP(March[[#This Row],[Drug Name5]],'Data Options'!$R$1:$S$100,2,FALSE), " ")</f>
        <v xml:space="preserve"> </v>
      </c>
      <c r="BA128" s="55"/>
      <c r="BB128" s="32"/>
      <c r="BC128" s="32"/>
      <c r="BD128" s="55"/>
      <c r="BE128" s="32"/>
      <c r="BF128" s="54"/>
      <c r="BG128" s="21" t="str">
        <f>IFERROR(VLOOKUP(March[[#This Row],[Drug Name6]],'Data Options'!$R$1:$S$100,2,FALSE), " ")</f>
        <v xml:space="preserve"> </v>
      </c>
      <c r="BH128" s="55"/>
      <c r="BI128" s="32"/>
      <c r="BJ128" s="32"/>
      <c r="BK128" s="55"/>
      <c r="BL128" s="32"/>
      <c r="BM128" s="32"/>
      <c r="BN128" s="32"/>
      <c r="BO128" s="32"/>
      <c r="BP128" s="32"/>
      <c r="BQ128" s="31"/>
      <c r="BR128" s="31"/>
      <c r="BS128" s="54"/>
      <c r="BT128" s="21" t="str">
        <f>IFERROR(VLOOKUP(March[[#This Row],[Drug Name7]],'Data Options'!$R$1:$S$100,2,FALSE), " ")</f>
        <v xml:space="preserve"> </v>
      </c>
      <c r="BU128" s="55"/>
      <c r="BV128" s="32"/>
      <c r="BW128" s="32"/>
      <c r="BX128" s="55"/>
      <c r="BY128" s="32"/>
      <c r="BZ128" s="54"/>
      <c r="CA128" s="21" t="str">
        <f>IFERROR(VLOOKUP(March[[#This Row],[Drug Name8]],'Data Options'!$R$1:$S$100,2,FALSE), " ")</f>
        <v xml:space="preserve"> </v>
      </c>
      <c r="CB128" s="55"/>
      <c r="CC128" s="32"/>
      <c r="CD128" s="32"/>
      <c r="CE128" s="55"/>
      <c r="CF128" s="32"/>
      <c r="CG128" s="54"/>
      <c r="CH128" s="21" t="str">
        <f>IFERROR(VLOOKUP(March[[#This Row],[Drug Name9]],'Data Options'!$R$1:$S$100,2,FALSE), " ")</f>
        <v xml:space="preserve"> </v>
      </c>
      <c r="CI128" s="55"/>
      <c r="CJ128" s="32"/>
      <c r="CK128" s="32"/>
      <c r="CL128" s="55"/>
      <c r="CM128" s="32"/>
    </row>
    <row r="129" spans="1:91">
      <c r="A129" s="5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1"/>
      <c r="P129" s="31"/>
      <c r="Q129" s="54"/>
      <c r="R129" s="21" t="str">
        <f>IFERROR(VLOOKUP(March[[#This Row],[Drug Name]],'Data Options'!$R$1:$S$100,2,FALSE), " ")</f>
        <v xml:space="preserve"> </v>
      </c>
      <c r="S129" s="55"/>
      <c r="T129" s="32"/>
      <c r="U129" s="32"/>
      <c r="V129" s="55"/>
      <c r="W129" s="32"/>
      <c r="X129" s="54"/>
      <c r="Y129" s="21" t="str">
        <f>IFERROR(VLOOKUP(March[[#This Row],[Drug Name2]],'Data Options'!$R$1:$S$100,2,FALSE), " ")</f>
        <v xml:space="preserve"> </v>
      </c>
      <c r="Z129" s="55"/>
      <c r="AA129" s="32"/>
      <c r="AB129" s="32"/>
      <c r="AC129" s="55"/>
      <c r="AD129" s="32"/>
      <c r="AE129" s="54"/>
      <c r="AF129" s="21" t="str">
        <f>IFERROR(VLOOKUP(March[[#This Row],[Drug Name3]],'Data Options'!$R$1:$S$100,2,FALSE), " ")</f>
        <v xml:space="preserve"> </v>
      </c>
      <c r="AG129" s="55"/>
      <c r="AH129" s="32"/>
      <c r="AI129" s="32"/>
      <c r="AJ129" s="55"/>
      <c r="AK129" s="32"/>
      <c r="AL129" s="32"/>
      <c r="AM129" s="32"/>
      <c r="AN129" s="32"/>
      <c r="AO129" s="32"/>
      <c r="AP129" s="31"/>
      <c r="AQ129" s="31"/>
      <c r="AR129" s="54"/>
      <c r="AS129" s="21" t="str">
        <f>IFERROR(VLOOKUP(March[[#This Row],[Drug Name4]],'Data Options'!$R$1:$S$100,2,FALSE), " ")</f>
        <v xml:space="preserve"> </v>
      </c>
      <c r="AT129" s="55"/>
      <c r="AU129" s="32"/>
      <c r="AV129" s="32"/>
      <c r="AW129" s="55"/>
      <c r="AX129" s="32"/>
      <c r="AY129" s="54"/>
      <c r="AZ129" s="21" t="str">
        <f>IFERROR(VLOOKUP(March[[#This Row],[Drug Name5]],'Data Options'!$R$1:$S$100,2,FALSE), " ")</f>
        <v xml:space="preserve"> </v>
      </c>
      <c r="BA129" s="55"/>
      <c r="BB129" s="32"/>
      <c r="BC129" s="32"/>
      <c r="BD129" s="55"/>
      <c r="BE129" s="32"/>
      <c r="BF129" s="54"/>
      <c r="BG129" s="21" t="str">
        <f>IFERROR(VLOOKUP(March[[#This Row],[Drug Name6]],'Data Options'!$R$1:$S$100,2,FALSE), " ")</f>
        <v xml:space="preserve"> </v>
      </c>
      <c r="BH129" s="55"/>
      <c r="BI129" s="32"/>
      <c r="BJ129" s="32"/>
      <c r="BK129" s="55"/>
      <c r="BL129" s="32"/>
      <c r="BM129" s="32"/>
      <c r="BN129" s="32"/>
      <c r="BO129" s="32"/>
      <c r="BP129" s="32"/>
      <c r="BQ129" s="31"/>
      <c r="BR129" s="31"/>
      <c r="BS129" s="54"/>
      <c r="BT129" s="21" t="str">
        <f>IFERROR(VLOOKUP(March[[#This Row],[Drug Name7]],'Data Options'!$R$1:$S$100,2,FALSE), " ")</f>
        <v xml:space="preserve"> </v>
      </c>
      <c r="BU129" s="55"/>
      <c r="BV129" s="32"/>
      <c r="BW129" s="32"/>
      <c r="BX129" s="55"/>
      <c r="BY129" s="32"/>
      <c r="BZ129" s="54"/>
      <c r="CA129" s="21" t="str">
        <f>IFERROR(VLOOKUP(March[[#This Row],[Drug Name8]],'Data Options'!$R$1:$S$100,2,FALSE), " ")</f>
        <v xml:space="preserve"> </v>
      </c>
      <c r="CB129" s="55"/>
      <c r="CC129" s="32"/>
      <c r="CD129" s="32"/>
      <c r="CE129" s="55"/>
      <c r="CF129" s="32"/>
      <c r="CG129" s="54"/>
      <c r="CH129" s="21" t="str">
        <f>IFERROR(VLOOKUP(March[[#This Row],[Drug Name9]],'Data Options'!$R$1:$S$100,2,FALSE), " ")</f>
        <v xml:space="preserve"> </v>
      </c>
      <c r="CI129" s="55"/>
      <c r="CJ129" s="32"/>
      <c r="CK129" s="32"/>
      <c r="CL129" s="55"/>
      <c r="CM129" s="32"/>
    </row>
    <row r="130" spans="1:91">
      <c r="A130" s="5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1"/>
      <c r="P130" s="31"/>
      <c r="Q130" s="54"/>
      <c r="R130" s="21" t="str">
        <f>IFERROR(VLOOKUP(March[[#This Row],[Drug Name]],'Data Options'!$R$1:$S$100,2,FALSE), " ")</f>
        <v xml:space="preserve"> </v>
      </c>
      <c r="S130" s="55"/>
      <c r="T130" s="32"/>
      <c r="U130" s="32"/>
      <c r="V130" s="55"/>
      <c r="W130" s="32"/>
      <c r="X130" s="54"/>
      <c r="Y130" s="21" t="str">
        <f>IFERROR(VLOOKUP(March[[#This Row],[Drug Name2]],'Data Options'!$R$1:$S$100,2,FALSE), " ")</f>
        <v xml:space="preserve"> </v>
      </c>
      <c r="Z130" s="55"/>
      <c r="AA130" s="32"/>
      <c r="AB130" s="32"/>
      <c r="AC130" s="55"/>
      <c r="AD130" s="32"/>
      <c r="AE130" s="54"/>
      <c r="AF130" s="21" t="str">
        <f>IFERROR(VLOOKUP(March[[#This Row],[Drug Name3]],'Data Options'!$R$1:$S$100,2,FALSE), " ")</f>
        <v xml:space="preserve"> </v>
      </c>
      <c r="AG130" s="55"/>
      <c r="AH130" s="32"/>
      <c r="AI130" s="32"/>
      <c r="AJ130" s="55"/>
      <c r="AK130" s="32"/>
      <c r="AL130" s="32"/>
      <c r="AM130" s="32"/>
      <c r="AN130" s="32"/>
      <c r="AO130" s="32"/>
      <c r="AP130" s="31"/>
      <c r="AQ130" s="31"/>
      <c r="AR130" s="54"/>
      <c r="AS130" s="21" t="str">
        <f>IFERROR(VLOOKUP(March[[#This Row],[Drug Name4]],'Data Options'!$R$1:$S$100,2,FALSE), " ")</f>
        <v xml:space="preserve"> </v>
      </c>
      <c r="AT130" s="55"/>
      <c r="AU130" s="32"/>
      <c r="AV130" s="32"/>
      <c r="AW130" s="55"/>
      <c r="AX130" s="32"/>
      <c r="AY130" s="54"/>
      <c r="AZ130" s="21" t="str">
        <f>IFERROR(VLOOKUP(March[[#This Row],[Drug Name5]],'Data Options'!$R$1:$S$100,2,FALSE), " ")</f>
        <v xml:space="preserve"> </v>
      </c>
      <c r="BA130" s="55"/>
      <c r="BB130" s="32"/>
      <c r="BC130" s="32"/>
      <c r="BD130" s="55"/>
      <c r="BE130" s="32"/>
      <c r="BF130" s="54"/>
      <c r="BG130" s="21" t="str">
        <f>IFERROR(VLOOKUP(March[[#This Row],[Drug Name6]],'Data Options'!$R$1:$S$100,2,FALSE), " ")</f>
        <v xml:space="preserve"> </v>
      </c>
      <c r="BH130" s="55"/>
      <c r="BI130" s="32"/>
      <c r="BJ130" s="32"/>
      <c r="BK130" s="55"/>
      <c r="BL130" s="32"/>
      <c r="BM130" s="32"/>
      <c r="BN130" s="32"/>
      <c r="BO130" s="32"/>
      <c r="BP130" s="32"/>
      <c r="BQ130" s="31"/>
      <c r="BR130" s="31"/>
      <c r="BS130" s="54"/>
      <c r="BT130" s="21" t="str">
        <f>IFERROR(VLOOKUP(March[[#This Row],[Drug Name7]],'Data Options'!$R$1:$S$100,2,FALSE), " ")</f>
        <v xml:space="preserve"> </v>
      </c>
      <c r="BU130" s="55"/>
      <c r="BV130" s="32"/>
      <c r="BW130" s="32"/>
      <c r="BX130" s="55"/>
      <c r="BY130" s="32"/>
      <c r="BZ130" s="54"/>
      <c r="CA130" s="21" t="str">
        <f>IFERROR(VLOOKUP(March[[#This Row],[Drug Name8]],'Data Options'!$R$1:$S$100,2,FALSE), " ")</f>
        <v xml:space="preserve"> </v>
      </c>
      <c r="CB130" s="55"/>
      <c r="CC130" s="32"/>
      <c r="CD130" s="32"/>
      <c r="CE130" s="55"/>
      <c r="CF130" s="32"/>
      <c r="CG130" s="54"/>
      <c r="CH130" s="21" t="str">
        <f>IFERROR(VLOOKUP(March[[#This Row],[Drug Name9]],'Data Options'!$R$1:$S$100,2,FALSE), " ")</f>
        <v xml:space="preserve"> </v>
      </c>
      <c r="CI130" s="55"/>
      <c r="CJ130" s="32"/>
      <c r="CK130" s="32"/>
      <c r="CL130" s="55"/>
      <c r="CM130" s="32"/>
    </row>
    <row r="131" spans="1:91">
      <c r="A131" s="5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1"/>
      <c r="P131" s="31"/>
      <c r="Q131" s="54"/>
      <c r="R131" s="21" t="str">
        <f>IFERROR(VLOOKUP(March[[#This Row],[Drug Name]],'Data Options'!$R$1:$S$100,2,FALSE), " ")</f>
        <v xml:space="preserve"> </v>
      </c>
      <c r="S131" s="55"/>
      <c r="T131" s="32"/>
      <c r="U131" s="32"/>
      <c r="V131" s="55"/>
      <c r="W131" s="32"/>
      <c r="X131" s="54"/>
      <c r="Y131" s="21" t="str">
        <f>IFERROR(VLOOKUP(March[[#This Row],[Drug Name2]],'Data Options'!$R$1:$S$100,2,FALSE), " ")</f>
        <v xml:space="preserve"> </v>
      </c>
      <c r="Z131" s="55"/>
      <c r="AA131" s="32"/>
      <c r="AB131" s="32"/>
      <c r="AC131" s="55"/>
      <c r="AD131" s="32"/>
      <c r="AE131" s="54"/>
      <c r="AF131" s="21" t="str">
        <f>IFERROR(VLOOKUP(March[[#This Row],[Drug Name3]],'Data Options'!$R$1:$S$100,2,FALSE), " ")</f>
        <v xml:space="preserve"> </v>
      </c>
      <c r="AG131" s="55"/>
      <c r="AH131" s="32"/>
      <c r="AI131" s="32"/>
      <c r="AJ131" s="55"/>
      <c r="AK131" s="32"/>
      <c r="AL131" s="32"/>
      <c r="AM131" s="32"/>
      <c r="AN131" s="32"/>
      <c r="AO131" s="32"/>
      <c r="AP131" s="31"/>
      <c r="AQ131" s="31"/>
      <c r="AR131" s="54"/>
      <c r="AS131" s="21" t="str">
        <f>IFERROR(VLOOKUP(March[[#This Row],[Drug Name4]],'Data Options'!$R$1:$S$100,2,FALSE), " ")</f>
        <v xml:space="preserve"> </v>
      </c>
      <c r="AT131" s="55"/>
      <c r="AU131" s="32"/>
      <c r="AV131" s="32"/>
      <c r="AW131" s="55"/>
      <c r="AX131" s="32"/>
      <c r="AY131" s="54"/>
      <c r="AZ131" s="21" t="str">
        <f>IFERROR(VLOOKUP(March[[#This Row],[Drug Name5]],'Data Options'!$R$1:$S$100,2,FALSE), " ")</f>
        <v xml:space="preserve"> </v>
      </c>
      <c r="BA131" s="55"/>
      <c r="BB131" s="32"/>
      <c r="BC131" s="32"/>
      <c r="BD131" s="55"/>
      <c r="BE131" s="32"/>
      <c r="BF131" s="54"/>
      <c r="BG131" s="21" t="str">
        <f>IFERROR(VLOOKUP(March[[#This Row],[Drug Name6]],'Data Options'!$R$1:$S$100,2,FALSE), " ")</f>
        <v xml:space="preserve"> </v>
      </c>
      <c r="BH131" s="55"/>
      <c r="BI131" s="32"/>
      <c r="BJ131" s="32"/>
      <c r="BK131" s="55"/>
      <c r="BL131" s="32"/>
      <c r="BM131" s="32"/>
      <c r="BN131" s="32"/>
      <c r="BO131" s="32"/>
      <c r="BP131" s="32"/>
      <c r="BQ131" s="31"/>
      <c r="BR131" s="31"/>
      <c r="BS131" s="54"/>
      <c r="BT131" s="21" t="str">
        <f>IFERROR(VLOOKUP(March[[#This Row],[Drug Name7]],'Data Options'!$R$1:$S$100,2,FALSE), " ")</f>
        <v xml:space="preserve"> </v>
      </c>
      <c r="BU131" s="55"/>
      <c r="BV131" s="32"/>
      <c r="BW131" s="32"/>
      <c r="BX131" s="55"/>
      <c r="BY131" s="32"/>
      <c r="BZ131" s="54"/>
      <c r="CA131" s="21" t="str">
        <f>IFERROR(VLOOKUP(March[[#This Row],[Drug Name8]],'Data Options'!$R$1:$S$100,2,FALSE), " ")</f>
        <v xml:space="preserve"> </v>
      </c>
      <c r="CB131" s="55"/>
      <c r="CC131" s="32"/>
      <c r="CD131" s="32"/>
      <c r="CE131" s="55"/>
      <c r="CF131" s="32"/>
      <c r="CG131" s="54"/>
      <c r="CH131" s="21" t="str">
        <f>IFERROR(VLOOKUP(March[[#This Row],[Drug Name9]],'Data Options'!$R$1:$S$100,2,FALSE), " ")</f>
        <v xml:space="preserve"> </v>
      </c>
      <c r="CI131" s="55"/>
      <c r="CJ131" s="32"/>
      <c r="CK131" s="32"/>
      <c r="CL131" s="55"/>
      <c r="CM131" s="32"/>
    </row>
    <row r="132" spans="1:91">
      <c r="A132" s="5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1"/>
      <c r="P132" s="31"/>
      <c r="Q132" s="54"/>
      <c r="R132" s="21" t="str">
        <f>IFERROR(VLOOKUP(March[[#This Row],[Drug Name]],'Data Options'!$R$1:$S$100,2,FALSE), " ")</f>
        <v xml:space="preserve"> </v>
      </c>
      <c r="S132" s="55"/>
      <c r="T132" s="32"/>
      <c r="U132" s="32"/>
      <c r="V132" s="55"/>
      <c r="W132" s="32"/>
      <c r="X132" s="54"/>
      <c r="Y132" s="21" t="str">
        <f>IFERROR(VLOOKUP(March[[#This Row],[Drug Name2]],'Data Options'!$R$1:$S$100,2,FALSE), " ")</f>
        <v xml:space="preserve"> </v>
      </c>
      <c r="Z132" s="55"/>
      <c r="AA132" s="32"/>
      <c r="AB132" s="32"/>
      <c r="AC132" s="55"/>
      <c r="AD132" s="32"/>
      <c r="AE132" s="54"/>
      <c r="AF132" s="21" t="str">
        <f>IFERROR(VLOOKUP(March[[#This Row],[Drug Name3]],'Data Options'!$R$1:$S$100,2,FALSE), " ")</f>
        <v xml:space="preserve"> </v>
      </c>
      <c r="AG132" s="55"/>
      <c r="AH132" s="32"/>
      <c r="AI132" s="32"/>
      <c r="AJ132" s="55"/>
      <c r="AK132" s="32"/>
      <c r="AL132" s="32"/>
      <c r="AM132" s="32"/>
      <c r="AN132" s="32"/>
      <c r="AO132" s="32"/>
      <c r="AP132" s="31"/>
      <c r="AQ132" s="31"/>
      <c r="AR132" s="54"/>
      <c r="AS132" s="21" t="str">
        <f>IFERROR(VLOOKUP(March[[#This Row],[Drug Name4]],'Data Options'!$R$1:$S$100,2,FALSE), " ")</f>
        <v xml:space="preserve"> </v>
      </c>
      <c r="AT132" s="55"/>
      <c r="AU132" s="32"/>
      <c r="AV132" s="32"/>
      <c r="AW132" s="55"/>
      <c r="AX132" s="32"/>
      <c r="AY132" s="54"/>
      <c r="AZ132" s="21" t="str">
        <f>IFERROR(VLOOKUP(March[[#This Row],[Drug Name5]],'Data Options'!$R$1:$S$100,2,FALSE), " ")</f>
        <v xml:space="preserve"> </v>
      </c>
      <c r="BA132" s="55"/>
      <c r="BB132" s="32"/>
      <c r="BC132" s="32"/>
      <c r="BD132" s="55"/>
      <c r="BE132" s="32"/>
      <c r="BF132" s="54"/>
      <c r="BG132" s="21" t="str">
        <f>IFERROR(VLOOKUP(March[[#This Row],[Drug Name6]],'Data Options'!$R$1:$S$100,2,FALSE), " ")</f>
        <v xml:space="preserve"> </v>
      </c>
      <c r="BH132" s="55"/>
      <c r="BI132" s="32"/>
      <c r="BJ132" s="32"/>
      <c r="BK132" s="55"/>
      <c r="BL132" s="32"/>
      <c r="BM132" s="32"/>
      <c r="BN132" s="32"/>
      <c r="BO132" s="32"/>
      <c r="BP132" s="32"/>
      <c r="BQ132" s="31"/>
      <c r="BR132" s="31"/>
      <c r="BS132" s="54"/>
      <c r="BT132" s="21" t="str">
        <f>IFERROR(VLOOKUP(March[[#This Row],[Drug Name7]],'Data Options'!$R$1:$S$100,2,FALSE), " ")</f>
        <v xml:space="preserve"> </v>
      </c>
      <c r="BU132" s="55"/>
      <c r="BV132" s="32"/>
      <c r="BW132" s="32"/>
      <c r="BX132" s="55"/>
      <c r="BY132" s="32"/>
      <c r="BZ132" s="54"/>
      <c r="CA132" s="21" t="str">
        <f>IFERROR(VLOOKUP(March[[#This Row],[Drug Name8]],'Data Options'!$R$1:$S$100,2,FALSE), " ")</f>
        <v xml:space="preserve"> </v>
      </c>
      <c r="CB132" s="55"/>
      <c r="CC132" s="32"/>
      <c r="CD132" s="32"/>
      <c r="CE132" s="55"/>
      <c r="CF132" s="32"/>
      <c r="CG132" s="54"/>
      <c r="CH132" s="21" t="str">
        <f>IFERROR(VLOOKUP(March[[#This Row],[Drug Name9]],'Data Options'!$R$1:$S$100,2,FALSE), " ")</f>
        <v xml:space="preserve"> </v>
      </c>
      <c r="CI132" s="55"/>
      <c r="CJ132" s="32"/>
      <c r="CK132" s="32"/>
      <c r="CL132" s="55"/>
      <c r="CM132" s="32"/>
    </row>
    <row r="133" spans="1:91">
      <c r="A133" s="5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54"/>
      <c r="R133" s="21" t="str">
        <f>IFERROR(VLOOKUP(March[[#This Row],[Drug Name]],'Data Options'!$R$1:$S$100,2,FALSE), " ")</f>
        <v xml:space="preserve"> </v>
      </c>
      <c r="S133" s="55"/>
      <c r="T133" s="32"/>
      <c r="U133" s="32"/>
      <c r="V133" s="55"/>
      <c r="W133" s="32"/>
      <c r="X133" s="54"/>
      <c r="Y133" s="21" t="str">
        <f>IFERROR(VLOOKUP(March[[#This Row],[Drug Name2]],'Data Options'!$R$1:$S$100,2,FALSE), " ")</f>
        <v xml:space="preserve"> </v>
      </c>
      <c r="Z133" s="55"/>
      <c r="AA133" s="32"/>
      <c r="AB133" s="32"/>
      <c r="AC133" s="55"/>
      <c r="AD133" s="32"/>
      <c r="AE133" s="54"/>
      <c r="AF133" s="21" t="str">
        <f>IFERROR(VLOOKUP(March[[#This Row],[Drug Name3]],'Data Options'!$R$1:$S$100,2,FALSE), " ")</f>
        <v xml:space="preserve"> </v>
      </c>
      <c r="AG133" s="55"/>
      <c r="AH133" s="32"/>
      <c r="AI133" s="32"/>
      <c r="AJ133" s="55"/>
      <c r="AK133" s="32"/>
      <c r="AL133" s="32"/>
      <c r="AM133" s="32"/>
      <c r="AN133" s="32"/>
      <c r="AO133" s="32"/>
      <c r="AP133" s="31"/>
      <c r="AQ133" s="31"/>
      <c r="AR133" s="54"/>
      <c r="AS133" s="21" t="str">
        <f>IFERROR(VLOOKUP(March[[#This Row],[Drug Name4]],'Data Options'!$R$1:$S$100,2,FALSE), " ")</f>
        <v xml:space="preserve"> </v>
      </c>
      <c r="AT133" s="55"/>
      <c r="AU133" s="32"/>
      <c r="AV133" s="32"/>
      <c r="AW133" s="55"/>
      <c r="AX133" s="32"/>
      <c r="AY133" s="54"/>
      <c r="AZ133" s="21" t="str">
        <f>IFERROR(VLOOKUP(March[[#This Row],[Drug Name5]],'Data Options'!$R$1:$S$100,2,FALSE), " ")</f>
        <v xml:space="preserve"> </v>
      </c>
      <c r="BA133" s="55"/>
      <c r="BB133" s="32"/>
      <c r="BC133" s="32"/>
      <c r="BD133" s="55"/>
      <c r="BE133" s="32"/>
      <c r="BF133" s="54"/>
      <c r="BG133" s="21" t="str">
        <f>IFERROR(VLOOKUP(March[[#This Row],[Drug Name6]],'Data Options'!$R$1:$S$100,2,FALSE), " ")</f>
        <v xml:space="preserve"> </v>
      </c>
      <c r="BH133" s="55"/>
      <c r="BI133" s="32"/>
      <c r="BJ133" s="32"/>
      <c r="BK133" s="55"/>
      <c r="BL133" s="32"/>
      <c r="BM133" s="32"/>
      <c r="BN133" s="32"/>
      <c r="BO133" s="32"/>
      <c r="BP133" s="32"/>
      <c r="BQ133" s="31"/>
      <c r="BR133" s="31"/>
      <c r="BS133" s="54"/>
      <c r="BT133" s="21" t="str">
        <f>IFERROR(VLOOKUP(March[[#This Row],[Drug Name7]],'Data Options'!$R$1:$S$100,2,FALSE), " ")</f>
        <v xml:space="preserve"> </v>
      </c>
      <c r="BU133" s="55"/>
      <c r="BV133" s="32"/>
      <c r="BW133" s="32"/>
      <c r="BX133" s="55"/>
      <c r="BY133" s="32"/>
      <c r="BZ133" s="54"/>
      <c r="CA133" s="21" t="str">
        <f>IFERROR(VLOOKUP(March[[#This Row],[Drug Name8]],'Data Options'!$R$1:$S$100,2,FALSE), " ")</f>
        <v xml:space="preserve"> </v>
      </c>
      <c r="CB133" s="55"/>
      <c r="CC133" s="32"/>
      <c r="CD133" s="32"/>
      <c r="CE133" s="55"/>
      <c r="CF133" s="32"/>
      <c r="CG133" s="54"/>
      <c r="CH133" s="21" t="str">
        <f>IFERROR(VLOOKUP(March[[#This Row],[Drug Name9]],'Data Options'!$R$1:$S$100,2,FALSE), " ")</f>
        <v xml:space="preserve"> </v>
      </c>
      <c r="CI133" s="55"/>
      <c r="CJ133" s="32"/>
      <c r="CK133" s="32"/>
      <c r="CL133" s="55"/>
      <c r="CM133" s="32"/>
    </row>
    <row r="134" spans="1:91">
      <c r="A134" s="5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54"/>
      <c r="R134" s="21" t="str">
        <f>IFERROR(VLOOKUP(March[[#This Row],[Drug Name]],'Data Options'!$R$1:$S$100,2,FALSE), " ")</f>
        <v xml:space="preserve"> </v>
      </c>
      <c r="S134" s="55"/>
      <c r="T134" s="32"/>
      <c r="U134" s="32"/>
      <c r="V134" s="55"/>
      <c r="W134" s="32"/>
      <c r="X134" s="54"/>
      <c r="Y134" s="21" t="str">
        <f>IFERROR(VLOOKUP(March[[#This Row],[Drug Name2]],'Data Options'!$R$1:$S$100,2,FALSE), " ")</f>
        <v xml:space="preserve"> </v>
      </c>
      <c r="Z134" s="55"/>
      <c r="AA134" s="32"/>
      <c r="AB134" s="32"/>
      <c r="AC134" s="55"/>
      <c r="AD134" s="32"/>
      <c r="AE134" s="54"/>
      <c r="AF134" s="21" t="str">
        <f>IFERROR(VLOOKUP(March[[#This Row],[Drug Name3]],'Data Options'!$R$1:$S$100,2,FALSE), " ")</f>
        <v xml:space="preserve"> </v>
      </c>
      <c r="AG134" s="55"/>
      <c r="AH134" s="32"/>
      <c r="AI134" s="32"/>
      <c r="AJ134" s="55"/>
      <c r="AK134" s="32"/>
      <c r="AL134" s="32"/>
      <c r="AM134" s="32"/>
      <c r="AN134" s="32"/>
      <c r="AO134" s="32"/>
      <c r="AP134" s="31"/>
      <c r="AQ134" s="31"/>
      <c r="AR134" s="54"/>
      <c r="AS134" s="21" t="str">
        <f>IFERROR(VLOOKUP(March[[#This Row],[Drug Name4]],'Data Options'!$R$1:$S$100,2,FALSE), " ")</f>
        <v xml:space="preserve"> </v>
      </c>
      <c r="AT134" s="55"/>
      <c r="AU134" s="32"/>
      <c r="AV134" s="32"/>
      <c r="AW134" s="55"/>
      <c r="AX134" s="32"/>
      <c r="AY134" s="54"/>
      <c r="AZ134" s="21" t="str">
        <f>IFERROR(VLOOKUP(March[[#This Row],[Drug Name5]],'Data Options'!$R$1:$S$100,2,FALSE), " ")</f>
        <v xml:space="preserve"> </v>
      </c>
      <c r="BA134" s="55"/>
      <c r="BB134" s="32"/>
      <c r="BC134" s="32"/>
      <c r="BD134" s="55"/>
      <c r="BE134" s="32"/>
      <c r="BF134" s="54"/>
      <c r="BG134" s="21" t="str">
        <f>IFERROR(VLOOKUP(March[[#This Row],[Drug Name6]],'Data Options'!$R$1:$S$100,2,FALSE), " ")</f>
        <v xml:space="preserve"> </v>
      </c>
      <c r="BH134" s="55"/>
      <c r="BI134" s="32"/>
      <c r="BJ134" s="32"/>
      <c r="BK134" s="55"/>
      <c r="BL134" s="32"/>
      <c r="BM134" s="32"/>
      <c r="BN134" s="32"/>
      <c r="BO134" s="32"/>
      <c r="BP134" s="32"/>
      <c r="BQ134" s="31"/>
      <c r="BR134" s="31"/>
      <c r="BS134" s="54"/>
      <c r="BT134" s="21" t="str">
        <f>IFERROR(VLOOKUP(March[[#This Row],[Drug Name7]],'Data Options'!$R$1:$S$100,2,FALSE), " ")</f>
        <v xml:space="preserve"> </v>
      </c>
      <c r="BU134" s="55"/>
      <c r="BV134" s="32"/>
      <c r="BW134" s="32"/>
      <c r="BX134" s="55"/>
      <c r="BY134" s="32"/>
      <c r="BZ134" s="54"/>
      <c r="CA134" s="21" t="str">
        <f>IFERROR(VLOOKUP(March[[#This Row],[Drug Name8]],'Data Options'!$R$1:$S$100,2,FALSE), " ")</f>
        <v xml:space="preserve"> </v>
      </c>
      <c r="CB134" s="55"/>
      <c r="CC134" s="32"/>
      <c r="CD134" s="32"/>
      <c r="CE134" s="55"/>
      <c r="CF134" s="32"/>
      <c r="CG134" s="54"/>
      <c r="CH134" s="21" t="str">
        <f>IFERROR(VLOOKUP(March[[#This Row],[Drug Name9]],'Data Options'!$R$1:$S$100,2,FALSE), " ")</f>
        <v xml:space="preserve"> </v>
      </c>
      <c r="CI134" s="55"/>
      <c r="CJ134" s="32"/>
      <c r="CK134" s="32"/>
      <c r="CL134" s="55"/>
      <c r="CM134" s="32"/>
    </row>
    <row r="135" spans="1:91">
      <c r="A135" s="5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1"/>
      <c r="P135" s="31"/>
      <c r="Q135" s="54"/>
      <c r="R135" s="21" t="str">
        <f>IFERROR(VLOOKUP(March[[#This Row],[Drug Name]],'Data Options'!$R$1:$S$100,2,FALSE), " ")</f>
        <v xml:space="preserve"> </v>
      </c>
      <c r="S135" s="55"/>
      <c r="T135" s="32"/>
      <c r="U135" s="32"/>
      <c r="V135" s="55"/>
      <c r="W135" s="32"/>
      <c r="X135" s="54"/>
      <c r="Y135" s="21" t="str">
        <f>IFERROR(VLOOKUP(March[[#This Row],[Drug Name2]],'Data Options'!$R$1:$S$100,2,FALSE), " ")</f>
        <v xml:space="preserve"> </v>
      </c>
      <c r="Z135" s="55"/>
      <c r="AA135" s="32"/>
      <c r="AB135" s="32"/>
      <c r="AC135" s="55"/>
      <c r="AD135" s="32"/>
      <c r="AE135" s="54"/>
      <c r="AF135" s="21" t="str">
        <f>IFERROR(VLOOKUP(March[[#This Row],[Drug Name3]],'Data Options'!$R$1:$S$100,2,FALSE), " ")</f>
        <v xml:space="preserve"> </v>
      </c>
      <c r="AG135" s="55"/>
      <c r="AH135" s="32"/>
      <c r="AI135" s="32"/>
      <c r="AJ135" s="55"/>
      <c r="AK135" s="32"/>
      <c r="AL135" s="32"/>
      <c r="AM135" s="32"/>
      <c r="AN135" s="32"/>
      <c r="AO135" s="32"/>
      <c r="AP135" s="31"/>
      <c r="AQ135" s="31"/>
      <c r="AR135" s="54"/>
      <c r="AS135" s="21" t="str">
        <f>IFERROR(VLOOKUP(March[[#This Row],[Drug Name4]],'Data Options'!$R$1:$S$100,2,FALSE), " ")</f>
        <v xml:space="preserve"> </v>
      </c>
      <c r="AT135" s="55"/>
      <c r="AU135" s="32"/>
      <c r="AV135" s="32"/>
      <c r="AW135" s="55"/>
      <c r="AX135" s="32"/>
      <c r="AY135" s="54"/>
      <c r="AZ135" s="21" t="str">
        <f>IFERROR(VLOOKUP(March[[#This Row],[Drug Name5]],'Data Options'!$R$1:$S$100,2,FALSE), " ")</f>
        <v xml:space="preserve"> </v>
      </c>
      <c r="BA135" s="55"/>
      <c r="BB135" s="32"/>
      <c r="BC135" s="32"/>
      <c r="BD135" s="55"/>
      <c r="BE135" s="32"/>
      <c r="BF135" s="54"/>
      <c r="BG135" s="21" t="str">
        <f>IFERROR(VLOOKUP(March[[#This Row],[Drug Name6]],'Data Options'!$R$1:$S$100,2,FALSE), " ")</f>
        <v xml:space="preserve"> </v>
      </c>
      <c r="BH135" s="55"/>
      <c r="BI135" s="32"/>
      <c r="BJ135" s="32"/>
      <c r="BK135" s="55"/>
      <c r="BL135" s="32"/>
      <c r="BM135" s="32"/>
      <c r="BN135" s="32"/>
      <c r="BO135" s="32"/>
      <c r="BP135" s="32"/>
      <c r="BQ135" s="31"/>
      <c r="BR135" s="31"/>
      <c r="BS135" s="54"/>
      <c r="BT135" s="21" t="str">
        <f>IFERROR(VLOOKUP(March[[#This Row],[Drug Name7]],'Data Options'!$R$1:$S$100,2,FALSE), " ")</f>
        <v xml:space="preserve"> </v>
      </c>
      <c r="BU135" s="55"/>
      <c r="BV135" s="32"/>
      <c r="BW135" s="32"/>
      <c r="BX135" s="55"/>
      <c r="BY135" s="32"/>
      <c r="BZ135" s="54"/>
      <c r="CA135" s="21" t="str">
        <f>IFERROR(VLOOKUP(March[[#This Row],[Drug Name8]],'Data Options'!$R$1:$S$100,2,FALSE), " ")</f>
        <v xml:space="preserve"> </v>
      </c>
      <c r="CB135" s="55"/>
      <c r="CC135" s="32"/>
      <c r="CD135" s="32"/>
      <c r="CE135" s="55"/>
      <c r="CF135" s="32"/>
      <c r="CG135" s="54"/>
      <c r="CH135" s="21" t="str">
        <f>IFERROR(VLOOKUP(March[[#This Row],[Drug Name9]],'Data Options'!$R$1:$S$100,2,FALSE), " ")</f>
        <v xml:space="preserve"> </v>
      </c>
      <c r="CI135" s="55"/>
      <c r="CJ135" s="32"/>
      <c r="CK135" s="32"/>
      <c r="CL135" s="55"/>
      <c r="CM135" s="32"/>
    </row>
    <row r="136" spans="1:91">
      <c r="A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1"/>
      <c r="P136" s="31"/>
      <c r="Q136" s="54"/>
      <c r="R136" s="21" t="str">
        <f>IFERROR(VLOOKUP(March[[#This Row],[Drug Name]],'Data Options'!$R$1:$S$100,2,FALSE), " ")</f>
        <v xml:space="preserve"> </v>
      </c>
      <c r="S136" s="55"/>
      <c r="T136" s="32"/>
      <c r="U136" s="32"/>
      <c r="V136" s="55"/>
      <c r="W136" s="32"/>
      <c r="X136" s="54"/>
      <c r="Y136" s="21" t="str">
        <f>IFERROR(VLOOKUP(March[[#This Row],[Drug Name2]],'Data Options'!$R$1:$S$100,2,FALSE), " ")</f>
        <v xml:space="preserve"> </v>
      </c>
      <c r="Z136" s="55"/>
      <c r="AA136" s="32"/>
      <c r="AB136" s="32"/>
      <c r="AC136" s="55"/>
      <c r="AD136" s="32"/>
      <c r="AE136" s="54"/>
      <c r="AF136" s="21" t="str">
        <f>IFERROR(VLOOKUP(March[[#This Row],[Drug Name3]],'Data Options'!$R$1:$S$100,2,FALSE), " ")</f>
        <v xml:space="preserve"> </v>
      </c>
      <c r="AG136" s="55"/>
      <c r="AH136" s="32"/>
      <c r="AI136" s="32"/>
      <c r="AJ136" s="55"/>
      <c r="AK136" s="32"/>
      <c r="AL136" s="32"/>
      <c r="AM136" s="32"/>
      <c r="AN136" s="32"/>
      <c r="AO136" s="32"/>
      <c r="AP136" s="31"/>
      <c r="AQ136" s="31"/>
      <c r="AR136" s="54"/>
      <c r="AS136" s="21" t="str">
        <f>IFERROR(VLOOKUP(March[[#This Row],[Drug Name4]],'Data Options'!$R$1:$S$100,2,FALSE), " ")</f>
        <v xml:space="preserve"> </v>
      </c>
      <c r="AT136" s="55"/>
      <c r="AU136" s="32"/>
      <c r="AV136" s="32"/>
      <c r="AW136" s="55"/>
      <c r="AX136" s="32"/>
      <c r="AY136" s="54"/>
      <c r="AZ136" s="21" t="str">
        <f>IFERROR(VLOOKUP(March[[#This Row],[Drug Name5]],'Data Options'!$R$1:$S$100,2,FALSE), " ")</f>
        <v xml:space="preserve"> </v>
      </c>
      <c r="BA136" s="55"/>
      <c r="BB136" s="32"/>
      <c r="BC136" s="32"/>
      <c r="BD136" s="55"/>
      <c r="BE136" s="32"/>
      <c r="BF136" s="54"/>
      <c r="BG136" s="21" t="str">
        <f>IFERROR(VLOOKUP(March[[#This Row],[Drug Name6]],'Data Options'!$R$1:$S$100,2,FALSE), " ")</f>
        <v xml:space="preserve"> </v>
      </c>
      <c r="BH136" s="55"/>
      <c r="BI136" s="32"/>
      <c r="BJ136" s="32"/>
      <c r="BK136" s="55"/>
      <c r="BL136" s="32"/>
      <c r="BM136" s="32"/>
      <c r="BN136" s="32"/>
      <c r="BO136" s="32"/>
      <c r="BP136" s="32"/>
      <c r="BQ136" s="31"/>
      <c r="BR136" s="31"/>
      <c r="BS136" s="54"/>
      <c r="BT136" s="21" t="str">
        <f>IFERROR(VLOOKUP(March[[#This Row],[Drug Name7]],'Data Options'!$R$1:$S$100,2,FALSE), " ")</f>
        <v xml:space="preserve"> </v>
      </c>
      <c r="BU136" s="55"/>
      <c r="BV136" s="32"/>
      <c r="BW136" s="32"/>
      <c r="BX136" s="55"/>
      <c r="BY136" s="32"/>
      <c r="BZ136" s="54"/>
      <c r="CA136" s="21" t="str">
        <f>IFERROR(VLOOKUP(March[[#This Row],[Drug Name8]],'Data Options'!$R$1:$S$100,2,FALSE), " ")</f>
        <v xml:space="preserve"> </v>
      </c>
      <c r="CB136" s="55"/>
      <c r="CC136" s="32"/>
      <c r="CD136" s="32"/>
      <c r="CE136" s="55"/>
      <c r="CF136" s="32"/>
      <c r="CG136" s="54"/>
      <c r="CH136" s="21" t="str">
        <f>IFERROR(VLOOKUP(March[[#This Row],[Drug Name9]],'Data Options'!$R$1:$S$100,2,FALSE), " ")</f>
        <v xml:space="preserve"> </v>
      </c>
      <c r="CI136" s="55"/>
      <c r="CJ136" s="32"/>
      <c r="CK136" s="32"/>
      <c r="CL136" s="55"/>
      <c r="CM136" s="32"/>
    </row>
    <row r="137" spans="1:91">
      <c r="A137" s="5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/>
      <c r="P137" s="31"/>
      <c r="Q137" s="54"/>
      <c r="R137" s="21" t="str">
        <f>IFERROR(VLOOKUP(March[[#This Row],[Drug Name]],'Data Options'!$R$1:$S$100,2,FALSE), " ")</f>
        <v xml:space="preserve"> </v>
      </c>
      <c r="S137" s="55"/>
      <c r="T137" s="32"/>
      <c r="U137" s="32"/>
      <c r="V137" s="55"/>
      <c r="W137" s="32"/>
      <c r="X137" s="54"/>
      <c r="Y137" s="21" t="str">
        <f>IFERROR(VLOOKUP(March[[#This Row],[Drug Name2]],'Data Options'!$R$1:$S$100,2,FALSE), " ")</f>
        <v xml:space="preserve"> </v>
      </c>
      <c r="Z137" s="55"/>
      <c r="AA137" s="32"/>
      <c r="AB137" s="32"/>
      <c r="AC137" s="55"/>
      <c r="AD137" s="32"/>
      <c r="AE137" s="54"/>
      <c r="AF137" s="21" t="str">
        <f>IFERROR(VLOOKUP(March[[#This Row],[Drug Name3]],'Data Options'!$R$1:$S$100,2,FALSE), " ")</f>
        <v xml:space="preserve"> </v>
      </c>
      <c r="AG137" s="55"/>
      <c r="AH137" s="32"/>
      <c r="AI137" s="32"/>
      <c r="AJ137" s="55"/>
      <c r="AK137" s="32"/>
      <c r="AL137" s="32"/>
      <c r="AM137" s="32"/>
      <c r="AN137" s="32"/>
      <c r="AO137" s="32"/>
      <c r="AP137" s="31"/>
      <c r="AQ137" s="31"/>
      <c r="AR137" s="54"/>
      <c r="AS137" s="21" t="str">
        <f>IFERROR(VLOOKUP(March[[#This Row],[Drug Name4]],'Data Options'!$R$1:$S$100,2,FALSE), " ")</f>
        <v xml:space="preserve"> </v>
      </c>
      <c r="AT137" s="55"/>
      <c r="AU137" s="32"/>
      <c r="AV137" s="32"/>
      <c r="AW137" s="55"/>
      <c r="AX137" s="32"/>
      <c r="AY137" s="54"/>
      <c r="AZ137" s="21" t="str">
        <f>IFERROR(VLOOKUP(March[[#This Row],[Drug Name5]],'Data Options'!$R$1:$S$100,2,FALSE), " ")</f>
        <v xml:space="preserve"> </v>
      </c>
      <c r="BA137" s="55"/>
      <c r="BB137" s="32"/>
      <c r="BC137" s="32"/>
      <c r="BD137" s="55"/>
      <c r="BE137" s="32"/>
      <c r="BF137" s="54"/>
      <c r="BG137" s="21" t="str">
        <f>IFERROR(VLOOKUP(March[[#This Row],[Drug Name6]],'Data Options'!$R$1:$S$100,2,FALSE), " ")</f>
        <v xml:space="preserve"> </v>
      </c>
      <c r="BH137" s="55"/>
      <c r="BI137" s="32"/>
      <c r="BJ137" s="32"/>
      <c r="BK137" s="55"/>
      <c r="BL137" s="32"/>
      <c r="BM137" s="32"/>
      <c r="BN137" s="32"/>
      <c r="BO137" s="32"/>
      <c r="BP137" s="32"/>
      <c r="BQ137" s="31"/>
      <c r="BR137" s="31"/>
      <c r="BS137" s="54"/>
      <c r="BT137" s="21" t="str">
        <f>IFERROR(VLOOKUP(March[[#This Row],[Drug Name7]],'Data Options'!$R$1:$S$100,2,FALSE), " ")</f>
        <v xml:space="preserve"> </v>
      </c>
      <c r="BU137" s="55"/>
      <c r="BV137" s="32"/>
      <c r="BW137" s="32"/>
      <c r="BX137" s="55"/>
      <c r="BY137" s="32"/>
      <c r="BZ137" s="54"/>
      <c r="CA137" s="21" t="str">
        <f>IFERROR(VLOOKUP(March[[#This Row],[Drug Name8]],'Data Options'!$R$1:$S$100,2,FALSE), " ")</f>
        <v xml:space="preserve"> </v>
      </c>
      <c r="CB137" s="55"/>
      <c r="CC137" s="32"/>
      <c r="CD137" s="32"/>
      <c r="CE137" s="55"/>
      <c r="CF137" s="32"/>
      <c r="CG137" s="54"/>
      <c r="CH137" s="21" t="str">
        <f>IFERROR(VLOOKUP(March[[#This Row],[Drug Name9]],'Data Options'!$R$1:$S$100,2,FALSE), " ")</f>
        <v xml:space="preserve"> </v>
      </c>
      <c r="CI137" s="55"/>
      <c r="CJ137" s="32"/>
      <c r="CK137" s="32"/>
      <c r="CL137" s="55"/>
      <c r="CM137" s="32"/>
    </row>
    <row r="138" spans="1:91">
      <c r="A138" s="5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1"/>
      <c r="P138" s="31"/>
      <c r="Q138" s="54"/>
      <c r="R138" s="21" t="str">
        <f>IFERROR(VLOOKUP(March[[#This Row],[Drug Name]],'Data Options'!$R$1:$S$100,2,FALSE), " ")</f>
        <v xml:space="preserve"> </v>
      </c>
      <c r="S138" s="55"/>
      <c r="T138" s="32"/>
      <c r="U138" s="32"/>
      <c r="V138" s="55"/>
      <c r="W138" s="32"/>
      <c r="X138" s="54"/>
      <c r="Y138" s="21" t="str">
        <f>IFERROR(VLOOKUP(March[[#This Row],[Drug Name2]],'Data Options'!$R$1:$S$100,2,FALSE), " ")</f>
        <v xml:space="preserve"> </v>
      </c>
      <c r="Z138" s="55"/>
      <c r="AA138" s="32"/>
      <c r="AB138" s="32"/>
      <c r="AC138" s="55"/>
      <c r="AD138" s="32"/>
      <c r="AE138" s="54"/>
      <c r="AF138" s="21" t="str">
        <f>IFERROR(VLOOKUP(March[[#This Row],[Drug Name3]],'Data Options'!$R$1:$S$100,2,FALSE), " ")</f>
        <v xml:space="preserve"> </v>
      </c>
      <c r="AG138" s="55"/>
      <c r="AH138" s="32"/>
      <c r="AI138" s="32"/>
      <c r="AJ138" s="55"/>
      <c r="AK138" s="32"/>
      <c r="AL138" s="32"/>
      <c r="AM138" s="32"/>
      <c r="AN138" s="32"/>
      <c r="AO138" s="32"/>
      <c r="AP138" s="31"/>
      <c r="AQ138" s="31"/>
      <c r="AR138" s="54"/>
      <c r="AS138" s="21" t="str">
        <f>IFERROR(VLOOKUP(March[[#This Row],[Drug Name4]],'Data Options'!$R$1:$S$100,2,FALSE), " ")</f>
        <v xml:space="preserve"> </v>
      </c>
      <c r="AT138" s="55"/>
      <c r="AU138" s="32"/>
      <c r="AV138" s="32"/>
      <c r="AW138" s="55"/>
      <c r="AX138" s="32"/>
      <c r="AY138" s="54"/>
      <c r="AZ138" s="21" t="str">
        <f>IFERROR(VLOOKUP(March[[#This Row],[Drug Name5]],'Data Options'!$R$1:$S$100,2,FALSE), " ")</f>
        <v xml:space="preserve"> </v>
      </c>
      <c r="BA138" s="55"/>
      <c r="BB138" s="32"/>
      <c r="BC138" s="32"/>
      <c r="BD138" s="55"/>
      <c r="BE138" s="32"/>
      <c r="BF138" s="54"/>
      <c r="BG138" s="21" t="str">
        <f>IFERROR(VLOOKUP(March[[#This Row],[Drug Name6]],'Data Options'!$R$1:$S$100,2,FALSE), " ")</f>
        <v xml:space="preserve"> </v>
      </c>
      <c r="BH138" s="55"/>
      <c r="BI138" s="32"/>
      <c r="BJ138" s="32"/>
      <c r="BK138" s="55"/>
      <c r="BL138" s="32"/>
      <c r="BM138" s="32"/>
      <c r="BN138" s="32"/>
      <c r="BO138" s="32"/>
      <c r="BP138" s="32"/>
      <c r="BQ138" s="31"/>
      <c r="BR138" s="31"/>
      <c r="BS138" s="54"/>
      <c r="BT138" s="21" t="str">
        <f>IFERROR(VLOOKUP(March[[#This Row],[Drug Name7]],'Data Options'!$R$1:$S$100,2,FALSE), " ")</f>
        <v xml:space="preserve"> </v>
      </c>
      <c r="BU138" s="55"/>
      <c r="BV138" s="32"/>
      <c r="BW138" s="32"/>
      <c r="BX138" s="55"/>
      <c r="BY138" s="32"/>
      <c r="BZ138" s="54"/>
      <c r="CA138" s="21" t="str">
        <f>IFERROR(VLOOKUP(March[[#This Row],[Drug Name8]],'Data Options'!$R$1:$S$100,2,FALSE), " ")</f>
        <v xml:space="preserve"> </v>
      </c>
      <c r="CB138" s="55"/>
      <c r="CC138" s="32"/>
      <c r="CD138" s="32"/>
      <c r="CE138" s="55"/>
      <c r="CF138" s="32"/>
      <c r="CG138" s="54"/>
      <c r="CH138" s="21" t="str">
        <f>IFERROR(VLOOKUP(March[[#This Row],[Drug Name9]],'Data Options'!$R$1:$S$100,2,FALSE), " ")</f>
        <v xml:space="preserve"> </v>
      </c>
      <c r="CI138" s="55"/>
      <c r="CJ138" s="32"/>
      <c r="CK138" s="32"/>
      <c r="CL138" s="55"/>
      <c r="CM138" s="32"/>
    </row>
    <row r="139" spans="1:91">
      <c r="A139" s="5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1"/>
      <c r="P139" s="31"/>
      <c r="Q139" s="54"/>
      <c r="R139" s="21" t="str">
        <f>IFERROR(VLOOKUP(March[[#This Row],[Drug Name]],'Data Options'!$R$1:$S$100,2,FALSE), " ")</f>
        <v xml:space="preserve"> </v>
      </c>
      <c r="S139" s="55"/>
      <c r="T139" s="32"/>
      <c r="U139" s="32"/>
      <c r="V139" s="55"/>
      <c r="W139" s="32"/>
      <c r="X139" s="54"/>
      <c r="Y139" s="21" t="str">
        <f>IFERROR(VLOOKUP(March[[#This Row],[Drug Name2]],'Data Options'!$R$1:$S$100,2,FALSE), " ")</f>
        <v xml:space="preserve"> </v>
      </c>
      <c r="Z139" s="55"/>
      <c r="AA139" s="32"/>
      <c r="AB139" s="32"/>
      <c r="AC139" s="55"/>
      <c r="AD139" s="32"/>
      <c r="AE139" s="54"/>
      <c r="AF139" s="21" t="str">
        <f>IFERROR(VLOOKUP(March[[#This Row],[Drug Name3]],'Data Options'!$R$1:$S$100,2,FALSE), " ")</f>
        <v xml:space="preserve"> </v>
      </c>
      <c r="AG139" s="55"/>
      <c r="AH139" s="32"/>
      <c r="AI139" s="32"/>
      <c r="AJ139" s="55"/>
      <c r="AK139" s="32"/>
      <c r="AL139" s="32"/>
      <c r="AM139" s="32"/>
      <c r="AN139" s="32"/>
      <c r="AO139" s="32"/>
      <c r="AP139" s="31"/>
      <c r="AQ139" s="31"/>
      <c r="AR139" s="54"/>
      <c r="AS139" s="21" t="str">
        <f>IFERROR(VLOOKUP(March[[#This Row],[Drug Name4]],'Data Options'!$R$1:$S$100,2,FALSE), " ")</f>
        <v xml:space="preserve"> </v>
      </c>
      <c r="AT139" s="55"/>
      <c r="AU139" s="32"/>
      <c r="AV139" s="32"/>
      <c r="AW139" s="55"/>
      <c r="AX139" s="32"/>
      <c r="AY139" s="54"/>
      <c r="AZ139" s="21" t="str">
        <f>IFERROR(VLOOKUP(March[[#This Row],[Drug Name5]],'Data Options'!$R$1:$S$100,2,FALSE), " ")</f>
        <v xml:space="preserve"> </v>
      </c>
      <c r="BA139" s="55"/>
      <c r="BB139" s="32"/>
      <c r="BC139" s="32"/>
      <c r="BD139" s="55"/>
      <c r="BE139" s="32"/>
      <c r="BF139" s="54"/>
      <c r="BG139" s="21" t="str">
        <f>IFERROR(VLOOKUP(March[[#This Row],[Drug Name6]],'Data Options'!$R$1:$S$100,2,FALSE), " ")</f>
        <v xml:space="preserve"> </v>
      </c>
      <c r="BH139" s="55"/>
      <c r="BI139" s="32"/>
      <c r="BJ139" s="32"/>
      <c r="BK139" s="55"/>
      <c r="BL139" s="32"/>
      <c r="BM139" s="32"/>
      <c r="BN139" s="32"/>
      <c r="BO139" s="32"/>
      <c r="BP139" s="32"/>
      <c r="BQ139" s="31"/>
      <c r="BR139" s="31"/>
      <c r="BS139" s="54"/>
      <c r="BT139" s="21" t="str">
        <f>IFERROR(VLOOKUP(March[[#This Row],[Drug Name7]],'Data Options'!$R$1:$S$100,2,FALSE), " ")</f>
        <v xml:space="preserve"> </v>
      </c>
      <c r="BU139" s="55"/>
      <c r="BV139" s="32"/>
      <c r="BW139" s="32"/>
      <c r="BX139" s="55"/>
      <c r="BY139" s="32"/>
      <c r="BZ139" s="54"/>
      <c r="CA139" s="21" t="str">
        <f>IFERROR(VLOOKUP(March[[#This Row],[Drug Name8]],'Data Options'!$R$1:$S$100,2,FALSE), " ")</f>
        <v xml:space="preserve"> </v>
      </c>
      <c r="CB139" s="55"/>
      <c r="CC139" s="32"/>
      <c r="CD139" s="32"/>
      <c r="CE139" s="55"/>
      <c r="CF139" s="32"/>
      <c r="CG139" s="54"/>
      <c r="CH139" s="21" t="str">
        <f>IFERROR(VLOOKUP(March[[#This Row],[Drug Name9]],'Data Options'!$R$1:$S$100,2,FALSE), " ")</f>
        <v xml:space="preserve"> </v>
      </c>
      <c r="CI139" s="55"/>
      <c r="CJ139" s="32"/>
      <c r="CK139" s="32"/>
      <c r="CL139" s="55"/>
      <c r="CM139" s="32"/>
    </row>
    <row r="140" spans="1:91">
      <c r="A140" s="5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1"/>
      <c r="P140" s="31"/>
      <c r="Q140" s="54"/>
      <c r="R140" s="21" t="str">
        <f>IFERROR(VLOOKUP(March[[#This Row],[Drug Name]],'Data Options'!$R$1:$S$100,2,FALSE), " ")</f>
        <v xml:space="preserve"> </v>
      </c>
      <c r="S140" s="55"/>
      <c r="T140" s="32"/>
      <c r="U140" s="32"/>
      <c r="V140" s="55"/>
      <c r="W140" s="32"/>
      <c r="X140" s="54"/>
      <c r="Y140" s="21" t="str">
        <f>IFERROR(VLOOKUP(March[[#This Row],[Drug Name2]],'Data Options'!$R$1:$S$100,2,FALSE), " ")</f>
        <v xml:space="preserve"> </v>
      </c>
      <c r="Z140" s="55"/>
      <c r="AA140" s="32"/>
      <c r="AB140" s="32"/>
      <c r="AC140" s="55"/>
      <c r="AD140" s="32"/>
      <c r="AE140" s="54"/>
      <c r="AF140" s="21" t="str">
        <f>IFERROR(VLOOKUP(March[[#This Row],[Drug Name3]],'Data Options'!$R$1:$S$100,2,FALSE), " ")</f>
        <v xml:space="preserve"> </v>
      </c>
      <c r="AG140" s="55"/>
      <c r="AH140" s="32"/>
      <c r="AI140" s="32"/>
      <c r="AJ140" s="55"/>
      <c r="AK140" s="32"/>
      <c r="AL140" s="32"/>
      <c r="AM140" s="32"/>
      <c r="AN140" s="32"/>
      <c r="AO140" s="32"/>
      <c r="AP140" s="31"/>
      <c r="AQ140" s="31"/>
      <c r="AR140" s="54"/>
      <c r="AS140" s="21" t="str">
        <f>IFERROR(VLOOKUP(March[[#This Row],[Drug Name4]],'Data Options'!$R$1:$S$100,2,FALSE), " ")</f>
        <v xml:space="preserve"> </v>
      </c>
      <c r="AT140" s="55"/>
      <c r="AU140" s="32"/>
      <c r="AV140" s="32"/>
      <c r="AW140" s="55"/>
      <c r="AX140" s="32"/>
      <c r="AY140" s="54"/>
      <c r="AZ140" s="21" t="str">
        <f>IFERROR(VLOOKUP(March[[#This Row],[Drug Name5]],'Data Options'!$R$1:$S$100,2,FALSE), " ")</f>
        <v xml:space="preserve"> </v>
      </c>
      <c r="BA140" s="55"/>
      <c r="BB140" s="32"/>
      <c r="BC140" s="32"/>
      <c r="BD140" s="55"/>
      <c r="BE140" s="32"/>
      <c r="BF140" s="54"/>
      <c r="BG140" s="21" t="str">
        <f>IFERROR(VLOOKUP(March[[#This Row],[Drug Name6]],'Data Options'!$R$1:$S$100,2,FALSE), " ")</f>
        <v xml:space="preserve"> </v>
      </c>
      <c r="BH140" s="55"/>
      <c r="BI140" s="32"/>
      <c r="BJ140" s="32"/>
      <c r="BK140" s="55"/>
      <c r="BL140" s="32"/>
      <c r="BM140" s="32"/>
      <c r="BN140" s="32"/>
      <c r="BO140" s="32"/>
      <c r="BP140" s="32"/>
      <c r="BQ140" s="31"/>
      <c r="BR140" s="31"/>
      <c r="BS140" s="54"/>
      <c r="BT140" s="21" t="str">
        <f>IFERROR(VLOOKUP(March[[#This Row],[Drug Name7]],'Data Options'!$R$1:$S$100,2,FALSE), " ")</f>
        <v xml:space="preserve"> </v>
      </c>
      <c r="BU140" s="55"/>
      <c r="BV140" s="32"/>
      <c r="BW140" s="32"/>
      <c r="BX140" s="55"/>
      <c r="BY140" s="32"/>
      <c r="BZ140" s="54"/>
      <c r="CA140" s="21" t="str">
        <f>IFERROR(VLOOKUP(March[[#This Row],[Drug Name8]],'Data Options'!$R$1:$S$100,2,FALSE), " ")</f>
        <v xml:space="preserve"> </v>
      </c>
      <c r="CB140" s="55"/>
      <c r="CC140" s="32"/>
      <c r="CD140" s="32"/>
      <c r="CE140" s="55"/>
      <c r="CF140" s="32"/>
      <c r="CG140" s="54"/>
      <c r="CH140" s="21" t="str">
        <f>IFERROR(VLOOKUP(March[[#This Row],[Drug Name9]],'Data Options'!$R$1:$S$100,2,FALSE), " ")</f>
        <v xml:space="preserve"> </v>
      </c>
      <c r="CI140" s="55"/>
      <c r="CJ140" s="32"/>
      <c r="CK140" s="32"/>
      <c r="CL140" s="55"/>
      <c r="CM140" s="32"/>
    </row>
    <row r="141" spans="1:91">
      <c r="A141" s="5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1"/>
      <c r="Q141" s="54"/>
      <c r="R141" s="21" t="str">
        <f>IFERROR(VLOOKUP(March[[#This Row],[Drug Name]],'Data Options'!$R$1:$S$100,2,FALSE), " ")</f>
        <v xml:space="preserve"> </v>
      </c>
      <c r="S141" s="55"/>
      <c r="T141" s="32"/>
      <c r="U141" s="32"/>
      <c r="V141" s="55"/>
      <c r="W141" s="32"/>
      <c r="X141" s="54"/>
      <c r="Y141" s="21" t="str">
        <f>IFERROR(VLOOKUP(March[[#This Row],[Drug Name2]],'Data Options'!$R$1:$S$100,2,FALSE), " ")</f>
        <v xml:space="preserve"> </v>
      </c>
      <c r="Z141" s="55"/>
      <c r="AA141" s="32"/>
      <c r="AB141" s="32"/>
      <c r="AC141" s="55"/>
      <c r="AD141" s="32"/>
      <c r="AE141" s="54"/>
      <c r="AF141" s="21" t="str">
        <f>IFERROR(VLOOKUP(March[[#This Row],[Drug Name3]],'Data Options'!$R$1:$S$100,2,FALSE), " ")</f>
        <v xml:space="preserve"> </v>
      </c>
      <c r="AG141" s="55"/>
      <c r="AH141" s="32"/>
      <c r="AI141" s="32"/>
      <c r="AJ141" s="55"/>
      <c r="AK141" s="32"/>
      <c r="AL141" s="32"/>
      <c r="AM141" s="32"/>
      <c r="AN141" s="32"/>
      <c r="AO141" s="32"/>
      <c r="AP141" s="31"/>
      <c r="AQ141" s="31"/>
      <c r="AR141" s="54"/>
      <c r="AS141" s="21" t="str">
        <f>IFERROR(VLOOKUP(March[[#This Row],[Drug Name4]],'Data Options'!$R$1:$S$100,2,FALSE), " ")</f>
        <v xml:space="preserve"> </v>
      </c>
      <c r="AT141" s="55"/>
      <c r="AU141" s="32"/>
      <c r="AV141" s="32"/>
      <c r="AW141" s="55"/>
      <c r="AX141" s="32"/>
      <c r="AY141" s="54"/>
      <c r="AZ141" s="21" t="str">
        <f>IFERROR(VLOOKUP(March[[#This Row],[Drug Name5]],'Data Options'!$R$1:$S$100,2,FALSE), " ")</f>
        <v xml:space="preserve"> </v>
      </c>
      <c r="BA141" s="55"/>
      <c r="BB141" s="32"/>
      <c r="BC141" s="32"/>
      <c r="BD141" s="55"/>
      <c r="BE141" s="32"/>
      <c r="BF141" s="54"/>
      <c r="BG141" s="21" t="str">
        <f>IFERROR(VLOOKUP(March[[#This Row],[Drug Name6]],'Data Options'!$R$1:$S$100,2,FALSE), " ")</f>
        <v xml:space="preserve"> </v>
      </c>
      <c r="BH141" s="55"/>
      <c r="BI141" s="32"/>
      <c r="BJ141" s="32"/>
      <c r="BK141" s="55"/>
      <c r="BL141" s="32"/>
      <c r="BM141" s="32"/>
      <c r="BN141" s="32"/>
      <c r="BO141" s="32"/>
      <c r="BP141" s="32"/>
      <c r="BQ141" s="31"/>
      <c r="BR141" s="31"/>
      <c r="BS141" s="54"/>
      <c r="BT141" s="21" t="str">
        <f>IFERROR(VLOOKUP(March[[#This Row],[Drug Name7]],'Data Options'!$R$1:$S$100,2,FALSE), " ")</f>
        <v xml:space="preserve"> </v>
      </c>
      <c r="BU141" s="55"/>
      <c r="BV141" s="32"/>
      <c r="BW141" s="32"/>
      <c r="BX141" s="55"/>
      <c r="BY141" s="32"/>
      <c r="BZ141" s="54"/>
      <c r="CA141" s="21" t="str">
        <f>IFERROR(VLOOKUP(March[[#This Row],[Drug Name8]],'Data Options'!$R$1:$S$100,2,FALSE), " ")</f>
        <v xml:space="preserve"> </v>
      </c>
      <c r="CB141" s="55"/>
      <c r="CC141" s="32"/>
      <c r="CD141" s="32"/>
      <c r="CE141" s="55"/>
      <c r="CF141" s="32"/>
      <c r="CG141" s="54"/>
      <c r="CH141" s="21" t="str">
        <f>IFERROR(VLOOKUP(March[[#This Row],[Drug Name9]],'Data Options'!$R$1:$S$100,2,FALSE), " ")</f>
        <v xml:space="preserve"> </v>
      </c>
      <c r="CI141" s="55"/>
      <c r="CJ141" s="32"/>
      <c r="CK141" s="32"/>
      <c r="CL141" s="55"/>
      <c r="CM141" s="32"/>
    </row>
    <row r="142" spans="1:91">
      <c r="A142" s="5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1"/>
      <c r="P142" s="31"/>
      <c r="Q142" s="54"/>
      <c r="R142" s="21" t="str">
        <f>IFERROR(VLOOKUP(March[[#This Row],[Drug Name]],'Data Options'!$R$1:$S$100,2,FALSE), " ")</f>
        <v xml:space="preserve"> </v>
      </c>
      <c r="S142" s="55"/>
      <c r="T142" s="32"/>
      <c r="U142" s="32"/>
      <c r="V142" s="55"/>
      <c r="W142" s="32"/>
      <c r="X142" s="54"/>
      <c r="Y142" s="21" t="str">
        <f>IFERROR(VLOOKUP(March[[#This Row],[Drug Name2]],'Data Options'!$R$1:$S$100,2,FALSE), " ")</f>
        <v xml:space="preserve"> </v>
      </c>
      <c r="Z142" s="55"/>
      <c r="AA142" s="32"/>
      <c r="AB142" s="32"/>
      <c r="AC142" s="55"/>
      <c r="AD142" s="32"/>
      <c r="AE142" s="54"/>
      <c r="AF142" s="21" t="str">
        <f>IFERROR(VLOOKUP(March[[#This Row],[Drug Name3]],'Data Options'!$R$1:$S$100,2,FALSE), " ")</f>
        <v xml:space="preserve"> </v>
      </c>
      <c r="AG142" s="55"/>
      <c r="AH142" s="32"/>
      <c r="AI142" s="32"/>
      <c r="AJ142" s="55"/>
      <c r="AK142" s="32"/>
      <c r="AL142" s="32"/>
      <c r="AM142" s="32"/>
      <c r="AN142" s="32"/>
      <c r="AO142" s="32"/>
      <c r="AP142" s="31"/>
      <c r="AQ142" s="31"/>
      <c r="AR142" s="54"/>
      <c r="AS142" s="21" t="str">
        <f>IFERROR(VLOOKUP(March[[#This Row],[Drug Name4]],'Data Options'!$R$1:$S$100,2,FALSE), " ")</f>
        <v xml:space="preserve"> </v>
      </c>
      <c r="AT142" s="55"/>
      <c r="AU142" s="32"/>
      <c r="AV142" s="32"/>
      <c r="AW142" s="55"/>
      <c r="AX142" s="32"/>
      <c r="AY142" s="54"/>
      <c r="AZ142" s="21" t="str">
        <f>IFERROR(VLOOKUP(March[[#This Row],[Drug Name5]],'Data Options'!$R$1:$S$100,2,FALSE), " ")</f>
        <v xml:space="preserve"> </v>
      </c>
      <c r="BA142" s="55"/>
      <c r="BB142" s="32"/>
      <c r="BC142" s="32"/>
      <c r="BD142" s="55"/>
      <c r="BE142" s="32"/>
      <c r="BF142" s="54"/>
      <c r="BG142" s="21" t="str">
        <f>IFERROR(VLOOKUP(March[[#This Row],[Drug Name6]],'Data Options'!$R$1:$S$100,2,FALSE), " ")</f>
        <v xml:space="preserve"> </v>
      </c>
      <c r="BH142" s="55"/>
      <c r="BI142" s="32"/>
      <c r="BJ142" s="32"/>
      <c r="BK142" s="55"/>
      <c r="BL142" s="32"/>
      <c r="BM142" s="32"/>
      <c r="BN142" s="32"/>
      <c r="BO142" s="32"/>
      <c r="BP142" s="32"/>
      <c r="BQ142" s="31"/>
      <c r="BR142" s="31"/>
      <c r="BS142" s="54"/>
      <c r="BT142" s="21" t="str">
        <f>IFERROR(VLOOKUP(March[[#This Row],[Drug Name7]],'Data Options'!$R$1:$S$100,2,FALSE), " ")</f>
        <v xml:space="preserve"> </v>
      </c>
      <c r="BU142" s="55"/>
      <c r="BV142" s="32"/>
      <c r="BW142" s="32"/>
      <c r="BX142" s="55"/>
      <c r="BY142" s="32"/>
      <c r="BZ142" s="54"/>
      <c r="CA142" s="21" t="str">
        <f>IFERROR(VLOOKUP(March[[#This Row],[Drug Name8]],'Data Options'!$R$1:$S$100,2,FALSE), " ")</f>
        <v xml:space="preserve"> </v>
      </c>
      <c r="CB142" s="55"/>
      <c r="CC142" s="32"/>
      <c r="CD142" s="32"/>
      <c r="CE142" s="55"/>
      <c r="CF142" s="32"/>
      <c r="CG142" s="54"/>
      <c r="CH142" s="21" t="str">
        <f>IFERROR(VLOOKUP(March[[#This Row],[Drug Name9]],'Data Options'!$R$1:$S$100,2,FALSE), " ")</f>
        <v xml:space="preserve"> </v>
      </c>
      <c r="CI142" s="55"/>
      <c r="CJ142" s="32"/>
      <c r="CK142" s="32"/>
      <c r="CL142" s="55"/>
      <c r="CM142" s="32"/>
    </row>
    <row r="143" spans="1:91">
      <c r="A143" s="5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1"/>
      <c r="P143" s="31"/>
      <c r="Q143" s="54"/>
      <c r="R143" s="21" t="str">
        <f>IFERROR(VLOOKUP(March[[#This Row],[Drug Name]],'Data Options'!$R$1:$S$100,2,FALSE), " ")</f>
        <v xml:space="preserve"> </v>
      </c>
      <c r="S143" s="55"/>
      <c r="T143" s="32"/>
      <c r="U143" s="32"/>
      <c r="V143" s="55"/>
      <c r="W143" s="32"/>
      <c r="X143" s="54"/>
      <c r="Y143" s="21" t="str">
        <f>IFERROR(VLOOKUP(March[[#This Row],[Drug Name2]],'Data Options'!$R$1:$S$100,2,FALSE), " ")</f>
        <v xml:space="preserve"> </v>
      </c>
      <c r="Z143" s="55"/>
      <c r="AA143" s="32"/>
      <c r="AB143" s="32"/>
      <c r="AC143" s="55"/>
      <c r="AD143" s="32"/>
      <c r="AE143" s="54"/>
      <c r="AF143" s="21" t="str">
        <f>IFERROR(VLOOKUP(March[[#This Row],[Drug Name3]],'Data Options'!$R$1:$S$100,2,FALSE), " ")</f>
        <v xml:space="preserve"> </v>
      </c>
      <c r="AG143" s="55"/>
      <c r="AH143" s="32"/>
      <c r="AI143" s="32"/>
      <c r="AJ143" s="55"/>
      <c r="AK143" s="32"/>
      <c r="AL143" s="32"/>
      <c r="AM143" s="32"/>
      <c r="AN143" s="32"/>
      <c r="AO143" s="32"/>
      <c r="AP143" s="31"/>
      <c r="AQ143" s="31"/>
      <c r="AR143" s="54"/>
      <c r="AS143" s="21" t="str">
        <f>IFERROR(VLOOKUP(March[[#This Row],[Drug Name4]],'Data Options'!$R$1:$S$100,2,FALSE), " ")</f>
        <v xml:space="preserve"> </v>
      </c>
      <c r="AT143" s="55"/>
      <c r="AU143" s="32"/>
      <c r="AV143" s="32"/>
      <c r="AW143" s="55"/>
      <c r="AX143" s="32"/>
      <c r="AY143" s="54"/>
      <c r="AZ143" s="21" t="str">
        <f>IFERROR(VLOOKUP(March[[#This Row],[Drug Name5]],'Data Options'!$R$1:$S$100,2,FALSE), " ")</f>
        <v xml:space="preserve"> </v>
      </c>
      <c r="BA143" s="55"/>
      <c r="BB143" s="32"/>
      <c r="BC143" s="32"/>
      <c r="BD143" s="55"/>
      <c r="BE143" s="32"/>
      <c r="BF143" s="54"/>
      <c r="BG143" s="21" t="str">
        <f>IFERROR(VLOOKUP(March[[#This Row],[Drug Name6]],'Data Options'!$R$1:$S$100,2,FALSE), " ")</f>
        <v xml:space="preserve"> </v>
      </c>
      <c r="BH143" s="55"/>
      <c r="BI143" s="32"/>
      <c r="BJ143" s="32"/>
      <c r="BK143" s="55"/>
      <c r="BL143" s="32"/>
      <c r="BM143" s="32"/>
      <c r="BN143" s="32"/>
      <c r="BO143" s="32"/>
      <c r="BP143" s="32"/>
      <c r="BQ143" s="31"/>
      <c r="BR143" s="31"/>
      <c r="BS143" s="54"/>
      <c r="BT143" s="21" t="str">
        <f>IFERROR(VLOOKUP(March[[#This Row],[Drug Name7]],'Data Options'!$R$1:$S$100,2,FALSE), " ")</f>
        <v xml:space="preserve"> </v>
      </c>
      <c r="BU143" s="55"/>
      <c r="BV143" s="32"/>
      <c r="BW143" s="32"/>
      <c r="BX143" s="55"/>
      <c r="BY143" s="32"/>
      <c r="BZ143" s="54"/>
      <c r="CA143" s="21" t="str">
        <f>IFERROR(VLOOKUP(March[[#This Row],[Drug Name8]],'Data Options'!$R$1:$S$100,2,FALSE), " ")</f>
        <v xml:space="preserve"> </v>
      </c>
      <c r="CB143" s="55"/>
      <c r="CC143" s="32"/>
      <c r="CD143" s="32"/>
      <c r="CE143" s="55"/>
      <c r="CF143" s="32"/>
      <c r="CG143" s="54"/>
      <c r="CH143" s="21" t="str">
        <f>IFERROR(VLOOKUP(March[[#This Row],[Drug Name9]],'Data Options'!$R$1:$S$100,2,FALSE), " ")</f>
        <v xml:space="preserve"> </v>
      </c>
      <c r="CI143" s="55"/>
      <c r="CJ143" s="32"/>
      <c r="CK143" s="32"/>
      <c r="CL143" s="55"/>
      <c r="CM143" s="32"/>
    </row>
    <row r="144" spans="1:91">
      <c r="A144" s="5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1"/>
      <c r="P144" s="31"/>
      <c r="Q144" s="54"/>
      <c r="R144" s="21" t="str">
        <f>IFERROR(VLOOKUP(March[[#This Row],[Drug Name]],'Data Options'!$R$1:$S$100,2,FALSE), " ")</f>
        <v xml:space="preserve"> </v>
      </c>
      <c r="S144" s="55"/>
      <c r="T144" s="32"/>
      <c r="U144" s="32"/>
      <c r="V144" s="55"/>
      <c r="W144" s="32"/>
      <c r="X144" s="54"/>
      <c r="Y144" s="21" t="str">
        <f>IFERROR(VLOOKUP(March[[#This Row],[Drug Name2]],'Data Options'!$R$1:$S$100,2,FALSE), " ")</f>
        <v xml:space="preserve"> </v>
      </c>
      <c r="Z144" s="55"/>
      <c r="AA144" s="32"/>
      <c r="AB144" s="32"/>
      <c r="AC144" s="55"/>
      <c r="AD144" s="32"/>
      <c r="AE144" s="54"/>
      <c r="AF144" s="21" t="str">
        <f>IFERROR(VLOOKUP(March[[#This Row],[Drug Name3]],'Data Options'!$R$1:$S$100,2,FALSE), " ")</f>
        <v xml:space="preserve"> </v>
      </c>
      <c r="AG144" s="55"/>
      <c r="AH144" s="32"/>
      <c r="AI144" s="32"/>
      <c r="AJ144" s="55"/>
      <c r="AK144" s="32"/>
      <c r="AL144" s="32"/>
      <c r="AM144" s="32"/>
      <c r="AN144" s="32"/>
      <c r="AO144" s="32"/>
      <c r="AP144" s="31"/>
      <c r="AQ144" s="31"/>
      <c r="AR144" s="54"/>
      <c r="AS144" s="21" t="str">
        <f>IFERROR(VLOOKUP(March[[#This Row],[Drug Name4]],'Data Options'!$R$1:$S$100,2,FALSE), " ")</f>
        <v xml:space="preserve"> </v>
      </c>
      <c r="AT144" s="55"/>
      <c r="AU144" s="32"/>
      <c r="AV144" s="32"/>
      <c r="AW144" s="55"/>
      <c r="AX144" s="32"/>
      <c r="AY144" s="54"/>
      <c r="AZ144" s="21" t="str">
        <f>IFERROR(VLOOKUP(March[[#This Row],[Drug Name5]],'Data Options'!$R$1:$S$100,2,FALSE), " ")</f>
        <v xml:space="preserve"> </v>
      </c>
      <c r="BA144" s="55"/>
      <c r="BB144" s="32"/>
      <c r="BC144" s="32"/>
      <c r="BD144" s="55"/>
      <c r="BE144" s="32"/>
      <c r="BF144" s="54"/>
      <c r="BG144" s="21" t="str">
        <f>IFERROR(VLOOKUP(March[[#This Row],[Drug Name6]],'Data Options'!$R$1:$S$100,2,FALSE), " ")</f>
        <v xml:space="preserve"> </v>
      </c>
      <c r="BH144" s="55"/>
      <c r="BI144" s="32"/>
      <c r="BJ144" s="32"/>
      <c r="BK144" s="55"/>
      <c r="BL144" s="32"/>
      <c r="BM144" s="32"/>
      <c r="BN144" s="32"/>
      <c r="BO144" s="32"/>
      <c r="BP144" s="32"/>
      <c r="BQ144" s="31"/>
      <c r="BR144" s="31"/>
      <c r="BS144" s="54"/>
      <c r="BT144" s="21" t="str">
        <f>IFERROR(VLOOKUP(March[[#This Row],[Drug Name7]],'Data Options'!$R$1:$S$100,2,FALSE), " ")</f>
        <v xml:space="preserve"> </v>
      </c>
      <c r="BU144" s="55"/>
      <c r="BV144" s="32"/>
      <c r="BW144" s="32"/>
      <c r="BX144" s="55"/>
      <c r="BY144" s="32"/>
      <c r="BZ144" s="54"/>
      <c r="CA144" s="21" t="str">
        <f>IFERROR(VLOOKUP(March[[#This Row],[Drug Name8]],'Data Options'!$R$1:$S$100,2,FALSE), " ")</f>
        <v xml:space="preserve"> </v>
      </c>
      <c r="CB144" s="55"/>
      <c r="CC144" s="32"/>
      <c r="CD144" s="32"/>
      <c r="CE144" s="55"/>
      <c r="CF144" s="32"/>
      <c r="CG144" s="54"/>
      <c r="CH144" s="21" t="str">
        <f>IFERROR(VLOOKUP(March[[#This Row],[Drug Name9]],'Data Options'!$R$1:$S$100,2,FALSE), " ")</f>
        <v xml:space="preserve"> </v>
      </c>
      <c r="CI144" s="55"/>
      <c r="CJ144" s="32"/>
      <c r="CK144" s="32"/>
      <c r="CL144" s="55"/>
      <c r="CM144" s="32"/>
    </row>
    <row r="145" spans="1:91">
      <c r="A145" s="5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1"/>
      <c r="P145" s="31"/>
      <c r="Q145" s="54"/>
      <c r="R145" s="21" t="str">
        <f>IFERROR(VLOOKUP(March[[#This Row],[Drug Name]],'Data Options'!$R$1:$S$100,2,FALSE), " ")</f>
        <v xml:space="preserve"> </v>
      </c>
      <c r="S145" s="55"/>
      <c r="T145" s="32"/>
      <c r="U145" s="32"/>
      <c r="V145" s="55"/>
      <c r="W145" s="32"/>
      <c r="X145" s="54"/>
      <c r="Y145" s="21" t="str">
        <f>IFERROR(VLOOKUP(March[[#This Row],[Drug Name2]],'Data Options'!$R$1:$S$100,2,FALSE), " ")</f>
        <v xml:space="preserve"> </v>
      </c>
      <c r="Z145" s="55"/>
      <c r="AA145" s="32"/>
      <c r="AB145" s="32"/>
      <c r="AC145" s="55"/>
      <c r="AD145" s="32"/>
      <c r="AE145" s="54"/>
      <c r="AF145" s="21" t="str">
        <f>IFERROR(VLOOKUP(March[[#This Row],[Drug Name3]],'Data Options'!$R$1:$S$100,2,FALSE), " ")</f>
        <v xml:space="preserve"> </v>
      </c>
      <c r="AG145" s="55"/>
      <c r="AH145" s="32"/>
      <c r="AI145" s="32"/>
      <c r="AJ145" s="55"/>
      <c r="AK145" s="32"/>
      <c r="AL145" s="32"/>
      <c r="AM145" s="32"/>
      <c r="AN145" s="32"/>
      <c r="AO145" s="32"/>
      <c r="AP145" s="31"/>
      <c r="AQ145" s="31"/>
      <c r="AR145" s="54"/>
      <c r="AS145" s="21" t="str">
        <f>IFERROR(VLOOKUP(March[[#This Row],[Drug Name4]],'Data Options'!$R$1:$S$100,2,FALSE), " ")</f>
        <v xml:space="preserve"> </v>
      </c>
      <c r="AT145" s="55"/>
      <c r="AU145" s="32"/>
      <c r="AV145" s="32"/>
      <c r="AW145" s="55"/>
      <c r="AX145" s="32"/>
      <c r="AY145" s="54"/>
      <c r="AZ145" s="21" t="str">
        <f>IFERROR(VLOOKUP(March[[#This Row],[Drug Name5]],'Data Options'!$R$1:$S$100,2,FALSE), " ")</f>
        <v xml:space="preserve"> </v>
      </c>
      <c r="BA145" s="55"/>
      <c r="BB145" s="32"/>
      <c r="BC145" s="32"/>
      <c r="BD145" s="55"/>
      <c r="BE145" s="32"/>
      <c r="BF145" s="54"/>
      <c r="BG145" s="21" t="str">
        <f>IFERROR(VLOOKUP(March[[#This Row],[Drug Name6]],'Data Options'!$R$1:$S$100,2,FALSE), " ")</f>
        <v xml:space="preserve"> </v>
      </c>
      <c r="BH145" s="55"/>
      <c r="BI145" s="32"/>
      <c r="BJ145" s="32"/>
      <c r="BK145" s="55"/>
      <c r="BL145" s="32"/>
      <c r="BM145" s="32"/>
      <c r="BN145" s="32"/>
      <c r="BO145" s="32"/>
      <c r="BP145" s="32"/>
      <c r="BQ145" s="31"/>
      <c r="BR145" s="31"/>
      <c r="BS145" s="54"/>
      <c r="BT145" s="21" t="str">
        <f>IFERROR(VLOOKUP(March[[#This Row],[Drug Name7]],'Data Options'!$R$1:$S$100,2,FALSE), " ")</f>
        <v xml:space="preserve"> </v>
      </c>
      <c r="BU145" s="55"/>
      <c r="BV145" s="32"/>
      <c r="BW145" s="32"/>
      <c r="BX145" s="55"/>
      <c r="BY145" s="32"/>
      <c r="BZ145" s="54"/>
      <c r="CA145" s="21" t="str">
        <f>IFERROR(VLOOKUP(March[[#This Row],[Drug Name8]],'Data Options'!$R$1:$S$100,2,FALSE), " ")</f>
        <v xml:space="preserve"> </v>
      </c>
      <c r="CB145" s="55"/>
      <c r="CC145" s="32"/>
      <c r="CD145" s="32"/>
      <c r="CE145" s="55"/>
      <c r="CF145" s="32"/>
      <c r="CG145" s="54"/>
      <c r="CH145" s="21" t="str">
        <f>IFERROR(VLOOKUP(March[[#This Row],[Drug Name9]],'Data Options'!$R$1:$S$100,2,FALSE), " ")</f>
        <v xml:space="preserve"> </v>
      </c>
      <c r="CI145" s="55"/>
      <c r="CJ145" s="32"/>
      <c r="CK145" s="32"/>
      <c r="CL145" s="55"/>
      <c r="CM145" s="32"/>
    </row>
    <row r="146" spans="1:91">
      <c r="A146" s="5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1"/>
      <c r="P146" s="31"/>
      <c r="Q146" s="54"/>
      <c r="R146" s="21" t="str">
        <f>IFERROR(VLOOKUP(March[[#This Row],[Drug Name]],'Data Options'!$R$1:$S$100,2,FALSE), " ")</f>
        <v xml:space="preserve"> </v>
      </c>
      <c r="S146" s="55"/>
      <c r="T146" s="32"/>
      <c r="U146" s="32"/>
      <c r="V146" s="55"/>
      <c r="W146" s="32"/>
      <c r="X146" s="54"/>
      <c r="Y146" s="21" t="str">
        <f>IFERROR(VLOOKUP(March[[#This Row],[Drug Name2]],'Data Options'!$R$1:$S$100,2,FALSE), " ")</f>
        <v xml:space="preserve"> </v>
      </c>
      <c r="Z146" s="55"/>
      <c r="AA146" s="32"/>
      <c r="AB146" s="32"/>
      <c r="AC146" s="55"/>
      <c r="AD146" s="32"/>
      <c r="AE146" s="54"/>
      <c r="AF146" s="21" t="str">
        <f>IFERROR(VLOOKUP(March[[#This Row],[Drug Name3]],'Data Options'!$R$1:$S$100,2,FALSE), " ")</f>
        <v xml:space="preserve"> </v>
      </c>
      <c r="AG146" s="55"/>
      <c r="AH146" s="32"/>
      <c r="AI146" s="32"/>
      <c r="AJ146" s="55"/>
      <c r="AK146" s="32"/>
      <c r="AL146" s="32"/>
      <c r="AM146" s="32"/>
      <c r="AN146" s="32"/>
      <c r="AO146" s="32"/>
      <c r="AP146" s="31"/>
      <c r="AQ146" s="31"/>
      <c r="AR146" s="54"/>
      <c r="AS146" s="21" t="str">
        <f>IFERROR(VLOOKUP(March[[#This Row],[Drug Name4]],'Data Options'!$R$1:$S$100,2,FALSE), " ")</f>
        <v xml:space="preserve"> </v>
      </c>
      <c r="AT146" s="55"/>
      <c r="AU146" s="32"/>
      <c r="AV146" s="32"/>
      <c r="AW146" s="55"/>
      <c r="AX146" s="32"/>
      <c r="AY146" s="54"/>
      <c r="AZ146" s="21" t="str">
        <f>IFERROR(VLOOKUP(March[[#This Row],[Drug Name5]],'Data Options'!$R$1:$S$100,2,FALSE), " ")</f>
        <v xml:space="preserve"> </v>
      </c>
      <c r="BA146" s="55"/>
      <c r="BB146" s="32"/>
      <c r="BC146" s="32"/>
      <c r="BD146" s="55"/>
      <c r="BE146" s="32"/>
      <c r="BF146" s="54"/>
      <c r="BG146" s="21" t="str">
        <f>IFERROR(VLOOKUP(March[[#This Row],[Drug Name6]],'Data Options'!$R$1:$S$100,2,FALSE), " ")</f>
        <v xml:space="preserve"> </v>
      </c>
      <c r="BH146" s="55"/>
      <c r="BI146" s="32"/>
      <c r="BJ146" s="32"/>
      <c r="BK146" s="55"/>
      <c r="BL146" s="32"/>
      <c r="BM146" s="32"/>
      <c r="BN146" s="32"/>
      <c r="BO146" s="32"/>
      <c r="BP146" s="32"/>
      <c r="BQ146" s="31"/>
      <c r="BR146" s="31"/>
      <c r="BS146" s="54"/>
      <c r="BT146" s="21" t="str">
        <f>IFERROR(VLOOKUP(March[[#This Row],[Drug Name7]],'Data Options'!$R$1:$S$100,2,FALSE), " ")</f>
        <v xml:space="preserve"> </v>
      </c>
      <c r="BU146" s="55"/>
      <c r="BV146" s="32"/>
      <c r="BW146" s="32"/>
      <c r="BX146" s="55"/>
      <c r="BY146" s="32"/>
      <c r="BZ146" s="54"/>
      <c r="CA146" s="21" t="str">
        <f>IFERROR(VLOOKUP(March[[#This Row],[Drug Name8]],'Data Options'!$R$1:$S$100,2,FALSE), " ")</f>
        <v xml:space="preserve"> </v>
      </c>
      <c r="CB146" s="55"/>
      <c r="CC146" s="32"/>
      <c r="CD146" s="32"/>
      <c r="CE146" s="55"/>
      <c r="CF146" s="32"/>
      <c r="CG146" s="54"/>
      <c r="CH146" s="21" t="str">
        <f>IFERROR(VLOOKUP(March[[#This Row],[Drug Name9]],'Data Options'!$R$1:$S$100,2,FALSE), " ")</f>
        <v xml:space="preserve"> </v>
      </c>
      <c r="CI146" s="55"/>
      <c r="CJ146" s="32"/>
      <c r="CK146" s="32"/>
      <c r="CL146" s="55"/>
      <c r="CM146" s="32"/>
    </row>
    <row r="147" spans="1:91">
      <c r="A147" s="5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1"/>
      <c r="P147" s="31"/>
      <c r="Q147" s="54"/>
      <c r="R147" s="21" t="str">
        <f>IFERROR(VLOOKUP(March[[#This Row],[Drug Name]],'Data Options'!$R$1:$S$100,2,FALSE), " ")</f>
        <v xml:space="preserve"> </v>
      </c>
      <c r="S147" s="55"/>
      <c r="T147" s="32"/>
      <c r="U147" s="32"/>
      <c r="V147" s="55"/>
      <c r="W147" s="32"/>
      <c r="X147" s="54"/>
      <c r="Y147" s="21" t="str">
        <f>IFERROR(VLOOKUP(March[[#This Row],[Drug Name2]],'Data Options'!$R$1:$S$100,2,FALSE), " ")</f>
        <v xml:space="preserve"> </v>
      </c>
      <c r="Z147" s="55"/>
      <c r="AA147" s="32"/>
      <c r="AB147" s="32"/>
      <c r="AC147" s="55"/>
      <c r="AD147" s="32"/>
      <c r="AE147" s="54"/>
      <c r="AF147" s="21" t="str">
        <f>IFERROR(VLOOKUP(March[[#This Row],[Drug Name3]],'Data Options'!$R$1:$S$100,2,FALSE), " ")</f>
        <v xml:space="preserve"> </v>
      </c>
      <c r="AG147" s="55"/>
      <c r="AH147" s="32"/>
      <c r="AI147" s="32"/>
      <c r="AJ147" s="55"/>
      <c r="AK147" s="32"/>
      <c r="AL147" s="32"/>
      <c r="AM147" s="32"/>
      <c r="AN147" s="32"/>
      <c r="AO147" s="32"/>
      <c r="AP147" s="31"/>
      <c r="AQ147" s="31"/>
      <c r="AR147" s="54"/>
      <c r="AS147" s="21" t="str">
        <f>IFERROR(VLOOKUP(March[[#This Row],[Drug Name4]],'Data Options'!$R$1:$S$100,2,FALSE), " ")</f>
        <v xml:space="preserve"> </v>
      </c>
      <c r="AT147" s="55"/>
      <c r="AU147" s="32"/>
      <c r="AV147" s="32"/>
      <c r="AW147" s="55"/>
      <c r="AX147" s="32"/>
      <c r="AY147" s="54"/>
      <c r="AZ147" s="21" t="str">
        <f>IFERROR(VLOOKUP(March[[#This Row],[Drug Name5]],'Data Options'!$R$1:$S$100,2,FALSE), " ")</f>
        <v xml:space="preserve"> </v>
      </c>
      <c r="BA147" s="55"/>
      <c r="BB147" s="32"/>
      <c r="BC147" s="32"/>
      <c r="BD147" s="55"/>
      <c r="BE147" s="32"/>
      <c r="BF147" s="54"/>
      <c r="BG147" s="21" t="str">
        <f>IFERROR(VLOOKUP(March[[#This Row],[Drug Name6]],'Data Options'!$R$1:$S$100,2,FALSE), " ")</f>
        <v xml:space="preserve"> </v>
      </c>
      <c r="BH147" s="55"/>
      <c r="BI147" s="32"/>
      <c r="BJ147" s="32"/>
      <c r="BK147" s="55"/>
      <c r="BL147" s="32"/>
      <c r="BM147" s="32"/>
      <c r="BN147" s="32"/>
      <c r="BO147" s="32"/>
      <c r="BP147" s="32"/>
      <c r="BQ147" s="31"/>
      <c r="BR147" s="31"/>
      <c r="BS147" s="54"/>
      <c r="BT147" s="21" t="str">
        <f>IFERROR(VLOOKUP(March[[#This Row],[Drug Name7]],'Data Options'!$R$1:$S$100,2,FALSE), " ")</f>
        <v xml:space="preserve"> </v>
      </c>
      <c r="BU147" s="55"/>
      <c r="BV147" s="32"/>
      <c r="BW147" s="32"/>
      <c r="BX147" s="55"/>
      <c r="BY147" s="32"/>
      <c r="BZ147" s="54"/>
      <c r="CA147" s="21" t="str">
        <f>IFERROR(VLOOKUP(March[[#This Row],[Drug Name8]],'Data Options'!$R$1:$S$100,2,FALSE), " ")</f>
        <v xml:space="preserve"> </v>
      </c>
      <c r="CB147" s="55"/>
      <c r="CC147" s="32"/>
      <c r="CD147" s="32"/>
      <c r="CE147" s="55"/>
      <c r="CF147" s="32"/>
      <c r="CG147" s="54"/>
      <c r="CH147" s="21" t="str">
        <f>IFERROR(VLOOKUP(March[[#This Row],[Drug Name9]],'Data Options'!$R$1:$S$100,2,FALSE), " ")</f>
        <v xml:space="preserve"> </v>
      </c>
      <c r="CI147" s="55"/>
      <c r="CJ147" s="32"/>
      <c r="CK147" s="32"/>
      <c r="CL147" s="55"/>
      <c r="CM147" s="32"/>
    </row>
    <row r="148" spans="1:91">
      <c r="A148" s="5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1"/>
      <c r="P148" s="31"/>
      <c r="Q148" s="54"/>
      <c r="R148" s="21" t="str">
        <f>IFERROR(VLOOKUP(March[[#This Row],[Drug Name]],'Data Options'!$R$1:$S$100,2,FALSE), " ")</f>
        <v xml:space="preserve"> </v>
      </c>
      <c r="S148" s="55"/>
      <c r="T148" s="32"/>
      <c r="U148" s="32"/>
      <c r="V148" s="55"/>
      <c r="W148" s="32"/>
      <c r="X148" s="54"/>
      <c r="Y148" s="21" t="str">
        <f>IFERROR(VLOOKUP(March[[#This Row],[Drug Name2]],'Data Options'!$R$1:$S$100,2,FALSE), " ")</f>
        <v xml:space="preserve"> </v>
      </c>
      <c r="Z148" s="55"/>
      <c r="AA148" s="32"/>
      <c r="AB148" s="32"/>
      <c r="AC148" s="55"/>
      <c r="AD148" s="32"/>
      <c r="AE148" s="54"/>
      <c r="AF148" s="21" t="str">
        <f>IFERROR(VLOOKUP(March[[#This Row],[Drug Name3]],'Data Options'!$R$1:$S$100,2,FALSE), " ")</f>
        <v xml:space="preserve"> </v>
      </c>
      <c r="AG148" s="55"/>
      <c r="AH148" s="32"/>
      <c r="AI148" s="32"/>
      <c r="AJ148" s="55"/>
      <c r="AK148" s="32"/>
      <c r="AL148" s="32"/>
      <c r="AM148" s="32"/>
      <c r="AN148" s="32"/>
      <c r="AO148" s="32"/>
      <c r="AP148" s="31"/>
      <c r="AQ148" s="31"/>
      <c r="AR148" s="54"/>
      <c r="AS148" s="21" t="str">
        <f>IFERROR(VLOOKUP(March[[#This Row],[Drug Name4]],'Data Options'!$R$1:$S$100,2,FALSE), " ")</f>
        <v xml:space="preserve"> </v>
      </c>
      <c r="AT148" s="55"/>
      <c r="AU148" s="32"/>
      <c r="AV148" s="32"/>
      <c r="AW148" s="55"/>
      <c r="AX148" s="32"/>
      <c r="AY148" s="54"/>
      <c r="AZ148" s="21" t="str">
        <f>IFERROR(VLOOKUP(March[[#This Row],[Drug Name5]],'Data Options'!$R$1:$S$100,2,FALSE), " ")</f>
        <v xml:space="preserve"> </v>
      </c>
      <c r="BA148" s="55"/>
      <c r="BB148" s="32"/>
      <c r="BC148" s="32"/>
      <c r="BD148" s="55"/>
      <c r="BE148" s="32"/>
      <c r="BF148" s="54"/>
      <c r="BG148" s="21" t="str">
        <f>IFERROR(VLOOKUP(March[[#This Row],[Drug Name6]],'Data Options'!$R$1:$S$100,2,FALSE), " ")</f>
        <v xml:space="preserve"> </v>
      </c>
      <c r="BH148" s="55"/>
      <c r="BI148" s="32"/>
      <c r="BJ148" s="32"/>
      <c r="BK148" s="55"/>
      <c r="BL148" s="32"/>
      <c r="BM148" s="32"/>
      <c r="BN148" s="32"/>
      <c r="BO148" s="32"/>
      <c r="BP148" s="32"/>
      <c r="BQ148" s="31"/>
      <c r="BR148" s="31"/>
      <c r="BS148" s="54"/>
      <c r="BT148" s="21" t="str">
        <f>IFERROR(VLOOKUP(March[[#This Row],[Drug Name7]],'Data Options'!$R$1:$S$100,2,FALSE), " ")</f>
        <v xml:space="preserve"> </v>
      </c>
      <c r="BU148" s="55"/>
      <c r="BV148" s="32"/>
      <c r="BW148" s="32"/>
      <c r="BX148" s="55"/>
      <c r="BY148" s="32"/>
      <c r="BZ148" s="54"/>
      <c r="CA148" s="21" t="str">
        <f>IFERROR(VLOOKUP(March[[#This Row],[Drug Name8]],'Data Options'!$R$1:$S$100,2,FALSE), " ")</f>
        <v xml:space="preserve"> </v>
      </c>
      <c r="CB148" s="55"/>
      <c r="CC148" s="32"/>
      <c r="CD148" s="32"/>
      <c r="CE148" s="55"/>
      <c r="CF148" s="32"/>
      <c r="CG148" s="54"/>
      <c r="CH148" s="21" t="str">
        <f>IFERROR(VLOOKUP(March[[#This Row],[Drug Name9]],'Data Options'!$R$1:$S$100,2,FALSE), " ")</f>
        <v xml:space="preserve"> </v>
      </c>
      <c r="CI148" s="55"/>
      <c r="CJ148" s="32"/>
      <c r="CK148" s="32"/>
      <c r="CL148" s="55"/>
      <c r="CM148" s="32"/>
    </row>
    <row r="149" spans="1:91">
      <c r="A149" s="5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1"/>
      <c r="P149" s="31"/>
      <c r="Q149" s="54"/>
      <c r="R149" s="21" t="str">
        <f>IFERROR(VLOOKUP(March[[#This Row],[Drug Name]],'Data Options'!$R$1:$S$100,2,FALSE), " ")</f>
        <v xml:space="preserve"> </v>
      </c>
      <c r="S149" s="55"/>
      <c r="T149" s="32"/>
      <c r="U149" s="32"/>
      <c r="V149" s="55"/>
      <c r="W149" s="32"/>
      <c r="X149" s="54"/>
      <c r="Y149" s="21" t="str">
        <f>IFERROR(VLOOKUP(March[[#This Row],[Drug Name2]],'Data Options'!$R$1:$S$100,2,FALSE), " ")</f>
        <v xml:space="preserve"> </v>
      </c>
      <c r="Z149" s="55"/>
      <c r="AA149" s="32"/>
      <c r="AB149" s="32"/>
      <c r="AC149" s="55"/>
      <c r="AD149" s="32"/>
      <c r="AE149" s="54"/>
      <c r="AF149" s="21" t="str">
        <f>IFERROR(VLOOKUP(March[[#This Row],[Drug Name3]],'Data Options'!$R$1:$S$100,2,FALSE), " ")</f>
        <v xml:space="preserve"> </v>
      </c>
      <c r="AG149" s="55"/>
      <c r="AH149" s="32"/>
      <c r="AI149" s="32"/>
      <c r="AJ149" s="55"/>
      <c r="AK149" s="32"/>
      <c r="AL149" s="32"/>
      <c r="AM149" s="32"/>
      <c r="AN149" s="32"/>
      <c r="AO149" s="32"/>
      <c r="AP149" s="31"/>
      <c r="AQ149" s="31"/>
      <c r="AR149" s="54"/>
      <c r="AS149" s="21" t="str">
        <f>IFERROR(VLOOKUP(March[[#This Row],[Drug Name4]],'Data Options'!$R$1:$S$100,2,FALSE), " ")</f>
        <v xml:space="preserve"> </v>
      </c>
      <c r="AT149" s="55"/>
      <c r="AU149" s="32"/>
      <c r="AV149" s="32"/>
      <c r="AW149" s="55"/>
      <c r="AX149" s="32"/>
      <c r="AY149" s="54"/>
      <c r="AZ149" s="21" t="str">
        <f>IFERROR(VLOOKUP(March[[#This Row],[Drug Name5]],'Data Options'!$R$1:$S$100,2,FALSE), " ")</f>
        <v xml:space="preserve"> </v>
      </c>
      <c r="BA149" s="55"/>
      <c r="BB149" s="32"/>
      <c r="BC149" s="32"/>
      <c r="BD149" s="55"/>
      <c r="BE149" s="32"/>
      <c r="BF149" s="54"/>
      <c r="BG149" s="21" t="str">
        <f>IFERROR(VLOOKUP(March[[#This Row],[Drug Name6]],'Data Options'!$R$1:$S$100,2,FALSE), " ")</f>
        <v xml:space="preserve"> </v>
      </c>
      <c r="BH149" s="55"/>
      <c r="BI149" s="32"/>
      <c r="BJ149" s="32"/>
      <c r="BK149" s="55"/>
      <c r="BL149" s="32"/>
      <c r="BM149" s="32"/>
      <c r="BN149" s="32"/>
      <c r="BO149" s="32"/>
      <c r="BP149" s="32"/>
      <c r="BQ149" s="31"/>
      <c r="BR149" s="31"/>
      <c r="BS149" s="54"/>
      <c r="BT149" s="21" t="str">
        <f>IFERROR(VLOOKUP(March[[#This Row],[Drug Name7]],'Data Options'!$R$1:$S$100,2,FALSE), " ")</f>
        <v xml:space="preserve"> </v>
      </c>
      <c r="BU149" s="55"/>
      <c r="BV149" s="32"/>
      <c r="BW149" s="32"/>
      <c r="BX149" s="55"/>
      <c r="BY149" s="32"/>
      <c r="BZ149" s="54"/>
      <c r="CA149" s="21" t="str">
        <f>IFERROR(VLOOKUP(March[[#This Row],[Drug Name8]],'Data Options'!$R$1:$S$100,2,FALSE), " ")</f>
        <v xml:space="preserve"> </v>
      </c>
      <c r="CB149" s="55"/>
      <c r="CC149" s="32"/>
      <c r="CD149" s="32"/>
      <c r="CE149" s="55"/>
      <c r="CF149" s="32"/>
      <c r="CG149" s="54"/>
      <c r="CH149" s="21" t="str">
        <f>IFERROR(VLOOKUP(March[[#This Row],[Drug Name9]],'Data Options'!$R$1:$S$100,2,FALSE), " ")</f>
        <v xml:space="preserve"> </v>
      </c>
      <c r="CI149" s="55"/>
      <c r="CJ149" s="32"/>
      <c r="CK149" s="32"/>
      <c r="CL149" s="55"/>
      <c r="CM149" s="32"/>
    </row>
    <row r="150" spans="1:91">
      <c r="A150" s="5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1"/>
      <c r="P150" s="31"/>
      <c r="Q150" s="54"/>
      <c r="R150" s="21" t="str">
        <f>IFERROR(VLOOKUP(March[[#This Row],[Drug Name]],'Data Options'!$R$1:$S$100,2,FALSE), " ")</f>
        <v xml:space="preserve"> </v>
      </c>
      <c r="S150" s="55"/>
      <c r="T150" s="32"/>
      <c r="U150" s="32"/>
      <c r="V150" s="55"/>
      <c r="W150" s="32"/>
      <c r="X150" s="54"/>
      <c r="Y150" s="21" t="str">
        <f>IFERROR(VLOOKUP(March[[#This Row],[Drug Name2]],'Data Options'!$R$1:$S$100,2,FALSE), " ")</f>
        <v xml:space="preserve"> </v>
      </c>
      <c r="Z150" s="55"/>
      <c r="AA150" s="32"/>
      <c r="AB150" s="32"/>
      <c r="AC150" s="55"/>
      <c r="AD150" s="32"/>
      <c r="AE150" s="54"/>
      <c r="AF150" s="21" t="str">
        <f>IFERROR(VLOOKUP(March[[#This Row],[Drug Name3]],'Data Options'!$R$1:$S$100,2,FALSE), " ")</f>
        <v xml:space="preserve"> </v>
      </c>
      <c r="AG150" s="55"/>
      <c r="AH150" s="32"/>
      <c r="AI150" s="32"/>
      <c r="AJ150" s="55"/>
      <c r="AK150" s="32"/>
      <c r="AL150" s="32"/>
      <c r="AM150" s="32"/>
      <c r="AN150" s="32"/>
      <c r="AO150" s="32"/>
      <c r="AP150" s="31"/>
      <c r="AQ150" s="31"/>
      <c r="AR150" s="54"/>
      <c r="AS150" s="21" t="str">
        <f>IFERROR(VLOOKUP(March[[#This Row],[Drug Name4]],'Data Options'!$R$1:$S$100,2,FALSE), " ")</f>
        <v xml:space="preserve"> </v>
      </c>
      <c r="AT150" s="55"/>
      <c r="AU150" s="32"/>
      <c r="AV150" s="32"/>
      <c r="AW150" s="55"/>
      <c r="AX150" s="32"/>
      <c r="AY150" s="54"/>
      <c r="AZ150" s="21" t="str">
        <f>IFERROR(VLOOKUP(March[[#This Row],[Drug Name5]],'Data Options'!$R$1:$S$100,2,FALSE), " ")</f>
        <v xml:space="preserve"> </v>
      </c>
      <c r="BA150" s="55"/>
      <c r="BB150" s="32"/>
      <c r="BC150" s="32"/>
      <c r="BD150" s="55"/>
      <c r="BE150" s="32"/>
      <c r="BF150" s="54"/>
      <c r="BG150" s="21" t="str">
        <f>IFERROR(VLOOKUP(March[[#This Row],[Drug Name6]],'Data Options'!$R$1:$S$100,2,FALSE), " ")</f>
        <v xml:space="preserve"> </v>
      </c>
      <c r="BH150" s="55"/>
      <c r="BI150" s="32"/>
      <c r="BJ150" s="32"/>
      <c r="BK150" s="55"/>
      <c r="BL150" s="32"/>
      <c r="BM150" s="32"/>
      <c r="BN150" s="32"/>
      <c r="BO150" s="32"/>
      <c r="BP150" s="32"/>
      <c r="BQ150" s="31"/>
      <c r="BR150" s="31"/>
      <c r="BS150" s="54"/>
      <c r="BT150" s="21" t="str">
        <f>IFERROR(VLOOKUP(March[[#This Row],[Drug Name7]],'Data Options'!$R$1:$S$100,2,FALSE), " ")</f>
        <v xml:space="preserve"> </v>
      </c>
      <c r="BU150" s="55"/>
      <c r="BV150" s="32"/>
      <c r="BW150" s="32"/>
      <c r="BX150" s="55"/>
      <c r="BY150" s="32"/>
      <c r="BZ150" s="54"/>
      <c r="CA150" s="21" t="str">
        <f>IFERROR(VLOOKUP(March[[#This Row],[Drug Name8]],'Data Options'!$R$1:$S$100,2,FALSE), " ")</f>
        <v xml:space="preserve"> </v>
      </c>
      <c r="CB150" s="55"/>
      <c r="CC150" s="32"/>
      <c r="CD150" s="32"/>
      <c r="CE150" s="55"/>
      <c r="CF150" s="32"/>
      <c r="CG150" s="54"/>
      <c r="CH150" s="21" t="str">
        <f>IFERROR(VLOOKUP(March[[#This Row],[Drug Name9]],'Data Options'!$R$1:$S$100,2,FALSE), " ")</f>
        <v xml:space="preserve"> </v>
      </c>
      <c r="CI150" s="55"/>
      <c r="CJ150" s="32"/>
      <c r="CK150" s="32"/>
      <c r="CL150" s="55"/>
      <c r="CM150" s="32"/>
    </row>
    <row r="151" spans="1:91">
      <c r="A151" s="5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1"/>
      <c r="P151" s="31"/>
      <c r="Q151" s="54"/>
      <c r="R151" s="21" t="str">
        <f>IFERROR(VLOOKUP(March[[#This Row],[Drug Name]],'Data Options'!$R$1:$S$100,2,FALSE), " ")</f>
        <v xml:space="preserve"> </v>
      </c>
      <c r="S151" s="55"/>
      <c r="T151" s="32"/>
      <c r="U151" s="32"/>
      <c r="V151" s="55"/>
      <c r="W151" s="32"/>
      <c r="X151" s="54"/>
      <c r="Y151" s="21" t="str">
        <f>IFERROR(VLOOKUP(March[[#This Row],[Drug Name2]],'Data Options'!$R$1:$S$100,2,FALSE), " ")</f>
        <v xml:space="preserve"> </v>
      </c>
      <c r="Z151" s="55"/>
      <c r="AA151" s="32"/>
      <c r="AB151" s="32"/>
      <c r="AC151" s="55"/>
      <c r="AD151" s="32"/>
      <c r="AE151" s="54"/>
      <c r="AF151" s="21" t="str">
        <f>IFERROR(VLOOKUP(March[[#This Row],[Drug Name3]],'Data Options'!$R$1:$S$100,2,FALSE), " ")</f>
        <v xml:space="preserve"> </v>
      </c>
      <c r="AG151" s="55"/>
      <c r="AH151" s="32"/>
      <c r="AI151" s="32"/>
      <c r="AJ151" s="55"/>
      <c r="AK151" s="32"/>
      <c r="AL151" s="32"/>
      <c r="AM151" s="32"/>
      <c r="AN151" s="32"/>
      <c r="AO151" s="32"/>
      <c r="AP151" s="31"/>
      <c r="AQ151" s="31"/>
      <c r="AR151" s="54"/>
      <c r="AS151" s="21" t="str">
        <f>IFERROR(VLOOKUP(March[[#This Row],[Drug Name4]],'Data Options'!$R$1:$S$100,2,FALSE), " ")</f>
        <v xml:space="preserve"> </v>
      </c>
      <c r="AT151" s="55"/>
      <c r="AU151" s="32"/>
      <c r="AV151" s="32"/>
      <c r="AW151" s="55"/>
      <c r="AX151" s="32"/>
      <c r="AY151" s="54"/>
      <c r="AZ151" s="21" t="str">
        <f>IFERROR(VLOOKUP(March[[#This Row],[Drug Name5]],'Data Options'!$R$1:$S$100,2,FALSE), " ")</f>
        <v xml:space="preserve"> </v>
      </c>
      <c r="BA151" s="55"/>
      <c r="BB151" s="32"/>
      <c r="BC151" s="32"/>
      <c r="BD151" s="55"/>
      <c r="BE151" s="32"/>
      <c r="BF151" s="54"/>
      <c r="BG151" s="21" t="str">
        <f>IFERROR(VLOOKUP(March[[#This Row],[Drug Name6]],'Data Options'!$R$1:$S$100,2,FALSE), " ")</f>
        <v xml:space="preserve"> </v>
      </c>
      <c r="BH151" s="55"/>
      <c r="BI151" s="32"/>
      <c r="BJ151" s="32"/>
      <c r="BK151" s="55"/>
      <c r="BL151" s="32"/>
      <c r="BM151" s="32"/>
      <c r="BN151" s="32"/>
      <c r="BO151" s="32"/>
      <c r="BP151" s="32"/>
      <c r="BQ151" s="31"/>
      <c r="BR151" s="31"/>
      <c r="BS151" s="54"/>
      <c r="BT151" s="21" t="str">
        <f>IFERROR(VLOOKUP(March[[#This Row],[Drug Name7]],'Data Options'!$R$1:$S$100,2,FALSE), " ")</f>
        <v xml:space="preserve"> </v>
      </c>
      <c r="BU151" s="55"/>
      <c r="BV151" s="32"/>
      <c r="BW151" s="32"/>
      <c r="BX151" s="55"/>
      <c r="BY151" s="32"/>
      <c r="BZ151" s="54"/>
      <c r="CA151" s="21" t="str">
        <f>IFERROR(VLOOKUP(March[[#This Row],[Drug Name8]],'Data Options'!$R$1:$S$100,2,FALSE), " ")</f>
        <v xml:space="preserve"> </v>
      </c>
      <c r="CB151" s="55"/>
      <c r="CC151" s="32"/>
      <c r="CD151" s="32"/>
      <c r="CE151" s="55"/>
      <c r="CF151" s="32"/>
      <c r="CG151" s="54"/>
      <c r="CH151" s="21" t="str">
        <f>IFERROR(VLOOKUP(March[[#This Row],[Drug Name9]],'Data Options'!$R$1:$S$100,2,FALSE), " ")</f>
        <v xml:space="preserve"> </v>
      </c>
      <c r="CI151" s="55"/>
      <c r="CJ151" s="32"/>
      <c r="CK151" s="32"/>
      <c r="CL151" s="55"/>
      <c r="CM151" s="32"/>
    </row>
    <row r="152" spans="1:91">
      <c r="A152" s="5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1"/>
      <c r="P152" s="31"/>
      <c r="Q152" s="54"/>
      <c r="R152" s="21" t="str">
        <f>IFERROR(VLOOKUP(March[[#This Row],[Drug Name]],'Data Options'!$R$1:$S$100,2,FALSE), " ")</f>
        <v xml:space="preserve"> </v>
      </c>
      <c r="S152" s="55"/>
      <c r="T152" s="32"/>
      <c r="U152" s="32"/>
      <c r="V152" s="55"/>
      <c r="W152" s="32"/>
      <c r="X152" s="54"/>
      <c r="Y152" s="21" t="str">
        <f>IFERROR(VLOOKUP(March[[#This Row],[Drug Name2]],'Data Options'!$R$1:$S$100,2,FALSE), " ")</f>
        <v xml:space="preserve"> </v>
      </c>
      <c r="Z152" s="55"/>
      <c r="AA152" s="32"/>
      <c r="AB152" s="32"/>
      <c r="AC152" s="55"/>
      <c r="AD152" s="32"/>
      <c r="AE152" s="54"/>
      <c r="AF152" s="21" t="str">
        <f>IFERROR(VLOOKUP(March[[#This Row],[Drug Name3]],'Data Options'!$R$1:$S$100,2,FALSE), " ")</f>
        <v xml:space="preserve"> </v>
      </c>
      <c r="AG152" s="55"/>
      <c r="AH152" s="32"/>
      <c r="AI152" s="32"/>
      <c r="AJ152" s="55"/>
      <c r="AK152" s="32"/>
      <c r="AL152" s="32"/>
      <c r="AM152" s="32"/>
      <c r="AN152" s="32"/>
      <c r="AO152" s="32"/>
      <c r="AP152" s="31"/>
      <c r="AQ152" s="31"/>
      <c r="AR152" s="54"/>
      <c r="AS152" s="21" t="str">
        <f>IFERROR(VLOOKUP(March[[#This Row],[Drug Name4]],'Data Options'!$R$1:$S$100,2,FALSE), " ")</f>
        <v xml:space="preserve"> </v>
      </c>
      <c r="AT152" s="55"/>
      <c r="AU152" s="32"/>
      <c r="AV152" s="32"/>
      <c r="AW152" s="55"/>
      <c r="AX152" s="32"/>
      <c r="AY152" s="54"/>
      <c r="AZ152" s="21" t="str">
        <f>IFERROR(VLOOKUP(March[[#This Row],[Drug Name5]],'Data Options'!$R$1:$S$100,2,FALSE), " ")</f>
        <v xml:space="preserve"> </v>
      </c>
      <c r="BA152" s="55"/>
      <c r="BB152" s="32"/>
      <c r="BC152" s="32"/>
      <c r="BD152" s="55"/>
      <c r="BE152" s="32"/>
      <c r="BF152" s="54"/>
      <c r="BG152" s="21" t="str">
        <f>IFERROR(VLOOKUP(March[[#This Row],[Drug Name6]],'Data Options'!$R$1:$S$100,2,FALSE), " ")</f>
        <v xml:space="preserve"> </v>
      </c>
      <c r="BH152" s="55"/>
      <c r="BI152" s="32"/>
      <c r="BJ152" s="32"/>
      <c r="BK152" s="55"/>
      <c r="BL152" s="32"/>
      <c r="BM152" s="32"/>
      <c r="BN152" s="32"/>
      <c r="BO152" s="32"/>
      <c r="BP152" s="32"/>
      <c r="BQ152" s="31"/>
      <c r="BR152" s="31"/>
      <c r="BS152" s="54"/>
      <c r="BT152" s="21" t="str">
        <f>IFERROR(VLOOKUP(March[[#This Row],[Drug Name7]],'Data Options'!$R$1:$S$100,2,FALSE), " ")</f>
        <v xml:space="preserve"> </v>
      </c>
      <c r="BU152" s="55"/>
      <c r="BV152" s="32"/>
      <c r="BW152" s="32"/>
      <c r="BX152" s="55"/>
      <c r="BY152" s="32"/>
      <c r="BZ152" s="54"/>
      <c r="CA152" s="21" t="str">
        <f>IFERROR(VLOOKUP(March[[#This Row],[Drug Name8]],'Data Options'!$R$1:$S$100,2,FALSE), " ")</f>
        <v xml:space="preserve"> </v>
      </c>
      <c r="CB152" s="55"/>
      <c r="CC152" s="32"/>
      <c r="CD152" s="32"/>
      <c r="CE152" s="55"/>
      <c r="CF152" s="32"/>
      <c r="CG152" s="54"/>
      <c r="CH152" s="21" t="str">
        <f>IFERROR(VLOOKUP(March[[#This Row],[Drug Name9]],'Data Options'!$R$1:$S$100,2,FALSE), " ")</f>
        <v xml:space="preserve"> </v>
      </c>
      <c r="CI152" s="55"/>
      <c r="CJ152" s="32"/>
      <c r="CK152" s="32"/>
      <c r="CL152" s="55"/>
      <c r="CM152" s="32"/>
    </row>
    <row r="153" spans="1:91">
      <c r="A153" s="5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1"/>
      <c r="P153" s="31"/>
      <c r="Q153" s="54"/>
      <c r="R153" s="21" t="str">
        <f>IFERROR(VLOOKUP(March[[#This Row],[Drug Name]],'Data Options'!$R$1:$S$100,2,FALSE), " ")</f>
        <v xml:space="preserve"> </v>
      </c>
      <c r="S153" s="55"/>
      <c r="T153" s="32"/>
      <c r="U153" s="32"/>
      <c r="V153" s="55"/>
      <c r="W153" s="32"/>
      <c r="X153" s="54"/>
      <c r="Y153" s="21" t="str">
        <f>IFERROR(VLOOKUP(March[[#This Row],[Drug Name2]],'Data Options'!$R$1:$S$100,2,FALSE), " ")</f>
        <v xml:space="preserve"> </v>
      </c>
      <c r="Z153" s="55"/>
      <c r="AA153" s="32"/>
      <c r="AB153" s="32"/>
      <c r="AC153" s="55"/>
      <c r="AD153" s="32"/>
      <c r="AE153" s="54"/>
      <c r="AF153" s="21" t="str">
        <f>IFERROR(VLOOKUP(March[[#This Row],[Drug Name3]],'Data Options'!$R$1:$S$100,2,FALSE), " ")</f>
        <v xml:space="preserve"> </v>
      </c>
      <c r="AG153" s="55"/>
      <c r="AH153" s="32"/>
      <c r="AI153" s="32"/>
      <c r="AJ153" s="55"/>
      <c r="AK153" s="32"/>
      <c r="AL153" s="32"/>
      <c r="AM153" s="32"/>
      <c r="AN153" s="32"/>
      <c r="AO153" s="32"/>
      <c r="AP153" s="31"/>
      <c r="AQ153" s="31"/>
      <c r="AR153" s="54"/>
      <c r="AS153" s="21" t="str">
        <f>IFERROR(VLOOKUP(March[[#This Row],[Drug Name4]],'Data Options'!$R$1:$S$100,2,FALSE), " ")</f>
        <v xml:space="preserve"> </v>
      </c>
      <c r="AT153" s="55"/>
      <c r="AU153" s="32"/>
      <c r="AV153" s="32"/>
      <c r="AW153" s="55"/>
      <c r="AX153" s="32"/>
      <c r="AY153" s="54"/>
      <c r="AZ153" s="21" t="str">
        <f>IFERROR(VLOOKUP(March[[#This Row],[Drug Name5]],'Data Options'!$R$1:$S$100,2,FALSE), " ")</f>
        <v xml:space="preserve"> </v>
      </c>
      <c r="BA153" s="55"/>
      <c r="BB153" s="32"/>
      <c r="BC153" s="32"/>
      <c r="BD153" s="55"/>
      <c r="BE153" s="32"/>
      <c r="BF153" s="54"/>
      <c r="BG153" s="21" t="str">
        <f>IFERROR(VLOOKUP(March[[#This Row],[Drug Name6]],'Data Options'!$R$1:$S$100,2,FALSE), " ")</f>
        <v xml:space="preserve"> </v>
      </c>
      <c r="BH153" s="55"/>
      <c r="BI153" s="32"/>
      <c r="BJ153" s="32"/>
      <c r="BK153" s="55"/>
      <c r="BL153" s="32"/>
      <c r="BM153" s="32"/>
      <c r="BN153" s="32"/>
      <c r="BO153" s="32"/>
      <c r="BP153" s="32"/>
      <c r="BQ153" s="31"/>
      <c r="BR153" s="31"/>
      <c r="BS153" s="54"/>
      <c r="BT153" s="21" t="str">
        <f>IFERROR(VLOOKUP(March[[#This Row],[Drug Name7]],'Data Options'!$R$1:$S$100,2,FALSE), " ")</f>
        <v xml:space="preserve"> </v>
      </c>
      <c r="BU153" s="55"/>
      <c r="BV153" s="32"/>
      <c r="BW153" s="32"/>
      <c r="BX153" s="55"/>
      <c r="BY153" s="32"/>
      <c r="BZ153" s="54"/>
      <c r="CA153" s="21" t="str">
        <f>IFERROR(VLOOKUP(March[[#This Row],[Drug Name8]],'Data Options'!$R$1:$S$100,2,FALSE), " ")</f>
        <v xml:space="preserve"> </v>
      </c>
      <c r="CB153" s="55"/>
      <c r="CC153" s="32"/>
      <c r="CD153" s="32"/>
      <c r="CE153" s="55"/>
      <c r="CF153" s="32"/>
      <c r="CG153" s="54"/>
      <c r="CH153" s="21" t="str">
        <f>IFERROR(VLOOKUP(March[[#This Row],[Drug Name9]],'Data Options'!$R$1:$S$100,2,FALSE), " ")</f>
        <v xml:space="preserve"> </v>
      </c>
      <c r="CI153" s="55"/>
      <c r="CJ153" s="32"/>
      <c r="CK153" s="32"/>
      <c r="CL153" s="55"/>
      <c r="CM153" s="32"/>
    </row>
    <row r="154" spans="1:91">
      <c r="A154" s="5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1"/>
      <c r="P154" s="31"/>
      <c r="Q154" s="54"/>
      <c r="R154" s="21" t="str">
        <f>IFERROR(VLOOKUP(March[[#This Row],[Drug Name]],'Data Options'!$R$1:$S$100,2,FALSE), " ")</f>
        <v xml:space="preserve"> </v>
      </c>
      <c r="S154" s="55"/>
      <c r="T154" s="32"/>
      <c r="U154" s="32"/>
      <c r="V154" s="55"/>
      <c r="W154" s="32"/>
      <c r="X154" s="54"/>
      <c r="Y154" s="21" t="str">
        <f>IFERROR(VLOOKUP(March[[#This Row],[Drug Name2]],'Data Options'!$R$1:$S$100,2,FALSE), " ")</f>
        <v xml:space="preserve"> </v>
      </c>
      <c r="Z154" s="55"/>
      <c r="AA154" s="32"/>
      <c r="AB154" s="32"/>
      <c r="AC154" s="55"/>
      <c r="AD154" s="32"/>
      <c r="AE154" s="54"/>
      <c r="AF154" s="21" t="str">
        <f>IFERROR(VLOOKUP(March[[#This Row],[Drug Name3]],'Data Options'!$R$1:$S$100,2,FALSE), " ")</f>
        <v xml:space="preserve"> </v>
      </c>
      <c r="AG154" s="55"/>
      <c r="AH154" s="32"/>
      <c r="AI154" s="32"/>
      <c r="AJ154" s="55"/>
      <c r="AK154" s="32"/>
      <c r="AL154" s="32"/>
      <c r="AM154" s="32"/>
      <c r="AN154" s="32"/>
      <c r="AO154" s="32"/>
      <c r="AP154" s="31"/>
      <c r="AQ154" s="31"/>
      <c r="AR154" s="54"/>
      <c r="AS154" s="21" t="str">
        <f>IFERROR(VLOOKUP(March[[#This Row],[Drug Name4]],'Data Options'!$R$1:$S$100,2,FALSE), " ")</f>
        <v xml:space="preserve"> </v>
      </c>
      <c r="AT154" s="55"/>
      <c r="AU154" s="32"/>
      <c r="AV154" s="32"/>
      <c r="AW154" s="55"/>
      <c r="AX154" s="32"/>
      <c r="AY154" s="54"/>
      <c r="AZ154" s="21" t="str">
        <f>IFERROR(VLOOKUP(March[[#This Row],[Drug Name5]],'Data Options'!$R$1:$S$100,2,FALSE), " ")</f>
        <v xml:space="preserve"> </v>
      </c>
      <c r="BA154" s="55"/>
      <c r="BB154" s="32"/>
      <c r="BC154" s="32"/>
      <c r="BD154" s="55"/>
      <c r="BE154" s="32"/>
      <c r="BF154" s="54"/>
      <c r="BG154" s="21" t="str">
        <f>IFERROR(VLOOKUP(March[[#This Row],[Drug Name6]],'Data Options'!$R$1:$S$100,2,FALSE), " ")</f>
        <v xml:space="preserve"> </v>
      </c>
      <c r="BH154" s="55"/>
      <c r="BI154" s="32"/>
      <c r="BJ154" s="32"/>
      <c r="BK154" s="55"/>
      <c r="BL154" s="32"/>
      <c r="BM154" s="32"/>
      <c r="BN154" s="32"/>
      <c r="BO154" s="32"/>
      <c r="BP154" s="32"/>
      <c r="BQ154" s="31"/>
      <c r="BR154" s="31"/>
      <c r="BS154" s="54"/>
      <c r="BT154" s="21" t="str">
        <f>IFERROR(VLOOKUP(March[[#This Row],[Drug Name7]],'Data Options'!$R$1:$S$100,2,FALSE), " ")</f>
        <v xml:space="preserve"> </v>
      </c>
      <c r="BU154" s="55"/>
      <c r="BV154" s="32"/>
      <c r="BW154" s="32"/>
      <c r="BX154" s="55"/>
      <c r="BY154" s="32"/>
      <c r="BZ154" s="54"/>
      <c r="CA154" s="21" t="str">
        <f>IFERROR(VLOOKUP(March[[#This Row],[Drug Name8]],'Data Options'!$R$1:$S$100,2,FALSE), " ")</f>
        <v xml:space="preserve"> </v>
      </c>
      <c r="CB154" s="55"/>
      <c r="CC154" s="32"/>
      <c r="CD154" s="32"/>
      <c r="CE154" s="55"/>
      <c r="CF154" s="32"/>
      <c r="CG154" s="54"/>
      <c r="CH154" s="21" t="str">
        <f>IFERROR(VLOOKUP(March[[#This Row],[Drug Name9]],'Data Options'!$R$1:$S$100,2,FALSE), " ")</f>
        <v xml:space="preserve"> </v>
      </c>
      <c r="CI154" s="55"/>
      <c r="CJ154" s="32"/>
      <c r="CK154" s="32"/>
      <c r="CL154" s="55"/>
      <c r="CM154" s="32"/>
    </row>
    <row r="155" spans="1:91">
      <c r="A155" s="5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54"/>
      <c r="R155" s="21" t="str">
        <f>IFERROR(VLOOKUP(March[[#This Row],[Drug Name]],'Data Options'!$R$1:$S$100,2,FALSE), " ")</f>
        <v xml:space="preserve"> </v>
      </c>
      <c r="S155" s="55"/>
      <c r="T155" s="32"/>
      <c r="U155" s="32"/>
      <c r="V155" s="55"/>
      <c r="W155" s="32"/>
      <c r="X155" s="54"/>
      <c r="Y155" s="21" t="str">
        <f>IFERROR(VLOOKUP(March[[#This Row],[Drug Name2]],'Data Options'!$R$1:$S$100,2,FALSE), " ")</f>
        <v xml:space="preserve"> </v>
      </c>
      <c r="Z155" s="55"/>
      <c r="AA155" s="32"/>
      <c r="AB155" s="32"/>
      <c r="AC155" s="55"/>
      <c r="AD155" s="32"/>
      <c r="AE155" s="54"/>
      <c r="AF155" s="21" t="str">
        <f>IFERROR(VLOOKUP(March[[#This Row],[Drug Name3]],'Data Options'!$R$1:$S$100,2,FALSE), " ")</f>
        <v xml:space="preserve"> </v>
      </c>
      <c r="AG155" s="55"/>
      <c r="AH155" s="32"/>
      <c r="AI155" s="32"/>
      <c r="AJ155" s="55"/>
      <c r="AK155" s="32"/>
      <c r="AL155" s="32"/>
      <c r="AM155" s="32"/>
      <c r="AN155" s="32"/>
      <c r="AO155" s="32"/>
      <c r="AP155" s="31"/>
      <c r="AQ155" s="31"/>
      <c r="AR155" s="54"/>
      <c r="AS155" s="21" t="str">
        <f>IFERROR(VLOOKUP(March[[#This Row],[Drug Name4]],'Data Options'!$R$1:$S$100,2,FALSE), " ")</f>
        <v xml:space="preserve"> </v>
      </c>
      <c r="AT155" s="55"/>
      <c r="AU155" s="32"/>
      <c r="AV155" s="32"/>
      <c r="AW155" s="55"/>
      <c r="AX155" s="32"/>
      <c r="AY155" s="54"/>
      <c r="AZ155" s="21" t="str">
        <f>IFERROR(VLOOKUP(March[[#This Row],[Drug Name5]],'Data Options'!$R$1:$S$100,2,FALSE), " ")</f>
        <v xml:space="preserve"> </v>
      </c>
      <c r="BA155" s="55"/>
      <c r="BB155" s="32"/>
      <c r="BC155" s="32"/>
      <c r="BD155" s="55"/>
      <c r="BE155" s="32"/>
      <c r="BF155" s="54"/>
      <c r="BG155" s="21" t="str">
        <f>IFERROR(VLOOKUP(March[[#This Row],[Drug Name6]],'Data Options'!$R$1:$S$100,2,FALSE), " ")</f>
        <v xml:space="preserve"> </v>
      </c>
      <c r="BH155" s="55"/>
      <c r="BI155" s="32"/>
      <c r="BJ155" s="32"/>
      <c r="BK155" s="55"/>
      <c r="BL155" s="32"/>
      <c r="BM155" s="32"/>
      <c r="BN155" s="32"/>
      <c r="BO155" s="32"/>
      <c r="BP155" s="32"/>
      <c r="BQ155" s="31"/>
      <c r="BR155" s="31"/>
      <c r="BS155" s="54"/>
      <c r="BT155" s="21" t="str">
        <f>IFERROR(VLOOKUP(March[[#This Row],[Drug Name7]],'Data Options'!$R$1:$S$100,2,FALSE), " ")</f>
        <v xml:space="preserve"> </v>
      </c>
      <c r="BU155" s="55"/>
      <c r="BV155" s="32"/>
      <c r="BW155" s="32"/>
      <c r="BX155" s="55"/>
      <c r="BY155" s="32"/>
      <c r="BZ155" s="54"/>
      <c r="CA155" s="21" t="str">
        <f>IFERROR(VLOOKUP(March[[#This Row],[Drug Name8]],'Data Options'!$R$1:$S$100,2,FALSE), " ")</f>
        <v xml:space="preserve"> </v>
      </c>
      <c r="CB155" s="55"/>
      <c r="CC155" s="32"/>
      <c r="CD155" s="32"/>
      <c r="CE155" s="55"/>
      <c r="CF155" s="32"/>
      <c r="CG155" s="54"/>
      <c r="CH155" s="21" t="str">
        <f>IFERROR(VLOOKUP(March[[#This Row],[Drug Name9]],'Data Options'!$R$1:$S$100,2,FALSE), " ")</f>
        <v xml:space="preserve"> </v>
      </c>
      <c r="CI155" s="55"/>
      <c r="CJ155" s="32"/>
      <c r="CK155" s="32"/>
      <c r="CL155" s="55"/>
      <c r="CM155" s="32"/>
    </row>
    <row r="156" spans="1:91">
      <c r="A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1"/>
      <c r="P156" s="31"/>
      <c r="Q156" s="54"/>
      <c r="R156" s="21" t="str">
        <f>IFERROR(VLOOKUP(March[[#This Row],[Drug Name]],'Data Options'!$R$1:$S$100,2,FALSE), " ")</f>
        <v xml:space="preserve"> </v>
      </c>
      <c r="S156" s="55"/>
      <c r="T156" s="32"/>
      <c r="U156" s="32"/>
      <c r="V156" s="55"/>
      <c r="W156" s="32"/>
      <c r="X156" s="54"/>
      <c r="Y156" s="21" t="str">
        <f>IFERROR(VLOOKUP(March[[#This Row],[Drug Name2]],'Data Options'!$R$1:$S$100,2,FALSE), " ")</f>
        <v xml:space="preserve"> </v>
      </c>
      <c r="Z156" s="55"/>
      <c r="AA156" s="32"/>
      <c r="AB156" s="32"/>
      <c r="AC156" s="55"/>
      <c r="AD156" s="32"/>
      <c r="AE156" s="54"/>
      <c r="AF156" s="21" t="str">
        <f>IFERROR(VLOOKUP(March[[#This Row],[Drug Name3]],'Data Options'!$R$1:$S$100,2,FALSE), " ")</f>
        <v xml:space="preserve"> </v>
      </c>
      <c r="AG156" s="55"/>
      <c r="AH156" s="32"/>
      <c r="AI156" s="32"/>
      <c r="AJ156" s="55"/>
      <c r="AK156" s="32"/>
      <c r="AL156" s="32"/>
      <c r="AM156" s="32"/>
      <c r="AN156" s="32"/>
      <c r="AO156" s="32"/>
      <c r="AP156" s="31"/>
      <c r="AQ156" s="31"/>
      <c r="AR156" s="54"/>
      <c r="AS156" s="21" t="str">
        <f>IFERROR(VLOOKUP(March[[#This Row],[Drug Name4]],'Data Options'!$R$1:$S$100,2,FALSE), " ")</f>
        <v xml:space="preserve"> </v>
      </c>
      <c r="AT156" s="55"/>
      <c r="AU156" s="32"/>
      <c r="AV156" s="32"/>
      <c r="AW156" s="55"/>
      <c r="AX156" s="32"/>
      <c r="AY156" s="54"/>
      <c r="AZ156" s="21" t="str">
        <f>IFERROR(VLOOKUP(March[[#This Row],[Drug Name5]],'Data Options'!$R$1:$S$100,2,FALSE), " ")</f>
        <v xml:space="preserve"> </v>
      </c>
      <c r="BA156" s="55"/>
      <c r="BB156" s="32"/>
      <c r="BC156" s="32"/>
      <c r="BD156" s="55"/>
      <c r="BE156" s="32"/>
      <c r="BF156" s="54"/>
      <c r="BG156" s="21" t="str">
        <f>IFERROR(VLOOKUP(March[[#This Row],[Drug Name6]],'Data Options'!$R$1:$S$100,2,FALSE), " ")</f>
        <v xml:space="preserve"> </v>
      </c>
      <c r="BH156" s="55"/>
      <c r="BI156" s="32"/>
      <c r="BJ156" s="32"/>
      <c r="BK156" s="55"/>
      <c r="BL156" s="32"/>
      <c r="BM156" s="32"/>
      <c r="BN156" s="32"/>
      <c r="BO156" s="32"/>
      <c r="BP156" s="32"/>
      <c r="BQ156" s="31"/>
      <c r="BR156" s="31"/>
      <c r="BS156" s="54"/>
      <c r="BT156" s="21" t="str">
        <f>IFERROR(VLOOKUP(March[[#This Row],[Drug Name7]],'Data Options'!$R$1:$S$100,2,FALSE), " ")</f>
        <v xml:space="preserve"> </v>
      </c>
      <c r="BU156" s="55"/>
      <c r="BV156" s="32"/>
      <c r="BW156" s="32"/>
      <c r="BX156" s="55"/>
      <c r="BY156" s="32"/>
      <c r="BZ156" s="54"/>
      <c r="CA156" s="21" t="str">
        <f>IFERROR(VLOOKUP(March[[#This Row],[Drug Name8]],'Data Options'!$R$1:$S$100,2,FALSE), " ")</f>
        <v xml:space="preserve"> </v>
      </c>
      <c r="CB156" s="55"/>
      <c r="CC156" s="32"/>
      <c r="CD156" s="32"/>
      <c r="CE156" s="55"/>
      <c r="CF156" s="32"/>
      <c r="CG156" s="54"/>
      <c r="CH156" s="21" t="str">
        <f>IFERROR(VLOOKUP(March[[#This Row],[Drug Name9]],'Data Options'!$R$1:$S$100,2,FALSE), " ")</f>
        <v xml:space="preserve"> </v>
      </c>
      <c r="CI156" s="55"/>
      <c r="CJ156" s="32"/>
      <c r="CK156" s="32"/>
      <c r="CL156" s="55"/>
      <c r="CM156" s="32"/>
    </row>
    <row r="157" spans="1:91">
      <c r="A157" s="5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1"/>
      <c r="P157" s="31"/>
      <c r="Q157" s="54"/>
      <c r="R157" s="21" t="str">
        <f>IFERROR(VLOOKUP(March[[#This Row],[Drug Name]],'Data Options'!$R$1:$S$100,2,FALSE), " ")</f>
        <v xml:space="preserve"> </v>
      </c>
      <c r="S157" s="55"/>
      <c r="T157" s="32"/>
      <c r="U157" s="32"/>
      <c r="V157" s="55"/>
      <c r="W157" s="32"/>
      <c r="X157" s="54"/>
      <c r="Y157" s="21" t="str">
        <f>IFERROR(VLOOKUP(March[[#This Row],[Drug Name2]],'Data Options'!$R$1:$S$100,2,FALSE), " ")</f>
        <v xml:space="preserve"> </v>
      </c>
      <c r="Z157" s="55"/>
      <c r="AA157" s="32"/>
      <c r="AB157" s="32"/>
      <c r="AC157" s="55"/>
      <c r="AD157" s="32"/>
      <c r="AE157" s="54"/>
      <c r="AF157" s="21" t="str">
        <f>IFERROR(VLOOKUP(March[[#This Row],[Drug Name3]],'Data Options'!$R$1:$S$100,2,FALSE), " ")</f>
        <v xml:space="preserve"> </v>
      </c>
      <c r="AG157" s="55"/>
      <c r="AH157" s="32"/>
      <c r="AI157" s="32"/>
      <c r="AJ157" s="55"/>
      <c r="AK157" s="32"/>
      <c r="AL157" s="32"/>
      <c r="AM157" s="32"/>
      <c r="AN157" s="32"/>
      <c r="AO157" s="32"/>
      <c r="AP157" s="31"/>
      <c r="AQ157" s="31"/>
      <c r="AR157" s="54"/>
      <c r="AS157" s="21" t="str">
        <f>IFERROR(VLOOKUP(March[[#This Row],[Drug Name4]],'Data Options'!$R$1:$S$100,2,FALSE), " ")</f>
        <v xml:space="preserve"> </v>
      </c>
      <c r="AT157" s="55"/>
      <c r="AU157" s="32"/>
      <c r="AV157" s="32"/>
      <c r="AW157" s="55"/>
      <c r="AX157" s="32"/>
      <c r="AY157" s="54"/>
      <c r="AZ157" s="21" t="str">
        <f>IFERROR(VLOOKUP(March[[#This Row],[Drug Name5]],'Data Options'!$R$1:$S$100,2,FALSE), " ")</f>
        <v xml:space="preserve"> </v>
      </c>
      <c r="BA157" s="55"/>
      <c r="BB157" s="32"/>
      <c r="BC157" s="32"/>
      <c r="BD157" s="55"/>
      <c r="BE157" s="32"/>
      <c r="BF157" s="54"/>
      <c r="BG157" s="21" t="str">
        <f>IFERROR(VLOOKUP(March[[#This Row],[Drug Name6]],'Data Options'!$R$1:$S$100,2,FALSE), " ")</f>
        <v xml:space="preserve"> </v>
      </c>
      <c r="BH157" s="55"/>
      <c r="BI157" s="32"/>
      <c r="BJ157" s="32"/>
      <c r="BK157" s="55"/>
      <c r="BL157" s="32"/>
      <c r="BM157" s="32"/>
      <c r="BN157" s="32"/>
      <c r="BO157" s="32"/>
      <c r="BP157" s="32"/>
      <c r="BQ157" s="31"/>
      <c r="BR157" s="31"/>
      <c r="BS157" s="54"/>
      <c r="BT157" s="21" t="str">
        <f>IFERROR(VLOOKUP(March[[#This Row],[Drug Name7]],'Data Options'!$R$1:$S$100,2,FALSE), " ")</f>
        <v xml:space="preserve"> </v>
      </c>
      <c r="BU157" s="55"/>
      <c r="BV157" s="32"/>
      <c r="BW157" s="32"/>
      <c r="BX157" s="55"/>
      <c r="BY157" s="32"/>
      <c r="BZ157" s="54"/>
      <c r="CA157" s="21" t="str">
        <f>IFERROR(VLOOKUP(March[[#This Row],[Drug Name8]],'Data Options'!$R$1:$S$100,2,FALSE), " ")</f>
        <v xml:space="preserve"> </v>
      </c>
      <c r="CB157" s="55"/>
      <c r="CC157" s="32"/>
      <c r="CD157" s="32"/>
      <c r="CE157" s="55"/>
      <c r="CF157" s="32"/>
      <c r="CG157" s="54"/>
      <c r="CH157" s="21" t="str">
        <f>IFERROR(VLOOKUP(March[[#This Row],[Drug Name9]],'Data Options'!$R$1:$S$100,2,FALSE), " ")</f>
        <v xml:space="preserve"> </v>
      </c>
      <c r="CI157" s="55"/>
      <c r="CJ157" s="32"/>
      <c r="CK157" s="32"/>
      <c r="CL157" s="55"/>
      <c r="CM157" s="32"/>
    </row>
    <row r="158" spans="1:91">
      <c r="A158" s="5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1"/>
      <c r="P158" s="31"/>
      <c r="Q158" s="54"/>
      <c r="R158" s="21" t="str">
        <f>IFERROR(VLOOKUP(March[[#This Row],[Drug Name]],'Data Options'!$R$1:$S$100,2,FALSE), " ")</f>
        <v xml:space="preserve"> </v>
      </c>
      <c r="S158" s="55"/>
      <c r="T158" s="32"/>
      <c r="U158" s="32"/>
      <c r="V158" s="55"/>
      <c r="W158" s="32"/>
      <c r="X158" s="54"/>
      <c r="Y158" s="21" t="str">
        <f>IFERROR(VLOOKUP(March[[#This Row],[Drug Name2]],'Data Options'!$R$1:$S$100,2,FALSE), " ")</f>
        <v xml:space="preserve"> </v>
      </c>
      <c r="Z158" s="55"/>
      <c r="AA158" s="32"/>
      <c r="AB158" s="32"/>
      <c r="AC158" s="55"/>
      <c r="AD158" s="32"/>
      <c r="AE158" s="54"/>
      <c r="AF158" s="21" t="str">
        <f>IFERROR(VLOOKUP(March[[#This Row],[Drug Name3]],'Data Options'!$R$1:$S$100,2,FALSE), " ")</f>
        <v xml:space="preserve"> </v>
      </c>
      <c r="AG158" s="55"/>
      <c r="AH158" s="32"/>
      <c r="AI158" s="32"/>
      <c r="AJ158" s="55"/>
      <c r="AK158" s="32"/>
      <c r="AL158" s="32"/>
      <c r="AM158" s="32"/>
      <c r="AN158" s="32"/>
      <c r="AO158" s="32"/>
      <c r="AP158" s="31"/>
      <c r="AQ158" s="31"/>
      <c r="AR158" s="54"/>
      <c r="AS158" s="21" t="str">
        <f>IFERROR(VLOOKUP(March[[#This Row],[Drug Name4]],'Data Options'!$R$1:$S$100,2,FALSE), " ")</f>
        <v xml:space="preserve"> </v>
      </c>
      <c r="AT158" s="55"/>
      <c r="AU158" s="32"/>
      <c r="AV158" s="32"/>
      <c r="AW158" s="55"/>
      <c r="AX158" s="32"/>
      <c r="AY158" s="54"/>
      <c r="AZ158" s="21" t="str">
        <f>IFERROR(VLOOKUP(March[[#This Row],[Drug Name5]],'Data Options'!$R$1:$S$100,2,FALSE), " ")</f>
        <v xml:space="preserve"> </v>
      </c>
      <c r="BA158" s="55"/>
      <c r="BB158" s="32"/>
      <c r="BC158" s="32"/>
      <c r="BD158" s="55"/>
      <c r="BE158" s="32"/>
      <c r="BF158" s="54"/>
      <c r="BG158" s="21" t="str">
        <f>IFERROR(VLOOKUP(March[[#This Row],[Drug Name6]],'Data Options'!$R$1:$S$100,2,FALSE), " ")</f>
        <v xml:space="preserve"> </v>
      </c>
      <c r="BH158" s="55"/>
      <c r="BI158" s="32"/>
      <c r="BJ158" s="32"/>
      <c r="BK158" s="55"/>
      <c r="BL158" s="32"/>
      <c r="BM158" s="32"/>
      <c r="BN158" s="32"/>
      <c r="BO158" s="32"/>
      <c r="BP158" s="32"/>
      <c r="BQ158" s="31"/>
      <c r="BR158" s="31"/>
      <c r="BS158" s="54"/>
      <c r="BT158" s="21" t="str">
        <f>IFERROR(VLOOKUP(March[[#This Row],[Drug Name7]],'Data Options'!$R$1:$S$100,2,FALSE), " ")</f>
        <v xml:space="preserve"> </v>
      </c>
      <c r="BU158" s="55"/>
      <c r="BV158" s="32"/>
      <c r="BW158" s="32"/>
      <c r="BX158" s="55"/>
      <c r="BY158" s="32"/>
      <c r="BZ158" s="54"/>
      <c r="CA158" s="21" t="str">
        <f>IFERROR(VLOOKUP(March[[#This Row],[Drug Name8]],'Data Options'!$R$1:$S$100,2,FALSE), " ")</f>
        <v xml:space="preserve"> </v>
      </c>
      <c r="CB158" s="55"/>
      <c r="CC158" s="32"/>
      <c r="CD158" s="32"/>
      <c r="CE158" s="55"/>
      <c r="CF158" s="32"/>
      <c r="CG158" s="54"/>
      <c r="CH158" s="21" t="str">
        <f>IFERROR(VLOOKUP(March[[#This Row],[Drug Name9]],'Data Options'!$R$1:$S$100,2,FALSE), " ")</f>
        <v xml:space="preserve"> </v>
      </c>
      <c r="CI158" s="55"/>
      <c r="CJ158" s="32"/>
      <c r="CK158" s="32"/>
      <c r="CL158" s="55"/>
      <c r="CM158" s="32"/>
    </row>
    <row r="159" spans="1:91">
      <c r="A159" s="5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1"/>
      <c r="P159" s="31"/>
      <c r="Q159" s="54"/>
      <c r="R159" s="21" t="str">
        <f>IFERROR(VLOOKUP(March[[#This Row],[Drug Name]],'Data Options'!$R$1:$S$100,2,FALSE), " ")</f>
        <v xml:space="preserve"> </v>
      </c>
      <c r="S159" s="55"/>
      <c r="T159" s="32"/>
      <c r="U159" s="32"/>
      <c r="V159" s="55"/>
      <c r="W159" s="32"/>
      <c r="X159" s="54"/>
      <c r="Y159" s="21" t="str">
        <f>IFERROR(VLOOKUP(March[[#This Row],[Drug Name2]],'Data Options'!$R$1:$S$100,2,FALSE), " ")</f>
        <v xml:space="preserve"> </v>
      </c>
      <c r="Z159" s="55"/>
      <c r="AA159" s="32"/>
      <c r="AB159" s="32"/>
      <c r="AC159" s="55"/>
      <c r="AD159" s="32"/>
      <c r="AE159" s="54"/>
      <c r="AF159" s="21" t="str">
        <f>IFERROR(VLOOKUP(March[[#This Row],[Drug Name3]],'Data Options'!$R$1:$S$100,2,FALSE), " ")</f>
        <v xml:space="preserve"> </v>
      </c>
      <c r="AG159" s="55"/>
      <c r="AH159" s="32"/>
      <c r="AI159" s="32"/>
      <c r="AJ159" s="55"/>
      <c r="AK159" s="32"/>
      <c r="AL159" s="32"/>
      <c r="AM159" s="32"/>
      <c r="AN159" s="32"/>
      <c r="AO159" s="32"/>
      <c r="AP159" s="31"/>
      <c r="AQ159" s="31"/>
      <c r="AR159" s="54"/>
      <c r="AS159" s="21" t="str">
        <f>IFERROR(VLOOKUP(March[[#This Row],[Drug Name4]],'Data Options'!$R$1:$S$100,2,FALSE), " ")</f>
        <v xml:space="preserve"> </v>
      </c>
      <c r="AT159" s="55"/>
      <c r="AU159" s="32"/>
      <c r="AV159" s="32"/>
      <c r="AW159" s="55"/>
      <c r="AX159" s="32"/>
      <c r="AY159" s="54"/>
      <c r="AZ159" s="21" t="str">
        <f>IFERROR(VLOOKUP(March[[#This Row],[Drug Name5]],'Data Options'!$R$1:$S$100,2,FALSE), " ")</f>
        <v xml:space="preserve"> </v>
      </c>
      <c r="BA159" s="55"/>
      <c r="BB159" s="32"/>
      <c r="BC159" s="32"/>
      <c r="BD159" s="55"/>
      <c r="BE159" s="32"/>
      <c r="BF159" s="54"/>
      <c r="BG159" s="21" t="str">
        <f>IFERROR(VLOOKUP(March[[#This Row],[Drug Name6]],'Data Options'!$R$1:$S$100,2,FALSE), " ")</f>
        <v xml:space="preserve"> </v>
      </c>
      <c r="BH159" s="55"/>
      <c r="BI159" s="32"/>
      <c r="BJ159" s="32"/>
      <c r="BK159" s="55"/>
      <c r="BL159" s="32"/>
      <c r="BM159" s="32"/>
      <c r="BN159" s="32"/>
      <c r="BO159" s="32"/>
      <c r="BP159" s="32"/>
      <c r="BQ159" s="31"/>
      <c r="BR159" s="31"/>
      <c r="BS159" s="54"/>
      <c r="BT159" s="21" t="str">
        <f>IFERROR(VLOOKUP(March[[#This Row],[Drug Name7]],'Data Options'!$R$1:$S$100,2,FALSE), " ")</f>
        <v xml:space="preserve"> </v>
      </c>
      <c r="BU159" s="55"/>
      <c r="BV159" s="32"/>
      <c r="BW159" s="32"/>
      <c r="BX159" s="55"/>
      <c r="BY159" s="32"/>
      <c r="BZ159" s="54"/>
      <c r="CA159" s="21" t="str">
        <f>IFERROR(VLOOKUP(March[[#This Row],[Drug Name8]],'Data Options'!$R$1:$S$100,2,FALSE), " ")</f>
        <v xml:space="preserve"> </v>
      </c>
      <c r="CB159" s="55"/>
      <c r="CC159" s="32"/>
      <c r="CD159" s="32"/>
      <c r="CE159" s="55"/>
      <c r="CF159" s="32"/>
      <c r="CG159" s="54"/>
      <c r="CH159" s="21" t="str">
        <f>IFERROR(VLOOKUP(March[[#This Row],[Drug Name9]],'Data Options'!$R$1:$S$100,2,FALSE), " ")</f>
        <v xml:space="preserve"> </v>
      </c>
      <c r="CI159" s="55"/>
      <c r="CJ159" s="32"/>
      <c r="CK159" s="32"/>
      <c r="CL159" s="55"/>
      <c r="CM159" s="32"/>
    </row>
    <row r="160" spans="1:91">
      <c r="A160" s="5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1"/>
      <c r="P160" s="31"/>
      <c r="Q160" s="54"/>
      <c r="R160" s="21" t="str">
        <f>IFERROR(VLOOKUP(March[[#This Row],[Drug Name]],'Data Options'!$R$1:$S$100,2,FALSE), " ")</f>
        <v xml:space="preserve"> </v>
      </c>
      <c r="S160" s="55"/>
      <c r="T160" s="32"/>
      <c r="U160" s="32"/>
      <c r="V160" s="55"/>
      <c r="W160" s="32"/>
      <c r="X160" s="54"/>
      <c r="Y160" s="21" t="str">
        <f>IFERROR(VLOOKUP(March[[#This Row],[Drug Name2]],'Data Options'!$R$1:$S$100,2,FALSE), " ")</f>
        <v xml:space="preserve"> </v>
      </c>
      <c r="Z160" s="55"/>
      <c r="AA160" s="32"/>
      <c r="AB160" s="32"/>
      <c r="AC160" s="55"/>
      <c r="AD160" s="32"/>
      <c r="AE160" s="54"/>
      <c r="AF160" s="21" t="str">
        <f>IFERROR(VLOOKUP(March[[#This Row],[Drug Name3]],'Data Options'!$R$1:$S$100,2,FALSE), " ")</f>
        <v xml:space="preserve"> </v>
      </c>
      <c r="AG160" s="55"/>
      <c r="AH160" s="32"/>
      <c r="AI160" s="32"/>
      <c r="AJ160" s="55"/>
      <c r="AK160" s="32"/>
      <c r="AL160" s="32"/>
      <c r="AM160" s="32"/>
      <c r="AN160" s="32"/>
      <c r="AO160" s="32"/>
      <c r="AP160" s="31"/>
      <c r="AQ160" s="31"/>
      <c r="AR160" s="54"/>
      <c r="AS160" s="21" t="str">
        <f>IFERROR(VLOOKUP(March[[#This Row],[Drug Name4]],'Data Options'!$R$1:$S$100,2,FALSE), " ")</f>
        <v xml:space="preserve"> </v>
      </c>
      <c r="AT160" s="55"/>
      <c r="AU160" s="32"/>
      <c r="AV160" s="32"/>
      <c r="AW160" s="55"/>
      <c r="AX160" s="32"/>
      <c r="AY160" s="54"/>
      <c r="AZ160" s="21" t="str">
        <f>IFERROR(VLOOKUP(March[[#This Row],[Drug Name5]],'Data Options'!$R$1:$S$100,2,FALSE), " ")</f>
        <v xml:space="preserve"> </v>
      </c>
      <c r="BA160" s="55"/>
      <c r="BB160" s="32"/>
      <c r="BC160" s="32"/>
      <c r="BD160" s="55"/>
      <c r="BE160" s="32"/>
      <c r="BF160" s="54"/>
      <c r="BG160" s="21" t="str">
        <f>IFERROR(VLOOKUP(March[[#This Row],[Drug Name6]],'Data Options'!$R$1:$S$100,2,FALSE), " ")</f>
        <v xml:space="preserve"> </v>
      </c>
      <c r="BH160" s="55"/>
      <c r="BI160" s="32"/>
      <c r="BJ160" s="32"/>
      <c r="BK160" s="55"/>
      <c r="BL160" s="32"/>
      <c r="BM160" s="32"/>
      <c r="BN160" s="32"/>
      <c r="BO160" s="32"/>
      <c r="BP160" s="32"/>
      <c r="BQ160" s="31"/>
      <c r="BR160" s="31"/>
      <c r="BS160" s="54"/>
      <c r="BT160" s="21" t="str">
        <f>IFERROR(VLOOKUP(March[[#This Row],[Drug Name7]],'Data Options'!$R$1:$S$100,2,FALSE), " ")</f>
        <v xml:space="preserve"> </v>
      </c>
      <c r="BU160" s="55"/>
      <c r="BV160" s="32"/>
      <c r="BW160" s="32"/>
      <c r="BX160" s="55"/>
      <c r="BY160" s="32"/>
      <c r="BZ160" s="54"/>
      <c r="CA160" s="21" t="str">
        <f>IFERROR(VLOOKUP(March[[#This Row],[Drug Name8]],'Data Options'!$R$1:$S$100,2,FALSE), " ")</f>
        <v xml:space="preserve"> </v>
      </c>
      <c r="CB160" s="55"/>
      <c r="CC160" s="32"/>
      <c r="CD160" s="32"/>
      <c r="CE160" s="55"/>
      <c r="CF160" s="32"/>
      <c r="CG160" s="54"/>
      <c r="CH160" s="21" t="str">
        <f>IFERROR(VLOOKUP(March[[#This Row],[Drug Name9]],'Data Options'!$R$1:$S$100,2,FALSE), " ")</f>
        <v xml:space="preserve"> </v>
      </c>
      <c r="CI160" s="55"/>
      <c r="CJ160" s="32"/>
      <c r="CK160" s="32"/>
      <c r="CL160" s="55"/>
      <c r="CM160" s="32"/>
    </row>
    <row r="161" spans="1:91">
      <c r="A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1"/>
      <c r="P161" s="31"/>
      <c r="Q161" s="54"/>
      <c r="R161" s="21" t="str">
        <f>IFERROR(VLOOKUP(March[[#This Row],[Drug Name]],'Data Options'!$R$1:$S$100,2,FALSE), " ")</f>
        <v xml:space="preserve"> </v>
      </c>
      <c r="S161" s="55"/>
      <c r="T161" s="32"/>
      <c r="U161" s="32"/>
      <c r="V161" s="55"/>
      <c r="W161" s="32"/>
      <c r="X161" s="54"/>
      <c r="Y161" s="21" t="str">
        <f>IFERROR(VLOOKUP(March[[#This Row],[Drug Name2]],'Data Options'!$R$1:$S$100,2,FALSE), " ")</f>
        <v xml:space="preserve"> </v>
      </c>
      <c r="Z161" s="55"/>
      <c r="AA161" s="32"/>
      <c r="AB161" s="32"/>
      <c r="AC161" s="55"/>
      <c r="AD161" s="32"/>
      <c r="AE161" s="54"/>
      <c r="AF161" s="21" t="str">
        <f>IFERROR(VLOOKUP(March[[#This Row],[Drug Name3]],'Data Options'!$R$1:$S$100,2,FALSE), " ")</f>
        <v xml:space="preserve"> </v>
      </c>
      <c r="AG161" s="55"/>
      <c r="AH161" s="32"/>
      <c r="AI161" s="32"/>
      <c r="AJ161" s="55"/>
      <c r="AK161" s="32"/>
      <c r="AL161" s="32"/>
      <c r="AM161" s="32"/>
      <c r="AN161" s="32"/>
      <c r="AO161" s="32"/>
      <c r="AP161" s="31"/>
      <c r="AQ161" s="31"/>
      <c r="AR161" s="54"/>
      <c r="AS161" s="21" t="str">
        <f>IFERROR(VLOOKUP(March[[#This Row],[Drug Name4]],'Data Options'!$R$1:$S$100,2,FALSE), " ")</f>
        <v xml:space="preserve"> </v>
      </c>
      <c r="AT161" s="55"/>
      <c r="AU161" s="32"/>
      <c r="AV161" s="32"/>
      <c r="AW161" s="55"/>
      <c r="AX161" s="32"/>
      <c r="AY161" s="54"/>
      <c r="AZ161" s="21" t="str">
        <f>IFERROR(VLOOKUP(March[[#This Row],[Drug Name5]],'Data Options'!$R$1:$S$100,2,FALSE), " ")</f>
        <v xml:space="preserve"> </v>
      </c>
      <c r="BA161" s="55"/>
      <c r="BB161" s="32"/>
      <c r="BC161" s="32"/>
      <c r="BD161" s="55"/>
      <c r="BE161" s="32"/>
      <c r="BF161" s="54"/>
      <c r="BG161" s="21" t="str">
        <f>IFERROR(VLOOKUP(March[[#This Row],[Drug Name6]],'Data Options'!$R$1:$S$100,2,FALSE), " ")</f>
        <v xml:space="preserve"> </v>
      </c>
      <c r="BH161" s="55"/>
      <c r="BI161" s="32"/>
      <c r="BJ161" s="32"/>
      <c r="BK161" s="55"/>
      <c r="BL161" s="32"/>
      <c r="BM161" s="32"/>
      <c r="BN161" s="32"/>
      <c r="BO161" s="32"/>
      <c r="BP161" s="32"/>
      <c r="BQ161" s="31"/>
      <c r="BR161" s="31"/>
      <c r="BS161" s="54"/>
      <c r="BT161" s="21" t="str">
        <f>IFERROR(VLOOKUP(March[[#This Row],[Drug Name7]],'Data Options'!$R$1:$S$100,2,FALSE), " ")</f>
        <v xml:space="preserve"> </v>
      </c>
      <c r="BU161" s="55"/>
      <c r="BV161" s="32"/>
      <c r="BW161" s="32"/>
      <c r="BX161" s="55"/>
      <c r="BY161" s="32"/>
      <c r="BZ161" s="54"/>
      <c r="CA161" s="21" t="str">
        <f>IFERROR(VLOOKUP(March[[#This Row],[Drug Name8]],'Data Options'!$R$1:$S$100,2,FALSE), " ")</f>
        <v xml:space="preserve"> </v>
      </c>
      <c r="CB161" s="55"/>
      <c r="CC161" s="32"/>
      <c r="CD161" s="32"/>
      <c r="CE161" s="55"/>
      <c r="CF161" s="32"/>
      <c r="CG161" s="54"/>
      <c r="CH161" s="21" t="str">
        <f>IFERROR(VLOOKUP(March[[#This Row],[Drug Name9]],'Data Options'!$R$1:$S$100,2,FALSE), " ")</f>
        <v xml:space="preserve"> </v>
      </c>
      <c r="CI161" s="55"/>
      <c r="CJ161" s="32"/>
      <c r="CK161" s="32"/>
      <c r="CL161" s="55"/>
      <c r="CM161" s="32"/>
    </row>
    <row r="162" spans="1:91">
      <c r="A162" s="5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1"/>
      <c r="P162" s="31"/>
      <c r="Q162" s="54"/>
      <c r="R162" s="21" t="str">
        <f>IFERROR(VLOOKUP(March[[#This Row],[Drug Name]],'Data Options'!$R$1:$S$100,2,FALSE), " ")</f>
        <v xml:space="preserve"> </v>
      </c>
      <c r="S162" s="55"/>
      <c r="T162" s="32"/>
      <c r="U162" s="32"/>
      <c r="V162" s="55"/>
      <c r="W162" s="32"/>
      <c r="X162" s="54"/>
      <c r="Y162" s="21" t="str">
        <f>IFERROR(VLOOKUP(March[[#This Row],[Drug Name2]],'Data Options'!$R$1:$S$100,2,FALSE), " ")</f>
        <v xml:space="preserve"> </v>
      </c>
      <c r="Z162" s="55"/>
      <c r="AA162" s="32"/>
      <c r="AB162" s="32"/>
      <c r="AC162" s="55"/>
      <c r="AD162" s="32"/>
      <c r="AE162" s="54"/>
      <c r="AF162" s="21" t="str">
        <f>IFERROR(VLOOKUP(March[[#This Row],[Drug Name3]],'Data Options'!$R$1:$S$100,2,FALSE), " ")</f>
        <v xml:space="preserve"> </v>
      </c>
      <c r="AG162" s="55"/>
      <c r="AH162" s="32"/>
      <c r="AI162" s="32"/>
      <c r="AJ162" s="55"/>
      <c r="AK162" s="32"/>
      <c r="AL162" s="32"/>
      <c r="AM162" s="32"/>
      <c r="AN162" s="32"/>
      <c r="AO162" s="32"/>
      <c r="AP162" s="31"/>
      <c r="AQ162" s="31"/>
      <c r="AR162" s="54"/>
      <c r="AS162" s="21" t="str">
        <f>IFERROR(VLOOKUP(March[[#This Row],[Drug Name4]],'Data Options'!$R$1:$S$100,2,FALSE), " ")</f>
        <v xml:space="preserve"> </v>
      </c>
      <c r="AT162" s="55"/>
      <c r="AU162" s="32"/>
      <c r="AV162" s="32"/>
      <c r="AW162" s="55"/>
      <c r="AX162" s="32"/>
      <c r="AY162" s="54"/>
      <c r="AZ162" s="21" t="str">
        <f>IFERROR(VLOOKUP(March[[#This Row],[Drug Name5]],'Data Options'!$R$1:$S$100,2,FALSE), " ")</f>
        <v xml:space="preserve"> </v>
      </c>
      <c r="BA162" s="55"/>
      <c r="BB162" s="32"/>
      <c r="BC162" s="32"/>
      <c r="BD162" s="55"/>
      <c r="BE162" s="32"/>
      <c r="BF162" s="54"/>
      <c r="BG162" s="21" t="str">
        <f>IFERROR(VLOOKUP(March[[#This Row],[Drug Name6]],'Data Options'!$R$1:$S$100,2,FALSE), " ")</f>
        <v xml:space="preserve"> </v>
      </c>
      <c r="BH162" s="55"/>
      <c r="BI162" s="32"/>
      <c r="BJ162" s="32"/>
      <c r="BK162" s="55"/>
      <c r="BL162" s="32"/>
      <c r="BM162" s="32"/>
      <c r="BN162" s="32"/>
      <c r="BO162" s="32"/>
      <c r="BP162" s="32"/>
      <c r="BQ162" s="31"/>
      <c r="BR162" s="31"/>
      <c r="BS162" s="54"/>
      <c r="BT162" s="21" t="str">
        <f>IFERROR(VLOOKUP(March[[#This Row],[Drug Name7]],'Data Options'!$R$1:$S$100,2,FALSE), " ")</f>
        <v xml:space="preserve"> </v>
      </c>
      <c r="BU162" s="55"/>
      <c r="BV162" s="32"/>
      <c r="BW162" s="32"/>
      <c r="BX162" s="55"/>
      <c r="BY162" s="32"/>
      <c r="BZ162" s="54"/>
      <c r="CA162" s="21" t="str">
        <f>IFERROR(VLOOKUP(March[[#This Row],[Drug Name8]],'Data Options'!$R$1:$S$100,2,FALSE), " ")</f>
        <v xml:space="preserve"> </v>
      </c>
      <c r="CB162" s="55"/>
      <c r="CC162" s="32"/>
      <c r="CD162" s="32"/>
      <c r="CE162" s="55"/>
      <c r="CF162" s="32"/>
      <c r="CG162" s="54"/>
      <c r="CH162" s="21" t="str">
        <f>IFERROR(VLOOKUP(March[[#This Row],[Drug Name9]],'Data Options'!$R$1:$S$100,2,FALSE), " ")</f>
        <v xml:space="preserve"> </v>
      </c>
      <c r="CI162" s="55"/>
      <c r="CJ162" s="32"/>
      <c r="CK162" s="32"/>
      <c r="CL162" s="55"/>
      <c r="CM162" s="32"/>
    </row>
    <row r="163" spans="1:91">
      <c r="A163" s="5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1"/>
      <c r="P163" s="31"/>
      <c r="Q163" s="54"/>
      <c r="R163" s="21" t="str">
        <f>IFERROR(VLOOKUP(March[[#This Row],[Drug Name]],'Data Options'!$R$1:$S$100,2,FALSE), " ")</f>
        <v xml:space="preserve"> </v>
      </c>
      <c r="S163" s="55"/>
      <c r="T163" s="32"/>
      <c r="U163" s="32"/>
      <c r="V163" s="55"/>
      <c r="W163" s="32"/>
      <c r="X163" s="54"/>
      <c r="Y163" s="21" t="str">
        <f>IFERROR(VLOOKUP(March[[#This Row],[Drug Name2]],'Data Options'!$R$1:$S$100,2,FALSE), " ")</f>
        <v xml:space="preserve"> </v>
      </c>
      <c r="Z163" s="55"/>
      <c r="AA163" s="32"/>
      <c r="AB163" s="32"/>
      <c r="AC163" s="55"/>
      <c r="AD163" s="32"/>
      <c r="AE163" s="54"/>
      <c r="AF163" s="21" t="str">
        <f>IFERROR(VLOOKUP(March[[#This Row],[Drug Name3]],'Data Options'!$R$1:$S$100,2,FALSE), " ")</f>
        <v xml:space="preserve"> </v>
      </c>
      <c r="AG163" s="55"/>
      <c r="AH163" s="32"/>
      <c r="AI163" s="32"/>
      <c r="AJ163" s="55"/>
      <c r="AK163" s="32"/>
      <c r="AL163" s="32"/>
      <c r="AM163" s="32"/>
      <c r="AN163" s="32"/>
      <c r="AO163" s="32"/>
      <c r="AP163" s="31"/>
      <c r="AQ163" s="31"/>
      <c r="AR163" s="54"/>
      <c r="AS163" s="21" t="str">
        <f>IFERROR(VLOOKUP(March[[#This Row],[Drug Name4]],'Data Options'!$R$1:$S$100,2,FALSE), " ")</f>
        <v xml:space="preserve"> </v>
      </c>
      <c r="AT163" s="55"/>
      <c r="AU163" s="32"/>
      <c r="AV163" s="32"/>
      <c r="AW163" s="55"/>
      <c r="AX163" s="32"/>
      <c r="AY163" s="54"/>
      <c r="AZ163" s="21" t="str">
        <f>IFERROR(VLOOKUP(March[[#This Row],[Drug Name5]],'Data Options'!$R$1:$S$100,2,FALSE), " ")</f>
        <v xml:space="preserve"> </v>
      </c>
      <c r="BA163" s="55"/>
      <c r="BB163" s="32"/>
      <c r="BC163" s="32"/>
      <c r="BD163" s="55"/>
      <c r="BE163" s="32"/>
      <c r="BF163" s="54"/>
      <c r="BG163" s="21" t="str">
        <f>IFERROR(VLOOKUP(March[[#This Row],[Drug Name6]],'Data Options'!$R$1:$S$100,2,FALSE), " ")</f>
        <v xml:space="preserve"> </v>
      </c>
      <c r="BH163" s="55"/>
      <c r="BI163" s="32"/>
      <c r="BJ163" s="32"/>
      <c r="BK163" s="55"/>
      <c r="BL163" s="32"/>
      <c r="BM163" s="32"/>
      <c r="BN163" s="32"/>
      <c r="BO163" s="32"/>
      <c r="BP163" s="32"/>
      <c r="BQ163" s="31"/>
      <c r="BR163" s="31"/>
      <c r="BS163" s="54"/>
      <c r="BT163" s="21" t="str">
        <f>IFERROR(VLOOKUP(March[[#This Row],[Drug Name7]],'Data Options'!$R$1:$S$100,2,FALSE), " ")</f>
        <v xml:space="preserve"> </v>
      </c>
      <c r="BU163" s="55"/>
      <c r="BV163" s="32"/>
      <c r="BW163" s="32"/>
      <c r="BX163" s="55"/>
      <c r="BY163" s="32"/>
      <c r="BZ163" s="54"/>
      <c r="CA163" s="21" t="str">
        <f>IFERROR(VLOOKUP(March[[#This Row],[Drug Name8]],'Data Options'!$R$1:$S$100,2,FALSE), " ")</f>
        <v xml:space="preserve"> </v>
      </c>
      <c r="CB163" s="55"/>
      <c r="CC163" s="32"/>
      <c r="CD163" s="32"/>
      <c r="CE163" s="55"/>
      <c r="CF163" s="32"/>
      <c r="CG163" s="54"/>
      <c r="CH163" s="21" t="str">
        <f>IFERROR(VLOOKUP(March[[#This Row],[Drug Name9]],'Data Options'!$R$1:$S$100,2,FALSE), " ")</f>
        <v xml:space="preserve"> </v>
      </c>
      <c r="CI163" s="55"/>
      <c r="CJ163" s="32"/>
      <c r="CK163" s="32"/>
      <c r="CL163" s="55"/>
      <c r="CM163" s="32"/>
    </row>
    <row r="164" spans="1:91">
      <c r="A164" s="5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1"/>
      <c r="P164" s="31"/>
      <c r="Q164" s="54"/>
      <c r="R164" s="21" t="str">
        <f>IFERROR(VLOOKUP(March[[#This Row],[Drug Name]],'Data Options'!$R$1:$S$100,2,FALSE), " ")</f>
        <v xml:space="preserve"> </v>
      </c>
      <c r="S164" s="55"/>
      <c r="T164" s="32"/>
      <c r="U164" s="32"/>
      <c r="V164" s="55"/>
      <c r="W164" s="32"/>
      <c r="X164" s="54"/>
      <c r="Y164" s="21" t="str">
        <f>IFERROR(VLOOKUP(March[[#This Row],[Drug Name2]],'Data Options'!$R$1:$S$100,2,FALSE), " ")</f>
        <v xml:space="preserve"> </v>
      </c>
      <c r="Z164" s="55"/>
      <c r="AA164" s="32"/>
      <c r="AB164" s="32"/>
      <c r="AC164" s="55"/>
      <c r="AD164" s="32"/>
      <c r="AE164" s="54"/>
      <c r="AF164" s="21" t="str">
        <f>IFERROR(VLOOKUP(March[[#This Row],[Drug Name3]],'Data Options'!$R$1:$S$100,2,FALSE), " ")</f>
        <v xml:space="preserve"> </v>
      </c>
      <c r="AG164" s="55"/>
      <c r="AH164" s="32"/>
      <c r="AI164" s="32"/>
      <c r="AJ164" s="55"/>
      <c r="AK164" s="32"/>
      <c r="AL164" s="32"/>
      <c r="AM164" s="32"/>
      <c r="AN164" s="32"/>
      <c r="AO164" s="32"/>
      <c r="AP164" s="31"/>
      <c r="AQ164" s="31"/>
      <c r="AR164" s="54"/>
      <c r="AS164" s="21" t="str">
        <f>IFERROR(VLOOKUP(March[[#This Row],[Drug Name4]],'Data Options'!$R$1:$S$100,2,FALSE), " ")</f>
        <v xml:space="preserve"> </v>
      </c>
      <c r="AT164" s="55"/>
      <c r="AU164" s="32"/>
      <c r="AV164" s="32"/>
      <c r="AW164" s="55"/>
      <c r="AX164" s="32"/>
      <c r="AY164" s="54"/>
      <c r="AZ164" s="21" t="str">
        <f>IFERROR(VLOOKUP(March[[#This Row],[Drug Name5]],'Data Options'!$R$1:$S$100,2,FALSE), " ")</f>
        <v xml:space="preserve"> </v>
      </c>
      <c r="BA164" s="55"/>
      <c r="BB164" s="32"/>
      <c r="BC164" s="32"/>
      <c r="BD164" s="55"/>
      <c r="BE164" s="32"/>
      <c r="BF164" s="54"/>
      <c r="BG164" s="21" t="str">
        <f>IFERROR(VLOOKUP(March[[#This Row],[Drug Name6]],'Data Options'!$R$1:$S$100,2,FALSE), " ")</f>
        <v xml:space="preserve"> </v>
      </c>
      <c r="BH164" s="55"/>
      <c r="BI164" s="32"/>
      <c r="BJ164" s="32"/>
      <c r="BK164" s="55"/>
      <c r="BL164" s="32"/>
      <c r="BM164" s="32"/>
      <c r="BN164" s="32"/>
      <c r="BO164" s="32"/>
      <c r="BP164" s="32"/>
      <c r="BQ164" s="31"/>
      <c r="BR164" s="31"/>
      <c r="BS164" s="54"/>
      <c r="BT164" s="21" t="str">
        <f>IFERROR(VLOOKUP(March[[#This Row],[Drug Name7]],'Data Options'!$R$1:$S$100,2,FALSE), " ")</f>
        <v xml:space="preserve"> </v>
      </c>
      <c r="BU164" s="55"/>
      <c r="BV164" s="32"/>
      <c r="BW164" s="32"/>
      <c r="BX164" s="55"/>
      <c r="BY164" s="32"/>
      <c r="BZ164" s="54"/>
      <c r="CA164" s="21" t="str">
        <f>IFERROR(VLOOKUP(March[[#This Row],[Drug Name8]],'Data Options'!$R$1:$S$100,2,FALSE), " ")</f>
        <v xml:space="preserve"> </v>
      </c>
      <c r="CB164" s="55"/>
      <c r="CC164" s="32"/>
      <c r="CD164" s="32"/>
      <c r="CE164" s="55"/>
      <c r="CF164" s="32"/>
      <c r="CG164" s="54"/>
      <c r="CH164" s="21" t="str">
        <f>IFERROR(VLOOKUP(March[[#This Row],[Drug Name9]],'Data Options'!$R$1:$S$100,2,FALSE), " ")</f>
        <v xml:space="preserve"> </v>
      </c>
      <c r="CI164" s="55"/>
      <c r="CJ164" s="32"/>
      <c r="CK164" s="32"/>
      <c r="CL164" s="55"/>
      <c r="CM164" s="32"/>
    </row>
    <row r="165" spans="1:91">
      <c r="A165" s="5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1"/>
      <c r="P165" s="31"/>
      <c r="Q165" s="54"/>
      <c r="R165" s="21" t="str">
        <f>IFERROR(VLOOKUP(March[[#This Row],[Drug Name]],'Data Options'!$R$1:$S$100,2,FALSE), " ")</f>
        <v xml:space="preserve"> </v>
      </c>
      <c r="S165" s="55"/>
      <c r="T165" s="32"/>
      <c r="U165" s="32"/>
      <c r="V165" s="55"/>
      <c r="W165" s="32"/>
      <c r="X165" s="54"/>
      <c r="Y165" s="21" t="str">
        <f>IFERROR(VLOOKUP(March[[#This Row],[Drug Name2]],'Data Options'!$R$1:$S$100,2,FALSE), " ")</f>
        <v xml:space="preserve"> </v>
      </c>
      <c r="Z165" s="55"/>
      <c r="AA165" s="32"/>
      <c r="AB165" s="32"/>
      <c r="AC165" s="55"/>
      <c r="AD165" s="32"/>
      <c r="AE165" s="54"/>
      <c r="AF165" s="21" t="str">
        <f>IFERROR(VLOOKUP(March[[#This Row],[Drug Name3]],'Data Options'!$R$1:$S$100,2,FALSE), " ")</f>
        <v xml:space="preserve"> </v>
      </c>
      <c r="AG165" s="55"/>
      <c r="AH165" s="32"/>
      <c r="AI165" s="32"/>
      <c r="AJ165" s="55"/>
      <c r="AK165" s="32"/>
      <c r="AL165" s="32"/>
      <c r="AM165" s="32"/>
      <c r="AN165" s="32"/>
      <c r="AO165" s="32"/>
      <c r="AP165" s="31"/>
      <c r="AQ165" s="31"/>
      <c r="AR165" s="54"/>
      <c r="AS165" s="21" t="str">
        <f>IFERROR(VLOOKUP(March[[#This Row],[Drug Name4]],'Data Options'!$R$1:$S$100,2,FALSE), " ")</f>
        <v xml:space="preserve"> </v>
      </c>
      <c r="AT165" s="55"/>
      <c r="AU165" s="32"/>
      <c r="AV165" s="32"/>
      <c r="AW165" s="55"/>
      <c r="AX165" s="32"/>
      <c r="AY165" s="54"/>
      <c r="AZ165" s="21" t="str">
        <f>IFERROR(VLOOKUP(March[[#This Row],[Drug Name5]],'Data Options'!$R$1:$S$100,2,FALSE), " ")</f>
        <v xml:space="preserve"> </v>
      </c>
      <c r="BA165" s="55"/>
      <c r="BB165" s="32"/>
      <c r="BC165" s="32"/>
      <c r="BD165" s="55"/>
      <c r="BE165" s="32"/>
      <c r="BF165" s="54"/>
      <c r="BG165" s="21" t="str">
        <f>IFERROR(VLOOKUP(March[[#This Row],[Drug Name6]],'Data Options'!$R$1:$S$100,2,FALSE), " ")</f>
        <v xml:space="preserve"> </v>
      </c>
      <c r="BH165" s="55"/>
      <c r="BI165" s="32"/>
      <c r="BJ165" s="32"/>
      <c r="BK165" s="55"/>
      <c r="BL165" s="32"/>
      <c r="BM165" s="32"/>
      <c r="BN165" s="32"/>
      <c r="BO165" s="32"/>
      <c r="BP165" s="32"/>
      <c r="BQ165" s="31"/>
      <c r="BR165" s="31"/>
      <c r="BS165" s="54"/>
      <c r="BT165" s="21" t="str">
        <f>IFERROR(VLOOKUP(March[[#This Row],[Drug Name7]],'Data Options'!$R$1:$S$100,2,FALSE), " ")</f>
        <v xml:space="preserve"> </v>
      </c>
      <c r="BU165" s="55"/>
      <c r="BV165" s="32"/>
      <c r="BW165" s="32"/>
      <c r="BX165" s="55"/>
      <c r="BY165" s="32"/>
      <c r="BZ165" s="54"/>
      <c r="CA165" s="21" t="str">
        <f>IFERROR(VLOOKUP(March[[#This Row],[Drug Name8]],'Data Options'!$R$1:$S$100,2,FALSE), " ")</f>
        <v xml:space="preserve"> </v>
      </c>
      <c r="CB165" s="55"/>
      <c r="CC165" s="32"/>
      <c r="CD165" s="32"/>
      <c r="CE165" s="55"/>
      <c r="CF165" s="32"/>
      <c r="CG165" s="54"/>
      <c r="CH165" s="21" t="str">
        <f>IFERROR(VLOOKUP(March[[#This Row],[Drug Name9]],'Data Options'!$R$1:$S$100,2,FALSE), " ")</f>
        <v xml:space="preserve"> </v>
      </c>
      <c r="CI165" s="55"/>
      <c r="CJ165" s="32"/>
      <c r="CK165" s="32"/>
      <c r="CL165" s="55"/>
      <c r="CM165" s="32"/>
    </row>
    <row r="166" spans="1:91">
      <c r="A166" s="5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1"/>
      <c r="P166" s="31"/>
      <c r="Q166" s="54"/>
      <c r="R166" s="21" t="str">
        <f>IFERROR(VLOOKUP(March[[#This Row],[Drug Name]],'Data Options'!$R$1:$S$100,2,FALSE), " ")</f>
        <v xml:space="preserve"> </v>
      </c>
      <c r="S166" s="55"/>
      <c r="T166" s="32"/>
      <c r="U166" s="32"/>
      <c r="V166" s="55"/>
      <c r="W166" s="32"/>
      <c r="X166" s="54"/>
      <c r="Y166" s="21" t="str">
        <f>IFERROR(VLOOKUP(March[[#This Row],[Drug Name2]],'Data Options'!$R$1:$S$100,2,FALSE), " ")</f>
        <v xml:space="preserve"> </v>
      </c>
      <c r="Z166" s="55"/>
      <c r="AA166" s="32"/>
      <c r="AB166" s="32"/>
      <c r="AC166" s="55"/>
      <c r="AD166" s="32"/>
      <c r="AE166" s="54"/>
      <c r="AF166" s="21" t="str">
        <f>IFERROR(VLOOKUP(March[[#This Row],[Drug Name3]],'Data Options'!$R$1:$S$100,2,FALSE), " ")</f>
        <v xml:space="preserve"> </v>
      </c>
      <c r="AG166" s="55"/>
      <c r="AH166" s="32"/>
      <c r="AI166" s="32"/>
      <c r="AJ166" s="55"/>
      <c r="AK166" s="32"/>
      <c r="AL166" s="32"/>
      <c r="AM166" s="32"/>
      <c r="AN166" s="32"/>
      <c r="AO166" s="32"/>
      <c r="AP166" s="31"/>
      <c r="AQ166" s="31"/>
      <c r="AR166" s="54"/>
      <c r="AS166" s="21" t="str">
        <f>IFERROR(VLOOKUP(March[[#This Row],[Drug Name4]],'Data Options'!$R$1:$S$100,2,FALSE), " ")</f>
        <v xml:space="preserve"> </v>
      </c>
      <c r="AT166" s="55"/>
      <c r="AU166" s="32"/>
      <c r="AV166" s="32"/>
      <c r="AW166" s="55"/>
      <c r="AX166" s="32"/>
      <c r="AY166" s="54"/>
      <c r="AZ166" s="21" t="str">
        <f>IFERROR(VLOOKUP(March[[#This Row],[Drug Name5]],'Data Options'!$R$1:$S$100,2,FALSE), " ")</f>
        <v xml:space="preserve"> </v>
      </c>
      <c r="BA166" s="55"/>
      <c r="BB166" s="32"/>
      <c r="BC166" s="32"/>
      <c r="BD166" s="55"/>
      <c r="BE166" s="32"/>
      <c r="BF166" s="54"/>
      <c r="BG166" s="21" t="str">
        <f>IFERROR(VLOOKUP(March[[#This Row],[Drug Name6]],'Data Options'!$R$1:$S$100,2,FALSE), " ")</f>
        <v xml:space="preserve"> </v>
      </c>
      <c r="BH166" s="55"/>
      <c r="BI166" s="32"/>
      <c r="BJ166" s="32"/>
      <c r="BK166" s="55"/>
      <c r="BL166" s="32"/>
      <c r="BM166" s="32"/>
      <c r="BN166" s="32"/>
      <c r="BO166" s="32"/>
      <c r="BP166" s="32"/>
      <c r="BQ166" s="31"/>
      <c r="BR166" s="31"/>
      <c r="BS166" s="54"/>
      <c r="BT166" s="21" t="str">
        <f>IFERROR(VLOOKUP(March[[#This Row],[Drug Name7]],'Data Options'!$R$1:$S$100,2,FALSE), " ")</f>
        <v xml:space="preserve"> </v>
      </c>
      <c r="BU166" s="55"/>
      <c r="BV166" s="32"/>
      <c r="BW166" s="32"/>
      <c r="BX166" s="55"/>
      <c r="BY166" s="32"/>
      <c r="BZ166" s="54"/>
      <c r="CA166" s="21" t="str">
        <f>IFERROR(VLOOKUP(March[[#This Row],[Drug Name8]],'Data Options'!$R$1:$S$100,2,FALSE), " ")</f>
        <v xml:space="preserve"> </v>
      </c>
      <c r="CB166" s="55"/>
      <c r="CC166" s="32"/>
      <c r="CD166" s="32"/>
      <c r="CE166" s="55"/>
      <c r="CF166" s="32"/>
      <c r="CG166" s="54"/>
      <c r="CH166" s="21" t="str">
        <f>IFERROR(VLOOKUP(March[[#This Row],[Drug Name9]],'Data Options'!$R$1:$S$100,2,FALSE), " ")</f>
        <v xml:space="preserve"> </v>
      </c>
      <c r="CI166" s="55"/>
      <c r="CJ166" s="32"/>
      <c r="CK166" s="32"/>
      <c r="CL166" s="55"/>
      <c r="CM166" s="32"/>
    </row>
    <row r="167" spans="1:91">
      <c r="A167" s="5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1"/>
      <c r="P167" s="31"/>
      <c r="Q167" s="54"/>
      <c r="R167" s="21" t="str">
        <f>IFERROR(VLOOKUP(March[[#This Row],[Drug Name]],'Data Options'!$R$1:$S$100,2,FALSE), " ")</f>
        <v xml:space="preserve"> </v>
      </c>
      <c r="S167" s="55"/>
      <c r="T167" s="32"/>
      <c r="U167" s="32"/>
      <c r="V167" s="55"/>
      <c r="W167" s="32"/>
      <c r="X167" s="54"/>
      <c r="Y167" s="21" t="str">
        <f>IFERROR(VLOOKUP(March[[#This Row],[Drug Name2]],'Data Options'!$R$1:$S$100,2,FALSE), " ")</f>
        <v xml:space="preserve"> </v>
      </c>
      <c r="Z167" s="55"/>
      <c r="AA167" s="32"/>
      <c r="AB167" s="32"/>
      <c r="AC167" s="55"/>
      <c r="AD167" s="32"/>
      <c r="AE167" s="54"/>
      <c r="AF167" s="21" t="str">
        <f>IFERROR(VLOOKUP(March[[#This Row],[Drug Name3]],'Data Options'!$R$1:$S$100,2,FALSE), " ")</f>
        <v xml:space="preserve"> </v>
      </c>
      <c r="AG167" s="55"/>
      <c r="AH167" s="32"/>
      <c r="AI167" s="32"/>
      <c r="AJ167" s="55"/>
      <c r="AK167" s="32"/>
      <c r="AL167" s="32"/>
      <c r="AM167" s="32"/>
      <c r="AN167" s="32"/>
      <c r="AO167" s="32"/>
      <c r="AP167" s="31"/>
      <c r="AQ167" s="31"/>
      <c r="AR167" s="54"/>
      <c r="AS167" s="21" t="str">
        <f>IFERROR(VLOOKUP(March[[#This Row],[Drug Name4]],'Data Options'!$R$1:$S$100,2,FALSE), " ")</f>
        <v xml:space="preserve"> </v>
      </c>
      <c r="AT167" s="55"/>
      <c r="AU167" s="32"/>
      <c r="AV167" s="32"/>
      <c r="AW167" s="55"/>
      <c r="AX167" s="32"/>
      <c r="AY167" s="54"/>
      <c r="AZ167" s="21" t="str">
        <f>IFERROR(VLOOKUP(March[[#This Row],[Drug Name5]],'Data Options'!$R$1:$S$100,2,FALSE), " ")</f>
        <v xml:space="preserve"> </v>
      </c>
      <c r="BA167" s="55"/>
      <c r="BB167" s="32"/>
      <c r="BC167" s="32"/>
      <c r="BD167" s="55"/>
      <c r="BE167" s="32"/>
      <c r="BF167" s="54"/>
      <c r="BG167" s="21" t="str">
        <f>IFERROR(VLOOKUP(March[[#This Row],[Drug Name6]],'Data Options'!$R$1:$S$100,2,FALSE), " ")</f>
        <v xml:space="preserve"> </v>
      </c>
      <c r="BH167" s="55"/>
      <c r="BI167" s="32"/>
      <c r="BJ167" s="32"/>
      <c r="BK167" s="55"/>
      <c r="BL167" s="32"/>
      <c r="BM167" s="32"/>
      <c r="BN167" s="32"/>
      <c r="BO167" s="32"/>
      <c r="BP167" s="32"/>
      <c r="BQ167" s="31"/>
      <c r="BR167" s="31"/>
      <c r="BS167" s="54"/>
      <c r="BT167" s="21" t="str">
        <f>IFERROR(VLOOKUP(March[[#This Row],[Drug Name7]],'Data Options'!$R$1:$S$100,2,FALSE), " ")</f>
        <v xml:space="preserve"> </v>
      </c>
      <c r="BU167" s="55"/>
      <c r="BV167" s="32"/>
      <c r="BW167" s="32"/>
      <c r="BX167" s="55"/>
      <c r="BY167" s="32"/>
      <c r="BZ167" s="54"/>
      <c r="CA167" s="21" t="str">
        <f>IFERROR(VLOOKUP(March[[#This Row],[Drug Name8]],'Data Options'!$R$1:$S$100,2,FALSE), " ")</f>
        <v xml:space="preserve"> </v>
      </c>
      <c r="CB167" s="55"/>
      <c r="CC167" s="32"/>
      <c r="CD167" s="32"/>
      <c r="CE167" s="55"/>
      <c r="CF167" s="32"/>
      <c r="CG167" s="54"/>
      <c r="CH167" s="21" t="str">
        <f>IFERROR(VLOOKUP(March[[#This Row],[Drug Name9]],'Data Options'!$R$1:$S$100,2,FALSE), " ")</f>
        <v xml:space="preserve"> </v>
      </c>
      <c r="CI167" s="55"/>
      <c r="CJ167" s="32"/>
      <c r="CK167" s="32"/>
      <c r="CL167" s="55"/>
      <c r="CM167" s="32"/>
    </row>
    <row r="168" spans="1:91">
      <c r="A168" s="5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1"/>
      <c r="P168" s="31"/>
      <c r="Q168" s="54"/>
      <c r="R168" s="21" t="str">
        <f>IFERROR(VLOOKUP(March[[#This Row],[Drug Name]],'Data Options'!$R$1:$S$100,2,FALSE), " ")</f>
        <v xml:space="preserve"> </v>
      </c>
      <c r="S168" s="55"/>
      <c r="T168" s="32"/>
      <c r="U168" s="32"/>
      <c r="V168" s="55"/>
      <c r="W168" s="32"/>
      <c r="X168" s="54"/>
      <c r="Y168" s="21" t="str">
        <f>IFERROR(VLOOKUP(March[[#This Row],[Drug Name2]],'Data Options'!$R$1:$S$100,2,FALSE), " ")</f>
        <v xml:space="preserve"> </v>
      </c>
      <c r="Z168" s="55"/>
      <c r="AA168" s="32"/>
      <c r="AB168" s="32"/>
      <c r="AC168" s="55"/>
      <c r="AD168" s="32"/>
      <c r="AE168" s="54"/>
      <c r="AF168" s="21" t="str">
        <f>IFERROR(VLOOKUP(March[[#This Row],[Drug Name3]],'Data Options'!$R$1:$S$100,2,FALSE), " ")</f>
        <v xml:space="preserve"> </v>
      </c>
      <c r="AG168" s="55"/>
      <c r="AH168" s="32"/>
      <c r="AI168" s="32"/>
      <c r="AJ168" s="55"/>
      <c r="AK168" s="32"/>
      <c r="AL168" s="32"/>
      <c r="AM168" s="32"/>
      <c r="AN168" s="32"/>
      <c r="AO168" s="32"/>
      <c r="AP168" s="31"/>
      <c r="AQ168" s="31"/>
      <c r="AR168" s="54"/>
      <c r="AS168" s="21" t="str">
        <f>IFERROR(VLOOKUP(March[[#This Row],[Drug Name4]],'Data Options'!$R$1:$S$100,2,FALSE), " ")</f>
        <v xml:space="preserve"> </v>
      </c>
      <c r="AT168" s="55"/>
      <c r="AU168" s="32"/>
      <c r="AV168" s="32"/>
      <c r="AW168" s="55"/>
      <c r="AX168" s="32"/>
      <c r="AY168" s="54"/>
      <c r="AZ168" s="21" t="str">
        <f>IFERROR(VLOOKUP(March[[#This Row],[Drug Name5]],'Data Options'!$R$1:$S$100,2,FALSE), " ")</f>
        <v xml:space="preserve"> </v>
      </c>
      <c r="BA168" s="55"/>
      <c r="BB168" s="32"/>
      <c r="BC168" s="32"/>
      <c r="BD168" s="55"/>
      <c r="BE168" s="32"/>
      <c r="BF168" s="54"/>
      <c r="BG168" s="21" t="str">
        <f>IFERROR(VLOOKUP(March[[#This Row],[Drug Name6]],'Data Options'!$R$1:$S$100,2,FALSE), " ")</f>
        <v xml:space="preserve"> </v>
      </c>
      <c r="BH168" s="55"/>
      <c r="BI168" s="32"/>
      <c r="BJ168" s="32"/>
      <c r="BK168" s="55"/>
      <c r="BL168" s="32"/>
      <c r="BM168" s="32"/>
      <c r="BN168" s="32"/>
      <c r="BO168" s="32"/>
      <c r="BP168" s="32"/>
      <c r="BQ168" s="31"/>
      <c r="BR168" s="31"/>
      <c r="BS168" s="54"/>
      <c r="BT168" s="21" t="str">
        <f>IFERROR(VLOOKUP(March[[#This Row],[Drug Name7]],'Data Options'!$R$1:$S$100,2,FALSE), " ")</f>
        <v xml:space="preserve"> </v>
      </c>
      <c r="BU168" s="55"/>
      <c r="BV168" s="32"/>
      <c r="BW168" s="32"/>
      <c r="BX168" s="55"/>
      <c r="BY168" s="32"/>
      <c r="BZ168" s="54"/>
      <c r="CA168" s="21" t="str">
        <f>IFERROR(VLOOKUP(March[[#This Row],[Drug Name8]],'Data Options'!$R$1:$S$100,2,FALSE), " ")</f>
        <v xml:space="preserve"> </v>
      </c>
      <c r="CB168" s="55"/>
      <c r="CC168" s="32"/>
      <c r="CD168" s="32"/>
      <c r="CE168" s="55"/>
      <c r="CF168" s="32"/>
      <c r="CG168" s="54"/>
      <c r="CH168" s="21" t="str">
        <f>IFERROR(VLOOKUP(March[[#This Row],[Drug Name9]],'Data Options'!$R$1:$S$100,2,FALSE), " ")</f>
        <v xml:space="preserve"> </v>
      </c>
      <c r="CI168" s="55"/>
      <c r="CJ168" s="32"/>
      <c r="CK168" s="32"/>
      <c r="CL168" s="55"/>
      <c r="CM168" s="32"/>
    </row>
    <row r="169" spans="1:91">
      <c r="A169" s="5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1"/>
      <c r="P169" s="31"/>
      <c r="Q169" s="54"/>
      <c r="R169" s="21" t="str">
        <f>IFERROR(VLOOKUP(March[[#This Row],[Drug Name]],'Data Options'!$R$1:$S$100,2,FALSE), " ")</f>
        <v xml:space="preserve"> </v>
      </c>
      <c r="S169" s="55"/>
      <c r="T169" s="32"/>
      <c r="U169" s="32"/>
      <c r="V169" s="55"/>
      <c r="W169" s="32"/>
      <c r="X169" s="54"/>
      <c r="Y169" s="21" t="str">
        <f>IFERROR(VLOOKUP(March[[#This Row],[Drug Name2]],'Data Options'!$R$1:$S$100,2,FALSE), " ")</f>
        <v xml:space="preserve"> </v>
      </c>
      <c r="Z169" s="55"/>
      <c r="AA169" s="32"/>
      <c r="AB169" s="32"/>
      <c r="AC169" s="55"/>
      <c r="AD169" s="32"/>
      <c r="AE169" s="54"/>
      <c r="AF169" s="21" t="str">
        <f>IFERROR(VLOOKUP(March[[#This Row],[Drug Name3]],'Data Options'!$R$1:$S$100,2,FALSE), " ")</f>
        <v xml:space="preserve"> </v>
      </c>
      <c r="AG169" s="55"/>
      <c r="AH169" s="32"/>
      <c r="AI169" s="32"/>
      <c r="AJ169" s="55"/>
      <c r="AK169" s="32"/>
      <c r="AL169" s="32"/>
      <c r="AM169" s="32"/>
      <c r="AN169" s="32"/>
      <c r="AO169" s="32"/>
      <c r="AP169" s="31"/>
      <c r="AQ169" s="31"/>
      <c r="AR169" s="54"/>
      <c r="AS169" s="21" t="str">
        <f>IFERROR(VLOOKUP(March[[#This Row],[Drug Name4]],'Data Options'!$R$1:$S$100,2,FALSE), " ")</f>
        <v xml:space="preserve"> </v>
      </c>
      <c r="AT169" s="55"/>
      <c r="AU169" s="32"/>
      <c r="AV169" s="32"/>
      <c r="AW169" s="55"/>
      <c r="AX169" s="32"/>
      <c r="AY169" s="54"/>
      <c r="AZ169" s="21" t="str">
        <f>IFERROR(VLOOKUP(March[[#This Row],[Drug Name5]],'Data Options'!$R$1:$S$100,2,FALSE), " ")</f>
        <v xml:space="preserve"> </v>
      </c>
      <c r="BA169" s="55"/>
      <c r="BB169" s="32"/>
      <c r="BC169" s="32"/>
      <c r="BD169" s="55"/>
      <c r="BE169" s="32"/>
      <c r="BF169" s="54"/>
      <c r="BG169" s="21" t="str">
        <f>IFERROR(VLOOKUP(March[[#This Row],[Drug Name6]],'Data Options'!$R$1:$S$100,2,FALSE), " ")</f>
        <v xml:space="preserve"> </v>
      </c>
      <c r="BH169" s="55"/>
      <c r="BI169" s="32"/>
      <c r="BJ169" s="32"/>
      <c r="BK169" s="55"/>
      <c r="BL169" s="32"/>
      <c r="BM169" s="32"/>
      <c r="BN169" s="32"/>
      <c r="BO169" s="32"/>
      <c r="BP169" s="32"/>
      <c r="BQ169" s="31"/>
      <c r="BR169" s="31"/>
      <c r="BS169" s="54"/>
      <c r="BT169" s="21" t="str">
        <f>IFERROR(VLOOKUP(March[[#This Row],[Drug Name7]],'Data Options'!$R$1:$S$100,2,FALSE), " ")</f>
        <v xml:space="preserve"> </v>
      </c>
      <c r="BU169" s="55"/>
      <c r="BV169" s="32"/>
      <c r="BW169" s="32"/>
      <c r="BX169" s="55"/>
      <c r="BY169" s="32"/>
      <c r="BZ169" s="54"/>
      <c r="CA169" s="21" t="str">
        <f>IFERROR(VLOOKUP(March[[#This Row],[Drug Name8]],'Data Options'!$R$1:$S$100,2,FALSE), " ")</f>
        <v xml:space="preserve"> </v>
      </c>
      <c r="CB169" s="55"/>
      <c r="CC169" s="32"/>
      <c r="CD169" s="32"/>
      <c r="CE169" s="55"/>
      <c r="CF169" s="32"/>
      <c r="CG169" s="54"/>
      <c r="CH169" s="21" t="str">
        <f>IFERROR(VLOOKUP(March[[#This Row],[Drug Name9]],'Data Options'!$R$1:$S$100,2,FALSE), " ")</f>
        <v xml:space="preserve"> </v>
      </c>
      <c r="CI169" s="55"/>
      <c r="CJ169" s="32"/>
      <c r="CK169" s="32"/>
      <c r="CL169" s="55"/>
      <c r="CM169" s="32"/>
    </row>
    <row r="170" spans="1:91">
      <c r="A170" s="5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1"/>
      <c r="P170" s="31"/>
      <c r="Q170" s="54"/>
      <c r="R170" s="21" t="str">
        <f>IFERROR(VLOOKUP(March[[#This Row],[Drug Name]],'Data Options'!$R$1:$S$100,2,FALSE), " ")</f>
        <v xml:space="preserve"> </v>
      </c>
      <c r="S170" s="55"/>
      <c r="T170" s="32"/>
      <c r="U170" s="32"/>
      <c r="V170" s="55"/>
      <c r="W170" s="32"/>
      <c r="X170" s="54"/>
      <c r="Y170" s="21" t="str">
        <f>IFERROR(VLOOKUP(March[[#This Row],[Drug Name2]],'Data Options'!$R$1:$S$100,2,FALSE), " ")</f>
        <v xml:space="preserve"> </v>
      </c>
      <c r="Z170" s="55"/>
      <c r="AA170" s="32"/>
      <c r="AB170" s="32"/>
      <c r="AC170" s="55"/>
      <c r="AD170" s="32"/>
      <c r="AE170" s="54"/>
      <c r="AF170" s="21" t="str">
        <f>IFERROR(VLOOKUP(March[[#This Row],[Drug Name3]],'Data Options'!$R$1:$S$100,2,FALSE), " ")</f>
        <v xml:space="preserve"> </v>
      </c>
      <c r="AG170" s="55"/>
      <c r="AH170" s="32"/>
      <c r="AI170" s="32"/>
      <c r="AJ170" s="55"/>
      <c r="AK170" s="32"/>
      <c r="AL170" s="32"/>
      <c r="AM170" s="32"/>
      <c r="AN170" s="32"/>
      <c r="AO170" s="32"/>
      <c r="AP170" s="31"/>
      <c r="AQ170" s="31"/>
      <c r="AR170" s="54"/>
      <c r="AS170" s="21" t="str">
        <f>IFERROR(VLOOKUP(March[[#This Row],[Drug Name4]],'Data Options'!$R$1:$S$100,2,FALSE), " ")</f>
        <v xml:space="preserve"> </v>
      </c>
      <c r="AT170" s="55"/>
      <c r="AU170" s="32"/>
      <c r="AV170" s="32"/>
      <c r="AW170" s="55"/>
      <c r="AX170" s="32"/>
      <c r="AY170" s="54"/>
      <c r="AZ170" s="21" t="str">
        <f>IFERROR(VLOOKUP(March[[#This Row],[Drug Name5]],'Data Options'!$R$1:$S$100,2,FALSE), " ")</f>
        <v xml:space="preserve"> </v>
      </c>
      <c r="BA170" s="55"/>
      <c r="BB170" s="32"/>
      <c r="BC170" s="32"/>
      <c r="BD170" s="55"/>
      <c r="BE170" s="32"/>
      <c r="BF170" s="54"/>
      <c r="BG170" s="21" t="str">
        <f>IFERROR(VLOOKUP(March[[#This Row],[Drug Name6]],'Data Options'!$R$1:$S$100,2,FALSE), " ")</f>
        <v xml:space="preserve"> </v>
      </c>
      <c r="BH170" s="55"/>
      <c r="BI170" s="32"/>
      <c r="BJ170" s="32"/>
      <c r="BK170" s="55"/>
      <c r="BL170" s="32"/>
      <c r="BM170" s="32"/>
      <c r="BN170" s="32"/>
      <c r="BO170" s="32"/>
      <c r="BP170" s="32"/>
      <c r="BQ170" s="31"/>
      <c r="BR170" s="31"/>
      <c r="BS170" s="54"/>
      <c r="BT170" s="21" t="str">
        <f>IFERROR(VLOOKUP(March[[#This Row],[Drug Name7]],'Data Options'!$R$1:$S$100,2,FALSE), " ")</f>
        <v xml:space="preserve"> </v>
      </c>
      <c r="BU170" s="55"/>
      <c r="BV170" s="32"/>
      <c r="BW170" s="32"/>
      <c r="BX170" s="55"/>
      <c r="BY170" s="32"/>
      <c r="BZ170" s="54"/>
      <c r="CA170" s="21" t="str">
        <f>IFERROR(VLOOKUP(March[[#This Row],[Drug Name8]],'Data Options'!$R$1:$S$100,2,FALSE), " ")</f>
        <v xml:space="preserve"> </v>
      </c>
      <c r="CB170" s="55"/>
      <c r="CC170" s="32"/>
      <c r="CD170" s="32"/>
      <c r="CE170" s="55"/>
      <c r="CF170" s="32"/>
      <c r="CG170" s="54"/>
      <c r="CH170" s="21" t="str">
        <f>IFERROR(VLOOKUP(March[[#This Row],[Drug Name9]],'Data Options'!$R$1:$S$100,2,FALSE), " ")</f>
        <v xml:space="preserve"> </v>
      </c>
      <c r="CI170" s="55"/>
      <c r="CJ170" s="32"/>
      <c r="CK170" s="32"/>
      <c r="CL170" s="55"/>
      <c r="CM170" s="32"/>
    </row>
    <row r="171" spans="1:91">
      <c r="A171" s="5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1"/>
      <c r="P171" s="31"/>
      <c r="Q171" s="54"/>
      <c r="R171" s="21" t="str">
        <f>IFERROR(VLOOKUP(March[[#This Row],[Drug Name]],'Data Options'!$R$1:$S$100,2,FALSE), " ")</f>
        <v xml:space="preserve"> </v>
      </c>
      <c r="S171" s="55"/>
      <c r="T171" s="32"/>
      <c r="U171" s="32"/>
      <c r="V171" s="55"/>
      <c r="W171" s="32"/>
      <c r="X171" s="54"/>
      <c r="Y171" s="21" t="str">
        <f>IFERROR(VLOOKUP(March[[#This Row],[Drug Name2]],'Data Options'!$R$1:$S$100,2,FALSE), " ")</f>
        <v xml:space="preserve"> </v>
      </c>
      <c r="Z171" s="55"/>
      <c r="AA171" s="32"/>
      <c r="AB171" s="32"/>
      <c r="AC171" s="55"/>
      <c r="AD171" s="32"/>
      <c r="AE171" s="54"/>
      <c r="AF171" s="21" t="str">
        <f>IFERROR(VLOOKUP(March[[#This Row],[Drug Name3]],'Data Options'!$R$1:$S$100,2,FALSE), " ")</f>
        <v xml:space="preserve"> </v>
      </c>
      <c r="AG171" s="55"/>
      <c r="AH171" s="32"/>
      <c r="AI171" s="32"/>
      <c r="AJ171" s="55"/>
      <c r="AK171" s="32"/>
      <c r="AL171" s="32"/>
      <c r="AM171" s="32"/>
      <c r="AN171" s="32"/>
      <c r="AO171" s="32"/>
      <c r="AP171" s="31"/>
      <c r="AQ171" s="31"/>
      <c r="AR171" s="54"/>
      <c r="AS171" s="21" t="str">
        <f>IFERROR(VLOOKUP(March[[#This Row],[Drug Name4]],'Data Options'!$R$1:$S$100,2,FALSE), " ")</f>
        <v xml:space="preserve"> </v>
      </c>
      <c r="AT171" s="55"/>
      <c r="AU171" s="32"/>
      <c r="AV171" s="32"/>
      <c r="AW171" s="55"/>
      <c r="AX171" s="32"/>
      <c r="AY171" s="54"/>
      <c r="AZ171" s="21" t="str">
        <f>IFERROR(VLOOKUP(March[[#This Row],[Drug Name5]],'Data Options'!$R$1:$S$100,2,FALSE), " ")</f>
        <v xml:space="preserve"> </v>
      </c>
      <c r="BA171" s="55"/>
      <c r="BB171" s="32"/>
      <c r="BC171" s="32"/>
      <c r="BD171" s="55"/>
      <c r="BE171" s="32"/>
      <c r="BF171" s="54"/>
      <c r="BG171" s="21" t="str">
        <f>IFERROR(VLOOKUP(March[[#This Row],[Drug Name6]],'Data Options'!$R$1:$S$100,2,FALSE), " ")</f>
        <v xml:space="preserve"> </v>
      </c>
      <c r="BH171" s="55"/>
      <c r="BI171" s="32"/>
      <c r="BJ171" s="32"/>
      <c r="BK171" s="55"/>
      <c r="BL171" s="32"/>
      <c r="BM171" s="32"/>
      <c r="BN171" s="32"/>
      <c r="BO171" s="32"/>
      <c r="BP171" s="32"/>
      <c r="BQ171" s="31"/>
      <c r="BR171" s="31"/>
      <c r="BS171" s="54"/>
      <c r="BT171" s="21" t="str">
        <f>IFERROR(VLOOKUP(March[[#This Row],[Drug Name7]],'Data Options'!$R$1:$S$100,2,FALSE), " ")</f>
        <v xml:space="preserve"> </v>
      </c>
      <c r="BU171" s="55"/>
      <c r="BV171" s="32"/>
      <c r="BW171" s="32"/>
      <c r="BX171" s="55"/>
      <c r="BY171" s="32"/>
      <c r="BZ171" s="54"/>
      <c r="CA171" s="21" t="str">
        <f>IFERROR(VLOOKUP(March[[#This Row],[Drug Name8]],'Data Options'!$R$1:$S$100,2,FALSE), " ")</f>
        <v xml:space="preserve"> </v>
      </c>
      <c r="CB171" s="55"/>
      <c r="CC171" s="32"/>
      <c r="CD171" s="32"/>
      <c r="CE171" s="55"/>
      <c r="CF171" s="32"/>
      <c r="CG171" s="54"/>
      <c r="CH171" s="21" t="str">
        <f>IFERROR(VLOOKUP(March[[#This Row],[Drug Name9]],'Data Options'!$R$1:$S$100,2,FALSE), " ")</f>
        <v xml:space="preserve"> </v>
      </c>
      <c r="CI171" s="55"/>
      <c r="CJ171" s="32"/>
      <c r="CK171" s="32"/>
      <c r="CL171" s="55"/>
      <c r="CM171" s="32"/>
    </row>
    <row r="172" spans="1:91">
      <c r="A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1"/>
      <c r="P172" s="31"/>
      <c r="Q172" s="54"/>
      <c r="R172" s="21" t="str">
        <f>IFERROR(VLOOKUP(March[[#This Row],[Drug Name]],'Data Options'!$R$1:$S$100,2,FALSE), " ")</f>
        <v xml:space="preserve"> </v>
      </c>
      <c r="S172" s="55"/>
      <c r="T172" s="32"/>
      <c r="U172" s="32"/>
      <c r="V172" s="55"/>
      <c r="W172" s="32"/>
      <c r="X172" s="54"/>
      <c r="Y172" s="21" t="str">
        <f>IFERROR(VLOOKUP(March[[#This Row],[Drug Name2]],'Data Options'!$R$1:$S$100,2,FALSE), " ")</f>
        <v xml:space="preserve"> </v>
      </c>
      <c r="Z172" s="55"/>
      <c r="AA172" s="32"/>
      <c r="AB172" s="32"/>
      <c r="AC172" s="55"/>
      <c r="AD172" s="32"/>
      <c r="AE172" s="54"/>
      <c r="AF172" s="21" t="str">
        <f>IFERROR(VLOOKUP(March[[#This Row],[Drug Name3]],'Data Options'!$R$1:$S$100,2,FALSE), " ")</f>
        <v xml:space="preserve"> </v>
      </c>
      <c r="AG172" s="55"/>
      <c r="AH172" s="32"/>
      <c r="AI172" s="32"/>
      <c r="AJ172" s="55"/>
      <c r="AK172" s="32"/>
      <c r="AL172" s="32"/>
      <c r="AM172" s="32"/>
      <c r="AN172" s="32"/>
      <c r="AO172" s="32"/>
      <c r="AP172" s="31"/>
      <c r="AQ172" s="31"/>
      <c r="AR172" s="54"/>
      <c r="AS172" s="21" t="str">
        <f>IFERROR(VLOOKUP(March[[#This Row],[Drug Name4]],'Data Options'!$R$1:$S$100,2,FALSE), " ")</f>
        <v xml:space="preserve"> </v>
      </c>
      <c r="AT172" s="55"/>
      <c r="AU172" s="32"/>
      <c r="AV172" s="32"/>
      <c r="AW172" s="55"/>
      <c r="AX172" s="32"/>
      <c r="AY172" s="54"/>
      <c r="AZ172" s="21" t="str">
        <f>IFERROR(VLOOKUP(March[[#This Row],[Drug Name5]],'Data Options'!$R$1:$S$100,2,FALSE), " ")</f>
        <v xml:space="preserve"> </v>
      </c>
      <c r="BA172" s="55"/>
      <c r="BB172" s="32"/>
      <c r="BC172" s="32"/>
      <c r="BD172" s="55"/>
      <c r="BE172" s="32"/>
      <c r="BF172" s="54"/>
      <c r="BG172" s="21" t="str">
        <f>IFERROR(VLOOKUP(March[[#This Row],[Drug Name6]],'Data Options'!$R$1:$S$100,2,FALSE), " ")</f>
        <v xml:space="preserve"> </v>
      </c>
      <c r="BH172" s="55"/>
      <c r="BI172" s="32"/>
      <c r="BJ172" s="32"/>
      <c r="BK172" s="55"/>
      <c r="BL172" s="32"/>
      <c r="BM172" s="32"/>
      <c r="BN172" s="32"/>
      <c r="BO172" s="32"/>
      <c r="BP172" s="32"/>
      <c r="BQ172" s="31"/>
      <c r="BR172" s="31"/>
      <c r="BS172" s="54"/>
      <c r="BT172" s="21" t="str">
        <f>IFERROR(VLOOKUP(March[[#This Row],[Drug Name7]],'Data Options'!$R$1:$S$100,2,FALSE), " ")</f>
        <v xml:space="preserve"> </v>
      </c>
      <c r="BU172" s="55"/>
      <c r="BV172" s="32"/>
      <c r="BW172" s="32"/>
      <c r="BX172" s="55"/>
      <c r="BY172" s="32"/>
      <c r="BZ172" s="54"/>
      <c r="CA172" s="21" t="str">
        <f>IFERROR(VLOOKUP(March[[#This Row],[Drug Name8]],'Data Options'!$R$1:$S$100,2,FALSE), " ")</f>
        <v xml:space="preserve"> </v>
      </c>
      <c r="CB172" s="55"/>
      <c r="CC172" s="32"/>
      <c r="CD172" s="32"/>
      <c r="CE172" s="55"/>
      <c r="CF172" s="32"/>
      <c r="CG172" s="54"/>
      <c r="CH172" s="21" t="str">
        <f>IFERROR(VLOOKUP(March[[#This Row],[Drug Name9]],'Data Options'!$R$1:$S$100,2,FALSE), " ")</f>
        <v xml:space="preserve"> </v>
      </c>
      <c r="CI172" s="55"/>
      <c r="CJ172" s="32"/>
      <c r="CK172" s="32"/>
      <c r="CL172" s="55"/>
      <c r="CM172" s="32"/>
    </row>
    <row r="173" spans="1:91">
      <c r="A173" s="5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1"/>
      <c r="P173" s="31"/>
      <c r="Q173" s="54"/>
      <c r="R173" s="21" t="str">
        <f>IFERROR(VLOOKUP(March[[#This Row],[Drug Name]],'Data Options'!$R$1:$S$100,2,FALSE), " ")</f>
        <v xml:space="preserve"> </v>
      </c>
      <c r="S173" s="55"/>
      <c r="T173" s="32"/>
      <c r="U173" s="32"/>
      <c r="V173" s="55"/>
      <c r="W173" s="32"/>
      <c r="X173" s="54"/>
      <c r="Y173" s="21" t="str">
        <f>IFERROR(VLOOKUP(March[[#This Row],[Drug Name2]],'Data Options'!$R$1:$S$100,2,FALSE), " ")</f>
        <v xml:space="preserve"> </v>
      </c>
      <c r="Z173" s="55"/>
      <c r="AA173" s="32"/>
      <c r="AB173" s="32"/>
      <c r="AC173" s="55"/>
      <c r="AD173" s="32"/>
      <c r="AE173" s="54"/>
      <c r="AF173" s="21" t="str">
        <f>IFERROR(VLOOKUP(March[[#This Row],[Drug Name3]],'Data Options'!$R$1:$S$100,2,FALSE), " ")</f>
        <v xml:space="preserve"> </v>
      </c>
      <c r="AG173" s="55"/>
      <c r="AH173" s="32"/>
      <c r="AI173" s="32"/>
      <c r="AJ173" s="55"/>
      <c r="AK173" s="32"/>
      <c r="AL173" s="32"/>
      <c r="AM173" s="32"/>
      <c r="AN173" s="32"/>
      <c r="AO173" s="32"/>
      <c r="AP173" s="31"/>
      <c r="AQ173" s="31"/>
      <c r="AR173" s="54"/>
      <c r="AS173" s="21" t="str">
        <f>IFERROR(VLOOKUP(March[[#This Row],[Drug Name4]],'Data Options'!$R$1:$S$100,2,FALSE), " ")</f>
        <v xml:space="preserve"> </v>
      </c>
      <c r="AT173" s="55"/>
      <c r="AU173" s="32"/>
      <c r="AV173" s="32"/>
      <c r="AW173" s="55"/>
      <c r="AX173" s="32"/>
      <c r="AY173" s="54"/>
      <c r="AZ173" s="21" t="str">
        <f>IFERROR(VLOOKUP(March[[#This Row],[Drug Name5]],'Data Options'!$R$1:$S$100,2,FALSE), " ")</f>
        <v xml:space="preserve"> </v>
      </c>
      <c r="BA173" s="55"/>
      <c r="BB173" s="32"/>
      <c r="BC173" s="32"/>
      <c r="BD173" s="55"/>
      <c r="BE173" s="32"/>
      <c r="BF173" s="54"/>
      <c r="BG173" s="21" t="str">
        <f>IFERROR(VLOOKUP(March[[#This Row],[Drug Name6]],'Data Options'!$R$1:$S$100,2,FALSE), " ")</f>
        <v xml:space="preserve"> </v>
      </c>
      <c r="BH173" s="55"/>
      <c r="BI173" s="32"/>
      <c r="BJ173" s="32"/>
      <c r="BK173" s="55"/>
      <c r="BL173" s="32"/>
      <c r="BM173" s="32"/>
      <c r="BN173" s="32"/>
      <c r="BO173" s="32"/>
      <c r="BP173" s="32"/>
      <c r="BQ173" s="31"/>
      <c r="BR173" s="31"/>
      <c r="BS173" s="54"/>
      <c r="BT173" s="21" t="str">
        <f>IFERROR(VLOOKUP(March[[#This Row],[Drug Name7]],'Data Options'!$R$1:$S$100,2,FALSE), " ")</f>
        <v xml:space="preserve"> </v>
      </c>
      <c r="BU173" s="55"/>
      <c r="BV173" s="32"/>
      <c r="BW173" s="32"/>
      <c r="BX173" s="55"/>
      <c r="BY173" s="32"/>
      <c r="BZ173" s="54"/>
      <c r="CA173" s="21" t="str">
        <f>IFERROR(VLOOKUP(March[[#This Row],[Drug Name8]],'Data Options'!$R$1:$S$100,2,FALSE), " ")</f>
        <v xml:space="preserve"> </v>
      </c>
      <c r="CB173" s="55"/>
      <c r="CC173" s="32"/>
      <c r="CD173" s="32"/>
      <c r="CE173" s="55"/>
      <c r="CF173" s="32"/>
      <c r="CG173" s="54"/>
      <c r="CH173" s="21" t="str">
        <f>IFERROR(VLOOKUP(March[[#This Row],[Drug Name9]],'Data Options'!$R$1:$S$100,2,FALSE), " ")</f>
        <v xml:space="preserve"> </v>
      </c>
      <c r="CI173" s="55"/>
      <c r="CJ173" s="32"/>
      <c r="CK173" s="32"/>
      <c r="CL173" s="55"/>
      <c r="CM173" s="32"/>
    </row>
    <row r="174" spans="1:91">
      <c r="A174" s="5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1"/>
      <c r="P174" s="31"/>
      <c r="Q174" s="54"/>
      <c r="R174" s="21" t="str">
        <f>IFERROR(VLOOKUP(March[[#This Row],[Drug Name]],'Data Options'!$R$1:$S$100,2,FALSE), " ")</f>
        <v xml:space="preserve"> </v>
      </c>
      <c r="S174" s="55"/>
      <c r="T174" s="32"/>
      <c r="U174" s="32"/>
      <c r="V174" s="55"/>
      <c r="W174" s="32"/>
      <c r="X174" s="54"/>
      <c r="Y174" s="21" t="str">
        <f>IFERROR(VLOOKUP(March[[#This Row],[Drug Name2]],'Data Options'!$R$1:$S$100,2,FALSE), " ")</f>
        <v xml:space="preserve"> </v>
      </c>
      <c r="Z174" s="55"/>
      <c r="AA174" s="32"/>
      <c r="AB174" s="32"/>
      <c r="AC174" s="55"/>
      <c r="AD174" s="32"/>
      <c r="AE174" s="54"/>
      <c r="AF174" s="21" t="str">
        <f>IFERROR(VLOOKUP(March[[#This Row],[Drug Name3]],'Data Options'!$R$1:$S$100,2,FALSE), " ")</f>
        <v xml:space="preserve"> </v>
      </c>
      <c r="AG174" s="55"/>
      <c r="AH174" s="32"/>
      <c r="AI174" s="32"/>
      <c r="AJ174" s="55"/>
      <c r="AK174" s="32"/>
      <c r="AL174" s="32"/>
      <c r="AM174" s="32"/>
      <c r="AN174" s="32"/>
      <c r="AO174" s="32"/>
      <c r="AP174" s="31"/>
      <c r="AQ174" s="31"/>
      <c r="AR174" s="54"/>
      <c r="AS174" s="21" t="str">
        <f>IFERROR(VLOOKUP(March[[#This Row],[Drug Name4]],'Data Options'!$R$1:$S$100,2,FALSE), " ")</f>
        <v xml:space="preserve"> </v>
      </c>
      <c r="AT174" s="55"/>
      <c r="AU174" s="32"/>
      <c r="AV174" s="32"/>
      <c r="AW174" s="55"/>
      <c r="AX174" s="32"/>
      <c r="AY174" s="54"/>
      <c r="AZ174" s="21" t="str">
        <f>IFERROR(VLOOKUP(March[[#This Row],[Drug Name5]],'Data Options'!$R$1:$S$100,2,FALSE), " ")</f>
        <v xml:space="preserve"> </v>
      </c>
      <c r="BA174" s="55"/>
      <c r="BB174" s="32"/>
      <c r="BC174" s="32"/>
      <c r="BD174" s="55"/>
      <c r="BE174" s="32"/>
      <c r="BF174" s="54"/>
      <c r="BG174" s="21" t="str">
        <f>IFERROR(VLOOKUP(March[[#This Row],[Drug Name6]],'Data Options'!$R$1:$S$100,2,FALSE), " ")</f>
        <v xml:space="preserve"> </v>
      </c>
      <c r="BH174" s="55"/>
      <c r="BI174" s="32"/>
      <c r="BJ174" s="32"/>
      <c r="BK174" s="55"/>
      <c r="BL174" s="32"/>
      <c r="BM174" s="32"/>
      <c r="BN174" s="32"/>
      <c r="BO174" s="32"/>
      <c r="BP174" s="32"/>
      <c r="BQ174" s="31"/>
      <c r="BR174" s="31"/>
      <c r="BS174" s="54"/>
      <c r="BT174" s="21" t="str">
        <f>IFERROR(VLOOKUP(March[[#This Row],[Drug Name7]],'Data Options'!$R$1:$S$100,2,FALSE), " ")</f>
        <v xml:space="preserve"> </v>
      </c>
      <c r="BU174" s="55"/>
      <c r="BV174" s="32"/>
      <c r="BW174" s="32"/>
      <c r="BX174" s="55"/>
      <c r="BY174" s="32"/>
      <c r="BZ174" s="54"/>
      <c r="CA174" s="21" t="str">
        <f>IFERROR(VLOOKUP(March[[#This Row],[Drug Name8]],'Data Options'!$R$1:$S$100,2,FALSE), " ")</f>
        <v xml:space="preserve"> </v>
      </c>
      <c r="CB174" s="55"/>
      <c r="CC174" s="32"/>
      <c r="CD174" s="32"/>
      <c r="CE174" s="55"/>
      <c r="CF174" s="32"/>
      <c r="CG174" s="54"/>
      <c r="CH174" s="21" t="str">
        <f>IFERROR(VLOOKUP(March[[#This Row],[Drug Name9]],'Data Options'!$R$1:$S$100,2,FALSE), " ")</f>
        <v xml:space="preserve"> </v>
      </c>
      <c r="CI174" s="55"/>
      <c r="CJ174" s="32"/>
      <c r="CK174" s="32"/>
      <c r="CL174" s="55"/>
      <c r="CM174" s="32"/>
    </row>
    <row r="175" spans="1:91">
      <c r="A175" s="5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1"/>
      <c r="P175" s="31"/>
      <c r="Q175" s="54"/>
      <c r="R175" s="21" t="str">
        <f>IFERROR(VLOOKUP(March[[#This Row],[Drug Name]],'Data Options'!$R$1:$S$100,2,FALSE), " ")</f>
        <v xml:space="preserve"> </v>
      </c>
      <c r="S175" s="55"/>
      <c r="T175" s="32"/>
      <c r="U175" s="32"/>
      <c r="V175" s="55"/>
      <c r="W175" s="32"/>
      <c r="X175" s="54"/>
      <c r="Y175" s="21" t="str">
        <f>IFERROR(VLOOKUP(March[[#This Row],[Drug Name2]],'Data Options'!$R$1:$S$100,2,FALSE), " ")</f>
        <v xml:space="preserve"> </v>
      </c>
      <c r="Z175" s="55"/>
      <c r="AA175" s="32"/>
      <c r="AB175" s="32"/>
      <c r="AC175" s="55"/>
      <c r="AD175" s="32"/>
      <c r="AE175" s="54"/>
      <c r="AF175" s="21" t="str">
        <f>IFERROR(VLOOKUP(March[[#This Row],[Drug Name3]],'Data Options'!$R$1:$S$100,2,FALSE), " ")</f>
        <v xml:space="preserve"> </v>
      </c>
      <c r="AG175" s="55"/>
      <c r="AH175" s="32"/>
      <c r="AI175" s="32"/>
      <c r="AJ175" s="55"/>
      <c r="AK175" s="32"/>
      <c r="AL175" s="32"/>
      <c r="AM175" s="32"/>
      <c r="AN175" s="32"/>
      <c r="AO175" s="32"/>
      <c r="AP175" s="31"/>
      <c r="AQ175" s="31"/>
      <c r="AR175" s="54"/>
      <c r="AS175" s="21" t="str">
        <f>IFERROR(VLOOKUP(March[[#This Row],[Drug Name4]],'Data Options'!$R$1:$S$100,2,FALSE), " ")</f>
        <v xml:space="preserve"> </v>
      </c>
      <c r="AT175" s="55"/>
      <c r="AU175" s="32"/>
      <c r="AV175" s="32"/>
      <c r="AW175" s="55"/>
      <c r="AX175" s="32"/>
      <c r="AY175" s="54"/>
      <c r="AZ175" s="21" t="str">
        <f>IFERROR(VLOOKUP(March[[#This Row],[Drug Name5]],'Data Options'!$R$1:$S$100,2,FALSE), " ")</f>
        <v xml:space="preserve"> </v>
      </c>
      <c r="BA175" s="55"/>
      <c r="BB175" s="32"/>
      <c r="BC175" s="32"/>
      <c r="BD175" s="55"/>
      <c r="BE175" s="32"/>
      <c r="BF175" s="54"/>
      <c r="BG175" s="21" t="str">
        <f>IFERROR(VLOOKUP(March[[#This Row],[Drug Name6]],'Data Options'!$R$1:$S$100,2,FALSE), " ")</f>
        <v xml:space="preserve"> </v>
      </c>
      <c r="BH175" s="55"/>
      <c r="BI175" s="32"/>
      <c r="BJ175" s="32"/>
      <c r="BK175" s="55"/>
      <c r="BL175" s="32"/>
      <c r="BM175" s="32"/>
      <c r="BN175" s="32"/>
      <c r="BO175" s="32"/>
      <c r="BP175" s="32"/>
      <c r="BQ175" s="31"/>
      <c r="BR175" s="31"/>
      <c r="BS175" s="54"/>
      <c r="BT175" s="21" t="str">
        <f>IFERROR(VLOOKUP(March[[#This Row],[Drug Name7]],'Data Options'!$R$1:$S$100,2,FALSE), " ")</f>
        <v xml:space="preserve"> </v>
      </c>
      <c r="BU175" s="55"/>
      <c r="BV175" s="32"/>
      <c r="BW175" s="32"/>
      <c r="BX175" s="55"/>
      <c r="BY175" s="32"/>
      <c r="BZ175" s="54"/>
      <c r="CA175" s="21" t="str">
        <f>IFERROR(VLOOKUP(March[[#This Row],[Drug Name8]],'Data Options'!$R$1:$S$100,2,FALSE), " ")</f>
        <v xml:space="preserve"> </v>
      </c>
      <c r="CB175" s="55"/>
      <c r="CC175" s="32"/>
      <c r="CD175" s="32"/>
      <c r="CE175" s="55"/>
      <c r="CF175" s="32"/>
      <c r="CG175" s="54"/>
      <c r="CH175" s="21" t="str">
        <f>IFERROR(VLOOKUP(March[[#This Row],[Drug Name9]],'Data Options'!$R$1:$S$100,2,FALSE), " ")</f>
        <v xml:space="preserve"> </v>
      </c>
      <c r="CI175" s="55"/>
      <c r="CJ175" s="32"/>
      <c r="CK175" s="32"/>
      <c r="CL175" s="55"/>
      <c r="CM175" s="32"/>
    </row>
    <row r="176" spans="1:91">
      <c r="A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1"/>
      <c r="P176" s="31"/>
      <c r="Q176" s="54"/>
      <c r="R176" s="21" t="str">
        <f>IFERROR(VLOOKUP(March[[#This Row],[Drug Name]],'Data Options'!$R$1:$S$100,2,FALSE), " ")</f>
        <v xml:space="preserve"> </v>
      </c>
      <c r="S176" s="55"/>
      <c r="T176" s="32"/>
      <c r="U176" s="32"/>
      <c r="V176" s="55"/>
      <c r="W176" s="32"/>
      <c r="X176" s="54"/>
      <c r="Y176" s="21" t="str">
        <f>IFERROR(VLOOKUP(March[[#This Row],[Drug Name2]],'Data Options'!$R$1:$S$100,2,FALSE), " ")</f>
        <v xml:space="preserve"> </v>
      </c>
      <c r="Z176" s="55"/>
      <c r="AA176" s="32"/>
      <c r="AB176" s="32"/>
      <c r="AC176" s="55"/>
      <c r="AD176" s="32"/>
      <c r="AE176" s="54"/>
      <c r="AF176" s="21" t="str">
        <f>IFERROR(VLOOKUP(March[[#This Row],[Drug Name3]],'Data Options'!$R$1:$S$100,2,FALSE), " ")</f>
        <v xml:space="preserve"> </v>
      </c>
      <c r="AG176" s="55"/>
      <c r="AH176" s="32"/>
      <c r="AI176" s="32"/>
      <c r="AJ176" s="55"/>
      <c r="AK176" s="32"/>
      <c r="AL176" s="32"/>
      <c r="AM176" s="32"/>
      <c r="AN176" s="32"/>
      <c r="AO176" s="32"/>
      <c r="AP176" s="31"/>
      <c r="AQ176" s="31"/>
      <c r="AR176" s="54"/>
      <c r="AS176" s="21" t="str">
        <f>IFERROR(VLOOKUP(March[[#This Row],[Drug Name4]],'Data Options'!$R$1:$S$100,2,FALSE), " ")</f>
        <v xml:space="preserve"> </v>
      </c>
      <c r="AT176" s="55"/>
      <c r="AU176" s="32"/>
      <c r="AV176" s="32"/>
      <c r="AW176" s="55"/>
      <c r="AX176" s="32"/>
      <c r="AY176" s="54"/>
      <c r="AZ176" s="21" t="str">
        <f>IFERROR(VLOOKUP(March[[#This Row],[Drug Name5]],'Data Options'!$R$1:$S$100,2,FALSE), " ")</f>
        <v xml:space="preserve"> </v>
      </c>
      <c r="BA176" s="55"/>
      <c r="BB176" s="32"/>
      <c r="BC176" s="32"/>
      <c r="BD176" s="55"/>
      <c r="BE176" s="32"/>
      <c r="BF176" s="54"/>
      <c r="BG176" s="21" t="str">
        <f>IFERROR(VLOOKUP(March[[#This Row],[Drug Name6]],'Data Options'!$R$1:$S$100,2,FALSE), " ")</f>
        <v xml:space="preserve"> </v>
      </c>
      <c r="BH176" s="55"/>
      <c r="BI176" s="32"/>
      <c r="BJ176" s="32"/>
      <c r="BK176" s="55"/>
      <c r="BL176" s="32"/>
      <c r="BM176" s="32"/>
      <c r="BN176" s="32"/>
      <c r="BO176" s="32"/>
      <c r="BP176" s="32"/>
      <c r="BQ176" s="31"/>
      <c r="BR176" s="31"/>
      <c r="BS176" s="54"/>
      <c r="BT176" s="21" t="str">
        <f>IFERROR(VLOOKUP(March[[#This Row],[Drug Name7]],'Data Options'!$R$1:$S$100,2,FALSE), " ")</f>
        <v xml:space="preserve"> </v>
      </c>
      <c r="BU176" s="55"/>
      <c r="BV176" s="32"/>
      <c r="BW176" s="32"/>
      <c r="BX176" s="55"/>
      <c r="BY176" s="32"/>
      <c r="BZ176" s="54"/>
      <c r="CA176" s="21" t="str">
        <f>IFERROR(VLOOKUP(March[[#This Row],[Drug Name8]],'Data Options'!$R$1:$S$100,2,FALSE), " ")</f>
        <v xml:space="preserve"> </v>
      </c>
      <c r="CB176" s="55"/>
      <c r="CC176" s="32"/>
      <c r="CD176" s="32"/>
      <c r="CE176" s="55"/>
      <c r="CF176" s="32"/>
      <c r="CG176" s="54"/>
      <c r="CH176" s="21" t="str">
        <f>IFERROR(VLOOKUP(March[[#This Row],[Drug Name9]],'Data Options'!$R$1:$S$100,2,FALSE), " ")</f>
        <v xml:space="preserve"> </v>
      </c>
      <c r="CI176" s="55"/>
      <c r="CJ176" s="32"/>
      <c r="CK176" s="32"/>
      <c r="CL176" s="55"/>
      <c r="CM176" s="32"/>
    </row>
    <row r="177" spans="1:91">
      <c r="A177" s="5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1"/>
      <c r="P177" s="31"/>
      <c r="Q177" s="54"/>
      <c r="R177" s="21" t="str">
        <f>IFERROR(VLOOKUP(March[[#This Row],[Drug Name]],'Data Options'!$R$1:$S$100,2,FALSE), " ")</f>
        <v xml:space="preserve"> </v>
      </c>
      <c r="S177" s="55"/>
      <c r="T177" s="32"/>
      <c r="U177" s="32"/>
      <c r="V177" s="55"/>
      <c r="W177" s="32"/>
      <c r="X177" s="54"/>
      <c r="Y177" s="21" t="str">
        <f>IFERROR(VLOOKUP(March[[#This Row],[Drug Name2]],'Data Options'!$R$1:$S$100,2,FALSE), " ")</f>
        <v xml:space="preserve"> </v>
      </c>
      <c r="Z177" s="55"/>
      <c r="AA177" s="32"/>
      <c r="AB177" s="32"/>
      <c r="AC177" s="55"/>
      <c r="AD177" s="32"/>
      <c r="AE177" s="54"/>
      <c r="AF177" s="21" t="str">
        <f>IFERROR(VLOOKUP(March[[#This Row],[Drug Name3]],'Data Options'!$R$1:$S$100,2,FALSE), " ")</f>
        <v xml:space="preserve"> </v>
      </c>
      <c r="AG177" s="55"/>
      <c r="AH177" s="32"/>
      <c r="AI177" s="32"/>
      <c r="AJ177" s="55"/>
      <c r="AK177" s="32"/>
      <c r="AL177" s="32"/>
      <c r="AM177" s="32"/>
      <c r="AN177" s="32"/>
      <c r="AO177" s="32"/>
      <c r="AP177" s="31"/>
      <c r="AQ177" s="31"/>
      <c r="AR177" s="54"/>
      <c r="AS177" s="21" t="str">
        <f>IFERROR(VLOOKUP(March[[#This Row],[Drug Name4]],'Data Options'!$R$1:$S$100,2,FALSE), " ")</f>
        <v xml:space="preserve"> </v>
      </c>
      <c r="AT177" s="55"/>
      <c r="AU177" s="32"/>
      <c r="AV177" s="32"/>
      <c r="AW177" s="55"/>
      <c r="AX177" s="32"/>
      <c r="AY177" s="54"/>
      <c r="AZ177" s="21" t="str">
        <f>IFERROR(VLOOKUP(March[[#This Row],[Drug Name5]],'Data Options'!$R$1:$S$100,2,FALSE), " ")</f>
        <v xml:space="preserve"> </v>
      </c>
      <c r="BA177" s="55"/>
      <c r="BB177" s="32"/>
      <c r="BC177" s="32"/>
      <c r="BD177" s="55"/>
      <c r="BE177" s="32"/>
      <c r="BF177" s="54"/>
      <c r="BG177" s="21" t="str">
        <f>IFERROR(VLOOKUP(March[[#This Row],[Drug Name6]],'Data Options'!$R$1:$S$100,2,FALSE), " ")</f>
        <v xml:space="preserve"> </v>
      </c>
      <c r="BH177" s="55"/>
      <c r="BI177" s="32"/>
      <c r="BJ177" s="32"/>
      <c r="BK177" s="55"/>
      <c r="BL177" s="32"/>
      <c r="BM177" s="32"/>
      <c r="BN177" s="32"/>
      <c r="BO177" s="32"/>
      <c r="BP177" s="32"/>
      <c r="BQ177" s="31"/>
      <c r="BR177" s="31"/>
      <c r="BS177" s="54"/>
      <c r="BT177" s="21" t="str">
        <f>IFERROR(VLOOKUP(March[[#This Row],[Drug Name7]],'Data Options'!$R$1:$S$100,2,FALSE), " ")</f>
        <v xml:space="preserve"> </v>
      </c>
      <c r="BU177" s="55"/>
      <c r="BV177" s="32"/>
      <c r="BW177" s="32"/>
      <c r="BX177" s="55"/>
      <c r="BY177" s="32"/>
      <c r="BZ177" s="54"/>
      <c r="CA177" s="21" t="str">
        <f>IFERROR(VLOOKUP(March[[#This Row],[Drug Name8]],'Data Options'!$R$1:$S$100,2,FALSE), " ")</f>
        <v xml:space="preserve"> </v>
      </c>
      <c r="CB177" s="55"/>
      <c r="CC177" s="32"/>
      <c r="CD177" s="32"/>
      <c r="CE177" s="55"/>
      <c r="CF177" s="32"/>
      <c r="CG177" s="54"/>
      <c r="CH177" s="21" t="str">
        <f>IFERROR(VLOOKUP(March[[#This Row],[Drug Name9]],'Data Options'!$R$1:$S$100,2,FALSE), " ")</f>
        <v xml:space="preserve"> </v>
      </c>
      <c r="CI177" s="55"/>
      <c r="CJ177" s="32"/>
      <c r="CK177" s="32"/>
      <c r="CL177" s="55"/>
      <c r="CM177" s="32"/>
    </row>
    <row r="178" spans="1:91">
      <c r="A178" s="5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1"/>
      <c r="P178" s="31"/>
      <c r="Q178" s="54"/>
      <c r="R178" s="21" t="str">
        <f>IFERROR(VLOOKUP(March[[#This Row],[Drug Name]],'Data Options'!$R$1:$S$100,2,FALSE), " ")</f>
        <v xml:space="preserve"> </v>
      </c>
      <c r="S178" s="55"/>
      <c r="T178" s="32"/>
      <c r="U178" s="32"/>
      <c r="V178" s="55"/>
      <c r="W178" s="32"/>
      <c r="X178" s="54"/>
      <c r="Y178" s="21" t="str">
        <f>IFERROR(VLOOKUP(March[[#This Row],[Drug Name2]],'Data Options'!$R$1:$S$100,2,FALSE), " ")</f>
        <v xml:space="preserve"> </v>
      </c>
      <c r="Z178" s="55"/>
      <c r="AA178" s="32"/>
      <c r="AB178" s="32"/>
      <c r="AC178" s="55"/>
      <c r="AD178" s="32"/>
      <c r="AE178" s="54"/>
      <c r="AF178" s="21" t="str">
        <f>IFERROR(VLOOKUP(March[[#This Row],[Drug Name3]],'Data Options'!$R$1:$S$100,2,FALSE), " ")</f>
        <v xml:space="preserve"> </v>
      </c>
      <c r="AG178" s="55"/>
      <c r="AH178" s="32"/>
      <c r="AI178" s="32"/>
      <c r="AJ178" s="55"/>
      <c r="AK178" s="32"/>
      <c r="AL178" s="32"/>
      <c r="AM178" s="32"/>
      <c r="AN178" s="32"/>
      <c r="AO178" s="32"/>
      <c r="AP178" s="31"/>
      <c r="AQ178" s="31"/>
      <c r="AR178" s="54"/>
      <c r="AS178" s="21" t="str">
        <f>IFERROR(VLOOKUP(March[[#This Row],[Drug Name4]],'Data Options'!$R$1:$S$100,2,FALSE), " ")</f>
        <v xml:space="preserve"> </v>
      </c>
      <c r="AT178" s="55"/>
      <c r="AU178" s="32"/>
      <c r="AV178" s="32"/>
      <c r="AW178" s="55"/>
      <c r="AX178" s="32"/>
      <c r="AY178" s="54"/>
      <c r="AZ178" s="21" t="str">
        <f>IFERROR(VLOOKUP(March[[#This Row],[Drug Name5]],'Data Options'!$R$1:$S$100,2,FALSE), " ")</f>
        <v xml:space="preserve"> </v>
      </c>
      <c r="BA178" s="55"/>
      <c r="BB178" s="32"/>
      <c r="BC178" s="32"/>
      <c r="BD178" s="55"/>
      <c r="BE178" s="32"/>
      <c r="BF178" s="54"/>
      <c r="BG178" s="21" t="str">
        <f>IFERROR(VLOOKUP(March[[#This Row],[Drug Name6]],'Data Options'!$R$1:$S$100,2,FALSE), " ")</f>
        <v xml:space="preserve"> </v>
      </c>
      <c r="BH178" s="55"/>
      <c r="BI178" s="32"/>
      <c r="BJ178" s="32"/>
      <c r="BK178" s="55"/>
      <c r="BL178" s="32"/>
      <c r="BM178" s="32"/>
      <c r="BN178" s="32"/>
      <c r="BO178" s="32"/>
      <c r="BP178" s="32"/>
      <c r="BQ178" s="31"/>
      <c r="BR178" s="31"/>
      <c r="BS178" s="54"/>
      <c r="BT178" s="21" t="str">
        <f>IFERROR(VLOOKUP(March[[#This Row],[Drug Name7]],'Data Options'!$R$1:$S$100,2,FALSE), " ")</f>
        <v xml:space="preserve"> </v>
      </c>
      <c r="BU178" s="55"/>
      <c r="BV178" s="32"/>
      <c r="BW178" s="32"/>
      <c r="BX178" s="55"/>
      <c r="BY178" s="32"/>
      <c r="BZ178" s="54"/>
      <c r="CA178" s="21" t="str">
        <f>IFERROR(VLOOKUP(March[[#This Row],[Drug Name8]],'Data Options'!$R$1:$S$100,2,FALSE), " ")</f>
        <v xml:space="preserve"> </v>
      </c>
      <c r="CB178" s="55"/>
      <c r="CC178" s="32"/>
      <c r="CD178" s="32"/>
      <c r="CE178" s="55"/>
      <c r="CF178" s="32"/>
      <c r="CG178" s="54"/>
      <c r="CH178" s="21" t="str">
        <f>IFERROR(VLOOKUP(March[[#This Row],[Drug Name9]],'Data Options'!$R$1:$S$100,2,FALSE), " ")</f>
        <v xml:space="preserve"> </v>
      </c>
      <c r="CI178" s="55"/>
      <c r="CJ178" s="32"/>
      <c r="CK178" s="32"/>
      <c r="CL178" s="55"/>
      <c r="CM178" s="32"/>
    </row>
    <row r="179" spans="1:91">
      <c r="A179" s="5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1"/>
      <c r="P179" s="31"/>
      <c r="Q179" s="54"/>
      <c r="R179" s="21" t="str">
        <f>IFERROR(VLOOKUP(March[[#This Row],[Drug Name]],'Data Options'!$R$1:$S$100,2,FALSE), " ")</f>
        <v xml:space="preserve"> </v>
      </c>
      <c r="S179" s="55"/>
      <c r="T179" s="32"/>
      <c r="U179" s="32"/>
      <c r="V179" s="55"/>
      <c r="W179" s="32"/>
      <c r="X179" s="54"/>
      <c r="Y179" s="21" t="str">
        <f>IFERROR(VLOOKUP(March[[#This Row],[Drug Name2]],'Data Options'!$R$1:$S$100,2,FALSE), " ")</f>
        <v xml:space="preserve"> </v>
      </c>
      <c r="Z179" s="55"/>
      <c r="AA179" s="32"/>
      <c r="AB179" s="32"/>
      <c r="AC179" s="55"/>
      <c r="AD179" s="32"/>
      <c r="AE179" s="54"/>
      <c r="AF179" s="21" t="str">
        <f>IFERROR(VLOOKUP(March[[#This Row],[Drug Name3]],'Data Options'!$R$1:$S$100,2,FALSE), " ")</f>
        <v xml:space="preserve"> </v>
      </c>
      <c r="AG179" s="55"/>
      <c r="AH179" s="32"/>
      <c r="AI179" s="32"/>
      <c r="AJ179" s="55"/>
      <c r="AK179" s="32"/>
      <c r="AL179" s="32"/>
      <c r="AM179" s="32"/>
      <c r="AN179" s="32"/>
      <c r="AO179" s="32"/>
      <c r="AP179" s="31"/>
      <c r="AQ179" s="31"/>
      <c r="AR179" s="54"/>
      <c r="AS179" s="21" t="str">
        <f>IFERROR(VLOOKUP(March[[#This Row],[Drug Name4]],'Data Options'!$R$1:$S$100,2,FALSE), " ")</f>
        <v xml:space="preserve"> </v>
      </c>
      <c r="AT179" s="55"/>
      <c r="AU179" s="32"/>
      <c r="AV179" s="32"/>
      <c r="AW179" s="55"/>
      <c r="AX179" s="32"/>
      <c r="AY179" s="54"/>
      <c r="AZ179" s="21" t="str">
        <f>IFERROR(VLOOKUP(March[[#This Row],[Drug Name5]],'Data Options'!$R$1:$S$100,2,FALSE), " ")</f>
        <v xml:space="preserve"> </v>
      </c>
      <c r="BA179" s="55"/>
      <c r="BB179" s="32"/>
      <c r="BC179" s="32"/>
      <c r="BD179" s="55"/>
      <c r="BE179" s="32"/>
      <c r="BF179" s="54"/>
      <c r="BG179" s="21" t="str">
        <f>IFERROR(VLOOKUP(March[[#This Row],[Drug Name6]],'Data Options'!$R$1:$S$100,2,FALSE), " ")</f>
        <v xml:space="preserve"> </v>
      </c>
      <c r="BH179" s="55"/>
      <c r="BI179" s="32"/>
      <c r="BJ179" s="32"/>
      <c r="BK179" s="55"/>
      <c r="BL179" s="32"/>
      <c r="BM179" s="32"/>
      <c r="BN179" s="32"/>
      <c r="BO179" s="32"/>
      <c r="BP179" s="32"/>
      <c r="BQ179" s="31"/>
      <c r="BR179" s="31"/>
      <c r="BS179" s="54"/>
      <c r="BT179" s="21" t="str">
        <f>IFERROR(VLOOKUP(March[[#This Row],[Drug Name7]],'Data Options'!$R$1:$S$100,2,FALSE), " ")</f>
        <v xml:space="preserve"> </v>
      </c>
      <c r="BU179" s="55"/>
      <c r="BV179" s="32"/>
      <c r="BW179" s="32"/>
      <c r="BX179" s="55"/>
      <c r="BY179" s="32"/>
      <c r="BZ179" s="54"/>
      <c r="CA179" s="21" t="str">
        <f>IFERROR(VLOOKUP(March[[#This Row],[Drug Name8]],'Data Options'!$R$1:$S$100,2,FALSE), " ")</f>
        <v xml:space="preserve"> </v>
      </c>
      <c r="CB179" s="55"/>
      <c r="CC179" s="32"/>
      <c r="CD179" s="32"/>
      <c r="CE179" s="55"/>
      <c r="CF179" s="32"/>
      <c r="CG179" s="54"/>
      <c r="CH179" s="21" t="str">
        <f>IFERROR(VLOOKUP(March[[#This Row],[Drug Name9]],'Data Options'!$R$1:$S$100,2,FALSE), " ")</f>
        <v xml:space="preserve"> </v>
      </c>
      <c r="CI179" s="55"/>
      <c r="CJ179" s="32"/>
      <c r="CK179" s="32"/>
      <c r="CL179" s="55"/>
      <c r="CM179" s="32"/>
    </row>
    <row r="180" spans="1:91">
      <c r="A180" s="5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1"/>
      <c r="P180" s="31"/>
      <c r="Q180" s="54"/>
      <c r="R180" s="21" t="str">
        <f>IFERROR(VLOOKUP(March[[#This Row],[Drug Name]],'Data Options'!$R$1:$S$100,2,FALSE), " ")</f>
        <v xml:space="preserve"> </v>
      </c>
      <c r="S180" s="55"/>
      <c r="T180" s="32"/>
      <c r="U180" s="32"/>
      <c r="V180" s="55"/>
      <c r="W180" s="32"/>
      <c r="X180" s="54"/>
      <c r="Y180" s="21" t="str">
        <f>IFERROR(VLOOKUP(March[[#This Row],[Drug Name2]],'Data Options'!$R$1:$S$100,2,FALSE), " ")</f>
        <v xml:space="preserve"> </v>
      </c>
      <c r="Z180" s="55"/>
      <c r="AA180" s="32"/>
      <c r="AB180" s="32"/>
      <c r="AC180" s="55"/>
      <c r="AD180" s="32"/>
      <c r="AE180" s="54"/>
      <c r="AF180" s="21" t="str">
        <f>IFERROR(VLOOKUP(March[[#This Row],[Drug Name3]],'Data Options'!$R$1:$S$100,2,FALSE), " ")</f>
        <v xml:space="preserve"> </v>
      </c>
      <c r="AG180" s="55"/>
      <c r="AH180" s="32"/>
      <c r="AI180" s="32"/>
      <c r="AJ180" s="55"/>
      <c r="AK180" s="32"/>
      <c r="AL180" s="32"/>
      <c r="AM180" s="32"/>
      <c r="AN180" s="32"/>
      <c r="AO180" s="32"/>
      <c r="AP180" s="31"/>
      <c r="AQ180" s="31"/>
      <c r="AR180" s="54"/>
      <c r="AS180" s="21" t="str">
        <f>IFERROR(VLOOKUP(March[[#This Row],[Drug Name4]],'Data Options'!$R$1:$S$100,2,FALSE), " ")</f>
        <v xml:space="preserve"> </v>
      </c>
      <c r="AT180" s="55"/>
      <c r="AU180" s="32"/>
      <c r="AV180" s="32"/>
      <c r="AW180" s="55"/>
      <c r="AX180" s="32"/>
      <c r="AY180" s="54"/>
      <c r="AZ180" s="21" t="str">
        <f>IFERROR(VLOOKUP(March[[#This Row],[Drug Name5]],'Data Options'!$R$1:$S$100,2,FALSE), " ")</f>
        <v xml:space="preserve"> </v>
      </c>
      <c r="BA180" s="55"/>
      <c r="BB180" s="32"/>
      <c r="BC180" s="32"/>
      <c r="BD180" s="55"/>
      <c r="BE180" s="32"/>
      <c r="BF180" s="54"/>
      <c r="BG180" s="21" t="str">
        <f>IFERROR(VLOOKUP(March[[#This Row],[Drug Name6]],'Data Options'!$R$1:$S$100,2,FALSE), " ")</f>
        <v xml:space="preserve"> </v>
      </c>
      <c r="BH180" s="55"/>
      <c r="BI180" s="32"/>
      <c r="BJ180" s="32"/>
      <c r="BK180" s="55"/>
      <c r="BL180" s="32"/>
      <c r="BM180" s="32"/>
      <c r="BN180" s="32"/>
      <c r="BO180" s="32"/>
      <c r="BP180" s="32"/>
      <c r="BQ180" s="31"/>
      <c r="BR180" s="31"/>
      <c r="BS180" s="54"/>
      <c r="BT180" s="21" t="str">
        <f>IFERROR(VLOOKUP(March[[#This Row],[Drug Name7]],'Data Options'!$R$1:$S$100,2,FALSE), " ")</f>
        <v xml:space="preserve"> </v>
      </c>
      <c r="BU180" s="55"/>
      <c r="BV180" s="32"/>
      <c r="BW180" s="32"/>
      <c r="BX180" s="55"/>
      <c r="BY180" s="32"/>
      <c r="BZ180" s="54"/>
      <c r="CA180" s="21" t="str">
        <f>IFERROR(VLOOKUP(March[[#This Row],[Drug Name8]],'Data Options'!$R$1:$S$100,2,FALSE), " ")</f>
        <v xml:space="preserve"> </v>
      </c>
      <c r="CB180" s="55"/>
      <c r="CC180" s="32"/>
      <c r="CD180" s="32"/>
      <c r="CE180" s="55"/>
      <c r="CF180" s="32"/>
      <c r="CG180" s="54"/>
      <c r="CH180" s="21" t="str">
        <f>IFERROR(VLOOKUP(March[[#This Row],[Drug Name9]],'Data Options'!$R$1:$S$100,2,FALSE), " ")</f>
        <v xml:space="preserve"> </v>
      </c>
      <c r="CI180" s="55"/>
      <c r="CJ180" s="32"/>
      <c r="CK180" s="32"/>
      <c r="CL180" s="55"/>
      <c r="CM180" s="32"/>
    </row>
    <row r="181" spans="1:91">
      <c r="A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1"/>
      <c r="P181" s="31"/>
      <c r="Q181" s="54"/>
      <c r="R181" s="21" t="str">
        <f>IFERROR(VLOOKUP(March[[#This Row],[Drug Name]],'Data Options'!$R$1:$S$100,2,FALSE), " ")</f>
        <v xml:space="preserve"> </v>
      </c>
      <c r="S181" s="55"/>
      <c r="T181" s="32"/>
      <c r="U181" s="32"/>
      <c r="V181" s="55"/>
      <c r="W181" s="32"/>
      <c r="X181" s="54"/>
      <c r="Y181" s="21" t="str">
        <f>IFERROR(VLOOKUP(March[[#This Row],[Drug Name2]],'Data Options'!$R$1:$S$100,2,FALSE), " ")</f>
        <v xml:space="preserve"> </v>
      </c>
      <c r="Z181" s="55"/>
      <c r="AA181" s="32"/>
      <c r="AB181" s="32"/>
      <c r="AC181" s="55"/>
      <c r="AD181" s="32"/>
      <c r="AE181" s="54"/>
      <c r="AF181" s="21" t="str">
        <f>IFERROR(VLOOKUP(March[[#This Row],[Drug Name3]],'Data Options'!$R$1:$S$100,2,FALSE), " ")</f>
        <v xml:space="preserve"> </v>
      </c>
      <c r="AG181" s="55"/>
      <c r="AH181" s="32"/>
      <c r="AI181" s="32"/>
      <c r="AJ181" s="55"/>
      <c r="AK181" s="32"/>
      <c r="AL181" s="32"/>
      <c r="AM181" s="32"/>
      <c r="AN181" s="32"/>
      <c r="AO181" s="32"/>
      <c r="AP181" s="31"/>
      <c r="AQ181" s="31"/>
      <c r="AR181" s="54"/>
      <c r="AS181" s="21" t="str">
        <f>IFERROR(VLOOKUP(March[[#This Row],[Drug Name4]],'Data Options'!$R$1:$S$100,2,FALSE), " ")</f>
        <v xml:space="preserve"> </v>
      </c>
      <c r="AT181" s="55"/>
      <c r="AU181" s="32"/>
      <c r="AV181" s="32"/>
      <c r="AW181" s="55"/>
      <c r="AX181" s="32"/>
      <c r="AY181" s="54"/>
      <c r="AZ181" s="21" t="str">
        <f>IFERROR(VLOOKUP(March[[#This Row],[Drug Name5]],'Data Options'!$R$1:$S$100,2,FALSE), " ")</f>
        <v xml:space="preserve"> </v>
      </c>
      <c r="BA181" s="55"/>
      <c r="BB181" s="32"/>
      <c r="BC181" s="32"/>
      <c r="BD181" s="55"/>
      <c r="BE181" s="32"/>
      <c r="BF181" s="54"/>
      <c r="BG181" s="21" t="str">
        <f>IFERROR(VLOOKUP(March[[#This Row],[Drug Name6]],'Data Options'!$R$1:$S$100,2,FALSE), " ")</f>
        <v xml:space="preserve"> </v>
      </c>
      <c r="BH181" s="55"/>
      <c r="BI181" s="32"/>
      <c r="BJ181" s="32"/>
      <c r="BK181" s="55"/>
      <c r="BL181" s="32"/>
      <c r="BM181" s="32"/>
      <c r="BN181" s="32"/>
      <c r="BO181" s="32"/>
      <c r="BP181" s="32"/>
      <c r="BQ181" s="31"/>
      <c r="BR181" s="31"/>
      <c r="BS181" s="54"/>
      <c r="BT181" s="21" t="str">
        <f>IFERROR(VLOOKUP(March[[#This Row],[Drug Name7]],'Data Options'!$R$1:$S$100,2,FALSE), " ")</f>
        <v xml:space="preserve"> </v>
      </c>
      <c r="BU181" s="55"/>
      <c r="BV181" s="32"/>
      <c r="BW181" s="32"/>
      <c r="BX181" s="55"/>
      <c r="BY181" s="32"/>
      <c r="BZ181" s="54"/>
      <c r="CA181" s="21" t="str">
        <f>IFERROR(VLOOKUP(March[[#This Row],[Drug Name8]],'Data Options'!$R$1:$S$100,2,FALSE), " ")</f>
        <v xml:space="preserve"> </v>
      </c>
      <c r="CB181" s="55"/>
      <c r="CC181" s="32"/>
      <c r="CD181" s="32"/>
      <c r="CE181" s="55"/>
      <c r="CF181" s="32"/>
      <c r="CG181" s="54"/>
      <c r="CH181" s="21" t="str">
        <f>IFERROR(VLOOKUP(March[[#This Row],[Drug Name9]],'Data Options'!$R$1:$S$100,2,FALSE), " ")</f>
        <v xml:space="preserve"> </v>
      </c>
      <c r="CI181" s="55"/>
      <c r="CJ181" s="32"/>
      <c r="CK181" s="32"/>
      <c r="CL181" s="55"/>
      <c r="CM181" s="32"/>
    </row>
    <row r="182" spans="1:91">
      <c r="A182" s="5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1"/>
      <c r="P182" s="31"/>
      <c r="Q182" s="54"/>
      <c r="R182" s="21" t="str">
        <f>IFERROR(VLOOKUP(March[[#This Row],[Drug Name]],'Data Options'!$R$1:$S$100,2,FALSE), " ")</f>
        <v xml:space="preserve"> </v>
      </c>
      <c r="S182" s="55"/>
      <c r="T182" s="32"/>
      <c r="U182" s="32"/>
      <c r="V182" s="55"/>
      <c r="W182" s="32"/>
      <c r="X182" s="54"/>
      <c r="Y182" s="21" t="str">
        <f>IFERROR(VLOOKUP(March[[#This Row],[Drug Name2]],'Data Options'!$R$1:$S$100,2,FALSE), " ")</f>
        <v xml:space="preserve"> </v>
      </c>
      <c r="Z182" s="55"/>
      <c r="AA182" s="32"/>
      <c r="AB182" s="32"/>
      <c r="AC182" s="55"/>
      <c r="AD182" s="32"/>
      <c r="AE182" s="54"/>
      <c r="AF182" s="21" t="str">
        <f>IFERROR(VLOOKUP(March[[#This Row],[Drug Name3]],'Data Options'!$R$1:$S$100,2,FALSE), " ")</f>
        <v xml:space="preserve"> </v>
      </c>
      <c r="AG182" s="55"/>
      <c r="AH182" s="32"/>
      <c r="AI182" s="32"/>
      <c r="AJ182" s="55"/>
      <c r="AK182" s="32"/>
      <c r="AL182" s="32"/>
      <c r="AM182" s="32"/>
      <c r="AN182" s="32"/>
      <c r="AO182" s="32"/>
      <c r="AP182" s="31"/>
      <c r="AQ182" s="31"/>
      <c r="AR182" s="54"/>
      <c r="AS182" s="21" t="str">
        <f>IFERROR(VLOOKUP(March[[#This Row],[Drug Name4]],'Data Options'!$R$1:$S$100,2,FALSE), " ")</f>
        <v xml:space="preserve"> </v>
      </c>
      <c r="AT182" s="55"/>
      <c r="AU182" s="32"/>
      <c r="AV182" s="32"/>
      <c r="AW182" s="55"/>
      <c r="AX182" s="32"/>
      <c r="AY182" s="54"/>
      <c r="AZ182" s="21" t="str">
        <f>IFERROR(VLOOKUP(March[[#This Row],[Drug Name5]],'Data Options'!$R$1:$S$100,2,FALSE), " ")</f>
        <v xml:space="preserve"> </v>
      </c>
      <c r="BA182" s="55"/>
      <c r="BB182" s="32"/>
      <c r="BC182" s="32"/>
      <c r="BD182" s="55"/>
      <c r="BE182" s="32"/>
      <c r="BF182" s="54"/>
      <c r="BG182" s="21" t="str">
        <f>IFERROR(VLOOKUP(March[[#This Row],[Drug Name6]],'Data Options'!$R$1:$S$100,2,FALSE), " ")</f>
        <v xml:space="preserve"> </v>
      </c>
      <c r="BH182" s="55"/>
      <c r="BI182" s="32"/>
      <c r="BJ182" s="32"/>
      <c r="BK182" s="55"/>
      <c r="BL182" s="32"/>
      <c r="BM182" s="32"/>
      <c r="BN182" s="32"/>
      <c r="BO182" s="32"/>
      <c r="BP182" s="32"/>
      <c r="BQ182" s="31"/>
      <c r="BR182" s="31"/>
      <c r="BS182" s="54"/>
      <c r="BT182" s="21" t="str">
        <f>IFERROR(VLOOKUP(March[[#This Row],[Drug Name7]],'Data Options'!$R$1:$S$100,2,FALSE), " ")</f>
        <v xml:space="preserve"> </v>
      </c>
      <c r="BU182" s="55"/>
      <c r="BV182" s="32"/>
      <c r="BW182" s="32"/>
      <c r="BX182" s="55"/>
      <c r="BY182" s="32"/>
      <c r="BZ182" s="54"/>
      <c r="CA182" s="21" t="str">
        <f>IFERROR(VLOOKUP(March[[#This Row],[Drug Name8]],'Data Options'!$R$1:$S$100,2,FALSE), " ")</f>
        <v xml:space="preserve"> </v>
      </c>
      <c r="CB182" s="55"/>
      <c r="CC182" s="32"/>
      <c r="CD182" s="32"/>
      <c r="CE182" s="55"/>
      <c r="CF182" s="32"/>
      <c r="CG182" s="54"/>
      <c r="CH182" s="21" t="str">
        <f>IFERROR(VLOOKUP(March[[#This Row],[Drug Name9]],'Data Options'!$R$1:$S$100,2,FALSE), " ")</f>
        <v xml:space="preserve"> </v>
      </c>
      <c r="CI182" s="55"/>
      <c r="CJ182" s="32"/>
      <c r="CK182" s="32"/>
      <c r="CL182" s="55"/>
      <c r="CM182" s="32"/>
    </row>
    <row r="183" spans="1:91">
      <c r="A183" s="5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1"/>
      <c r="P183" s="31"/>
      <c r="Q183" s="54"/>
      <c r="R183" s="21" t="str">
        <f>IFERROR(VLOOKUP(March[[#This Row],[Drug Name]],'Data Options'!$R$1:$S$100,2,FALSE), " ")</f>
        <v xml:space="preserve"> </v>
      </c>
      <c r="S183" s="55"/>
      <c r="T183" s="32"/>
      <c r="U183" s="32"/>
      <c r="V183" s="55"/>
      <c r="W183" s="32"/>
      <c r="X183" s="54"/>
      <c r="Y183" s="21" t="str">
        <f>IFERROR(VLOOKUP(March[[#This Row],[Drug Name2]],'Data Options'!$R$1:$S$100,2,FALSE), " ")</f>
        <v xml:space="preserve"> </v>
      </c>
      <c r="Z183" s="55"/>
      <c r="AA183" s="32"/>
      <c r="AB183" s="32"/>
      <c r="AC183" s="55"/>
      <c r="AD183" s="32"/>
      <c r="AE183" s="54"/>
      <c r="AF183" s="21" t="str">
        <f>IFERROR(VLOOKUP(March[[#This Row],[Drug Name3]],'Data Options'!$R$1:$S$100,2,FALSE), " ")</f>
        <v xml:space="preserve"> </v>
      </c>
      <c r="AG183" s="55"/>
      <c r="AH183" s="32"/>
      <c r="AI183" s="32"/>
      <c r="AJ183" s="55"/>
      <c r="AK183" s="32"/>
      <c r="AL183" s="32"/>
      <c r="AM183" s="32"/>
      <c r="AN183" s="32"/>
      <c r="AO183" s="32"/>
      <c r="AP183" s="31"/>
      <c r="AQ183" s="31"/>
      <c r="AR183" s="54"/>
      <c r="AS183" s="21" t="str">
        <f>IFERROR(VLOOKUP(March[[#This Row],[Drug Name4]],'Data Options'!$R$1:$S$100,2,FALSE), " ")</f>
        <v xml:space="preserve"> </v>
      </c>
      <c r="AT183" s="55"/>
      <c r="AU183" s="32"/>
      <c r="AV183" s="32"/>
      <c r="AW183" s="55"/>
      <c r="AX183" s="32"/>
      <c r="AY183" s="54"/>
      <c r="AZ183" s="21" t="str">
        <f>IFERROR(VLOOKUP(March[[#This Row],[Drug Name5]],'Data Options'!$R$1:$S$100,2,FALSE), " ")</f>
        <v xml:space="preserve"> </v>
      </c>
      <c r="BA183" s="55"/>
      <c r="BB183" s="32"/>
      <c r="BC183" s="32"/>
      <c r="BD183" s="55"/>
      <c r="BE183" s="32"/>
      <c r="BF183" s="54"/>
      <c r="BG183" s="21" t="str">
        <f>IFERROR(VLOOKUP(March[[#This Row],[Drug Name6]],'Data Options'!$R$1:$S$100,2,FALSE), " ")</f>
        <v xml:space="preserve"> </v>
      </c>
      <c r="BH183" s="55"/>
      <c r="BI183" s="32"/>
      <c r="BJ183" s="32"/>
      <c r="BK183" s="55"/>
      <c r="BL183" s="32"/>
      <c r="BM183" s="32"/>
      <c r="BN183" s="32"/>
      <c r="BO183" s="32"/>
      <c r="BP183" s="32"/>
      <c r="BQ183" s="31"/>
      <c r="BR183" s="31"/>
      <c r="BS183" s="54"/>
      <c r="BT183" s="21" t="str">
        <f>IFERROR(VLOOKUP(March[[#This Row],[Drug Name7]],'Data Options'!$R$1:$S$100,2,FALSE), " ")</f>
        <v xml:space="preserve"> </v>
      </c>
      <c r="BU183" s="55"/>
      <c r="BV183" s="32"/>
      <c r="BW183" s="32"/>
      <c r="BX183" s="55"/>
      <c r="BY183" s="32"/>
      <c r="BZ183" s="54"/>
      <c r="CA183" s="21" t="str">
        <f>IFERROR(VLOOKUP(March[[#This Row],[Drug Name8]],'Data Options'!$R$1:$S$100,2,FALSE), " ")</f>
        <v xml:space="preserve"> </v>
      </c>
      <c r="CB183" s="55"/>
      <c r="CC183" s="32"/>
      <c r="CD183" s="32"/>
      <c r="CE183" s="55"/>
      <c r="CF183" s="32"/>
      <c r="CG183" s="54"/>
      <c r="CH183" s="21" t="str">
        <f>IFERROR(VLOOKUP(March[[#This Row],[Drug Name9]],'Data Options'!$R$1:$S$100,2,FALSE), " ")</f>
        <v xml:space="preserve"> </v>
      </c>
      <c r="CI183" s="55"/>
      <c r="CJ183" s="32"/>
      <c r="CK183" s="32"/>
      <c r="CL183" s="55"/>
      <c r="CM183" s="32"/>
    </row>
    <row r="184" spans="1:91">
      <c r="A184" s="5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1"/>
      <c r="P184" s="31"/>
      <c r="Q184" s="54"/>
      <c r="R184" s="21" t="str">
        <f>IFERROR(VLOOKUP(March[[#This Row],[Drug Name]],'Data Options'!$R$1:$S$100,2,FALSE), " ")</f>
        <v xml:space="preserve"> </v>
      </c>
      <c r="S184" s="55"/>
      <c r="T184" s="32"/>
      <c r="U184" s="32"/>
      <c r="V184" s="55"/>
      <c r="W184" s="32"/>
      <c r="X184" s="54"/>
      <c r="Y184" s="21" t="str">
        <f>IFERROR(VLOOKUP(March[[#This Row],[Drug Name2]],'Data Options'!$R$1:$S$100,2,FALSE), " ")</f>
        <v xml:space="preserve"> </v>
      </c>
      <c r="Z184" s="55"/>
      <c r="AA184" s="32"/>
      <c r="AB184" s="32"/>
      <c r="AC184" s="55"/>
      <c r="AD184" s="32"/>
      <c r="AE184" s="54"/>
      <c r="AF184" s="21" t="str">
        <f>IFERROR(VLOOKUP(March[[#This Row],[Drug Name3]],'Data Options'!$R$1:$S$100,2,FALSE), " ")</f>
        <v xml:space="preserve"> </v>
      </c>
      <c r="AG184" s="55"/>
      <c r="AH184" s="32"/>
      <c r="AI184" s="32"/>
      <c r="AJ184" s="55"/>
      <c r="AK184" s="32"/>
      <c r="AL184" s="32"/>
      <c r="AM184" s="32"/>
      <c r="AN184" s="32"/>
      <c r="AO184" s="32"/>
      <c r="AP184" s="31"/>
      <c r="AQ184" s="31"/>
      <c r="AR184" s="54"/>
      <c r="AS184" s="21" t="str">
        <f>IFERROR(VLOOKUP(March[[#This Row],[Drug Name4]],'Data Options'!$R$1:$S$100,2,FALSE), " ")</f>
        <v xml:space="preserve"> </v>
      </c>
      <c r="AT184" s="55"/>
      <c r="AU184" s="32"/>
      <c r="AV184" s="32"/>
      <c r="AW184" s="55"/>
      <c r="AX184" s="32"/>
      <c r="AY184" s="54"/>
      <c r="AZ184" s="21" t="str">
        <f>IFERROR(VLOOKUP(March[[#This Row],[Drug Name5]],'Data Options'!$R$1:$S$100,2,FALSE), " ")</f>
        <v xml:space="preserve"> </v>
      </c>
      <c r="BA184" s="55"/>
      <c r="BB184" s="32"/>
      <c r="BC184" s="32"/>
      <c r="BD184" s="55"/>
      <c r="BE184" s="32"/>
      <c r="BF184" s="54"/>
      <c r="BG184" s="21" t="str">
        <f>IFERROR(VLOOKUP(March[[#This Row],[Drug Name6]],'Data Options'!$R$1:$S$100,2,FALSE), " ")</f>
        <v xml:space="preserve"> </v>
      </c>
      <c r="BH184" s="55"/>
      <c r="BI184" s="32"/>
      <c r="BJ184" s="32"/>
      <c r="BK184" s="55"/>
      <c r="BL184" s="32"/>
      <c r="BM184" s="32"/>
      <c r="BN184" s="32"/>
      <c r="BO184" s="32"/>
      <c r="BP184" s="32"/>
      <c r="BQ184" s="31"/>
      <c r="BR184" s="31"/>
      <c r="BS184" s="54"/>
      <c r="BT184" s="21" t="str">
        <f>IFERROR(VLOOKUP(March[[#This Row],[Drug Name7]],'Data Options'!$R$1:$S$100,2,FALSE), " ")</f>
        <v xml:space="preserve"> </v>
      </c>
      <c r="BU184" s="55"/>
      <c r="BV184" s="32"/>
      <c r="BW184" s="32"/>
      <c r="BX184" s="55"/>
      <c r="BY184" s="32"/>
      <c r="BZ184" s="54"/>
      <c r="CA184" s="21" t="str">
        <f>IFERROR(VLOOKUP(March[[#This Row],[Drug Name8]],'Data Options'!$R$1:$S$100,2,FALSE), " ")</f>
        <v xml:space="preserve"> </v>
      </c>
      <c r="CB184" s="55"/>
      <c r="CC184" s="32"/>
      <c r="CD184" s="32"/>
      <c r="CE184" s="55"/>
      <c r="CF184" s="32"/>
      <c r="CG184" s="54"/>
      <c r="CH184" s="21" t="str">
        <f>IFERROR(VLOOKUP(March[[#This Row],[Drug Name9]],'Data Options'!$R$1:$S$100,2,FALSE), " ")</f>
        <v xml:space="preserve"> </v>
      </c>
      <c r="CI184" s="55"/>
      <c r="CJ184" s="32"/>
      <c r="CK184" s="32"/>
      <c r="CL184" s="55"/>
      <c r="CM184" s="32"/>
    </row>
    <row r="185" spans="1:91">
      <c r="A185" s="5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1"/>
      <c r="P185" s="31"/>
      <c r="Q185" s="54"/>
      <c r="R185" s="21" t="str">
        <f>IFERROR(VLOOKUP(March[[#This Row],[Drug Name]],'Data Options'!$R$1:$S$100,2,FALSE), " ")</f>
        <v xml:space="preserve"> </v>
      </c>
      <c r="S185" s="55"/>
      <c r="T185" s="32"/>
      <c r="U185" s="32"/>
      <c r="V185" s="55"/>
      <c r="W185" s="32"/>
      <c r="X185" s="54"/>
      <c r="Y185" s="21" t="str">
        <f>IFERROR(VLOOKUP(March[[#This Row],[Drug Name2]],'Data Options'!$R$1:$S$100,2,FALSE), " ")</f>
        <v xml:space="preserve"> </v>
      </c>
      <c r="Z185" s="55"/>
      <c r="AA185" s="32"/>
      <c r="AB185" s="32"/>
      <c r="AC185" s="55"/>
      <c r="AD185" s="32"/>
      <c r="AE185" s="54"/>
      <c r="AF185" s="21" t="str">
        <f>IFERROR(VLOOKUP(March[[#This Row],[Drug Name3]],'Data Options'!$R$1:$S$100,2,FALSE), " ")</f>
        <v xml:space="preserve"> </v>
      </c>
      <c r="AG185" s="55"/>
      <c r="AH185" s="32"/>
      <c r="AI185" s="32"/>
      <c r="AJ185" s="55"/>
      <c r="AK185" s="32"/>
      <c r="AL185" s="32"/>
      <c r="AM185" s="32"/>
      <c r="AN185" s="32"/>
      <c r="AO185" s="32"/>
      <c r="AP185" s="31"/>
      <c r="AQ185" s="31"/>
      <c r="AR185" s="54"/>
      <c r="AS185" s="21" t="str">
        <f>IFERROR(VLOOKUP(March[[#This Row],[Drug Name4]],'Data Options'!$R$1:$S$100,2,FALSE), " ")</f>
        <v xml:space="preserve"> </v>
      </c>
      <c r="AT185" s="55"/>
      <c r="AU185" s="32"/>
      <c r="AV185" s="32"/>
      <c r="AW185" s="55"/>
      <c r="AX185" s="32"/>
      <c r="AY185" s="54"/>
      <c r="AZ185" s="21" t="str">
        <f>IFERROR(VLOOKUP(March[[#This Row],[Drug Name5]],'Data Options'!$R$1:$S$100,2,FALSE), " ")</f>
        <v xml:space="preserve"> </v>
      </c>
      <c r="BA185" s="55"/>
      <c r="BB185" s="32"/>
      <c r="BC185" s="32"/>
      <c r="BD185" s="55"/>
      <c r="BE185" s="32"/>
      <c r="BF185" s="54"/>
      <c r="BG185" s="21" t="str">
        <f>IFERROR(VLOOKUP(March[[#This Row],[Drug Name6]],'Data Options'!$R$1:$S$100,2,FALSE), " ")</f>
        <v xml:space="preserve"> </v>
      </c>
      <c r="BH185" s="55"/>
      <c r="BI185" s="32"/>
      <c r="BJ185" s="32"/>
      <c r="BK185" s="55"/>
      <c r="BL185" s="32"/>
      <c r="BM185" s="32"/>
      <c r="BN185" s="32"/>
      <c r="BO185" s="32"/>
      <c r="BP185" s="32"/>
      <c r="BQ185" s="31"/>
      <c r="BR185" s="31"/>
      <c r="BS185" s="54"/>
      <c r="BT185" s="21" t="str">
        <f>IFERROR(VLOOKUP(March[[#This Row],[Drug Name7]],'Data Options'!$R$1:$S$100,2,FALSE), " ")</f>
        <v xml:space="preserve"> </v>
      </c>
      <c r="BU185" s="55"/>
      <c r="BV185" s="32"/>
      <c r="BW185" s="32"/>
      <c r="BX185" s="55"/>
      <c r="BY185" s="32"/>
      <c r="BZ185" s="54"/>
      <c r="CA185" s="21" t="str">
        <f>IFERROR(VLOOKUP(March[[#This Row],[Drug Name8]],'Data Options'!$R$1:$S$100,2,FALSE), " ")</f>
        <v xml:space="preserve"> </v>
      </c>
      <c r="CB185" s="55"/>
      <c r="CC185" s="32"/>
      <c r="CD185" s="32"/>
      <c r="CE185" s="55"/>
      <c r="CF185" s="32"/>
      <c r="CG185" s="54"/>
      <c r="CH185" s="21" t="str">
        <f>IFERROR(VLOOKUP(March[[#This Row],[Drug Name9]],'Data Options'!$R$1:$S$100,2,FALSE), " ")</f>
        <v xml:space="preserve"> </v>
      </c>
      <c r="CI185" s="55"/>
      <c r="CJ185" s="32"/>
      <c r="CK185" s="32"/>
      <c r="CL185" s="55"/>
      <c r="CM185" s="32"/>
    </row>
    <row r="186" spans="1:91">
      <c r="A186" s="5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1"/>
      <c r="P186" s="31"/>
      <c r="Q186" s="54"/>
      <c r="R186" s="21" t="str">
        <f>IFERROR(VLOOKUP(March[[#This Row],[Drug Name]],'Data Options'!$R$1:$S$100,2,FALSE), " ")</f>
        <v xml:space="preserve"> </v>
      </c>
      <c r="S186" s="55"/>
      <c r="T186" s="32"/>
      <c r="U186" s="32"/>
      <c r="V186" s="55"/>
      <c r="W186" s="32"/>
      <c r="X186" s="54"/>
      <c r="Y186" s="21" t="str">
        <f>IFERROR(VLOOKUP(March[[#This Row],[Drug Name2]],'Data Options'!$R$1:$S$100,2,FALSE), " ")</f>
        <v xml:space="preserve"> </v>
      </c>
      <c r="Z186" s="55"/>
      <c r="AA186" s="32"/>
      <c r="AB186" s="32"/>
      <c r="AC186" s="55"/>
      <c r="AD186" s="32"/>
      <c r="AE186" s="54"/>
      <c r="AF186" s="21" t="str">
        <f>IFERROR(VLOOKUP(March[[#This Row],[Drug Name3]],'Data Options'!$R$1:$S$100,2,FALSE), " ")</f>
        <v xml:space="preserve"> </v>
      </c>
      <c r="AG186" s="55"/>
      <c r="AH186" s="32"/>
      <c r="AI186" s="32"/>
      <c r="AJ186" s="55"/>
      <c r="AK186" s="32"/>
      <c r="AL186" s="32"/>
      <c r="AM186" s="32"/>
      <c r="AN186" s="32"/>
      <c r="AO186" s="32"/>
      <c r="AP186" s="31"/>
      <c r="AQ186" s="31"/>
      <c r="AR186" s="54"/>
      <c r="AS186" s="21" t="str">
        <f>IFERROR(VLOOKUP(March[[#This Row],[Drug Name4]],'Data Options'!$R$1:$S$100,2,FALSE), " ")</f>
        <v xml:space="preserve"> </v>
      </c>
      <c r="AT186" s="55"/>
      <c r="AU186" s="32"/>
      <c r="AV186" s="32"/>
      <c r="AW186" s="55"/>
      <c r="AX186" s="32"/>
      <c r="AY186" s="54"/>
      <c r="AZ186" s="21" t="str">
        <f>IFERROR(VLOOKUP(March[[#This Row],[Drug Name5]],'Data Options'!$R$1:$S$100,2,FALSE), " ")</f>
        <v xml:space="preserve"> </v>
      </c>
      <c r="BA186" s="55"/>
      <c r="BB186" s="32"/>
      <c r="BC186" s="32"/>
      <c r="BD186" s="55"/>
      <c r="BE186" s="32"/>
      <c r="BF186" s="54"/>
      <c r="BG186" s="21" t="str">
        <f>IFERROR(VLOOKUP(March[[#This Row],[Drug Name6]],'Data Options'!$R$1:$S$100,2,FALSE), " ")</f>
        <v xml:space="preserve"> </v>
      </c>
      <c r="BH186" s="55"/>
      <c r="BI186" s="32"/>
      <c r="BJ186" s="32"/>
      <c r="BK186" s="55"/>
      <c r="BL186" s="32"/>
      <c r="BM186" s="32"/>
      <c r="BN186" s="32"/>
      <c r="BO186" s="32"/>
      <c r="BP186" s="32"/>
      <c r="BQ186" s="31"/>
      <c r="BR186" s="31"/>
      <c r="BS186" s="54"/>
      <c r="BT186" s="21" t="str">
        <f>IFERROR(VLOOKUP(March[[#This Row],[Drug Name7]],'Data Options'!$R$1:$S$100,2,FALSE), " ")</f>
        <v xml:space="preserve"> </v>
      </c>
      <c r="BU186" s="55"/>
      <c r="BV186" s="32"/>
      <c r="BW186" s="32"/>
      <c r="BX186" s="55"/>
      <c r="BY186" s="32"/>
      <c r="BZ186" s="54"/>
      <c r="CA186" s="21" t="str">
        <f>IFERROR(VLOOKUP(March[[#This Row],[Drug Name8]],'Data Options'!$R$1:$S$100,2,FALSE), " ")</f>
        <v xml:space="preserve"> </v>
      </c>
      <c r="CB186" s="55"/>
      <c r="CC186" s="32"/>
      <c r="CD186" s="32"/>
      <c r="CE186" s="55"/>
      <c r="CF186" s="32"/>
      <c r="CG186" s="54"/>
      <c r="CH186" s="21" t="str">
        <f>IFERROR(VLOOKUP(March[[#This Row],[Drug Name9]],'Data Options'!$R$1:$S$100,2,FALSE), " ")</f>
        <v xml:space="preserve"> </v>
      </c>
      <c r="CI186" s="55"/>
      <c r="CJ186" s="32"/>
      <c r="CK186" s="32"/>
      <c r="CL186" s="55"/>
      <c r="CM186" s="32"/>
    </row>
    <row r="187" spans="1:91">
      <c r="A187" s="5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1"/>
      <c r="P187" s="31"/>
      <c r="Q187" s="54"/>
      <c r="R187" s="21" t="str">
        <f>IFERROR(VLOOKUP(March[[#This Row],[Drug Name]],'Data Options'!$R$1:$S$100,2,FALSE), " ")</f>
        <v xml:space="preserve"> </v>
      </c>
      <c r="S187" s="55"/>
      <c r="T187" s="32"/>
      <c r="U187" s="32"/>
      <c r="V187" s="55"/>
      <c r="W187" s="32"/>
      <c r="X187" s="54"/>
      <c r="Y187" s="21" t="str">
        <f>IFERROR(VLOOKUP(March[[#This Row],[Drug Name2]],'Data Options'!$R$1:$S$100,2,FALSE), " ")</f>
        <v xml:space="preserve"> </v>
      </c>
      <c r="Z187" s="55"/>
      <c r="AA187" s="32"/>
      <c r="AB187" s="32"/>
      <c r="AC187" s="55"/>
      <c r="AD187" s="32"/>
      <c r="AE187" s="54"/>
      <c r="AF187" s="21" t="str">
        <f>IFERROR(VLOOKUP(March[[#This Row],[Drug Name3]],'Data Options'!$R$1:$S$100,2,FALSE), " ")</f>
        <v xml:space="preserve"> </v>
      </c>
      <c r="AG187" s="55"/>
      <c r="AH187" s="32"/>
      <c r="AI187" s="32"/>
      <c r="AJ187" s="55"/>
      <c r="AK187" s="32"/>
      <c r="AL187" s="32"/>
      <c r="AM187" s="32"/>
      <c r="AN187" s="32"/>
      <c r="AO187" s="32"/>
      <c r="AP187" s="31"/>
      <c r="AQ187" s="31"/>
      <c r="AR187" s="54"/>
      <c r="AS187" s="21" t="str">
        <f>IFERROR(VLOOKUP(March[[#This Row],[Drug Name4]],'Data Options'!$R$1:$S$100,2,FALSE), " ")</f>
        <v xml:space="preserve"> </v>
      </c>
      <c r="AT187" s="55"/>
      <c r="AU187" s="32"/>
      <c r="AV187" s="32"/>
      <c r="AW187" s="55"/>
      <c r="AX187" s="32"/>
      <c r="AY187" s="54"/>
      <c r="AZ187" s="21" t="str">
        <f>IFERROR(VLOOKUP(March[[#This Row],[Drug Name5]],'Data Options'!$R$1:$S$100,2,FALSE), " ")</f>
        <v xml:space="preserve"> </v>
      </c>
      <c r="BA187" s="55"/>
      <c r="BB187" s="32"/>
      <c r="BC187" s="32"/>
      <c r="BD187" s="55"/>
      <c r="BE187" s="32"/>
      <c r="BF187" s="54"/>
      <c r="BG187" s="21" t="str">
        <f>IFERROR(VLOOKUP(March[[#This Row],[Drug Name6]],'Data Options'!$R$1:$S$100,2,FALSE), " ")</f>
        <v xml:space="preserve"> </v>
      </c>
      <c r="BH187" s="55"/>
      <c r="BI187" s="32"/>
      <c r="BJ187" s="32"/>
      <c r="BK187" s="55"/>
      <c r="BL187" s="32"/>
      <c r="BM187" s="32"/>
      <c r="BN187" s="32"/>
      <c r="BO187" s="32"/>
      <c r="BP187" s="32"/>
      <c r="BQ187" s="31"/>
      <c r="BR187" s="31"/>
      <c r="BS187" s="54"/>
      <c r="BT187" s="21" t="str">
        <f>IFERROR(VLOOKUP(March[[#This Row],[Drug Name7]],'Data Options'!$R$1:$S$100,2,FALSE), " ")</f>
        <v xml:space="preserve"> </v>
      </c>
      <c r="BU187" s="55"/>
      <c r="BV187" s="32"/>
      <c r="BW187" s="32"/>
      <c r="BX187" s="55"/>
      <c r="BY187" s="32"/>
      <c r="BZ187" s="54"/>
      <c r="CA187" s="21" t="str">
        <f>IFERROR(VLOOKUP(March[[#This Row],[Drug Name8]],'Data Options'!$R$1:$S$100,2,FALSE), " ")</f>
        <v xml:space="preserve"> </v>
      </c>
      <c r="CB187" s="55"/>
      <c r="CC187" s="32"/>
      <c r="CD187" s="32"/>
      <c r="CE187" s="55"/>
      <c r="CF187" s="32"/>
      <c r="CG187" s="54"/>
      <c r="CH187" s="21" t="str">
        <f>IFERROR(VLOOKUP(March[[#This Row],[Drug Name9]],'Data Options'!$R$1:$S$100,2,FALSE), " ")</f>
        <v xml:space="preserve"> </v>
      </c>
      <c r="CI187" s="55"/>
      <c r="CJ187" s="32"/>
      <c r="CK187" s="32"/>
      <c r="CL187" s="55"/>
      <c r="CM187" s="32"/>
    </row>
    <row r="188" spans="1:91">
      <c r="A188" s="5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1"/>
      <c r="P188" s="31"/>
      <c r="Q188" s="54"/>
      <c r="R188" s="21" t="str">
        <f>IFERROR(VLOOKUP(March[[#This Row],[Drug Name]],'Data Options'!$R$1:$S$100,2,FALSE), " ")</f>
        <v xml:space="preserve"> </v>
      </c>
      <c r="S188" s="55"/>
      <c r="T188" s="32"/>
      <c r="U188" s="32"/>
      <c r="V188" s="55"/>
      <c r="W188" s="32"/>
      <c r="X188" s="54"/>
      <c r="Y188" s="21" t="str">
        <f>IFERROR(VLOOKUP(March[[#This Row],[Drug Name2]],'Data Options'!$R$1:$S$100,2,FALSE), " ")</f>
        <v xml:space="preserve"> </v>
      </c>
      <c r="Z188" s="55"/>
      <c r="AA188" s="32"/>
      <c r="AB188" s="32"/>
      <c r="AC188" s="55"/>
      <c r="AD188" s="32"/>
      <c r="AE188" s="54"/>
      <c r="AF188" s="21" t="str">
        <f>IFERROR(VLOOKUP(March[[#This Row],[Drug Name3]],'Data Options'!$R$1:$S$100,2,FALSE), " ")</f>
        <v xml:space="preserve"> </v>
      </c>
      <c r="AG188" s="55"/>
      <c r="AH188" s="32"/>
      <c r="AI188" s="32"/>
      <c r="AJ188" s="55"/>
      <c r="AK188" s="32"/>
      <c r="AL188" s="32"/>
      <c r="AM188" s="32"/>
      <c r="AN188" s="32"/>
      <c r="AO188" s="32"/>
      <c r="AP188" s="31"/>
      <c r="AQ188" s="31"/>
      <c r="AR188" s="54"/>
      <c r="AS188" s="21" t="str">
        <f>IFERROR(VLOOKUP(March[[#This Row],[Drug Name4]],'Data Options'!$R$1:$S$100,2,FALSE), " ")</f>
        <v xml:space="preserve"> </v>
      </c>
      <c r="AT188" s="55"/>
      <c r="AU188" s="32"/>
      <c r="AV188" s="32"/>
      <c r="AW188" s="55"/>
      <c r="AX188" s="32"/>
      <c r="AY188" s="54"/>
      <c r="AZ188" s="21" t="str">
        <f>IFERROR(VLOOKUP(March[[#This Row],[Drug Name5]],'Data Options'!$R$1:$S$100,2,FALSE), " ")</f>
        <v xml:space="preserve"> </v>
      </c>
      <c r="BA188" s="55"/>
      <c r="BB188" s="32"/>
      <c r="BC188" s="32"/>
      <c r="BD188" s="55"/>
      <c r="BE188" s="32"/>
      <c r="BF188" s="54"/>
      <c r="BG188" s="21" t="str">
        <f>IFERROR(VLOOKUP(March[[#This Row],[Drug Name6]],'Data Options'!$R$1:$S$100,2,FALSE), " ")</f>
        <v xml:space="preserve"> </v>
      </c>
      <c r="BH188" s="55"/>
      <c r="BI188" s="32"/>
      <c r="BJ188" s="32"/>
      <c r="BK188" s="55"/>
      <c r="BL188" s="32"/>
      <c r="BM188" s="32"/>
      <c r="BN188" s="32"/>
      <c r="BO188" s="32"/>
      <c r="BP188" s="32"/>
      <c r="BQ188" s="31"/>
      <c r="BR188" s="31"/>
      <c r="BS188" s="54"/>
      <c r="BT188" s="21" t="str">
        <f>IFERROR(VLOOKUP(March[[#This Row],[Drug Name7]],'Data Options'!$R$1:$S$100,2,FALSE), " ")</f>
        <v xml:space="preserve"> </v>
      </c>
      <c r="BU188" s="55"/>
      <c r="BV188" s="32"/>
      <c r="BW188" s="32"/>
      <c r="BX188" s="55"/>
      <c r="BY188" s="32"/>
      <c r="BZ188" s="54"/>
      <c r="CA188" s="21" t="str">
        <f>IFERROR(VLOOKUP(March[[#This Row],[Drug Name8]],'Data Options'!$R$1:$S$100,2,FALSE), " ")</f>
        <v xml:space="preserve"> </v>
      </c>
      <c r="CB188" s="55"/>
      <c r="CC188" s="32"/>
      <c r="CD188" s="32"/>
      <c r="CE188" s="55"/>
      <c r="CF188" s="32"/>
      <c r="CG188" s="54"/>
      <c r="CH188" s="21" t="str">
        <f>IFERROR(VLOOKUP(March[[#This Row],[Drug Name9]],'Data Options'!$R$1:$S$100,2,FALSE), " ")</f>
        <v xml:space="preserve"> </v>
      </c>
      <c r="CI188" s="55"/>
      <c r="CJ188" s="32"/>
      <c r="CK188" s="32"/>
      <c r="CL188" s="55"/>
      <c r="CM188" s="32"/>
    </row>
    <row r="189" spans="1:91">
      <c r="A189" s="5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/>
      <c r="P189" s="31"/>
      <c r="Q189" s="54"/>
      <c r="R189" s="21" t="str">
        <f>IFERROR(VLOOKUP(March[[#This Row],[Drug Name]],'Data Options'!$R$1:$S$100,2,FALSE), " ")</f>
        <v xml:space="preserve"> </v>
      </c>
      <c r="S189" s="55"/>
      <c r="T189" s="32"/>
      <c r="U189" s="32"/>
      <c r="V189" s="55"/>
      <c r="W189" s="32"/>
      <c r="X189" s="54"/>
      <c r="Y189" s="21" t="str">
        <f>IFERROR(VLOOKUP(March[[#This Row],[Drug Name2]],'Data Options'!$R$1:$S$100,2,FALSE), " ")</f>
        <v xml:space="preserve"> </v>
      </c>
      <c r="Z189" s="55"/>
      <c r="AA189" s="32"/>
      <c r="AB189" s="32"/>
      <c r="AC189" s="55"/>
      <c r="AD189" s="32"/>
      <c r="AE189" s="54"/>
      <c r="AF189" s="21" t="str">
        <f>IFERROR(VLOOKUP(March[[#This Row],[Drug Name3]],'Data Options'!$R$1:$S$100,2,FALSE), " ")</f>
        <v xml:space="preserve"> </v>
      </c>
      <c r="AG189" s="55"/>
      <c r="AH189" s="32"/>
      <c r="AI189" s="32"/>
      <c r="AJ189" s="55"/>
      <c r="AK189" s="32"/>
      <c r="AL189" s="32"/>
      <c r="AM189" s="32"/>
      <c r="AN189" s="32"/>
      <c r="AO189" s="32"/>
      <c r="AP189" s="31"/>
      <c r="AQ189" s="31"/>
      <c r="AR189" s="54"/>
      <c r="AS189" s="21" t="str">
        <f>IFERROR(VLOOKUP(March[[#This Row],[Drug Name4]],'Data Options'!$R$1:$S$100,2,FALSE), " ")</f>
        <v xml:space="preserve"> </v>
      </c>
      <c r="AT189" s="55"/>
      <c r="AU189" s="32"/>
      <c r="AV189" s="32"/>
      <c r="AW189" s="55"/>
      <c r="AX189" s="32"/>
      <c r="AY189" s="54"/>
      <c r="AZ189" s="21" t="str">
        <f>IFERROR(VLOOKUP(March[[#This Row],[Drug Name5]],'Data Options'!$R$1:$S$100,2,FALSE), " ")</f>
        <v xml:space="preserve"> </v>
      </c>
      <c r="BA189" s="55"/>
      <c r="BB189" s="32"/>
      <c r="BC189" s="32"/>
      <c r="BD189" s="55"/>
      <c r="BE189" s="32"/>
      <c r="BF189" s="54"/>
      <c r="BG189" s="21" t="str">
        <f>IFERROR(VLOOKUP(March[[#This Row],[Drug Name6]],'Data Options'!$R$1:$S$100,2,FALSE), " ")</f>
        <v xml:space="preserve"> </v>
      </c>
      <c r="BH189" s="55"/>
      <c r="BI189" s="32"/>
      <c r="BJ189" s="32"/>
      <c r="BK189" s="55"/>
      <c r="BL189" s="32"/>
      <c r="BM189" s="32"/>
      <c r="BN189" s="32"/>
      <c r="BO189" s="32"/>
      <c r="BP189" s="32"/>
      <c r="BQ189" s="31"/>
      <c r="BR189" s="31"/>
      <c r="BS189" s="54"/>
      <c r="BT189" s="21" t="str">
        <f>IFERROR(VLOOKUP(March[[#This Row],[Drug Name7]],'Data Options'!$R$1:$S$100,2,FALSE), " ")</f>
        <v xml:space="preserve"> </v>
      </c>
      <c r="BU189" s="55"/>
      <c r="BV189" s="32"/>
      <c r="BW189" s="32"/>
      <c r="BX189" s="55"/>
      <c r="BY189" s="32"/>
      <c r="BZ189" s="54"/>
      <c r="CA189" s="21" t="str">
        <f>IFERROR(VLOOKUP(March[[#This Row],[Drug Name8]],'Data Options'!$R$1:$S$100,2,FALSE), " ")</f>
        <v xml:space="preserve"> </v>
      </c>
      <c r="CB189" s="55"/>
      <c r="CC189" s="32"/>
      <c r="CD189" s="32"/>
      <c r="CE189" s="55"/>
      <c r="CF189" s="32"/>
      <c r="CG189" s="54"/>
      <c r="CH189" s="21" t="str">
        <f>IFERROR(VLOOKUP(March[[#This Row],[Drug Name9]],'Data Options'!$R$1:$S$100,2,FALSE), " ")</f>
        <v xml:space="preserve"> </v>
      </c>
      <c r="CI189" s="55"/>
      <c r="CJ189" s="32"/>
      <c r="CK189" s="32"/>
      <c r="CL189" s="55"/>
      <c r="CM189" s="32"/>
    </row>
    <row r="190" spans="1:91">
      <c r="A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54"/>
      <c r="R190" s="21" t="str">
        <f>IFERROR(VLOOKUP(March[[#This Row],[Drug Name]],'Data Options'!$R$1:$S$100,2,FALSE), " ")</f>
        <v xml:space="preserve"> </v>
      </c>
      <c r="S190" s="55"/>
      <c r="T190" s="32"/>
      <c r="U190" s="32"/>
      <c r="V190" s="55"/>
      <c r="W190" s="32"/>
      <c r="X190" s="54"/>
      <c r="Y190" s="21" t="str">
        <f>IFERROR(VLOOKUP(March[[#This Row],[Drug Name2]],'Data Options'!$R$1:$S$100,2,FALSE), " ")</f>
        <v xml:space="preserve"> </v>
      </c>
      <c r="Z190" s="55"/>
      <c r="AA190" s="32"/>
      <c r="AB190" s="32"/>
      <c r="AC190" s="55"/>
      <c r="AD190" s="32"/>
      <c r="AE190" s="54"/>
      <c r="AF190" s="21" t="str">
        <f>IFERROR(VLOOKUP(March[[#This Row],[Drug Name3]],'Data Options'!$R$1:$S$100,2,FALSE), " ")</f>
        <v xml:space="preserve"> </v>
      </c>
      <c r="AG190" s="55"/>
      <c r="AH190" s="32"/>
      <c r="AI190" s="32"/>
      <c r="AJ190" s="55"/>
      <c r="AK190" s="32"/>
      <c r="AL190" s="32"/>
      <c r="AM190" s="32"/>
      <c r="AN190" s="32"/>
      <c r="AO190" s="32"/>
      <c r="AP190" s="31"/>
      <c r="AQ190" s="31"/>
      <c r="AR190" s="54"/>
      <c r="AS190" s="21" t="str">
        <f>IFERROR(VLOOKUP(March[[#This Row],[Drug Name4]],'Data Options'!$R$1:$S$100,2,FALSE), " ")</f>
        <v xml:space="preserve"> </v>
      </c>
      <c r="AT190" s="55"/>
      <c r="AU190" s="32"/>
      <c r="AV190" s="32"/>
      <c r="AW190" s="55"/>
      <c r="AX190" s="32"/>
      <c r="AY190" s="54"/>
      <c r="AZ190" s="21" t="str">
        <f>IFERROR(VLOOKUP(March[[#This Row],[Drug Name5]],'Data Options'!$R$1:$S$100,2,FALSE), " ")</f>
        <v xml:space="preserve"> </v>
      </c>
      <c r="BA190" s="55"/>
      <c r="BB190" s="32"/>
      <c r="BC190" s="32"/>
      <c r="BD190" s="55"/>
      <c r="BE190" s="32"/>
      <c r="BF190" s="54"/>
      <c r="BG190" s="21" t="str">
        <f>IFERROR(VLOOKUP(March[[#This Row],[Drug Name6]],'Data Options'!$R$1:$S$100,2,FALSE), " ")</f>
        <v xml:space="preserve"> </v>
      </c>
      <c r="BH190" s="55"/>
      <c r="BI190" s="32"/>
      <c r="BJ190" s="32"/>
      <c r="BK190" s="55"/>
      <c r="BL190" s="32"/>
      <c r="BM190" s="32"/>
      <c r="BN190" s="32"/>
      <c r="BO190" s="32"/>
      <c r="BP190" s="32"/>
      <c r="BQ190" s="31"/>
      <c r="BR190" s="31"/>
      <c r="BS190" s="54"/>
      <c r="BT190" s="21" t="str">
        <f>IFERROR(VLOOKUP(March[[#This Row],[Drug Name7]],'Data Options'!$R$1:$S$100,2,FALSE), " ")</f>
        <v xml:space="preserve"> </v>
      </c>
      <c r="BU190" s="55"/>
      <c r="BV190" s="32"/>
      <c r="BW190" s="32"/>
      <c r="BX190" s="55"/>
      <c r="BY190" s="32"/>
      <c r="BZ190" s="54"/>
      <c r="CA190" s="21" t="str">
        <f>IFERROR(VLOOKUP(March[[#This Row],[Drug Name8]],'Data Options'!$R$1:$S$100,2,FALSE), " ")</f>
        <v xml:space="preserve"> </v>
      </c>
      <c r="CB190" s="55"/>
      <c r="CC190" s="32"/>
      <c r="CD190" s="32"/>
      <c r="CE190" s="55"/>
      <c r="CF190" s="32"/>
      <c r="CG190" s="54"/>
      <c r="CH190" s="21" t="str">
        <f>IFERROR(VLOOKUP(March[[#This Row],[Drug Name9]],'Data Options'!$R$1:$S$100,2,FALSE), " ")</f>
        <v xml:space="preserve"> </v>
      </c>
      <c r="CI190" s="55"/>
      <c r="CJ190" s="32"/>
      <c r="CK190" s="32"/>
      <c r="CL190" s="55"/>
      <c r="CM190" s="32"/>
    </row>
    <row r="191" spans="1:91">
      <c r="A191" s="5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1"/>
      <c r="P191" s="31"/>
      <c r="Q191" s="54"/>
      <c r="R191" s="21" t="str">
        <f>IFERROR(VLOOKUP(March[[#This Row],[Drug Name]],'Data Options'!$R$1:$S$100,2,FALSE), " ")</f>
        <v xml:space="preserve"> </v>
      </c>
      <c r="S191" s="55"/>
      <c r="T191" s="32"/>
      <c r="U191" s="32"/>
      <c r="V191" s="55"/>
      <c r="W191" s="32"/>
      <c r="X191" s="54"/>
      <c r="Y191" s="21" t="str">
        <f>IFERROR(VLOOKUP(March[[#This Row],[Drug Name2]],'Data Options'!$R$1:$S$100,2,FALSE), " ")</f>
        <v xml:space="preserve"> </v>
      </c>
      <c r="Z191" s="55"/>
      <c r="AA191" s="32"/>
      <c r="AB191" s="32"/>
      <c r="AC191" s="55"/>
      <c r="AD191" s="32"/>
      <c r="AE191" s="54"/>
      <c r="AF191" s="21" t="str">
        <f>IFERROR(VLOOKUP(March[[#This Row],[Drug Name3]],'Data Options'!$R$1:$S$100,2,FALSE), " ")</f>
        <v xml:space="preserve"> </v>
      </c>
      <c r="AG191" s="55"/>
      <c r="AH191" s="32"/>
      <c r="AI191" s="32"/>
      <c r="AJ191" s="55"/>
      <c r="AK191" s="32"/>
      <c r="AL191" s="32"/>
      <c r="AM191" s="32"/>
      <c r="AN191" s="32"/>
      <c r="AO191" s="32"/>
      <c r="AP191" s="31"/>
      <c r="AQ191" s="31"/>
      <c r="AR191" s="54"/>
      <c r="AS191" s="21" t="str">
        <f>IFERROR(VLOOKUP(March[[#This Row],[Drug Name4]],'Data Options'!$R$1:$S$100,2,FALSE), " ")</f>
        <v xml:space="preserve"> </v>
      </c>
      <c r="AT191" s="55"/>
      <c r="AU191" s="32"/>
      <c r="AV191" s="32"/>
      <c r="AW191" s="55"/>
      <c r="AX191" s="32"/>
      <c r="AY191" s="54"/>
      <c r="AZ191" s="21" t="str">
        <f>IFERROR(VLOOKUP(March[[#This Row],[Drug Name5]],'Data Options'!$R$1:$S$100,2,FALSE), " ")</f>
        <v xml:space="preserve"> </v>
      </c>
      <c r="BA191" s="55"/>
      <c r="BB191" s="32"/>
      <c r="BC191" s="32"/>
      <c r="BD191" s="55"/>
      <c r="BE191" s="32"/>
      <c r="BF191" s="54"/>
      <c r="BG191" s="21" t="str">
        <f>IFERROR(VLOOKUP(March[[#This Row],[Drug Name6]],'Data Options'!$R$1:$S$100,2,FALSE), " ")</f>
        <v xml:space="preserve"> </v>
      </c>
      <c r="BH191" s="55"/>
      <c r="BI191" s="32"/>
      <c r="BJ191" s="32"/>
      <c r="BK191" s="55"/>
      <c r="BL191" s="32"/>
      <c r="BM191" s="32"/>
      <c r="BN191" s="32"/>
      <c r="BO191" s="32"/>
      <c r="BP191" s="32"/>
      <c r="BQ191" s="31"/>
      <c r="BR191" s="31"/>
      <c r="BS191" s="54"/>
      <c r="BT191" s="21" t="str">
        <f>IFERROR(VLOOKUP(March[[#This Row],[Drug Name7]],'Data Options'!$R$1:$S$100,2,FALSE), " ")</f>
        <v xml:space="preserve"> </v>
      </c>
      <c r="BU191" s="55"/>
      <c r="BV191" s="32"/>
      <c r="BW191" s="32"/>
      <c r="BX191" s="55"/>
      <c r="BY191" s="32"/>
      <c r="BZ191" s="54"/>
      <c r="CA191" s="21" t="str">
        <f>IFERROR(VLOOKUP(March[[#This Row],[Drug Name8]],'Data Options'!$R$1:$S$100,2,FALSE), " ")</f>
        <v xml:space="preserve"> </v>
      </c>
      <c r="CB191" s="55"/>
      <c r="CC191" s="32"/>
      <c r="CD191" s="32"/>
      <c r="CE191" s="55"/>
      <c r="CF191" s="32"/>
      <c r="CG191" s="54"/>
      <c r="CH191" s="21" t="str">
        <f>IFERROR(VLOOKUP(March[[#This Row],[Drug Name9]],'Data Options'!$R$1:$S$100,2,FALSE), " ")</f>
        <v xml:space="preserve"> </v>
      </c>
      <c r="CI191" s="55"/>
      <c r="CJ191" s="32"/>
      <c r="CK191" s="32"/>
      <c r="CL191" s="55"/>
      <c r="CM191" s="32"/>
    </row>
    <row r="192" spans="1:91">
      <c r="A192" s="5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1"/>
      <c r="P192" s="31"/>
      <c r="Q192" s="54"/>
      <c r="R192" s="21" t="str">
        <f>IFERROR(VLOOKUP(March[[#This Row],[Drug Name]],'Data Options'!$R$1:$S$100,2,FALSE), " ")</f>
        <v xml:space="preserve"> </v>
      </c>
      <c r="S192" s="55"/>
      <c r="T192" s="32"/>
      <c r="U192" s="32"/>
      <c r="V192" s="55"/>
      <c r="W192" s="32"/>
      <c r="X192" s="54"/>
      <c r="Y192" s="21" t="str">
        <f>IFERROR(VLOOKUP(March[[#This Row],[Drug Name2]],'Data Options'!$R$1:$S$100,2,FALSE), " ")</f>
        <v xml:space="preserve"> </v>
      </c>
      <c r="Z192" s="55"/>
      <c r="AA192" s="32"/>
      <c r="AB192" s="32"/>
      <c r="AC192" s="55"/>
      <c r="AD192" s="32"/>
      <c r="AE192" s="54"/>
      <c r="AF192" s="21" t="str">
        <f>IFERROR(VLOOKUP(March[[#This Row],[Drug Name3]],'Data Options'!$R$1:$S$100,2,FALSE), " ")</f>
        <v xml:space="preserve"> </v>
      </c>
      <c r="AG192" s="55"/>
      <c r="AH192" s="32"/>
      <c r="AI192" s="32"/>
      <c r="AJ192" s="55"/>
      <c r="AK192" s="32"/>
      <c r="AL192" s="32"/>
      <c r="AM192" s="32"/>
      <c r="AN192" s="32"/>
      <c r="AO192" s="32"/>
      <c r="AP192" s="31"/>
      <c r="AQ192" s="31"/>
      <c r="AR192" s="54"/>
      <c r="AS192" s="21" t="str">
        <f>IFERROR(VLOOKUP(March[[#This Row],[Drug Name4]],'Data Options'!$R$1:$S$100,2,FALSE), " ")</f>
        <v xml:space="preserve"> </v>
      </c>
      <c r="AT192" s="55"/>
      <c r="AU192" s="32"/>
      <c r="AV192" s="32"/>
      <c r="AW192" s="55"/>
      <c r="AX192" s="32"/>
      <c r="AY192" s="54"/>
      <c r="AZ192" s="21" t="str">
        <f>IFERROR(VLOOKUP(March[[#This Row],[Drug Name5]],'Data Options'!$R$1:$S$100,2,FALSE), " ")</f>
        <v xml:space="preserve"> </v>
      </c>
      <c r="BA192" s="55"/>
      <c r="BB192" s="32"/>
      <c r="BC192" s="32"/>
      <c r="BD192" s="55"/>
      <c r="BE192" s="32"/>
      <c r="BF192" s="54"/>
      <c r="BG192" s="21" t="str">
        <f>IFERROR(VLOOKUP(March[[#This Row],[Drug Name6]],'Data Options'!$R$1:$S$100,2,FALSE), " ")</f>
        <v xml:space="preserve"> </v>
      </c>
      <c r="BH192" s="55"/>
      <c r="BI192" s="32"/>
      <c r="BJ192" s="32"/>
      <c r="BK192" s="55"/>
      <c r="BL192" s="32"/>
      <c r="BM192" s="32"/>
      <c r="BN192" s="32"/>
      <c r="BO192" s="32"/>
      <c r="BP192" s="32"/>
      <c r="BQ192" s="31"/>
      <c r="BR192" s="31"/>
      <c r="BS192" s="54"/>
      <c r="BT192" s="21" t="str">
        <f>IFERROR(VLOOKUP(March[[#This Row],[Drug Name7]],'Data Options'!$R$1:$S$100,2,FALSE), " ")</f>
        <v xml:space="preserve"> </v>
      </c>
      <c r="BU192" s="55"/>
      <c r="BV192" s="32"/>
      <c r="BW192" s="32"/>
      <c r="BX192" s="55"/>
      <c r="BY192" s="32"/>
      <c r="BZ192" s="54"/>
      <c r="CA192" s="21" t="str">
        <f>IFERROR(VLOOKUP(March[[#This Row],[Drug Name8]],'Data Options'!$R$1:$S$100,2,FALSE), " ")</f>
        <v xml:space="preserve"> </v>
      </c>
      <c r="CB192" s="55"/>
      <c r="CC192" s="32"/>
      <c r="CD192" s="32"/>
      <c r="CE192" s="55"/>
      <c r="CF192" s="32"/>
      <c r="CG192" s="54"/>
      <c r="CH192" s="21" t="str">
        <f>IFERROR(VLOOKUP(March[[#This Row],[Drug Name9]],'Data Options'!$R$1:$S$100,2,FALSE), " ")</f>
        <v xml:space="preserve"> </v>
      </c>
      <c r="CI192" s="55"/>
      <c r="CJ192" s="32"/>
      <c r="CK192" s="32"/>
      <c r="CL192" s="55"/>
      <c r="CM192" s="32"/>
    </row>
    <row r="193" spans="1:91">
      <c r="A193" s="5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1"/>
      <c r="P193" s="31"/>
      <c r="Q193" s="54"/>
      <c r="R193" s="21" t="str">
        <f>IFERROR(VLOOKUP(March[[#This Row],[Drug Name]],'Data Options'!$R$1:$S$100,2,FALSE), " ")</f>
        <v xml:space="preserve"> </v>
      </c>
      <c r="S193" s="55"/>
      <c r="T193" s="32"/>
      <c r="U193" s="32"/>
      <c r="V193" s="55"/>
      <c r="W193" s="32"/>
      <c r="X193" s="54"/>
      <c r="Y193" s="21" t="str">
        <f>IFERROR(VLOOKUP(March[[#This Row],[Drug Name2]],'Data Options'!$R$1:$S$100,2,FALSE), " ")</f>
        <v xml:space="preserve"> </v>
      </c>
      <c r="Z193" s="55"/>
      <c r="AA193" s="32"/>
      <c r="AB193" s="32"/>
      <c r="AC193" s="55"/>
      <c r="AD193" s="32"/>
      <c r="AE193" s="54"/>
      <c r="AF193" s="21" t="str">
        <f>IFERROR(VLOOKUP(March[[#This Row],[Drug Name3]],'Data Options'!$R$1:$S$100,2,FALSE), " ")</f>
        <v xml:space="preserve"> </v>
      </c>
      <c r="AG193" s="55"/>
      <c r="AH193" s="32"/>
      <c r="AI193" s="32"/>
      <c r="AJ193" s="55"/>
      <c r="AK193" s="32"/>
      <c r="AL193" s="32"/>
      <c r="AM193" s="32"/>
      <c r="AN193" s="32"/>
      <c r="AO193" s="32"/>
      <c r="AP193" s="31"/>
      <c r="AQ193" s="31"/>
      <c r="AR193" s="54"/>
      <c r="AS193" s="21" t="str">
        <f>IFERROR(VLOOKUP(March[[#This Row],[Drug Name4]],'Data Options'!$R$1:$S$100,2,FALSE), " ")</f>
        <v xml:space="preserve"> </v>
      </c>
      <c r="AT193" s="55"/>
      <c r="AU193" s="32"/>
      <c r="AV193" s="32"/>
      <c r="AW193" s="55"/>
      <c r="AX193" s="32"/>
      <c r="AY193" s="54"/>
      <c r="AZ193" s="21" t="str">
        <f>IFERROR(VLOOKUP(March[[#This Row],[Drug Name5]],'Data Options'!$R$1:$S$100,2,FALSE), " ")</f>
        <v xml:space="preserve"> </v>
      </c>
      <c r="BA193" s="55"/>
      <c r="BB193" s="32"/>
      <c r="BC193" s="32"/>
      <c r="BD193" s="55"/>
      <c r="BE193" s="32"/>
      <c r="BF193" s="54"/>
      <c r="BG193" s="21" t="str">
        <f>IFERROR(VLOOKUP(March[[#This Row],[Drug Name6]],'Data Options'!$R$1:$S$100,2,FALSE), " ")</f>
        <v xml:space="preserve"> </v>
      </c>
      <c r="BH193" s="55"/>
      <c r="BI193" s="32"/>
      <c r="BJ193" s="32"/>
      <c r="BK193" s="55"/>
      <c r="BL193" s="32"/>
      <c r="BM193" s="32"/>
      <c r="BN193" s="32"/>
      <c r="BO193" s="32"/>
      <c r="BP193" s="32"/>
      <c r="BQ193" s="31"/>
      <c r="BR193" s="31"/>
      <c r="BS193" s="54"/>
      <c r="BT193" s="21" t="str">
        <f>IFERROR(VLOOKUP(March[[#This Row],[Drug Name7]],'Data Options'!$R$1:$S$100,2,FALSE), " ")</f>
        <v xml:space="preserve"> </v>
      </c>
      <c r="BU193" s="55"/>
      <c r="BV193" s="32"/>
      <c r="BW193" s="32"/>
      <c r="BX193" s="55"/>
      <c r="BY193" s="32"/>
      <c r="BZ193" s="54"/>
      <c r="CA193" s="21" t="str">
        <f>IFERROR(VLOOKUP(March[[#This Row],[Drug Name8]],'Data Options'!$R$1:$S$100,2,FALSE), " ")</f>
        <v xml:space="preserve"> </v>
      </c>
      <c r="CB193" s="55"/>
      <c r="CC193" s="32"/>
      <c r="CD193" s="32"/>
      <c r="CE193" s="55"/>
      <c r="CF193" s="32"/>
      <c r="CG193" s="54"/>
      <c r="CH193" s="21" t="str">
        <f>IFERROR(VLOOKUP(March[[#This Row],[Drug Name9]],'Data Options'!$R$1:$S$100,2,FALSE), " ")</f>
        <v xml:space="preserve"> </v>
      </c>
      <c r="CI193" s="55"/>
      <c r="CJ193" s="32"/>
      <c r="CK193" s="32"/>
      <c r="CL193" s="55"/>
      <c r="CM193" s="32"/>
    </row>
    <row r="194" spans="1:91">
      <c r="A194" s="5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1"/>
      <c r="P194" s="31"/>
      <c r="Q194" s="54"/>
      <c r="R194" s="21" t="str">
        <f>IFERROR(VLOOKUP(March[[#This Row],[Drug Name]],'Data Options'!$R$1:$S$100,2,FALSE), " ")</f>
        <v xml:space="preserve"> </v>
      </c>
      <c r="S194" s="55"/>
      <c r="T194" s="32"/>
      <c r="U194" s="32"/>
      <c r="V194" s="55"/>
      <c r="W194" s="32"/>
      <c r="X194" s="54"/>
      <c r="Y194" s="21" t="str">
        <f>IFERROR(VLOOKUP(March[[#This Row],[Drug Name2]],'Data Options'!$R$1:$S$100,2,FALSE), " ")</f>
        <v xml:space="preserve"> </v>
      </c>
      <c r="Z194" s="55"/>
      <c r="AA194" s="32"/>
      <c r="AB194" s="32"/>
      <c r="AC194" s="55"/>
      <c r="AD194" s="32"/>
      <c r="AE194" s="54"/>
      <c r="AF194" s="21" t="str">
        <f>IFERROR(VLOOKUP(March[[#This Row],[Drug Name3]],'Data Options'!$R$1:$S$100,2,FALSE), " ")</f>
        <v xml:space="preserve"> </v>
      </c>
      <c r="AG194" s="55"/>
      <c r="AH194" s="32"/>
      <c r="AI194" s="32"/>
      <c r="AJ194" s="55"/>
      <c r="AK194" s="32"/>
      <c r="AL194" s="32"/>
      <c r="AM194" s="32"/>
      <c r="AN194" s="32"/>
      <c r="AO194" s="32"/>
      <c r="AP194" s="31"/>
      <c r="AQ194" s="31"/>
      <c r="AR194" s="54"/>
      <c r="AS194" s="21" t="str">
        <f>IFERROR(VLOOKUP(March[[#This Row],[Drug Name4]],'Data Options'!$R$1:$S$100,2,FALSE), " ")</f>
        <v xml:space="preserve"> </v>
      </c>
      <c r="AT194" s="55"/>
      <c r="AU194" s="32"/>
      <c r="AV194" s="32"/>
      <c r="AW194" s="55"/>
      <c r="AX194" s="32"/>
      <c r="AY194" s="54"/>
      <c r="AZ194" s="21" t="str">
        <f>IFERROR(VLOOKUP(March[[#This Row],[Drug Name5]],'Data Options'!$R$1:$S$100,2,FALSE), " ")</f>
        <v xml:space="preserve"> </v>
      </c>
      <c r="BA194" s="55"/>
      <c r="BB194" s="32"/>
      <c r="BC194" s="32"/>
      <c r="BD194" s="55"/>
      <c r="BE194" s="32"/>
      <c r="BF194" s="54"/>
      <c r="BG194" s="21" t="str">
        <f>IFERROR(VLOOKUP(March[[#This Row],[Drug Name6]],'Data Options'!$R$1:$S$100,2,FALSE), " ")</f>
        <v xml:space="preserve"> </v>
      </c>
      <c r="BH194" s="55"/>
      <c r="BI194" s="32"/>
      <c r="BJ194" s="32"/>
      <c r="BK194" s="55"/>
      <c r="BL194" s="32"/>
      <c r="BM194" s="32"/>
      <c r="BN194" s="32"/>
      <c r="BO194" s="32"/>
      <c r="BP194" s="32"/>
      <c r="BQ194" s="31"/>
      <c r="BR194" s="31"/>
      <c r="BS194" s="54"/>
      <c r="BT194" s="21" t="str">
        <f>IFERROR(VLOOKUP(March[[#This Row],[Drug Name7]],'Data Options'!$R$1:$S$100,2,FALSE), " ")</f>
        <v xml:space="preserve"> </v>
      </c>
      <c r="BU194" s="55"/>
      <c r="BV194" s="32"/>
      <c r="BW194" s="32"/>
      <c r="BX194" s="55"/>
      <c r="BY194" s="32"/>
      <c r="BZ194" s="54"/>
      <c r="CA194" s="21" t="str">
        <f>IFERROR(VLOOKUP(March[[#This Row],[Drug Name8]],'Data Options'!$R$1:$S$100,2,FALSE), " ")</f>
        <v xml:space="preserve"> </v>
      </c>
      <c r="CB194" s="55"/>
      <c r="CC194" s="32"/>
      <c r="CD194" s="32"/>
      <c r="CE194" s="55"/>
      <c r="CF194" s="32"/>
      <c r="CG194" s="54"/>
      <c r="CH194" s="21" t="str">
        <f>IFERROR(VLOOKUP(March[[#This Row],[Drug Name9]],'Data Options'!$R$1:$S$100,2,FALSE), " ")</f>
        <v xml:space="preserve"> </v>
      </c>
      <c r="CI194" s="55"/>
      <c r="CJ194" s="32"/>
      <c r="CK194" s="32"/>
      <c r="CL194" s="55"/>
      <c r="CM194" s="32"/>
    </row>
    <row r="195" spans="1:91">
      <c r="A195" s="5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1"/>
      <c r="P195" s="31"/>
      <c r="Q195" s="54"/>
      <c r="R195" s="21" t="str">
        <f>IFERROR(VLOOKUP(March[[#This Row],[Drug Name]],'Data Options'!$R$1:$S$100,2,FALSE), " ")</f>
        <v xml:space="preserve"> </v>
      </c>
      <c r="S195" s="55"/>
      <c r="T195" s="32"/>
      <c r="U195" s="32"/>
      <c r="V195" s="55"/>
      <c r="W195" s="32"/>
      <c r="X195" s="54"/>
      <c r="Y195" s="21" t="str">
        <f>IFERROR(VLOOKUP(March[[#This Row],[Drug Name2]],'Data Options'!$R$1:$S$100,2,FALSE), " ")</f>
        <v xml:space="preserve"> </v>
      </c>
      <c r="Z195" s="55"/>
      <c r="AA195" s="32"/>
      <c r="AB195" s="32"/>
      <c r="AC195" s="55"/>
      <c r="AD195" s="32"/>
      <c r="AE195" s="54"/>
      <c r="AF195" s="21" t="str">
        <f>IFERROR(VLOOKUP(March[[#This Row],[Drug Name3]],'Data Options'!$R$1:$S$100,2,FALSE), " ")</f>
        <v xml:space="preserve"> </v>
      </c>
      <c r="AG195" s="55"/>
      <c r="AH195" s="32"/>
      <c r="AI195" s="32"/>
      <c r="AJ195" s="55"/>
      <c r="AK195" s="32"/>
      <c r="AL195" s="32"/>
      <c r="AM195" s="32"/>
      <c r="AN195" s="32"/>
      <c r="AO195" s="32"/>
      <c r="AP195" s="31"/>
      <c r="AQ195" s="31"/>
      <c r="AR195" s="54"/>
      <c r="AS195" s="21" t="str">
        <f>IFERROR(VLOOKUP(March[[#This Row],[Drug Name4]],'Data Options'!$R$1:$S$100,2,FALSE), " ")</f>
        <v xml:space="preserve"> </v>
      </c>
      <c r="AT195" s="55"/>
      <c r="AU195" s="32"/>
      <c r="AV195" s="32"/>
      <c r="AW195" s="55"/>
      <c r="AX195" s="32"/>
      <c r="AY195" s="54"/>
      <c r="AZ195" s="21" t="str">
        <f>IFERROR(VLOOKUP(March[[#This Row],[Drug Name5]],'Data Options'!$R$1:$S$100,2,FALSE), " ")</f>
        <v xml:space="preserve"> </v>
      </c>
      <c r="BA195" s="55"/>
      <c r="BB195" s="32"/>
      <c r="BC195" s="32"/>
      <c r="BD195" s="55"/>
      <c r="BE195" s="32"/>
      <c r="BF195" s="54"/>
      <c r="BG195" s="21" t="str">
        <f>IFERROR(VLOOKUP(March[[#This Row],[Drug Name6]],'Data Options'!$R$1:$S$100,2,FALSE), " ")</f>
        <v xml:space="preserve"> </v>
      </c>
      <c r="BH195" s="55"/>
      <c r="BI195" s="32"/>
      <c r="BJ195" s="32"/>
      <c r="BK195" s="55"/>
      <c r="BL195" s="32"/>
      <c r="BM195" s="32"/>
      <c r="BN195" s="32"/>
      <c r="BO195" s="32"/>
      <c r="BP195" s="32"/>
      <c r="BQ195" s="31"/>
      <c r="BR195" s="31"/>
      <c r="BS195" s="54"/>
      <c r="BT195" s="21" t="str">
        <f>IFERROR(VLOOKUP(March[[#This Row],[Drug Name7]],'Data Options'!$R$1:$S$100,2,FALSE), " ")</f>
        <v xml:space="preserve"> </v>
      </c>
      <c r="BU195" s="55"/>
      <c r="BV195" s="32"/>
      <c r="BW195" s="32"/>
      <c r="BX195" s="55"/>
      <c r="BY195" s="32"/>
      <c r="BZ195" s="54"/>
      <c r="CA195" s="21" t="str">
        <f>IFERROR(VLOOKUP(March[[#This Row],[Drug Name8]],'Data Options'!$R$1:$S$100,2,FALSE), " ")</f>
        <v xml:space="preserve"> </v>
      </c>
      <c r="CB195" s="55"/>
      <c r="CC195" s="32"/>
      <c r="CD195" s="32"/>
      <c r="CE195" s="55"/>
      <c r="CF195" s="32"/>
      <c r="CG195" s="54"/>
      <c r="CH195" s="21" t="str">
        <f>IFERROR(VLOOKUP(March[[#This Row],[Drug Name9]],'Data Options'!$R$1:$S$100,2,FALSE), " ")</f>
        <v xml:space="preserve"> </v>
      </c>
      <c r="CI195" s="55"/>
      <c r="CJ195" s="32"/>
      <c r="CK195" s="32"/>
      <c r="CL195" s="55"/>
      <c r="CM195" s="32"/>
    </row>
    <row r="196" spans="1:91">
      <c r="A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1"/>
      <c r="P196" s="31"/>
      <c r="Q196" s="54"/>
      <c r="R196" s="21" t="str">
        <f>IFERROR(VLOOKUP(March[[#This Row],[Drug Name]],'Data Options'!$R$1:$S$100,2,FALSE), " ")</f>
        <v xml:space="preserve"> </v>
      </c>
      <c r="S196" s="55"/>
      <c r="T196" s="32"/>
      <c r="U196" s="32"/>
      <c r="V196" s="55"/>
      <c r="W196" s="32"/>
      <c r="X196" s="54"/>
      <c r="Y196" s="21" t="str">
        <f>IFERROR(VLOOKUP(March[[#This Row],[Drug Name2]],'Data Options'!$R$1:$S$100,2,FALSE), " ")</f>
        <v xml:space="preserve"> </v>
      </c>
      <c r="Z196" s="55"/>
      <c r="AA196" s="32"/>
      <c r="AB196" s="32"/>
      <c r="AC196" s="55"/>
      <c r="AD196" s="32"/>
      <c r="AE196" s="54"/>
      <c r="AF196" s="21" t="str">
        <f>IFERROR(VLOOKUP(March[[#This Row],[Drug Name3]],'Data Options'!$R$1:$S$100,2,FALSE), " ")</f>
        <v xml:space="preserve"> </v>
      </c>
      <c r="AG196" s="55"/>
      <c r="AH196" s="32"/>
      <c r="AI196" s="32"/>
      <c r="AJ196" s="55"/>
      <c r="AK196" s="32"/>
      <c r="AL196" s="32"/>
      <c r="AM196" s="32"/>
      <c r="AN196" s="32"/>
      <c r="AO196" s="32"/>
      <c r="AP196" s="31"/>
      <c r="AQ196" s="31"/>
      <c r="AR196" s="54"/>
      <c r="AS196" s="21" t="str">
        <f>IFERROR(VLOOKUP(March[[#This Row],[Drug Name4]],'Data Options'!$R$1:$S$100,2,FALSE), " ")</f>
        <v xml:space="preserve"> </v>
      </c>
      <c r="AT196" s="55"/>
      <c r="AU196" s="32"/>
      <c r="AV196" s="32"/>
      <c r="AW196" s="55"/>
      <c r="AX196" s="32"/>
      <c r="AY196" s="54"/>
      <c r="AZ196" s="21" t="str">
        <f>IFERROR(VLOOKUP(March[[#This Row],[Drug Name5]],'Data Options'!$R$1:$S$100,2,FALSE), " ")</f>
        <v xml:space="preserve"> </v>
      </c>
      <c r="BA196" s="55"/>
      <c r="BB196" s="32"/>
      <c r="BC196" s="32"/>
      <c r="BD196" s="55"/>
      <c r="BE196" s="32"/>
      <c r="BF196" s="54"/>
      <c r="BG196" s="21" t="str">
        <f>IFERROR(VLOOKUP(March[[#This Row],[Drug Name6]],'Data Options'!$R$1:$S$100,2,FALSE), " ")</f>
        <v xml:space="preserve"> </v>
      </c>
      <c r="BH196" s="55"/>
      <c r="BI196" s="32"/>
      <c r="BJ196" s="32"/>
      <c r="BK196" s="55"/>
      <c r="BL196" s="32"/>
      <c r="BM196" s="32"/>
      <c r="BN196" s="32"/>
      <c r="BO196" s="32"/>
      <c r="BP196" s="32"/>
      <c r="BQ196" s="31"/>
      <c r="BR196" s="31"/>
      <c r="BS196" s="54"/>
      <c r="BT196" s="21" t="str">
        <f>IFERROR(VLOOKUP(March[[#This Row],[Drug Name7]],'Data Options'!$R$1:$S$100,2,FALSE), " ")</f>
        <v xml:space="preserve"> </v>
      </c>
      <c r="BU196" s="55"/>
      <c r="BV196" s="32"/>
      <c r="BW196" s="32"/>
      <c r="BX196" s="55"/>
      <c r="BY196" s="32"/>
      <c r="BZ196" s="54"/>
      <c r="CA196" s="21" t="str">
        <f>IFERROR(VLOOKUP(March[[#This Row],[Drug Name8]],'Data Options'!$R$1:$S$100,2,FALSE), " ")</f>
        <v xml:space="preserve"> </v>
      </c>
      <c r="CB196" s="55"/>
      <c r="CC196" s="32"/>
      <c r="CD196" s="32"/>
      <c r="CE196" s="55"/>
      <c r="CF196" s="32"/>
      <c r="CG196" s="54"/>
      <c r="CH196" s="21" t="str">
        <f>IFERROR(VLOOKUP(March[[#This Row],[Drug Name9]],'Data Options'!$R$1:$S$100,2,FALSE), " ")</f>
        <v xml:space="preserve"> </v>
      </c>
      <c r="CI196" s="55"/>
      <c r="CJ196" s="32"/>
      <c r="CK196" s="32"/>
      <c r="CL196" s="55"/>
      <c r="CM196" s="32"/>
    </row>
    <row r="197" spans="1:91">
      <c r="A197" s="5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1"/>
      <c r="P197" s="31"/>
      <c r="Q197" s="54"/>
      <c r="R197" s="21" t="str">
        <f>IFERROR(VLOOKUP(March[[#This Row],[Drug Name]],'Data Options'!$R$1:$S$100,2,FALSE), " ")</f>
        <v xml:space="preserve"> </v>
      </c>
      <c r="S197" s="55"/>
      <c r="T197" s="32"/>
      <c r="U197" s="32"/>
      <c r="V197" s="55"/>
      <c r="W197" s="32"/>
      <c r="X197" s="54"/>
      <c r="Y197" s="21" t="str">
        <f>IFERROR(VLOOKUP(March[[#This Row],[Drug Name2]],'Data Options'!$R$1:$S$100,2,FALSE), " ")</f>
        <v xml:space="preserve"> </v>
      </c>
      <c r="Z197" s="55"/>
      <c r="AA197" s="32"/>
      <c r="AB197" s="32"/>
      <c r="AC197" s="55"/>
      <c r="AD197" s="32"/>
      <c r="AE197" s="54"/>
      <c r="AF197" s="21" t="str">
        <f>IFERROR(VLOOKUP(March[[#This Row],[Drug Name3]],'Data Options'!$R$1:$S$100,2,FALSE), " ")</f>
        <v xml:space="preserve"> </v>
      </c>
      <c r="AG197" s="55"/>
      <c r="AH197" s="32"/>
      <c r="AI197" s="32"/>
      <c r="AJ197" s="55"/>
      <c r="AK197" s="32"/>
      <c r="AL197" s="32"/>
      <c r="AM197" s="32"/>
      <c r="AN197" s="32"/>
      <c r="AO197" s="32"/>
      <c r="AP197" s="31"/>
      <c r="AQ197" s="31"/>
      <c r="AR197" s="54"/>
      <c r="AS197" s="21" t="str">
        <f>IFERROR(VLOOKUP(March[[#This Row],[Drug Name4]],'Data Options'!$R$1:$S$100,2,FALSE), " ")</f>
        <v xml:space="preserve"> </v>
      </c>
      <c r="AT197" s="55"/>
      <c r="AU197" s="32"/>
      <c r="AV197" s="32"/>
      <c r="AW197" s="55"/>
      <c r="AX197" s="32"/>
      <c r="AY197" s="54"/>
      <c r="AZ197" s="21" t="str">
        <f>IFERROR(VLOOKUP(March[[#This Row],[Drug Name5]],'Data Options'!$R$1:$S$100,2,FALSE), " ")</f>
        <v xml:space="preserve"> </v>
      </c>
      <c r="BA197" s="55"/>
      <c r="BB197" s="32"/>
      <c r="BC197" s="32"/>
      <c r="BD197" s="55"/>
      <c r="BE197" s="32"/>
      <c r="BF197" s="54"/>
      <c r="BG197" s="21" t="str">
        <f>IFERROR(VLOOKUP(March[[#This Row],[Drug Name6]],'Data Options'!$R$1:$S$100,2,FALSE), " ")</f>
        <v xml:space="preserve"> </v>
      </c>
      <c r="BH197" s="55"/>
      <c r="BI197" s="32"/>
      <c r="BJ197" s="32"/>
      <c r="BK197" s="55"/>
      <c r="BL197" s="32"/>
      <c r="BM197" s="32"/>
      <c r="BN197" s="32"/>
      <c r="BO197" s="32"/>
      <c r="BP197" s="32"/>
      <c r="BQ197" s="31"/>
      <c r="BR197" s="31"/>
      <c r="BS197" s="54"/>
      <c r="BT197" s="21" t="str">
        <f>IFERROR(VLOOKUP(March[[#This Row],[Drug Name7]],'Data Options'!$R$1:$S$100,2,FALSE), " ")</f>
        <v xml:space="preserve"> </v>
      </c>
      <c r="BU197" s="55"/>
      <c r="BV197" s="32"/>
      <c r="BW197" s="32"/>
      <c r="BX197" s="55"/>
      <c r="BY197" s="32"/>
      <c r="BZ197" s="54"/>
      <c r="CA197" s="21" t="str">
        <f>IFERROR(VLOOKUP(March[[#This Row],[Drug Name8]],'Data Options'!$R$1:$S$100,2,FALSE), " ")</f>
        <v xml:space="preserve"> </v>
      </c>
      <c r="CB197" s="55"/>
      <c r="CC197" s="32"/>
      <c r="CD197" s="32"/>
      <c r="CE197" s="55"/>
      <c r="CF197" s="32"/>
      <c r="CG197" s="54"/>
      <c r="CH197" s="21" t="str">
        <f>IFERROR(VLOOKUP(March[[#This Row],[Drug Name9]],'Data Options'!$R$1:$S$100,2,FALSE), " ")</f>
        <v xml:space="preserve"> </v>
      </c>
      <c r="CI197" s="55"/>
      <c r="CJ197" s="32"/>
      <c r="CK197" s="32"/>
      <c r="CL197" s="55"/>
      <c r="CM197" s="32"/>
    </row>
    <row r="198" spans="1:91">
      <c r="A198" s="5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1"/>
      <c r="P198" s="31"/>
      <c r="Q198" s="54"/>
      <c r="R198" s="21" t="str">
        <f>IFERROR(VLOOKUP(March[[#This Row],[Drug Name]],'Data Options'!$R$1:$S$100,2,FALSE), " ")</f>
        <v xml:space="preserve"> </v>
      </c>
      <c r="S198" s="55"/>
      <c r="T198" s="32"/>
      <c r="U198" s="32"/>
      <c r="V198" s="55"/>
      <c r="W198" s="32"/>
      <c r="X198" s="54"/>
      <c r="Y198" s="21" t="str">
        <f>IFERROR(VLOOKUP(March[[#This Row],[Drug Name2]],'Data Options'!$R$1:$S$100,2,FALSE), " ")</f>
        <v xml:space="preserve"> </v>
      </c>
      <c r="Z198" s="55"/>
      <c r="AA198" s="32"/>
      <c r="AB198" s="32"/>
      <c r="AC198" s="55"/>
      <c r="AD198" s="32"/>
      <c r="AE198" s="54"/>
      <c r="AF198" s="21" t="str">
        <f>IFERROR(VLOOKUP(March[[#This Row],[Drug Name3]],'Data Options'!$R$1:$S$100,2,FALSE), " ")</f>
        <v xml:space="preserve"> </v>
      </c>
      <c r="AG198" s="55"/>
      <c r="AH198" s="32"/>
      <c r="AI198" s="32"/>
      <c r="AJ198" s="55"/>
      <c r="AK198" s="32"/>
      <c r="AL198" s="32"/>
      <c r="AM198" s="32"/>
      <c r="AN198" s="32"/>
      <c r="AO198" s="32"/>
      <c r="AP198" s="31"/>
      <c r="AQ198" s="31"/>
      <c r="AR198" s="54"/>
      <c r="AS198" s="21" t="str">
        <f>IFERROR(VLOOKUP(March[[#This Row],[Drug Name4]],'Data Options'!$R$1:$S$100,2,FALSE), " ")</f>
        <v xml:space="preserve"> </v>
      </c>
      <c r="AT198" s="55"/>
      <c r="AU198" s="32"/>
      <c r="AV198" s="32"/>
      <c r="AW198" s="55"/>
      <c r="AX198" s="32"/>
      <c r="AY198" s="54"/>
      <c r="AZ198" s="21" t="str">
        <f>IFERROR(VLOOKUP(March[[#This Row],[Drug Name5]],'Data Options'!$R$1:$S$100,2,FALSE), " ")</f>
        <v xml:space="preserve"> </v>
      </c>
      <c r="BA198" s="55"/>
      <c r="BB198" s="32"/>
      <c r="BC198" s="32"/>
      <c r="BD198" s="55"/>
      <c r="BE198" s="32"/>
      <c r="BF198" s="54"/>
      <c r="BG198" s="21" t="str">
        <f>IFERROR(VLOOKUP(March[[#This Row],[Drug Name6]],'Data Options'!$R$1:$S$100,2,FALSE), " ")</f>
        <v xml:space="preserve"> </v>
      </c>
      <c r="BH198" s="55"/>
      <c r="BI198" s="32"/>
      <c r="BJ198" s="32"/>
      <c r="BK198" s="55"/>
      <c r="BL198" s="32"/>
      <c r="BM198" s="32"/>
      <c r="BN198" s="32"/>
      <c r="BO198" s="32"/>
      <c r="BP198" s="32"/>
      <c r="BQ198" s="31"/>
      <c r="BR198" s="31"/>
      <c r="BS198" s="54"/>
      <c r="BT198" s="21" t="str">
        <f>IFERROR(VLOOKUP(March[[#This Row],[Drug Name7]],'Data Options'!$R$1:$S$100,2,FALSE), " ")</f>
        <v xml:space="preserve"> </v>
      </c>
      <c r="BU198" s="55"/>
      <c r="BV198" s="32"/>
      <c r="BW198" s="32"/>
      <c r="BX198" s="55"/>
      <c r="BY198" s="32"/>
      <c r="BZ198" s="54"/>
      <c r="CA198" s="21" t="str">
        <f>IFERROR(VLOOKUP(March[[#This Row],[Drug Name8]],'Data Options'!$R$1:$S$100,2,FALSE), " ")</f>
        <v xml:space="preserve"> </v>
      </c>
      <c r="CB198" s="55"/>
      <c r="CC198" s="32"/>
      <c r="CD198" s="32"/>
      <c r="CE198" s="55"/>
      <c r="CF198" s="32"/>
      <c r="CG198" s="54"/>
      <c r="CH198" s="21" t="str">
        <f>IFERROR(VLOOKUP(March[[#This Row],[Drug Name9]],'Data Options'!$R$1:$S$100,2,FALSE), " ")</f>
        <v xml:space="preserve"> </v>
      </c>
      <c r="CI198" s="55"/>
      <c r="CJ198" s="32"/>
      <c r="CK198" s="32"/>
      <c r="CL198" s="55"/>
      <c r="CM198" s="32"/>
    </row>
    <row r="199" spans="1:91">
      <c r="A199" s="5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1"/>
      <c r="P199" s="31"/>
      <c r="Q199" s="54"/>
      <c r="R199" s="21" t="str">
        <f>IFERROR(VLOOKUP(March[[#This Row],[Drug Name]],'Data Options'!$R$1:$S$100,2,FALSE), " ")</f>
        <v xml:space="preserve"> </v>
      </c>
      <c r="S199" s="55"/>
      <c r="T199" s="32"/>
      <c r="U199" s="32"/>
      <c r="V199" s="55"/>
      <c r="W199" s="32"/>
      <c r="X199" s="54"/>
      <c r="Y199" s="21" t="str">
        <f>IFERROR(VLOOKUP(March[[#This Row],[Drug Name2]],'Data Options'!$R$1:$S$100,2,FALSE), " ")</f>
        <v xml:space="preserve"> </v>
      </c>
      <c r="Z199" s="55"/>
      <c r="AA199" s="32"/>
      <c r="AB199" s="32"/>
      <c r="AC199" s="55"/>
      <c r="AD199" s="32"/>
      <c r="AE199" s="54"/>
      <c r="AF199" s="21" t="str">
        <f>IFERROR(VLOOKUP(March[[#This Row],[Drug Name3]],'Data Options'!$R$1:$S$100,2,FALSE), " ")</f>
        <v xml:space="preserve"> </v>
      </c>
      <c r="AG199" s="55"/>
      <c r="AH199" s="32"/>
      <c r="AI199" s="32"/>
      <c r="AJ199" s="55"/>
      <c r="AK199" s="32"/>
      <c r="AL199" s="32"/>
      <c r="AM199" s="32"/>
      <c r="AN199" s="32"/>
      <c r="AO199" s="32"/>
      <c r="AP199" s="31"/>
      <c r="AQ199" s="31"/>
      <c r="AR199" s="54"/>
      <c r="AS199" s="21" t="str">
        <f>IFERROR(VLOOKUP(March[[#This Row],[Drug Name4]],'Data Options'!$R$1:$S$100,2,FALSE), " ")</f>
        <v xml:space="preserve"> </v>
      </c>
      <c r="AT199" s="55"/>
      <c r="AU199" s="32"/>
      <c r="AV199" s="32"/>
      <c r="AW199" s="55"/>
      <c r="AX199" s="32"/>
      <c r="AY199" s="54"/>
      <c r="AZ199" s="21" t="str">
        <f>IFERROR(VLOOKUP(March[[#This Row],[Drug Name5]],'Data Options'!$R$1:$S$100,2,FALSE), " ")</f>
        <v xml:space="preserve"> </v>
      </c>
      <c r="BA199" s="55"/>
      <c r="BB199" s="32"/>
      <c r="BC199" s="32"/>
      <c r="BD199" s="55"/>
      <c r="BE199" s="32"/>
      <c r="BF199" s="54"/>
      <c r="BG199" s="21" t="str">
        <f>IFERROR(VLOOKUP(March[[#This Row],[Drug Name6]],'Data Options'!$R$1:$S$100,2,FALSE), " ")</f>
        <v xml:space="preserve"> </v>
      </c>
      <c r="BH199" s="55"/>
      <c r="BI199" s="32"/>
      <c r="BJ199" s="32"/>
      <c r="BK199" s="55"/>
      <c r="BL199" s="32"/>
      <c r="BM199" s="32"/>
      <c r="BN199" s="32"/>
      <c r="BO199" s="32"/>
      <c r="BP199" s="32"/>
      <c r="BQ199" s="31"/>
      <c r="BR199" s="31"/>
      <c r="BS199" s="54"/>
      <c r="BT199" s="21" t="str">
        <f>IFERROR(VLOOKUP(March[[#This Row],[Drug Name7]],'Data Options'!$R$1:$S$100,2,FALSE), " ")</f>
        <v xml:space="preserve"> </v>
      </c>
      <c r="BU199" s="55"/>
      <c r="BV199" s="32"/>
      <c r="BW199" s="32"/>
      <c r="BX199" s="55"/>
      <c r="BY199" s="32"/>
      <c r="BZ199" s="54"/>
      <c r="CA199" s="21" t="str">
        <f>IFERROR(VLOOKUP(March[[#This Row],[Drug Name8]],'Data Options'!$R$1:$S$100,2,FALSE), " ")</f>
        <v xml:space="preserve"> </v>
      </c>
      <c r="CB199" s="55"/>
      <c r="CC199" s="32"/>
      <c r="CD199" s="32"/>
      <c r="CE199" s="55"/>
      <c r="CF199" s="32"/>
      <c r="CG199" s="54"/>
      <c r="CH199" s="21" t="str">
        <f>IFERROR(VLOOKUP(March[[#This Row],[Drug Name9]],'Data Options'!$R$1:$S$100,2,FALSE), " ")</f>
        <v xml:space="preserve"> </v>
      </c>
      <c r="CI199" s="55"/>
      <c r="CJ199" s="32"/>
      <c r="CK199" s="32"/>
      <c r="CL199" s="55"/>
      <c r="CM199" s="32"/>
    </row>
    <row r="200" spans="1:91">
      <c r="A200" s="5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1"/>
      <c r="P200" s="31"/>
      <c r="Q200" s="54"/>
      <c r="R200" s="21" t="str">
        <f>IFERROR(VLOOKUP(March[[#This Row],[Drug Name]],'Data Options'!$R$1:$S$100,2,FALSE), " ")</f>
        <v xml:space="preserve"> </v>
      </c>
      <c r="S200" s="55"/>
      <c r="T200" s="32"/>
      <c r="U200" s="32"/>
      <c r="V200" s="55"/>
      <c r="W200" s="32"/>
      <c r="X200" s="54"/>
      <c r="Y200" s="21" t="str">
        <f>IFERROR(VLOOKUP(March[[#This Row],[Drug Name2]],'Data Options'!$R$1:$S$100,2,FALSE), " ")</f>
        <v xml:space="preserve"> </v>
      </c>
      <c r="Z200" s="55"/>
      <c r="AA200" s="32"/>
      <c r="AB200" s="32"/>
      <c r="AC200" s="55"/>
      <c r="AD200" s="32"/>
      <c r="AE200" s="54"/>
      <c r="AF200" s="21" t="str">
        <f>IFERROR(VLOOKUP(March[[#This Row],[Drug Name3]],'Data Options'!$R$1:$S$100,2,FALSE), " ")</f>
        <v xml:space="preserve"> </v>
      </c>
      <c r="AG200" s="55"/>
      <c r="AH200" s="32"/>
      <c r="AI200" s="32"/>
      <c r="AJ200" s="55"/>
      <c r="AK200" s="32"/>
      <c r="AL200" s="32"/>
      <c r="AM200" s="32"/>
      <c r="AN200" s="32"/>
      <c r="AO200" s="32"/>
      <c r="AP200" s="31"/>
      <c r="AQ200" s="31"/>
      <c r="AR200" s="54"/>
      <c r="AS200" s="21" t="str">
        <f>IFERROR(VLOOKUP(March[[#This Row],[Drug Name4]],'Data Options'!$R$1:$S$100,2,FALSE), " ")</f>
        <v xml:space="preserve"> </v>
      </c>
      <c r="AT200" s="55"/>
      <c r="AU200" s="32"/>
      <c r="AV200" s="32"/>
      <c r="AW200" s="55"/>
      <c r="AX200" s="32"/>
      <c r="AY200" s="54"/>
      <c r="AZ200" s="21" t="str">
        <f>IFERROR(VLOOKUP(March[[#This Row],[Drug Name5]],'Data Options'!$R$1:$S$100,2,FALSE), " ")</f>
        <v xml:space="preserve"> </v>
      </c>
      <c r="BA200" s="55"/>
      <c r="BB200" s="32"/>
      <c r="BC200" s="32"/>
      <c r="BD200" s="55"/>
      <c r="BE200" s="32"/>
      <c r="BF200" s="54"/>
      <c r="BG200" s="21" t="str">
        <f>IFERROR(VLOOKUP(March[[#This Row],[Drug Name6]],'Data Options'!$R$1:$S$100,2,FALSE), " ")</f>
        <v xml:space="preserve"> </v>
      </c>
      <c r="BH200" s="55"/>
      <c r="BI200" s="32"/>
      <c r="BJ200" s="32"/>
      <c r="BK200" s="55"/>
      <c r="BL200" s="32"/>
      <c r="BM200" s="32"/>
      <c r="BN200" s="32"/>
      <c r="BO200" s="32"/>
      <c r="BP200" s="32"/>
      <c r="BQ200" s="31"/>
      <c r="BR200" s="31"/>
      <c r="BS200" s="54"/>
      <c r="BT200" s="21" t="str">
        <f>IFERROR(VLOOKUP(March[[#This Row],[Drug Name7]],'Data Options'!$R$1:$S$100,2,FALSE), " ")</f>
        <v xml:space="preserve"> </v>
      </c>
      <c r="BU200" s="55"/>
      <c r="BV200" s="32"/>
      <c r="BW200" s="32"/>
      <c r="BX200" s="55"/>
      <c r="BY200" s="32"/>
      <c r="BZ200" s="54"/>
      <c r="CA200" s="21" t="str">
        <f>IFERROR(VLOOKUP(March[[#This Row],[Drug Name8]],'Data Options'!$R$1:$S$100,2,FALSE), " ")</f>
        <v xml:space="preserve"> </v>
      </c>
      <c r="CB200" s="55"/>
      <c r="CC200" s="32"/>
      <c r="CD200" s="32"/>
      <c r="CE200" s="55"/>
      <c r="CF200" s="32"/>
      <c r="CG200" s="54"/>
      <c r="CH200" s="21" t="str">
        <f>IFERROR(VLOOKUP(March[[#This Row],[Drug Name9]],'Data Options'!$R$1:$S$100,2,FALSE), " ")</f>
        <v xml:space="preserve"> </v>
      </c>
      <c r="CI200" s="55"/>
      <c r="CJ200" s="32"/>
      <c r="CK200" s="32"/>
      <c r="CL200" s="55"/>
      <c r="CM200" s="32"/>
    </row>
    <row r="201" spans="1:91">
      <c r="A201" s="5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1"/>
      <c r="P201" s="31"/>
      <c r="Q201" s="54"/>
      <c r="R201" s="21" t="str">
        <f>IFERROR(VLOOKUP(March[[#This Row],[Drug Name]],'Data Options'!$R$1:$S$100,2,FALSE), " ")</f>
        <v xml:space="preserve"> </v>
      </c>
      <c r="S201" s="55"/>
      <c r="T201" s="32"/>
      <c r="U201" s="32"/>
      <c r="V201" s="55"/>
      <c r="W201" s="32"/>
      <c r="X201" s="54"/>
      <c r="Y201" s="21" t="str">
        <f>IFERROR(VLOOKUP(March[[#This Row],[Drug Name2]],'Data Options'!$R$1:$S$100,2,FALSE), " ")</f>
        <v xml:space="preserve"> </v>
      </c>
      <c r="Z201" s="55"/>
      <c r="AA201" s="32"/>
      <c r="AB201" s="32"/>
      <c r="AC201" s="55"/>
      <c r="AD201" s="32"/>
      <c r="AE201" s="54"/>
      <c r="AF201" s="21" t="str">
        <f>IFERROR(VLOOKUP(March[[#This Row],[Drug Name3]],'Data Options'!$R$1:$S$100,2,FALSE), " ")</f>
        <v xml:space="preserve"> </v>
      </c>
      <c r="AG201" s="55"/>
      <c r="AH201" s="32"/>
      <c r="AI201" s="32"/>
      <c r="AJ201" s="55"/>
      <c r="AK201" s="32"/>
      <c r="AL201" s="32"/>
      <c r="AM201" s="32"/>
      <c r="AN201" s="32"/>
      <c r="AO201" s="32"/>
      <c r="AP201" s="31"/>
      <c r="AQ201" s="31"/>
      <c r="AR201" s="54"/>
      <c r="AS201" s="21" t="str">
        <f>IFERROR(VLOOKUP(March[[#This Row],[Drug Name4]],'Data Options'!$R$1:$S$100,2,FALSE), " ")</f>
        <v xml:space="preserve"> </v>
      </c>
      <c r="AT201" s="55"/>
      <c r="AU201" s="32"/>
      <c r="AV201" s="32"/>
      <c r="AW201" s="55"/>
      <c r="AX201" s="32"/>
      <c r="AY201" s="54"/>
      <c r="AZ201" s="21" t="str">
        <f>IFERROR(VLOOKUP(March[[#This Row],[Drug Name5]],'Data Options'!$R$1:$S$100,2,FALSE), " ")</f>
        <v xml:space="preserve"> </v>
      </c>
      <c r="BA201" s="55"/>
      <c r="BB201" s="32"/>
      <c r="BC201" s="32"/>
      <c r="BD201" s="55"/>
      <c r="BE201" s="32"/>
      <c r="BF201" s="54"/>
      <c r="BG201" s="21" t="str">
        <f>IFERROR(VLOOKUP(March[[#This Row],[Drug Name6]],'Data Options'!$R$1:$S$100,2,FALSE), " ")</f>
        <v xml:space="preserve"> </v>
      </c>
      <c r="BH201" s="55"/>
      <c r="BI201" s="32"/>
      <c r="BJ201" s="32"/>
      <c r="BK201" s="55"/>
      <c r="BL201" s="32"/>
      <c r="BM201" s="32"/>
      <c r="BN201" s="32"/>
      <c r="BO201" s="32"/>
      <c r="BP201" s="32"/>
      <c r="BQ201" s="31"/>
      <c r="BR201" s="31"/>
      <c r="BS201" s="54"/>
      <c r="BT201" s="21" t="str">
        <f>IFERROR(VLOOKUP(March[[#This Row],[Drug Name7]],'Data Options'!$R$1:$S$100,2,FALSE), " ")</f>
        <v xml:space="preserve"> </v>
      </c>
      <c r="BU201" s="55"/>
      <c r="BV201" s="32"/>
      <c r="BW201" s="32"/>
      <c r="BX201" s="55"/>
      <c r="BY201" s="32"/>
      <c r="BZ201" s="54"/>
      <c r="CA201" s="21" t="str">
        <f>IFERROR(VLOOKUP(March[[#This Row],[Drug Name8]],'Data Options'!$R$1:$S$100,2,FALSE), " ")</f>
        <v xml:space="preserve"> </v>
      </c>
      <c r="CB201" s="55"/>
      <c r="CC201" s="32"/>
      <c r="CD201" s="32"/>
      <c r="CE201" s="55"/>
      <c r="CF201" s="32"/>
      <c r="CG201" s="54"/>
      <c r="CH201" s="21" t="str">
        <f>IFERROR(VLOOKUP(March[[#This Row],[Drug Name9]],'Data Options'!$R$1:$S$100,2,FALSE), " ")</f>
        <v xml:space="preserve"> </v>
      </c>
      <c r="CI201" s="55"/>
      <c r="CJ201" s="32"/>
      <c r="CK201" s="32"/>
      <c r="CL201" s="55"/>
      <c r="CM201" s="32"/>
    </row>
    <row r="202" spans="1:91">
      <c r="A202" s="24" t="s">
        <v>239</v>
      </c>
      <c r="X202" s="54"/>
      <c r="Z202" s="32"/>
      <c r="AA202" s="32"/>
      <c r="AB202" s="32"/>
      <c r="AC202" s="32"/>
      <c r="AD202" s="32"/>
      <c r="AE202" s="54"/>
      <c r="AG202" s="32"/>
      <c r="AH202" s="32"/>
      <c r="AI202" s="32"/>
      <c r="AJ202" s="32"/>
      <c r="AK202" s="32"/>
      <c r="AL202" s="32"/>
      <c r="AN202" s="32"/>
      <c r="AO202" s="32"/>
      <c r="AP202" s="31"/>
      <c r="AQ202" s="31"/>
      <c r="AR202" s="54"/>
      <c r="AT202" s="32"/>
      <c r="AU202" s="32"/>
      <c r="AV202" s="32"/>
      <c r="AW202" s="32"/>
      <c r="AX202" s="32"/>
      <c r="AY202" s="54"/>
      <c r="BA202" s="32"/>
      <c r="BB202" s="32"/>
      <c r="BC202" s="32"/>
      <c r="BD202" s="32"/>
      <c r="BE202" s="32"/>
      <c r="BF202" s="54"/>
      <c r="BH202" s="32"/>
      <c r="BI202" s="32"/>
      <c r="BJ202" s="32"/>
      <c r="BK202" s="32"/>
      <c r="BL202" s="32"/>
      <c r="BM202" s="32"/>
      <c r="BO202" s="32"/>
      <c r="BP202" s="32"/>
      <c r="BQ202" s="31"/>
      <c r="BR202" s="31"/>
      <c r="BS202" s="54"/>
      <c r="BU202" s="32"/>
      <c r="BV202" s="32"/>
      <c r="BW202" s="32"/>
      <c r="BX202" s="32"/>
      <c r="BY202" s="32"/>
      <c r="BZ202" s="54"/>
      <c r="CB202" s="32"/>
      <c r="CC202" s="32"/>
      <c r="CD202" s="32"/>
      <c r="CE202" s="32"/>
      <c r="CF202" s="32"/>
      <c r="CG202" s="54"/>
      <c r="CI202" s="32"/>
      <c r="CJ202" s="32"/>
      <c r="CK202" s="32"/>
      <c r="CL202" s="32"/>
      <c r="CM202" s="40">
        <f>SUBTOTAL(103,March[Location Filled9])</f>
        <v>0</v>
      </c>
    </row>
  </sheetData>
  <sheetProtection algorithmName="SHA-512" hashValue="dsLPG0BXmPFCY9jZEfk4c0hFe4g/HAsVHKoJH+t4V53TLRQU6bxnFAf0P20TH/DQAE5ZllvFOLKMlTCRaxW1nA==" saltValue="AGdcrzq3BomzQwWnTgWASg==" spinCount="100000" sheet="1" objects="1" scenarios="1"/>
  <mergeCells count="13">
    <mergeCell ref="CG2:CM2"/>
    <mergeCell ref="A1:J2"/>
    <mergeCell ref="K1:AF1"/>
    <mergeCell ref="AL1:AQ2"/>
    <mergeCell ref="BM1:BR2"/>
    <mergeCell ref="K2:P2"/>
    <mergeCell ref="Q2:V2"/>
    <mergeCell ref="X2:AD2"/>
    <mergeCell ref="AE2:AK2"/>
    <mergeCell ref="AR2:AX2"/>
    <mergeCell ref="BF2:BL2"/>
    <mergeCell ref="BS2:BY2"/>
    <mergeCell ref="BZ2:CF2"/>
  </mergeCells>
  <dataValidations count="19">
    <dataValidation type="list" allowBlank="1" showInputMessage="1" showErrorMessage="1" sqref="D4:D201">
      <formula1>INDIRECT("Species")</formula1>
    </dataValidation>
    <dataValidation type="list" allowBlank="1" showInputMessage="1" showErrorMessage="1" sqref="E4:E201">
      <formula1>INDIRECT("Sex")</formula1>
    </dataValidation>
    <dataValidation type="list" allowBlank="1" showInputMessage="1" showErrorMessage="1" sqref="F4:F201">
      <formula1>INDIRECT("Age")</formula1>
    </dataValidation>
    <dataValidation type="list" allowBlank="1" showInputMessage="1" showErrorMessage="1" sqref="G4:G201">
      <formula1>INDIRECT("Visit_Reason")</formula1>
    </dataValidation>
    <dataValidation type="list" allowBlank="1" showInputMessage="1" showErrorMessage="1" sqref="I4:I201">
      <formula1>INDIRECT("ABX_YN")</formula1>
    </dataValidation>
    <dataValidation type="list" allowBlank="1" showInputMessage="1" showErrorMessage="1" sqref="K4:K201 AL4:AL201 BM4:BM201">
      <formula1>INDIRECT("Disease_Type")</formula1>
    </dataValidation>
    <dataValidation type="list" allowBlank="1" showInputMessage="1" showErrorMessage="1" sqref="M4:M201 AN4:AN201 BO4:BO201">
      <formula1>INDIRECT("Disease_Descrip")</formula1>
    </dataValidation>
    <dataValidation type="list" allowBlank="1" showInputMessage="1" showErrorMessage="1" sqref="N4:N201 AO4:AO201 BP4:BP201">
      <formula1>INDIRECT("Dz_Abx_Num")</formula1>
    </dataValidation>
    <dataValidation type="list" allowBlank="1" showInputMessage="1" showErrorMessage="1" sqref="O4:O201 AP4:AP201 BQ4:BQ201">
      <formula1>INDIRECT("Diagnostics_Offer_YN")</formula1>
    </dataValidation>
    <dataValidation type="list" allowBlank="1" showInputMessage="1" showErrorMessage="1" sqref="P4:P201 AQ4:AQ201 BR4:BR201">
      <formula1>INDIRECT("Diagnostics_Performed_YN")</formula1>
    </dataValidation>
    <dataValidation type="list" allowBlank="1" showInputMessage="1" showErrorMessage="1" sqref="Q4:Q201 X4:X201 AE4:AE201 AR4:AR201 AY4:AY201 BF4:BF201 BS4:BS201 BZ4:BZ201 CG4:CG201">
      <formula1>INDIRECT("Drug_Name")</formula1>
    </dataValidation>
    <dataValidation type="list" allowBlank="1" showInputMessage="1" showErrorMessage="1" sqref="T4:T201 AA4:AA201 AH4:AH201 AU4:AU201 BB4:BB201 BI4:BI201 BV4:BV201 CC4:CC201 CJ4:CJ201">
      <formula1>INDIRECT("Abx_Freq")</formula1>
    </dataValidation>
    <dataValidation type="list" allowBlank="1" showInputMessage="1" showErrorMessage="1" sqref="U4:U201 AB4:AB201 AI4:AI201 AV4:AV201 BC4:BC201 BJ4:BJ201 BW4:BW201 CD4:CD201 CK4:CK201">
      <formula1>INDIRECT("Abx_Route")</formula1>
    </dataValidation>
    <dataValidation type="list" allowBlank="1" showInputMessage="1" showErrorMessage="1" sqref="W4:W201 AD4:AD201 AK4:AK201 AX4:AX201 BE4:BE201 BL4:BL201 BY4:BY201 CF4:CF201 CM4:CM201">
      <formula1>INDIRECT("Prescription_Type")</formula1>
    </dataValidation>
    <dataValidation allowBlank="1" showInputMessage="1" showErrorMessage="1" prompt="Only type here IF Reason for Visit is Other " sqref="H5:H201"/>
    <dataValidation type="whole" allowBlank="1" showInputMessage="1" showErrorMessage="1" promptTitle="Total Number of Antibiotics" prompt="This should include ALL antibiotics prescribed to this patient during this visit for ALL conditions. " sqref="J4:J201">
      <formula1>0</formula1>
      <formula2>9</formula2>
    </dataValidation>
    <dataValidation allowBlank="1" showInputMessage="1" showErrorMessage="1" prompt="Only type in this column IF Disease/Infection Type is Other" sqref="L4:L201 AM4:AM201 BN4:BN201"/>
    <dataValidation allowBlank="1" showInputMessage="1" showErrorMessage="1" prompt="Only type in this column IF Reason for Visit is Other " sqref="H4"/>
    <dataValidation type="decimal" allowBlank="1" showInputMessage="1" showErrorMessage="1" sqref="S4:S201 Z4:Z201 V4:V201 AC4:AC201 AG4:AG201 AJ4:AJ201 AT4:AT201 AW4:AW201 BD4:BD201 BA4:BA201 BH4:BH201 BK4:BK201 BU4:BU201 BX4:BX201 CB4:CB201 CE4:CE201 CI4:CI201 CL4:CL201">
      <formula1>0</formula1>
      <formula2>5000</formula2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02"/>
  <sheetViews>
    <sheetView workbookViewId="0">
      <pane ySplit="3" topLeftCell="A4" activePane="bottomLeft" state="frozen"/>
      <selection pane="bottomLeft" activeCell="A4" sqref="A4"/>
    </sheetView>
  </sheetViews>
  <sheetFormatPr defaultColWidth="10.83203125" defaultRowHeight="15.5"/>
  <cols>
    <col min="1" max="16384" width="10.83203125" style="24"/>
  </cols>
  <sheetData>
    <row r="1" spans="1:91" ht="21">
      <c r="A1" s="60" t="s">
        <v>103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43"/>
      <c r="AH1" s="43"/>
      <c r="AI1" s="43"/>
      <c r="AJ1" s="43"/>
      <c r="AK1" s="43"/>
      <c r="AL1" s="70" t="s">
        <v>154</v>
      </c>
      <c r="AM1" s="70"/>
      <c r="AN1" s="70"/>
      <c r="AO1" s="70"/>
      <c r="AP1" s="70"/>
      <c r="AQ1" s="70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5"/>
      <c r="BI1" s="45"/>
      <c r="BJ1" s="45"/>
      <c r="BK1" s="45"/>
      <c r="BL1" s="45"/>
      <c r="BM1" s="71" t="s">
        <v>156</v>
      </c>
      <c r="BN1" s="71"/>
      <c r="BO1" s="71"/>
      <c r="BP1" s="71"/>
      <c r="BQ1" s="71"/>
      <c r="BR1" s="71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7"/>
      <c r="CJ1" s="47"/>
      <c r="CK1" s="47"/>
      <c r="CL1" s="47"/>
      <c r="CM1" s="47"/>
    </row>
    <row r="2" spans="1:91" ht="21">
      <c r="A2" s="60"/>
      <c r="B2" s="60"/>
      <c r="C2" s="60"/>
      <c r="D2" s="60"/>
      <c r="E2" s="60"/>
      <c r="F2" s="60"/>
      <c r="G2" s="60"/>
      <c r="H2" s="60"/>
      <c r="I2" s="60"/>
      <c r="J2" s="60"/>
      <c r="K2" s="62" t="s">
        <v>153</v>
      </c>
      <c r="L2" s="62"/>
      <c r="M2" s="62"/>
      <c r="N2" s="62"/>
      <c r="O2" s="62"/>
      <c r="P2" s="62"/>
      <c r="Q2" s="63" t="s">
        <v>104</v>
      </c>
      <c r="R2" s="63"/>
      <c r="S2" s="63"/>
      <c r="T2" s="63"/>
      <c r="U2" s="63"/>
      <c r="V2" s="63"/>
      <c r="W2" s="48"/>
      <c r="X2" s="64" t="s">
        <v>105</v>
      </c>
      <c r="Y2" s="64"/>
      <c r="Z2" s="64"/>
      <c r="AA2" s="64"/>
      <c r="AB2" s="64"/>
      <c r="AC2" s="64"/>
      <c r="AD2" s="64"/>
      <c r="AE2" s="65" t="s">
        <v>106</v>
      </c>
      <c r="AF2" s="65"/>
      <c r="AG2" s="65"/>
      <c r="AH2" s="65"/>
      <c r="AI2" s="65"/>
      <c r="AJ2" s="65"/>
      <c r="AK2" s="65"/>
      <c r="AL2" s="70"/>
      <c r="AM2" s="70"/>
      <c r="AN2" s="70"/>
      <c r="AO2" s="70"/>
      <c r="AP2" s="70"/>
      <c r="AQ2" s="70"/>
      <c r="AR2" s="66" t="s">
        <v>107</v>
      </c>
      <c r="AS2" s="66"/>
      <c r="AT2" s="66"/>
      <c r="AU2" s="66"/>
      <c r="AV2" s="66"/>
      <c r="AW2" s="66"/>
      <c r="AX2" s="66"/>
      <c r="AY2" s="49" t="s">
        <v>216</v>
      </c>
      <c r="AZ2" s="49"/>
      <c r="BA2" s="49"/>
      <c r="BB2" s="49"/>
      <c r="BC2" s="49"/>
      <c r="BD2" s="49"/>
      <c r="BE2" s="49"/>
      <c r="BF2" s="69" t="s">
        <v>155</v>
      </c>
      <c r="BG2" s="69"/>
      <c r="BH2" s="69"/>
      <c r="BI2" s="69"/>
      <c r="BJ2" s="69"/>
      <c r="BK2" s="69"/>
      <c r="BL2" s="69"/>
      <c r="BM2" s="71"/>
      <c r="BN2" s="71"/>
      <c r="BO2" s="71"/>
      <c r="BP2" s="71"/>
      <c r="BQ2" s="71"/>
      <c r="BR2" s="71"/>
      <c r="BS2" s="67" t="s">
        <v>109</v>
      </c>
      <c r="BT2" s="67"/>
      <c r="BU2" s="67"/>
      <c r="BV2" s="67"/>
      <c r="BW2" s="67"/>
      <c r="BX2" s="67"/>
      <c r="BY2" s="67"/>
      <c r="BZ2" s="68" t="s">
        <v>110</v>
      </c>
      <c r="CA2" s="68"/>
      <c r="CB2" s="68"/>
      <c r="CC2" s="68"/>
      <c r="CD2" s="68"/>
      <c r="CE2" s="68"/>
      <c r="CF2" s="68"/>
      <c r="CG2" s="69" t="s">
        <v>108</v>
      </c>
      <c r="CH2" s="69"/>
      <c r="CI2" s="69"/>
      <c r="CJ2" s="69"/>
      <c r="CK2" s="69"/>
      <c r="CL2" s="69"/>
      <c r="CM2" s="69"/>
    </row>
    <row r="3" spans="1:91" ht="93.5" thickBot="1">
      <c r="A3" s="50" t="s">
        <v>4</v>
      </c>
      <c r="B3" s="50" t="s">
        <v>217</v>
      </c>
      <c r="C3" s="50" t="s">
        <v>5</v>
      </c>
      <c r="D3" s="50" t="s">
        <v>6</v>
      </c>
      <c r="E3" s="50" t="s">
        <v>0</v>
      </c>
      <c r="F3" s="50" t="s">
        <v>111</v>
      </c>
      <c r="G3" s="50" t="s">
        <v>1</v>
      </c>
      <c r="H3" s="50" t="s">
        <v>150</v>
      </c>
      <c r="I3" s="50" t="s">
        <v>218</v>
      </c>
      <c r="J3" s="50" t="s">
        <v>214</v>
      </c>
      <c r="K3" s="50" t="s">
        <v>82</v>
      </c>
      <c r="L3" s="50" t="s">
        <v>215</v>
      </c>
      <c r="M3" s="50" t="s">
        <v>83</v>
      </c>
      <c r="N3" s="50" t="s">
        <v>211</v>
      </c>
      <c r="O3" s="50" t="s">
        <v>212</v>
      </c>
      <c r="P3" s="50" t="s">
        <v>213</v>
      </c>
      <c r="Q3" s="51" t="s">
        <v>8</v>
      </c>
      <c r="R3" s="51" t="s">
        <v>3</v>
      </c>
      <c r="S3" s="50" t="s">
        <v>84</v>
      </c>
      <c r="T3" s="50" t="s">
        <v>65</v>
      </c>
      <c r="U3" s="50" t="s">
        <v>85</v>
      </c>
      <c r="V3" s="50" t="s">
        <v>9</v>
      </c>
      <c r="W3" s="50" t="s">
        <v>219</v>
      </c>
      <c r="X3" s="51" t="s">
        <v>157</v>
      </c>
      <c r="Y3" s="51" t="s">
        <v>164</v>
      </c>
      <c r="Z3" s="50" t="s">
        <v>163</v>
      </c>
      <c r="AA3" s="50" t="s">
        <v>166</v>
      </c>
      <c r="AB3" s="50" t="s">
        <v>167</v>
      </c>
      <c r="AC3" s="50" t="s">
        <v>171</v>
      </c>
      <c r="AD3" s="50" t="s">
        <v>220</v>
      </c>
      <c r="AE3" s="51" t="s">
        <v>168</v>
      </c>
      <c r="AF3" s="51" t="s">
        <v>158</v>
      </c>
      <c r="AG3" s="50" t="s">
        <v>169</v>
      </c>
      <c r="AH3" s="50" t="s">
        <v>165</v>
      </c>
      <c r="AI3" s="50" t="s">
        <v>170</v>
      </c>
      <c r="AJ3" s="50" t="s">
        <v>172</v>
      </c>
      <c r="AK3" s="50" t="s">
        <v>221</v>
      </c>
      <c r="AL3" s="50" t="s">
        <v>173</v>
      </c>
      <c r="AM3" s="50" t="s">
        <v>222</v>
      </c>
      <c r="AN3" s="50" t="s">
        <v>174</v>
      </c>
      <c r="AO3" s="50" t="s">
        <v>175</v>
      </c>
      <c r="AP3" s="50" t="s">
        <v>223</v>
      </c>
      <c r="AQ3" s="50" t="s">
        <v>224</v>
      </c>
      <c r="AR3" s="51" t="s">
        <v>176</v>
      </c>
      <c r="AS3" s="51" t="s">
        <v>177</v>
      </c>
      <c r="AT3" s="50" t="s">
        <v>159</v>
      </c>
      <c r="AU3" s="50" t="s">
        <v>178</v>
      </c>
      <c r="AV3" s="50" t="s">
        <v>179</v>
      </c>
      <c r="AW3" s="50" t="s">
        <v>180</v>
      </c>
      <c r="AX3" s="50" t="s">
        <v>225</v>
      </c>
      <c r="AY3" s="51" t="s">
        <v>181</v>
      </c>
      <c r="AZ3" s="51" t="s">
        <v>182</v>
      </c>
      <c r="BA3" s="50" t="s">
        <v>183</v>
      </c>
      <c r="BB3" s="50" t="s">
        <v>160</v>
      </c>
      <c r="BC3" s="50" t="s">
        <v>184</v>
      </c>
      <c r="BD3" s="50" t="s">
        <v>185</v>
      </c>
      <c r="BE3" s="50" t="s">
        <v>226</v>
      </c>
      <c r="BF3" s="51" t="s">
        <v>186</v>
      </c>
      <c r="BG3" s="51" t="s">
        <v>187</v>
      </c>
      <c r="BH3" s="50" t="s">
        <v>188</v>
      </c>
      <c r="BI3" s="50" t="s">
        <v>189</v>
      </c>
      <c r="BJ3" s="50" t="s">
        <v>161</v>
      </c>
      <c r="BK3" s="50" t="s">
        <v>190</v>
      </c>
      <c r="BL3" s="50" t="s">
        <v>227</v>
      </c>
      <c r="BM3" s="50" t="s">
        <v>191</v>
      </c>
      <c r="BN3" s="50" t="s">
        <v>233</v>
      </c>
      <c r="BO3" s="50" t="s">
        <v>192</v>
      </c>
      <c r="BP3" s="50" t="s">
        <v>193</v>
      </c>
      <c r="BQ3" s="50" t="s">
        <v>228</v>
      </c>
      <c r="BR3" s="50" t="s">
        <v>229</v>
      </c>
      <c r="BS3" s="50" t="s">
        <v>194</v>
      </c>
      <c r="BT3" s="50" t="s">
        <v>195</v>
      </c>
      <c r="BU3" s="50" t="s">
        <v>196</v>
      </c>
      <c r="BV3" s="50" t="s">
        <v>197</v>
      </c>
      <c r="BW3" s="50" t="s">
        <v>198</v>
      </c>
      <c r="BX3" s="50" t="s">
        <v>162</v>
      </c>
      <c r="BY3" s="50" t="s">
        <v>230</v>
      </c>
      <c r="BZ3" s="50" t="s">
        <v>199</v>
      </c>
      <c r="CA3" s="50" t="s">
        <v>200</v>
      </c>
      <c r="CB3" s="50" t="s">
        <v>201</v>
      </c>
      <c r="CC3" s="50" t="s">
        <v>202</v>
      </c>
      <c r="CD3" s="50" t="s">
        <v>203</v>
      </c>
      <c r="CE3" s="50" t="s">
        <v>204</v>
      </c>
      <c r="CF3" s="50" t="s">
        <v>231</v>
      </c>
      <c r="CG3" s="50" t="s">
        <v>205</v>
      </c>
      <c r="CH3" s="50" t="s">
        <v>206</v>
      </c>
      <c r="CI3" s="50" t="s">
        <v>207</v>
      </c>
      <c r="CJ3" s="50" t="s">
        <v>208</v>
      </c>
      <c r="CK3" s="50" t="s">
        <v>209</v>
      </c>
      <c r="CL3" s="50" t="s">
        <v>210</v>
      </c>
      <c r="CM3" s="50" t="s">
        <v>232</v>
      </c>
    </row>
    <row r="4" spans="1:91">
      <c r="A4" s="52"/>
      <c r="B4" s="5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1"/>
      <c r="P4" s="31"/>
      <c r="Q4" s="54"/>
      <c r="R4" s="21" t="str">
        <f>IFERROR(VLOOKUP(April[[#This Row],[Drug Name]],'Data Options'!$R$1:$S$100,2,FALSE), " ")</f>
        <v xml:space="preserve"> </v>
      </c>
      <c r="S4" s="55"/>
      <c r="T4" s="32"/>
      <c r="U4" s="32"/>
      <c r="V4" s="55"/>
      <c r="W4" s="32"/>
      <c r="X4" s="54"/>
      <c r="Y4" s="21" t="str">
        <f>IFERROR(VLOOKUP(April[[#This Row],[Drug Name2]],'Data Options'!$R$1:$S$100,2,FALSE), " ")</f>
        <v xml:space="preserve"> </v>
      </c>
      <c r="Z4" s="55"/>
      <c r="AA4" s="32"/>
      <c r="AB4" s="32"/>
      <c r="AC4" s="55"/>
      <c r="AD4" s="32"/>
      <c r="AE4" s="54"/>
      <c r="AF4" s="21" t="str">
        <f>IFERROR(VLOOKUP(April[[#This Row],[Drug Name3]],'Data Options'!$R$1:$S$100,2,FALSE), " ")</f>
        <v xml:space="preserve"> </v>
      </c>
      <c r="AG4" s="55"/>
      <c r="AH4" s="32"/>
      <c r="AI4" s="32"/>
      <c r="AJ4" s="55"/>
      <c r="AK4" s="32"/>
      <c r="AL4" s="32"/>
      <c r="AM4" s="32"/>
      <c r="AN4" s="32"/>
      <c r="AO4" s="32"/>
      <c r="AP4" s="31"/>
      <c r="AQ4" s="31"/>
      <c r="AR4" s="54"/>
      <c r="AS4" s="21" t="str">
        <f>IFERROR(VLOOKUP(April[[#This Row],[Drug Name4]],'Data Options'!$R$1:$S$100,2,FALSE), " ")</f>
        <v xml:space="preserve"> </v>
      </c>
      <c r="AT4" s="55"/>
      <c r="AU4" s="32"/>
      <c r="AV4" s="32"/>
      <c r="AW4" s="55"/>
      <c r="AX4" s="32"/>
      <c r="AY4" s="54"/>
      <c r="AZ4" s="21" t="str">
        <f>IFERROR(VLOOKUP(April[[#This Row],[Drug Name5]],'Data Options'!$R$1:$S$100,2,FALSE), " ")</f>
        <v xml:space="preserve"> </v>
      </c>
      <c r="BA4" s="55"/>
      <c r="BB4" s="32"/>
      <c r="BC4" s="32"/>
      <c r="BD4" s="55"/>
      <c r="BE4" s="32"/>
      <c r="BF4" s="54"/>
      <c r="BG4" s="21" t="str">
        <f>IFERROR(VLOOKUP(April[[#This Row],[Drug Name6]],'Data Options'!$R$1:$S$100,2,FALSE), " ")</f>
        <v xml:space="preserve"> </v>
      </c>
      <c r="BH4" s="55"/>
      <c r="BI4" s="32"/>
      <c r="BJ4" s="32"/>
      <c r="BK4" s="55"/>
      <c r="BL4" s="32"/>
      <c r="BM4" s="32"/>
      <c r="BN4" s="32"/>
      <c r="BO4" s="32"/>
      <c r="BP4" s="32"/>
      <c r="BQ4" s="31"/>
      <c r="BR4" s="31"/>
      <c r="BS4" s="54"/>
      <c r="BT4" s="21" t="str">
        <f>IFERROR(VLOOKUP(April[[#This Row],[Drug Name7]],'Data Options'!$R$1:$S$100,2,FALSE), " ")</f>
        <v xml:space="preserve"> </v>
      </c>
      <c r="BU4" s="55"/>
      <c r="BV4" s="32"/>
      <c r="BW4" s="32"/>
      <c r="BX4" s="55"/>
      <c r="BY4" s="32"/>
      <c r="BZ4" s="54"/>
      <c r="CA4" s="21" t="str">
        <f>IFERROR(VLOOKUP(April[[#This Row],[Drug Name8]],'Data Options'!$R$1:$S$100,2,FALSE), " ")</f>
        <v xml:space="preserve"> </v>
      </c>
      <c r="CB4" s="55"/>
      <c r="CC4" s="32"/>
      <c r="CD4" s="32"/>
      <c r="CE4" s="55"/>
      <c r="CF4" s="32"/>
      <c r="CG4" s="54"/>
      <c r="CH4" s="21" t="str">
        <f>IFERROR(VLOOKUP(April[[#This Row],[Drug Name9]],'Data Options'!$R$1:$S$100,2,FALSE), " ")</f>
        <v xml:space="preserve"> </v>
      </c>
      <c r="CI4" s="55"/>
      <c r="CJ4" s="32"/>
      <c r="CK4" s="32"/>
      <c r="CL4" s="55"/>
      <c r="CM4" s="32"/>
    </row>
    <row r="5" spans="1:91">
      <c r="A5" s="5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1"/>
      <c r="P5" s="31"/>
      <c r="Q5" s="54"/>
      <c r="R5" s="21" t="str">
        <f>IFERROR(VLOOKUP(April[[#This Row],[Drug Name]],'Data Options'!$R$1:$S$100,2,FALSE), " ")</f>
        <v xml:space="preserve"> </v>
      </c>
      <c r="S5" s="55"/>
      <c r="T5" s="32"/>
      <c r="U5" s="32"/>
      <c r="V5" s="55"/>
      <c r="W5" s="32"/>
      <c r="X5" s="54"/>
      <c r="Y5" s="21" t="str">
        <f>IFERROR(VLOOKUP(April[[#This Row],[Drug Name2]],'Data Options'!$R$1:$S$100,2,FALSE), " ")</f>
        <v xml:space="preserve"> </v>
      </c>
      <c r="Z5" s="55"/>
      <c r="AA5" s="32"/>
      <c r="AB5" s="32"/>
      <c r="AC5" s="55"/>
      <c r="AD5" s="32"/>
      <c r="AE5" s="54"/>
      <c r="AF5" s="21" t="str">
        <f>IFERROR(VLOOKUP(April[[#This Row],[Drug Name3]],'Data Options'!$R$1:$S$100,2,FALSE), " ")</f>
        <v xml:space="preserve"> </v>
      </c>
      <c r="AG5" s="55"/>
      <c r="AH5" s="32"/>
      <c r="AI5" s="32"/>
      <c r="AJ5" s="55"/>
      <c r="AK5" s="32"/>
      <c r="AL5" s="32"/>
      <c r="AM5" s="32"/>
      <c r="AN5" s="32"/>
      <c r="AO5" s="32"/>
      <c r="AP5" s="31"/>
      <c r="AQ5" s="31"/>
      <c r="AR5" s="54"/>
      <c r="AS5" s="21" t="str">
        <f>IFERROR(VLOOKUP(April[[#This Row],[Drug Name4]],'Data Options'!$R$1:$S$100,2,FALSE), " ")</f>
        <v xml:space="preserve"> </v>
      </c>
      <c r="AT5" s="55"/>
      <c r="AU5" s="32"/>
      <c r="AV5" s="32"/>
      <c r="AW5" s="55"/>
      <c r="AX5" s="32"/>
      <c r="AY5" s="54"/>
      <c r="AZ5" s="21" t="str">
        <f>IFERROR(VLOOKUP(April[[#This Row],[Drug Name5]],'Data Options'!$R$1:$S$100,2,FALSE), " ")</f>
        <v xml:space="preserve"> </v>
      </c>
      <c r="BA5" s="55"/>
      <c r="BB5" s="32"/>
      <c r="BC5" s="32"/>
      <c r="BD5" s="55"/>
      <c r="BE5" s="32"/>
      <c r="BF5" s="54"/>
      <c r="BG5" s="21" t="str">
        <f>IFERROR(VLOOKUP(April[[#This Row],[Drug Name6]],'Data Options'!$R$1:$S$100,2,FALSE), " ")</f>
        <v xml:space="preserve"> </v>
      </c>
      <c r="BH5" s="55"/>
      <c r="BI5" s="32"/>
      <c r="BJ5" s="32"/>
      <c r="BK5" s="55"/>
      <c r="BL5" s="32"/>
      <c r="BM5" s="32"/>
      <c r="BN5" s="32"/>
      <c r="BO5" s="32"/>
      <c r="BP5" s="32"/>
      <c r="BQ5" s="31"/>
      <c r="BR5" s="31"/>
      <c r="BS5" s="54"/>
      <c r="BT5" s="21" t="str">
        <f>IFERROR(VLOOKUP(April[[#This Row],[Drug Name7]],'Data Options'!$R$1:$S$100,2,FALSE), " ")</f>
        <v xml:space="preserve"> </v>
      </c>
      <c r="BU5" s="55"/>
      <c r="BV5" s="32"/>
      <c r="BW5" s="32"/>
      <c r="BX5" s="55"/>
      <c r="BY5" s="32"/>
      <c r="BZ5" s="54"/>
      <c r="CA5" s="21" t="str">
        <f>IFERROR(VLOOKUP(April[[#This Row],[Drug Name8]],'Data Options'!$R$1:$S$100,2,FALSE), " ")</f>
        <v xml:space="preserve"> </v>
      </c>
      <c r="CB5" s="55"/>
      <c r="CC5" s="32"/>
      <c r="CD5" s="32"/>
      <c r="CE5" s="55"/>
      <c r="CF5" s="32"/>
      <c r="CG5" s="54"/>
      <c r="CH5" s="21" t="str">
        <f>IFERROR(VLOOKUP(April[[#This Row],[Drug Name9]],'Data Options'!$R$1:$S$100,2,FALSE), " ")</f>
        <v xml:space="preserve"> </v>
      </c>
      <c r="CI5" s="55"/>
      <c r="CJ5" s="32"/>
      <c r="CK5" s="32"/>
      <c r="CL5" s="55"/>
      <c r="CM5" s="32"/>
    </row>
    <row r="6" spans="1:91">
      <c r="A6" s="5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1"/>
      <c r="P6" s="31"/>
      <c r="Q6" s="54"/>
      <c r="R6" s="21" t="str">
        <f>IFERROR(VLOOKUP(April[[#This Row],[Drug Name]],'Data Options'!$R$1:$S$100,2,FALSE), " ")</f>
        <v xml:space="preserve"> </v>
      </c>
      <c r="S6" s="55"/>
      <c r="T6" s="32"/>
      <c r="U6" s="32"/>
      <c r="V6" s="55"/>
      <c r="W6" s="32"/>
      <c r="X6" s="54"/>
      <c r="Y6" s="21" t="str">
        <f>IFERROR(VLOOKUP(April[[#This Row],[Drug Name2]],'Data Options'!$R$1:$S$100,2,FALSE), " ")</f>
        <v xml:space="preserve"> </v>
      </c>
      <c r="Z6" s="55"/>
      <c r="AA6" s="32"/>
      <c r="AB6" s="32"/>
      <c r="AC6" s="55"/>
      <c r="AD6" s="32"/>
      <c r="AE6" s="54"/>
      <c r="AF6" s="21" t="str">
        <f>IFERROR(VLOOKUP(April[[#This Row],[Drug Name3]],'Data Options'!$R$1:$S$100,2,FALSE), " ")</f>
        <v xml:space="preserve"> </v>
      </c>
      <c r="AG6" s="55"/>
      <c r="AH6" s="32"/>
      <c r="AI6" s="32"/>
      <c r="AJ6" s="55"/>
      <c r="AK6" s="32"/>
      <c r="AL6" s="32"/>
      <c r="AM6" s="32"/>
      <c r="AN6" s="32"/>
      <c r="AO6" s="32"/>
      <c r="AP6" s="31"/>
      <c r="AQ6" s="31"/>
      <c r="AR6" s="54"/>
      <c r="AS6" s="21" t="str">
        <f>IFERROR(VLOOKUP(April[[#This Row],[Drug Name4]],'Data Options'!$R$1:$S$100,2,FALSE), " ")</f>
        <v xml:space="preserve"> </v>
      </c>
      <c r="AT6" s="55"/>
      <c r="AU6" s="32"/>
      <c r="AV6" s="32"/>
      <c r="AW6" s="55"/>
      <c r="AX6" s="32"/>
      <c r="AY6" s="54"/>
      <c r="AZ6" s="21" t="str">
        <f>IFERROR(VLOOKUP(April[[#This Row],[Drug Name5]],'Data Options'!$R$1:$S$100,2,FALSE), " ")</f>
        <v xml:space="preserve"> </v>
      </c>
      <c r="BA6" s="55"/>
      <c r="BB6" s="32"/>
      <c r="BC6" s="32"/>
      <c r="BD6" s="55"/>
      <c r="BE6" s="32"/>
      <c r="BF6" s="54"/>
      <c r="BG6" s="21" t="str">
        <f>IFERROR(VLOOKUP(April[[#This Row],[Drug Name6]],'Data Options'!$R$1:$S$100,2,FALSE), " ")</f>
        <v xml:space="preserve"> </v>
      </c>
      <c r="BH6" s="55"/>
      <c r="BI6" s="32"/>
      <c r="BJ6" s="32"/>
      <c r="BK6" s="55"/>
      <c r="BL6" s="32"/>
      <c r="BM6" s="32"/>
      <c r="BN6" s="32"/>
      <c r="BO6" s="32"/>
      <c r="BP6" s="32"/>
      <c r="BQ6" s="31"/>
      <c r="BR6" s="31"/>
      <c r="BS6" s="54"/>
      <c r="BT6" s="21" t="str">
        <f>IFERROR(VLOOKUP(April[[#This Row],[Drug Name7]],'Data Options'!$R$1:$S$100,2,FALSE), " ")</f>
        <v xml:space="preserve"> </v>
      </c>
      <c r="BU6" s="55"/>
      <c r="BV6" s="32"/>
      <c r="BW6" s="32"/>
      <c r="BX6" s="55"/>
      <c r="BY6" s="32"/>
      <c r="BZ6" s="54"/>
      <c r="CA6" s="21" t="str">
        <f>IFERROR(VLOOKUP(April[[#This Row],[Drug Name8]],'Data Options'!$R$1:$S$100,2,FALSE), " ")</f>
        <v xml:space="preserve"> </v>
      </c>
      <c r="CB6" s="55"/>
      <c r="CC6" s="32"/>
      <c r="CD6" s="32"/>
      <c r="CE6" s="55"/>
      <c r="CF6" s="32"/>
      <c r="CG6" s="54"/>
      <c r="CH6" s="21" t="str">
        <f>IFERROR(VLOOKUP(April[[#This Row],[Drug Name9]],'Data Options'!$R$1:$S$100,2,FALSE), " ")</f>
        <v xml:space="preserve"> </v>
      </c>
      <c r="CI6" s="55"/>
      <c r="CJ6" s="32"/>
      <c r="CK6" s="32"/>
      <c r="CL6" s="55"/>
      <c r="CM6" s="32"/>
    </row>
    <row r="7" spans="1:91">
      <c r="A7" s="5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1"/>
      <c r="P7" s="31"/>
      <c r="Q7" s="54"/>
      <c r="R7" s="21" t="str">
        <f>IFERROR(VLOOKUP(April[[#This Row],[Drug Name]],'Data Options'!$R$1:$S$100,2,FALSE), " ")</f>
        <v xml:space="preserve"> </v>
      </c>
      <c r="S7" s="55"/>
      <c r="T7" s="32"/>
      <c r="U7" s="32"/>
      <c r="V7" s="55"/>
      <c r="W7" s="32"/>
      <c r="X7" s="54"/>
      <c r="Y7" s="21" t="str">
        <f>IFERROR(VLOOKUP(April[[#This Row],[Drug Name2]],'Data Options'!$R$1:$S$100,2,FALSE), " ")</f>
        <v xml:space="preserve"> </v>
      </c>
      <c r="Z7" s="55"/>
      <c r="AA7" s="32"/>
      <c r="AB7" s="32"/>
      <c r="AC7" s="55"/>
      <c r="AD7" s="32"/>
      <c r="AE7" s="54"/>
      <c r="AF7" s="21" t="str">
        <f>IFERROR(VLOOKUP(April[[#This Row],[Drug Name3]],'Data Options'!$R$1:$S$100,2,FALSE), " ")</f>
        <v xml:space="preserve"> </v>
      </c>
      <c r="AG7" s="55"/>
      <c r="AH7" s="32"/>
      <c r="AI7" s="32"/>
      <c r="AJ7" s="55"/>
      <c r="AK7" s="32"/>
      <c r="AL7" s="32"/>
      <c r="AM7" s="32"/>
      <c r="AN7" s="32"/>
      <c r="AO7" s="32"/>
      <c r="AP7" s="31"/>
      <c r="AQ7" s="31"/>
      <c r="AR7" s="54"/>
      <c r="AS7" s="21" t="str">
        <f>IFERROR(VLOOKUP(April[[#This Row],[Drug Name4]],'Data Options'!$R$1:$S$100,2,FALSE), " ")</f>
        <v xml:space="preserve"> </v>
      </c>
      <c r="AT7" s="55"/>
      <c r="AU7" s="32"/>
      <c r="AV7" s="32"/>
      <c r="AW7" s="55"/>
      <c r="AX7" s="32"/>
      <c r="AY7" s="54"/>
      <c r="AZ7" s="21" t="str">
        <f>IFERROR(VLOOKUP(April[[#This Row],[Drug Name5]],'Data Options'!$R$1:$S$100,2,FALSE), " ")</f>
        <v xml:space="preserve"> </v>
      </c>
      <c r="BA7" s="55"/>
      <c r="BB7" s="32"/>
      <c r="BC7" s="32"/>
      <c r="BD7" s="55"/>
      <c r="BE7" s="32"/>
      <c r="BF7" s="54"/>
      <c r="BG7" s="21" t="str">
        <f>IFERROR(VLOOKUP(April[[#This Row],[Drug Name6]],'Data Options'!$R$1:$S$100,2,FALSE), " ")</f>
        <v xml:space="preserve"> </v>
      </c>
      <c r="BH7" s="55"/>
      <c r="BI7" s="32"/>
      <c r="BJ7" s="32"/>
      <c r="BK7" s="55"/>
      <c r="BL7" s="32"/>
      <c r="BM7" s="32"/>
      <c r="BN7" s="32"/>
      <c r="BO7" s="32"/>
      <c r="BP7" s="32"/>
      <c r="BQ7" s="31"/>
      <c r="BR7" s="31"/>
      <c r="BS7" s="54"/>
      <c r="BT7" s="21" t="str">
        <f>IFERROR(VLOOKUP(April[[#This Row],[Drug Name7]],'Data Options'!$R$1:$S$100,2,FALSE), " ")</f>
        <v xml:space="preserve"> </v>
      </c>
      <c r="BU7" s="55"/>
      <c r="BV7" s="32"/>
      <c r="BW7" s="32"/>
      <c r="BX7" s="55"/>
      <c r="BY7" s="32"/>
      <c r="BZ7" s="54"/>
      <c r="CA7" s="21" t="str">
        <f>IFERROR(VLOOKUP(April[[#This Row],[Drug Name8]],'Data Options'!$R$1:$S$100,2,FALSE), " ")</f>
        <v xml:space="preserve"> </v>
      </c>
      <c r="CB7" s="55"/>
      <c r="CC7" s="32"/>
      <c r="CD7" s="32"/>
      <c r="CE7" s="55"/>
      <c r="CF7" s="32"/>
      <c r="CG7" s="54"/>
      <c r="CH7" s="21" t="str">
        <f>IFERROR(VLOOKUP(April[[#This Row],[Drug Name9]],'Data Options'!$R$1:$S$100,2,FALSE), " ")</f>
        <v xml:space="preserve"> </v>
      </c>
      <c r="CI7" s="55"/>
      <c r="CJ7" s="32"/>
      <c r="CK7" s="32"/>
      <c r="CL7" s="55"/>
      <c r="CM7" s="32"/>
    </row>
    <row r="8" spans="1:91">
      <c r="A8" s="5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1"/>
      <c r="P8" s="31"/>
      <c r="Q8" s="54"/>
      <c r="R8" s="21" t="str">
        <f>IFERROR(VLOOKUP(April[[#This Row],[Drug Name]],'Data Options'!$R$1:$S$100,2,FALSE), " ")</f>
        <v xml:space="preserve"> </v>
      </c>
      <c r="S8" s="55"/>
      <c r="T8" s="32"/>
      <c r="U8" s="32"/>
      <c r="V8" s="55"/>
      <c r="W8" s="32"/>
      <c r="X8" s="54"/>
      <c r="Y8" s="21" t="str">
        <f>IFERROR(VLOOKUP(April[[#This Row],[Drug Name2]],'Data Options'!$R$1:$S$100,2,FALSE), " ")</f>
        <v xml:space="preserve"> </v>
      </c>
      <c r="Z8" s="55"/>
      <c r="AA8" s="32"/>
      <c r="AB8" s="32"/>
      <c r="AC8" s="55"/>
      <c r="AD8" s="32"/>
      <c r="AE8" s="54"/>
      <c r="AF8" s="21" t="str">
        <f>IFERROR(VLOOKUP(April[[#This Row],[Drug Name3]],'Data Options'!$R$1:$S$100,2,FALSE), " ")</f>
        <v xml:space="preserve"> </v>
      </c>
      <c r="AG8" s="55"/>
      <c r="AH8" s="32"/>
      <c r="AI8" s="32"/>
      <c r="AJ8" s="55"/>
      <c r="AK8" s="32"/>
      <c r="AL8" s="32"/>
      <c r="AM8" s="32"/>
      <c r="AN8" s="32"/>
      <c r="AO8" s="32"/>
      <c r="AP8" s="31"/>
      <c r="AQ8" s="31"/>
      <c r="AR8" s="54"/>
      <c r="AS8" s="21" t="str">
        <f>IFERROR(VLOOKUP(April[[#This Row],[Drug Name4]],'Data Options'!$R$1:$S$100,2,FALSE), " ")</f>
        <v xml:space="preserve"> </v>
      </c>
      <c r="AT8" s="55"/>
      <c r="AU8" s="32"/>
      <c r="AV8" s="32"/>
      <c r="AW8" s="55"/>
      <c r="AX8" s="32"/>
      <c r="AY8" s="54"/>
      <c r="AZ8" s="21" t="str">
        <f>IFERROR(VLOOKUP(April[[#This Row],[Drug Name5]],'Data Options'!$R$1:$S$100,2,FALSE), " ")</f>
        <v xml:space="preserve"> </v>
      </c>
      <c r="BA8" s="55"/>
      <c r="BB8" s="32"/>
      <c r="BC8" s="32"/>
      <c r="BD8" s="55"/>
      <c r="BE8" s="32"/>
      <c r="BF8" s="54"/>
      <c r="BG8" s="21" t="str">
        <f>IFERROR(VLOOKUP(April[[#This Row],[Drug Name6]],'Data Options'!$R$1:$S$100,2,FALSE), " ")</f>
        <v xml:space="preserve"> </v>
      </c>
      <c r="BH8" s="55"/>
      <c r="BI8" s="32"/>
      <c r="BJ8" s="32"/>
      <c r="BK8" s="55"/>
      <c r="BL8" s="32"/>
      <c r="BM8" s="32"/>
      <c r="BN8" s="32"/>
      <c r="BO8" s="32"/>
      <c r="BP8" s="32"/>
      <c r="BQ8" s="31"/>
      <c r="BR8" s="31"/>
      <c r="BS8" s="54"/>
      <c r="BT8" s="21" t="str">
        <f>IFERROR(VLOOKUP(April[[#This Row],[Drug Name7]],'Data Options'!$R$1:$S$100,2,FALSE), " ")</f>
        <v xml:space="preserve"> </v>
      </c>
      <c r="BU8" s="55"/>
      <c r="BV8" s="32"/>
      <c r="BW8" s="32"/>
      <c r="BX8" s="55"/>
      <c r="BY8" s="32"/>
      <c r="BZ8" s="54"/>
      <c r="CA8" s="21" t="str">
        <f>IFERROR(VLOOKUP(April[[#This Row],[Drug Name8]],'Data Options'!$R$1:$S$100,2,FALSE), " ")</f>
        <v xml:space="preserve"> </v>
      </c>
      <c r="CB8" s="55"/>
      <c r="CC8" s="32"/>
      <c r="CD8" s="32"/>
      <c r="CE8" s="55"/>
      <c r="CF8" s="32"/>
      <c r="CG8" s="54"/>
      <c r="CH8" s="21" t="str">
        <f>IFERROR(VLOOKUP(April[[#This Row],[Drug Name9]],'Data Options'!$R$1:$S$100,2,FALSE), " ")</f>
        <v xml:space="preserve"> </v>
      </c>
      <c r="CI8" s="55"/>
      <c r="CJ8" s="32"/>
      <c r="CK8" s="32"/>
      <c r="CL8" s="55"/>
      <c r="CM8" s="32"/>
    </row>
    <row r="9" spans="1:91">
      <c r="A9" s="5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1"/>
      <c r="P9" s="31"/>
      <c r="Q9" s="54"/>
      <c r="R9" s="21" t="str">
        <f>IFERROR(VLOOKUP(April[[#This Row],[Drug Name]],'Data Options'!$R$1:$S$100,2,FALSE), " ")</f>
        <v xml:space="preserve"> </v>
      </c>
      <c r="S9" s="55"/>
      <c r="T9" s="32"/>
      <c r="U9" s="32"/>
      <c r="V9" s="55"/>
      <c r="W9" s="32"/>
      <c r="X9" s="54"/>
      <c r="Y9" s="21" t="str">
        <f>IFERROR(VLOOKUP(April[[#This Row],[Drug Name2]],'Data Options'!$R$1:$S$100,2,FALSE), " ")</f>
        <v xml:space="preserve"> </v>
      </c>
      <c r="Z9" s="55"/>
      <c r="AA9" s="32"/>
      <c r="AB9" s="32"/>
      <c r="AC9" s="55"/>
      <c r="AD9" s="32"/>
      <c r="AE9" s="54"/>
      <c r="AF9" s="21" t="str">
        <f>IFERROR(VLOOKUP(April[[#This Row],[Drug Name3]],'Data Options'!$R$1:$S$100,2,FALSE), " ")</f>
        <v xml:space="preserve"> </v>
      </c>
      <c r="AG9" s="55"/>
      <c r="AH9" s="32"/>
      <c r="AI9" s="32"/>
      <c r="AJ9" s="55"/>
      <c r="AK9" s="32"/>
      <c r="AL9" s="32"/>
      <c r="AM9" s="32"/>
      <c r="AN9" s="32"/>
      <c r="AO9" s="32"/>
      <c r="AP9" s="31"/>
      <c r="AQ9" s="31"/>
      <c r="AR9" s="54"/>
      <c r="AS9" s="21" t="str">
        <f>IFERROR(VLOOKUP(April[[#This Row],[Drug Name4]],'Data Options'!$R$1:$S$100,2,FALSE), " ")</f>
        <v xml:space="preserve"> </v>
      </c>
      <c r="AT9" s="55"/>
      <c r="AU9" s="32"/>
      <c r="AV9" s="32"/>
      <c r="AW9" s="55"/>
      <c r="AX9" s="32"/>
      <c r="AY9" s="54"/>
      <c r="AZ9" s="21" t="str">
        <f>IFERROR(VLOOKUP(April[[#This Row],[Drug Name5]],'Data Options'!$R$1:$S$100,2,FALSE), " ")</f>
        <v xml:space="preserve"> </v>
      </c>
      <c r="BA9" s="55"/>
      <c r="BB9" s="32"/>
      <c r="BC9" s="32"/>
      <c r="BD9" s="55"/>
      <c r="BE9" s="32"/>
      <c r="BF9" s="54"/>
      <c r="BG9" s="21" t="str">
        <f>IFERROR(VLOOKUP(April[[#This Row],[Drug Name6]],'Data Options'!$R$1:$S$100,2,FALSE), " ")</f>
        <v xml:space="preserve"> </v>
      </c>
      <c r="BH9" s="55"/>
      <c r="BI9" s="32"/>
      <c r="BJ9" s="32"/>
      <c r="BK9" s="55"/>
      <c r="BL9" s="32"/>
      <c r="BM9" s="32"/>
      <c r="BN9" s="32"/>
      <c r="BO9" s="32"/>
      <c r="BP9" s="32"/>
      <c r="BQ9" s="31"/>
      <c r="BR9" s="31"/>
      <c r="BS9" s="54"/>
      <c r="BT9" s="21" t="str">
        <f>IFERROR(VLOOKUP(April[[#This Row],[Drug Name7]],'Data Options'!$R$1:$S$100,2,FALSE), " ")</f>
        <v xml:space="preserve"> </v>
      </c>
      <c r="BU9" s="55"/>
      <c r="BV9" s="32"/>
      <c r="BW9" s="32"/>
      <c r="BX9" s="55"/>
      <c r="BY9" s="32"/>
      <c r="BZ9" s="54"/>
      <c r="CA9" s="21" t="str">
        <f>IFERROR(VLOOKUP(April[[#This Row],[Drug Name8]],'Data Options'!$R$1:$S$100,2,FALSE), " ")</f>
        <v xml:space="preserve"> </v>
      </c>
      <c r="CB9" s="55"/>
      <c r="CC9" s="32"/>
      <c r="CD9" s="32"/>
      <c r="CE9" s="55"/>
      <c r="CF9" s="32"/>
      <c r="CG9" s="54"/>
      <c r="CH9" s="21" t="str">
        <f>IFERROR(VLOOKUP(April[[#This Row],[Drug Name9]],'Data Options'!$R$1:$S$100,2,FALSE), " ")</f>
        <v xml:space="preserve"> </v>
      </c>
      <c r="CI9" s="55"/>
      <c r="CJ9" s="32"/>
      <c r="CK9" s="32"/>
      <c r="CL9" s="55"/>
      <c r="CM9" s="32"/>
    </row>
    <row r="10" spans="1:91">
      <c r="A10" s="5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1"/>
      <c r="P10" s="31"/>
      <c r="Q10" s="54"/>
      <c r="R10" s="21" t="str">
        <f>IFERROR(VLOOKUP(April[[#This Row],[Drug Name]],'Data Options'!$R$1:$S$100,2,FALSE), " ")</f>
        <v xml:space="preserve"> </v>
      </c>
      <c r="S10" s="55"/>
      <c r="T10" s="32"/>
      <c r="U10" s="32"/>
      <c r="V10" s="55"/>
      <c r="W10" s="32"/>
      <c r="X10" s="54"/>
      <c r="Y10" s="21" t="str">
        <f>IFERROR(VLOOKUP(April[[#This Row],[Drug Name2]],'Data Options'!$R$1:$S$100,2,FALSE), " ")</f>
        <v xml:space="preserve"> </v>
      </c>
      <c r="Z10" s="55"/>
      <c r="AA10" s="32"/>
      <c r="AB10" s="32"/>
      <c r="AC10" s="55"/>
      <c r="AD10" s="32"/>
      <c r="AE10" s="54"/>
      <c r="AF10" s="21" t="str">
        <f>IFERROR(VLOOKUP(April[[#This Row],[Drug Name3]],'Data Options'!$R$1:$S$100,2,FALSE), " ")</f>
        <v xml:space="preserve"> </v>
      </c>
      <c r="AG10" s="55"/>
      <c r="AH10" s="32"/>
      <c r="AI10" s="32"/>
      <c r="AJ10" s="55"/>
      <c r="AK10" s="32"/>
      <c r="AL10" s="32"/>
      <c r="AM10" s="32"/>
      <c r="AN10" s="32"/>
      <c r="AO10" s="32"/>
      <c r="AP10" s="31"/>
      <c r="AQ10" s="31"/>
      <c r="AR10" s="54"/>
      <c r="AS10" s="21" t="str">
        <f>IFERROR(VLOOKUP(April[[#This Row],[Drug Name4]],'Data Options'!$R$1:$S$100,2,FALSE), " ")</f>
        <v xml:space="preserve"> </v>
      </c>
      <c r="AT10" s="55"/>
      <c r="AU10" s="32"/>
      <c r="AV10" s="32"/>
      <c r="AW10" s="55"/>
      <c r="AX10" s="32"/>
      <c r="AY10" s="54"/>
      <c r="AZ10" s="21" t="str">
        <f>IFERROR(VLOOKUP(April[[#This Row],[Drug Name5]],'Data Options'!$R$1:$S$100,2,FALSE), " ")</f>
        <v xml:space="preserve"> </v>
      </c>
      <c r="BA10" s="55"/>
      <c r="BB10" s="32"/>
      <c r="BC10" s="32"/>
      <c r="BD10" s="55"/>
      <c r="BE10" s="32"/>
      <c r="BF10" s="54"/>
      <c r="BG10" s="21" t="str">
        <f>IFERROR(VLOOKUP(April[[#This Row],[Drug Name6]],'Data Options'!$R$1:$S$100,2,FALSE), " ")</f>
        <v xml:space="preserve"> </v>
      </c>
      <c r="BH10" s="55"/>
      <c r="BI10" s="32"/>
      <c r="BJ10" s="32"/>
      <c r="BK10" s="55"/>
      <c r="BL10" s="32"/>
      <c r="BM10" s="32"/>
      <c r="BN10" s="32"/>
      <c r="BO10" s="32"/>
      <c r="BP10" s="32"/>
      <c r="BQ10" s="31"/>
      <c r="BR10" s="31"/>
      <c r="BS10" s="54"/>
      <c r="BT10" s="21" t="str">
        <f>IFERROR(VLOOKUP(April[[#This Row],[Drug Name7]],'Data Options'!$R$1:$S$100,2,FALSE), " ")</f>
        <v xml:space="preserve"> </v>
      </c>
      <c r="BU10" s="55"/>
      <c r="BV10" s="32"/>
      <c r="BW10" s="32"/>
      <c r="BX10" s="55"/>
      <c r="BY10" s="32"/>
      <c r="BZ10" s="54"/>
      <c r="CA10" s="21" t="str">
        <f>IFERROR(VLOOKUP(April[[#This Row],[Drug Name8]],'Data Options'!$R$1:$S$100,2,FALSE), " ")</f>
        <v xml:space="preserve"> </v>
      </c>
      <c r="CB10" s="55"/>
      <c r="CC10" s="32"/>
      <c r="CD10" s="32"/>
      <c r="CE10" s="55"/>
      <c r="CF10" s="32"/>
      <c r="CG10" s="54"/>
      <c r="CH10" s="21" t="str">
        <f>IFERROR(VLOOKUP(April[[#This Row],[Drug Name9]],'Data Options'!$R$1:$S$100,2,FALSE), " ")</f>
        <v xml:space="preserve"> </v>
      </c>
      <c r="CI10" s="55"/>
      <c r="CJ10" s="32"/>
      <c r="CK10" s="32"/>
      <c r="CL10" s="55"/>
      <c r="CM10" s="32"/>
    </row>
    <row r="11" spans="1:91">
      <c r="A11" s="5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1"/>
      <c r="P11" s="31"/>
      <c r="Q11" s="54"/>
      <c r="R11" s="21" t="str">
        <f>IFERROR(VLOOKUP(April[[#This Row],[Drug Name]],'Data Options'!$R$1:$S$100,2,FALSE), " ")</f>
        <v xml:space="preserve"> </v>
      </c>
      <c r="S11" s="55"/>
      <c r="T11" s="32"/>
      <c r="U11" s="32"/>
      <c r="V11" s="55"/>
      <c r="W11" s="32"/>
      <c r="X11" s="54"/>
      <c r="Y11" s="21" t="str">
        <f>IFERROR(VLOOKUP(April[[#This Row],[Drug Name2]],'Data Options'!$R$1:$S$100,2,FALSE), " ")</f>
        <v xml:space="preserve"> </v>
      </c>
      <c r="Z11" s="55"/>
      <c r="AA11" s="32"/>
      <c r="AB11" s="32"/>
      <c r="AC11" s="55"/>
      <c r="AD11" s="32"/>
      <c r="AE11" s="54"/>
      <c r="AF11" s="21" t="str">
        <f>IFERROR(VLOOKUP(April[[#This Row],[Drug Name3]],'Data Options'!$R$1:$S$100,2,FALSE), " ")</f>
        <v xml:space="preserve"> </v>
      </c>
      <c r="AG11" s="55"/>
      <c r="AH11" s="32"/>
      <c r="AI11" s="32"/>
      <c r="AJ11" s="55"/>
      <c r="AK11" s="32"/>
      <c r="AL11" s="32"/>
      <c r="AM11" s="32"/>
      <c r="AN11" s="32"/>
      <c r="AO11" s="32"/>
      <c r="AP11" s="31"/>
      <c r="AQ11" s="31"/>
      <c r="AR11" s="54"/>
      <c r="AS11" s="21" t="str">
        <f>IFERROR(VLOOKUP(April[[#This Row],[Drug Name4]],'Data Options'!$R$1:$S$100,2,FALSE), " ")</f>
        <v xml:space="preserve"> </v>
      </c>
      <c r="AT11" s="55"/>
      <c r="AU11" s="32"/>
      <c r="AV11" s="32"/>
      <c r="AW11" s="55"/>
      <c r="AX11" s="32"/>
      <c r="AY11" s="54"/>
      <c r="AZ11" s="21" t="str">
        <f>IFERROR(VLOOKUP(April[[#This Row],[Drug Name5]],'Data Options'!$R$1:$S$100,2,FALSE), " ")</f>
        <v xml:space="preserve"> </v>
      </c>
      <c r="BA11" s="55"/>
      <c r="BB11" s="32"/>
      <c r="BC11" s="32"/>
      <c r="BD11" s="55"/>
      <c r="BE11" s="32"/>
      <c r="BF11" s="54"/>
      <c r="BG11" s="21" t="str">
        <f>IFERROR(VLOOKUP(April[[#This Row],[Drug Name6]],'Data Options'!$R$1:$S$100,2,FALSE), " ")</f>
        <v xml:space="preserve"> </v>
      </c>
      <c r="BH11" s="55"/>
      <c r="BI11" s="32"/>
      <c r="BJ11" s="32"/>
      <c r="BK11" s="55"/>
      <c r="BL11" s="32"/>
      <c r="BM11" s="32"/>
      <c r="BN11" s="32"/>
      <c r="BO11" s="32"/>
      <c r="BP11" s="32"/>
      <c r="BQ11" s="31"/>
      <c r="BR11" s="31"/>
      <c r="BS11" s="54"/>
      <c r="BT11" s="21" t="str">
        <f>IFERROR(VLOOKUP(April[[#This Row],[Drug Name7]],'Data Options'!$R$1:$S$100,2,FALSE), " ")</f>
        <v xml:space="preserve"> </v>
      </c>
      <c r="BU11" s="55"/>
      <c r="BV11" s="32"/>
      <c r="BW11" s="32"/>
      <c r="BX11" s="55"/>
      <c r="BY11" s="32"/>
      <c r="BZ11" s="54"/>
      <c r="CA11" s="21" t="str">
        <f>IFERROR(VLOOKUP(April[[#This Row],[Drug Name8]],'Data Options'!$R$1:$S$100,2,FALSE), " ")</f>
        <v xml:space="preserve"> </v>
      </c>
      <c r="CB11" s="55"/>
      <c r="CC11" s="32"/>
      <c r="CD11" s="32"/>
      <c r="CE11" s="55"/>
      <c r="CF11" s="32"/>
      <c r="CG11" s="54"/>
      <c r="CH11" s="21" t="str">
        <f>IFERROR(VLOOKUP(April[[#This Row],[Drug Name9]],'Data Options'!$R$1:$S$100,2,FALSE), " ")</f>
        <v xml:space="preserve"> </v>
      </c>
      <c r="CI11" s="55"/>
      <c r="CJ11" s="32"/>
      <c r="CK11" s="32"/>
      <c r="CL11" s="55"/>
      <c r="CM11" s="32"/>
    </row>
    <row r="12" spans="1:91">
      <c r="A12" s="5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1"/>
      <c r="P12" s="31"/>
      <c r="Q12" s="54"/>
      <c r="R12" s="21" t="str">
        <f>IFERROR(VLOOKUP(April[[#This Row],[Drug Name]],'Data Options'!$R$1:$S$100,2,FALSE), " ")</f>
        <v xml:space="preserve"> </v>
      </c>
      <c r="S12" s="55"/>
      <c r="T12" s="32"/>
      <c r="U12" s="32"/>
      <c r="V12" s="55"/>
      <c r="W12" s="32"/>
      <c r="X12" s="54"/>
      <c r="Y12" s="21" t="str">
        <f>IFERROR(VLOOKUP(April[[#This Row],[Drug Name2]],'Data Options'!$R$1:$S$100,2,FALSE), " ")</f>
        <v xml:space="preserve"> </v>
      </c>
      <c r="Z12" s="55"/>
      <c r="AA12" s="32"/>
      <c r="AB12" s="32"/>
      <c r="AC12" s="55"/>
      <c r="AD12" s="32"/>
      <c r="AE12" s="54"/>
      <c r="AF12" s="21" t="str">
        <f>IFERROR(VLOOKUP(April[[#This Row],[Drug Name3]],'Data Options'!$R$1:$S$100,2,FALSE), " ")</f>
        <v xml:space="preserve"> </v>
      </c>
      <c r="AG12" s="55"/>
      <c r="AH12" s="32"/>
      <c r="AI12" s="32"/>
      <c r="AJ12" s="55"/>
      <c r="AK12" s="32"/>
      <c r="AL12" s="32"/>
      <c r="AM12" s="32"/>
      <c r="AN12" s="32"/>
      <c r="AO12" s="32"/>
      <c r="AP12" s="31"/>
      <c r="AQ12" s="31"/>
      <c r="AR12" s="54"/>
      <c r="AS12" s="21" t="str">
        <f>IFERROR(VLOOKUP(April[[#This Row],[Drug Name4]],'Data Options'!$R$1:$S$100,2,FALSE), " ")</f>
        <v xml:space="preserve"> </v>
      </c>
      <c r="AT12" s="55"/>
      <c r="AU12" s="32"/>
      <c r="AV12" s="32"/>
      <c r="AW12" s="55"/>
      <c r="AX12" s="32"/>
      <c r="AY12" s="54"/>
      <c r="AZ12" s="21" t="str">
        <f>IFERROR(VLOOKUP(April[[#This Row],[Drug Name5]],'Data Options'!$R$1:$S$100,2,FALSE), " ")</f>
        <v xml:space="preserve"> </v>
      </c>
      <c r="BA12" s="55"/>
      <c r="BB12" s="32"/>
      <c r="BC12" s="32"/>
      <c r="BD12" s="55"/>
      <c r="BE12" s="32"/>
      <c r="BF12" s="54"/>
      <c r="BG12" s="21" t="str">
        <f>IFERROR(VLOOKUP(April[[#This Row],[Drug Name6]],'Data Options'!$R$1:$S$100,2,FALSE), " ")</f>
        <v xml:space="preserve"> </v>
      </c>
      <c r="BH12" s="55"/>
      <c r="BI12" s="32"/>
      <c r="BJ12" s="32"/>
      <c r="BK12" s="55"/>
      <c r="BL12" s="32"/>
      <c r="BM12" s="32"/>
      <c r="BN12" s="32"/>
      <c r="BO12" s="32"/>
      <c r="BP12" s="32"/>
      <c r="BQ12" s="31"/>
      <c r="BR12" s="31"/>
      <c r="BS12" s="54"/>
      <c r="BT12" s="21" t="str">
        <f>IFERROR(VLOOKUP(April[[#This Row],[Drug Name7]],'Data Options'!$R$1:$S$100,2,FALSE), " ")</f>
        <v xml:space="preserve"> </v>
      </c>
      <c r="BU12" s="55"/>
      <c r="BV12" s="32"/>
      <c r="BW12" s="32"/>
      <c r="BX12" s="55"/>
      <c r="BY12" s="32"/>
      <c r="BZ12" s="54"/>
      <c r="CA12" s="21" t="str">
        <f>IFERROR(VLOOKUP(April[[#This Row],[Drug Name8]],'Data Options'!$R$1:$S$100,2,FALSE), " ")</f>
        <v xml:space="preserve"> </v>
      </c>
      <c r="CB12" s="55"/>
      <c r="CC12" s="32"/>
      <c r="CD12" s="32"/>
      <c r="CE12" s="55"/>
      <c r="CF12" s="32"/>
      <c r="CG12" s="54"/>
      <c r="CH12" s="21" t="str">
        <f>IFERROR(VLOOKUP(April[[#This Row],[Drug Name9]],'Data Options'!$R$1:$S$100,2,FALSE), " ")</f>
        <v xml:space="preserve"> </v>
      </c>
      <c r="CI12" s="55"/>
      <c r="CJ12" s="32"/>
      <c r="CK12" s="32"/>
      <c r="CL12" s="55"/>
      <c r="CM12" s="32"/>
    </row>
    <row r="13" spans="1:91">
      <c r="A13" s="5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1"/>
      <c r="P13" s="31"/>
      <c r="Q13" s="54"/>
      <c r="R13" s="21" t="str">
        <f>IFERROR(VLOOKUP(April[[#This Row],[Drug Name]],'Data Options'!$R$1:$S$100,2,FALSE), " ")</f>
        <v xml:space="preserve"> </v>
      </c>
      <c r="S13" s="55"/>
      <c r="T13" s="32"/>
      <c r="U13" s="32"/>
      <c r="V13" s="55"/>
      <c r="W13" s="32"/>
      <c r="X13" s="54"/>
      <c r="Y13" s="21" t="str">
        <f>IFERROR(VLOOKUP(April[[#This Row],[Drug Name2]],'Data Options'!$R$1:$S$100,2,FALSE), " ")</f>
        <v xml:space="preserve"> </v>
      </c>
      <c r="Z13" s="55"/>
      <c r="AA13" s="32"/>
      <c r="AB13" s="32"/>
      <c r="AC13" s="55"/>
      <c r="AD13" s="32"/>
      <c r="AE13" s="54"/>
      <c r="AF13" s="21" t="str">
        <f>IFERROR(VLOOKUP(April[[#This Row],[Drug Name3]],'Data Options'!$R$1:$S$100,2,FALSE), " ")</f>
        <v xml:space="preserve"> </v>
      </c>
      <c r="AG13" s="55"/>
      <c r="AH13" s="32"/>
      <c r="AI13" s="32"/>
      <c r="AJ13" s="55"/>
      <c r="AK13" s="32"/>
      <c r="AL13" s="32"/>
      <c r="AM13" s="32"/>
      <c r="AN13" s="32"/>
      <c r="AO13" s="32"/>
      <c r="AP13" s="31"/>
      <c r="AQ13" s="31"/>
      <c r="AR13" s="54"/>
      <c r="AS13" s="21" t="str">
        <f>IFERROR(VLOOKUP(April[[#This Row],[Drug Name4]],'Data Options'!$R$1:$S$100,2,FALSE), " ")</f>
        <v xml:space="preserve"> </v>
      </c>
      <c r="AT13" s="55"/>
      <c r="AU13" s="32"/>
      <c r="AV13" s="32"/>
      <c r="AW13" s="55"/>
      <c r="AX13" s="32"/>
      <c r="AY13" s="54"/>
      <c r="AZ13" s="21" t="str">
        <f>IFERROR(VLOOKUP(April[[#This Row],[Drug Name5]],'Data Options'!$R$1:$S$100,2,FALSE), " ")</f>
        <v xml:space="preserve"> </v>
      </c>
      <c r="BA13" s="55"/>
      <c r="BB13" s="32"/>
      <c r="BC13" s="32"/>
      <c r="BD13" s="55"/>
      <c r="BE13" s="32"/>
      <c r="BF13" s="54"/>
      <c r="BG13" s="21" t="str">
        <f>IFERROR(VLOOKUP(April[[#This Row],[Drug Name6]],'Data Options'!$R$1:$S$100,2,FALSE), " ")</f>
        <v xml:space="preserve"> </v>
      </c>
      <c r="BH13" s="55"/>
      <c r="BI13" s="32"/>
      <c r="BJ13" s="32"/>
      <c r="BK13" s="55"/>
      <c r="BL13" s="32"/>
      <c r="BM13" s="32"/>
      <c r="BN13" s="32"/>
      <c r="BO13" s="32"/>
      <c r="BP13" s="32"/>
      <c r="BQ13" s="31"/>
      <c r="BR13" s="31"/>
      <c r="BS13" s="54"/>
      <c r="BT13" s="21" t="str">
        <f>IFERROR(VLOOKUP(April[[#This Row],[Drug Name7]],'Data Options'!$R$1:$S$100,2,FALSE), " ")</f>
        <v xml:space="preserve"> </v>
      </c>
      <c r="BU13" s="55"/>
      <c r="BV13" s="32"/>
      <c r="BW13" s="32"/>
      <c r="BX13" s="55"/>
      <c r="BY13" s="32"/>
      <c r="BZ13" s="54"/>
      <c r="CA13" s="21" t="str">
        <f>IFERROR(VLOOKUP(April[[#This Row],[Drug Name8]],'Data Options'!$R$1:$S$100,2,FALSE), " ")</f>
        <v xml:space="preserve"> </v>
      </c>
      <c r="CB13" s="55"/>
      <c r="CC13" s="32"/>
      <c r="CD13" s="32"/>
      <c r="CE13" s="55"/>
      <c r="CF13" s="32"/>
      <c r="CG13" s="54"/>
      <c r="CH13" s="21" t="str">
        <f>IFERROR(VLOOKUP(April[[#This Row],[Drug Name9]],'Data Options'!$R$1:$S$100,2,FALSE), " ")</f>
        <v xml:space="preserve"> </v>
      </c>
      <c r="CI13" s="55"/>
      <c r="CJ13" s="32"/>
      <c r="CK13" s="32"/>
      <c r="CL13" s="55"/>
      <c r="CM13" s="32"/>
    </row>
    <row r="14" spans="1:91">
      <c r="A14" s="5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54"/>
      <c r="R14" s="21" t="str">
        <f>IFERROR(VLOOKUP(April[[#This Row],[Drug Name]],'Data Options'!$R$1:$S$100,2,FALSE), " ")</f>
        <v xml:space="preserve"> </v>
      </c>
      <c r="S14" s="55"/>
      <c r="T14" s="32"/>
      <c r="U14" s="32"/>
      <c r="V14" s="55"/>
      <c r="W14" s="32"/>
      <c r="X14" s="54"/>
      <c r="Y14" s="21" t="str">
        <f>IFERROR(VLOOKUP(April[[#This Row],[Drug Name2]],'Data Options'!$R$1:$S$100,2,FALSE), " ")</f>
        <v xml:space="preserve"> </v>
      </c>
      <c r="Z14" s="55"/>
      <c r="AA14" s="32"/>
      <c r="AB14" s="32"/>
      <c r="AC14" s="55"/>
      <c r="AD14" s="32"/>
      <c r="AE14" s="54"/>
      <c r="AF14" s="21" t="str">
        <f>IFERROR(VLOOKUP(April[[#This Row],[Drug Name3]],'Data Options'!$R$1:$S$100,2,FALSE), " ")</f>
        <v xml:space="preserve"> </v>
      </c>
      <c r="AG14" s="55"/>
      <c r="AH14" s="32"/>
      <c r="AI14" s="32"/>
      <c r="AJ14" s="55"/>
      <c r="AK14" s="32"/>
      <c r="AL14" s="32"/>
      <c r="AM14" s="32"/>
      <c r="AN14" s="32"/>
      <c r="AO14" s="32"/>
      <c r="AP14" s="31"/>
      <c r="AQ14" s="31"/>
      <c r="AR14" s="54"/>
      <c r="AS14" s="21" t="str">
        <f>IFERROR(VLOOKUP(April[[#This Row],[Drug Name4]],'Data Options'!$R$1:$S$100,2,FALSE), " ")</f>
        <v xml:space="preserve"> </v>
      </c>
      <c r="AT14" s="55"/>
      <c r="AU14" s="32"/>
      <c r="AV14" s="32"/>
      <c r="AW14" s="55"/>
      <c r="AX14" s="32"/>
      <c r="AY14" s="54"/>
      <c r="AZ14" s="21" t="str">
        <f>IFERROR(VLOOKUP(April[[#This Row],[Drug Name5]],'Data Options'!$R$1:$S$100,2,FALSE), " ")</f>
        <v xml:space="preserve"> </v>
      </c>
      <c r="BA14" s="55"/>
      <c r="BB14" s="32"/>
      <c r="BC14" s="32"/>
      <c r="BD14" s="55"/>
      <c r="BE14" s="32"/>
      <c r="BF14" s="54"/>
      <c r="BG14" s="21" t="str">
        <f>IFERROR(VLOOKUP(April[[#This Row],[Drug Name6]],'Data Options'!$R$1:$S$100,2,FALSE), " ")</f>
        <v xml:space="preserve"> </v>
      </c>
      <c r="BH14" s="55"/>
      <c r="BI14" s="32"/>
      <c r="BJ14" s="32"/>
      <c r="BK14" s="55"/>
      <c r="BL14" s="32"/>
      <c r="BM14" s="32"/>
      <c r="BN14" s="32"/>
      <c r="BO14" s="32"/>
      <c r="BP14" s="32"/>
      <c r="BQ14" s="31"/>
      <c r="BR14" s="31"/>
      <c r="BS14" s="54"/>
      <c r="BT14" s="21" t="str">
        <f>IFERROR(VLOOKUP(April[[#This Row],[Drug Name7]],'Data Options'!$R$1:$S$100,2,FALSE), " ")</f>
        <v xml:space="preserve"> </v>
      </c>
      <c r="BU14" s="55"/>
      <c r="BV14" s="32"/>
      <c r="BW14" s="32"/>
      <c r="BX14" s="55"/>
      <c r="BY14" s="32"/>
      <c r="BZ14" s="54"/>
      <c r="CA14" s="21" t="str">
        <f>IFERROR(VLOOKUP(April[[#This Row],[Drug Name8]],'Data Options'!$R$1:$S$100,2,FALSE), " ")</f>
        <v xml:space="preserve"> </v>
      </c>
      <c r="CB14" s="55"/>
      <c r="CC14" s="32"/>
      <c r="CD14" s="32"/>
      <c r="CE14" s="55"/>
      <c r="CF14" s="32"/>
      <c r="CG14" s="54"/>
      <c r="CH14" s="21" t="str">
        <f>IFERROR(VLOOKUP(April[[#This Row],[Drug Name9]],'Data Options'!$R$1:$S$100,2,FALSE), " ")</f>
        <v xml:space="preserve"> </v>
      </c>
      <c r="CI14" s="55"/>
      <c r="CJ14" s="32"/>
      <c r="CK14" s="32"/>
      <c r="CL14" s="55"/>
      <c r="CM14" s="32"/>
    </row>
    <row r="15" spans="1:91">
      <c r="A15" s="5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54"/>
      <c r="R15" s="21" t="str">
        <f>IFERROR(VLOOKUP(April[[#This Row],[Drug Name]],'Data Options'!$R$1:$S$100,2,FALSE), " ")</f>
        <v xml:space="preserve"> </v>
      </c>
      <c r="S15" s="55"/>
      <c r="T15" s="32"/>
      <c r="U15" s="32"/>
      <c r="V15" s="55"/>
      <c r="W15" s="32"/>
      <c r="X15" s="54"/>
      <c r="Y15" s="21" t="str">
        <f>IFERROR(VLOOKUP(April[[#This Row],[Drug Name2]],'Data Options'!$R$1:$S$100,2,FALSE), " ")</f>
        <v xml:space="preserve"> </v>
      </c>
      <c r="Z15" s="55"/>
      <c r="AA15" s="32"/>
      <c r="AB15" s="32"/>
      <c r="AC15" s="55"/>
      <c r="AD15" s="32"/>
      <c r="AE15" s="54"/>
      <c r="AF15" s="21" t="str">
        <f>IFERROR(VLOOKUP(April[[#This Row],[Drug Name3]],'Data Options'!$R$1:$S$100,2,FALSE), " ")</f>
        <v xml:space="preserve"> </v>
      </c>
      <c r="AG15" s="55"/>
      <c r="AH15" s="32"/>
      <c r="AI15" s="32"/>
      <c r="AJ15" s="55"/>
      <c r="AK15" s="32"/>
      <c r="AL15" s="32"/>
      <c r="AM15" s="32"/>
      <c r="AN15" s="32"/>
      <c r="AO15" s="32"/>
      <c r="AP15" s="31"/>
      <c r="AQ15" s="31"/>
      <c r="AR15" s="54"/>
      <c r="AS15" s="21" t="str">
        <f>IFERROR(VLOOKUP(April[[#This Row],[Drug Name4]],'Data Options'!$R$1:$S$100,2,FALSE), " ")</f>
        <v xml:space="preserve"> </v>
      </c>
      <c r="AT15" s="55"/>
      <c r="AU15" s="32"/>
      <c r="AV15" s="32"/>
      <c r="AW15" s="55"/>
      <c r="AX15" s="32"/>
      <c r="AY15" s="54"/>
      <c r="AZ15" s="21" t="str">
        <f>IFERROR(VLOOKUP(April[[#This Row],[Drug Name5]],'Data Options'!$R$1:$S$100,2,FALSE), " ")</f>
        <v xml:space="preserve"> </v>
      </c>
      <c r="BA15" s="55"/>
      <c r="BB15" s="32"/>
      <c r="BC15" s="32"/>
      <c r="BD15" s="55"/>
      <c r="BE15" s="32"/>
      <c r="BF15" s="54"/>
      <c r="BG15" s="21" t="str">
        <f>IFERROR(VLOOKUP(April[[#This Row],[Drug Name6]],'Data Options'!$R$1:$S$100,2,FALSE), " ")</f>
        <v xml:space="preserve"> </v>
      </c>
      <c r="BH15" s="55"/>
      <c r="BI15" s="32"/>
      <c r="BJ15" s="32"/>
      <c r="BK15" s="55"/>
      <c r="BL15" s="32"/>
      <c r="BM15" s="32"/>
      <c r="BN15" s="32"/>
      <c r="BO15" s="32"/>
      <c r="BP15" s="32"/>
      <c r="BQ15" s="31"/>
      <c r="BR15" s="31"/>
      <c r="BS15" s="54"/>
      <c r="BT15" s="21" t="str">
        <f>IFERROR(VLOOKUP(April[[#This Row],[Drug Name7]],'Data Options'!$R$1:$S$100,2,FALSE), " ")</f>
        <v xml:space="preserve"> </v>
      </c>
      <c r="BU15" s="55"/>
      <c r="BV15" s="32"/>
      <c r="BW15" s="32"/>
      <c r="BX15" s="55"/>
      <c r="BY15" s="32"/>
      <c r="BZ15" s="54"/>
      <c r="CA15" s="21" t="str">
        <f>IFERROR(VLOOKUP(April[[#This Row],[Drug Name8]],'Data Options'!$R$1:$S$100,2,FALSE), " ")</f>
        <v xml:space="preserve"> </v>
      </c>
      <c r="CB15" s="55"/>
      <c r="CC15" s="32"/>
      <c r="CD15" s="32"/>
      <c r="CE15" s="55"/>
      <c r="CF15" s="32"/>
      <c r="CG15" s="54"/>
      <c r="CH15" s="21" t="str">
        <f>IFERROR(VLOOKUP(April[[#This Row],[Drug Name9]],'Data Options'!$R$1:$S$100,2,FALSE), " ")</f>
        <v xml:space="preserve"> </v>
      </c>
      <c r="CI15" s="55"/>
      <c r="CJ15" s="32"/>
      <c r="CK15" s="32"/>
      <c r="CL15" s="55"/>
      <c r="CM15" s="32"/>
    </row>
    <row r="16" spans="1:91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1"/>
      <c r="Q16" s="54"/>
      <c r="R16" s="21" t="str">
        <f>IFERROR(VLOOKUP(April[[#This Row],[Drug Name]],'Data Options'!$R$1:$S$100,2,FALSE), " ")</f>
        <v xml:space="preserve"> </v>
      </c>
      <c r="S16" s="55"/>
      <c r="T16" s="32"/>
      <c r="U16" s="32"/>
      <c r="V16" s="55"/>
      <c r="W16" s="32"/>
      <c r="X16" s="54"/>
      <c r="Y16" s="21" t="str">
        <f>IFERROR(VLOOKUP(April[[#This Row],[Drug Name2]],'Data Options'!$R$1:$S$100,2,FALSE), " ")</f>
        <v xml:space="preserve"> </v>
      </c>
      <c r="Z16" s="55"/>
      <c r="AA16" s="32"/>
      <c r="AB16" s="32"/>
      <c r="AC16" s="55"/>
      <c r="AD16" s="32"/>
      <c r="AE16" s="54"/>
      <c r="AF16" s="21" t="str">
        <f>IFERROR(VLOOKUP(April[[#This Row],[Drug Name3]],'Data Options'!$R$1:$S$100,2,FALSE), " ")</f>
        <v xml:space="preserve"> </v>
      </c>
      <c r="AG16" s="55"/>
      <c r="AH16" s="32"/>
      <c r="AI16" s="32"/>
      <c r="AJ16" s="55"/>
      <c r="AK16" s="32"/>
      <c r="AL16" s="32"/>
      <c r="AM16" s="32"/>
      <c r="AN16" s="32"/>
      <c r="AO16" s="32"/>
      <c r="AP16" s="31"/>
      <c r="AQ16" s="31"/>
      <c r="AR16" s="54"/>
      <c r="AS16" s="21" t="str">
        <f>IFERROR(VLOOKUP(April[[#This Row],[Drug Name4]],'Data Options'!$R$1:$S$100,2,FALSE), " ")</f>
        <v xml:space="preserve"> </v>
      </c>
      <c r="AT16" s="55"/>
      <c r="AU16" s="32"/>
      <c r="AV16" s="32"/>
      <c r="AW16" s="55"/>
      <c r="AX16" s="32"/>
      <c r="AY16" s="54"/>
      <c r="AZ16" s="21" t="str">
        <f>IFERROR(VLOOKUP(April[[#This Row],[Drug Name5]],'Data Options'!$R$1:$S$100,2,FALSE), " ")</f>
        <v xml:space="preserve"> </v>
      </c>
      <c r="BA16" s="55"/>
      <c r="BB16" s="32"/>
      <c r="BC16" s="32"/>
      <c r="BD16" s="55"/>
      <c r="BE16" s="32"/>
      <c r="BF16" s="54"/>
      <c r="BG16" s="21" t="str">
        <f>IFERROR(VLOOKUP(April[[#This Row],[Drug Name6]],'Data Options'!$R$1:$S$100,2,FALSE), " ")</f>
        <v xml:space="preserve"> </v>
      </c>
      <c r="BH16" s="55"/>
      <c r="BI16" s="32"/>
      <c r="BJ16" s="32"/>
      <c r="BK16" s="55"/>
      <c r="BL16" s="32"/>
      <c r="BM16" s="32"/>
      <c r="BN16" s="32"/>
      <c r="BO16" s="32"/>
      <c r="BP16" s="32"/>
      <c r="BQ16" s="31"/>
      <c r="BR16" s="31"/>
      <c r="BS16" s="54"/>
      <c r="BT16" s="21" t="str">
        <f>IFERROR(VLOOKUP(April[[#This Row],[Drug Name7]],'Data Options'!$R$1:$S$100,2,FALSE), " ")</f>
        <v xml:space="preserve"> </v>
      </c>
      <c r="BU16" s="55"/>
      <c r="BV16" s="32"/>
      <c r="BW16" s="32"/>
      <c r="BX16" s="55"/>
      <c r="BY16" s="32"/>
      <c r="BZ16" s="54"/>
      <c r="CA16" s="21" t="str">
        <f>IFERROR(VLOOKUP(April[[#This Row],[Drug Name8]],'Data Options'!$R$1:$S$100,2,FALSE), " ")</f>
        <v xml:space="preserve"> </v>
      </c>
      <c r="CB16" s="55"/>
      <c r="CC16" s="32"/>
      <c r="CD16" s="32"/>
      <c r="CE16" s="55"/>
      <c r="CF16" s="32"/>
      <c r="CG16" s="54"/>
      <c r="CH16" s="21" t="str">
        <f>IFERROR(VLOOKUP(April[[#This Row],[Drug Name9]],'Data Options'!$R$1:$S$100,2,FALSE), " ")</f>
        <v xml:space="preserve"> </v>
      </c>
      <c r="CI16" s="55"/>
      <c r="CJ16" s="32"/>
      <c r="CK16" s="32"/>
      <c r="CL16" s="55"/>
      <c r="CM16" s="32"/>
    </row>
    <row r="17" spans="1:91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1"/>
      <c r="Q17" s="54"/>
      <c r="R17" s="21" t="str">
        <f>IFERROR(VLOOKUP(April[[#This Row],[Drug Name]],'Data Options'!$R$1:$S$100,2,FALSE), " ")</f>
        <v xml:space="preserve"> </v>
      </c>
      <c r="S17" s="55"/>
      <c r="T17" s="32"/>
      <c r="U17" s="32"/>
      <c r="V17" s="55"/>
      <c r="W17" s="32"/>
      <c r="X17" s="54"/>
      <c r="Y17" s="21" t="str">
        <f>IFERROR(VLOOKUP(April[[#This Row],[Drug Name2]],'Data Options'!$R$1:$S$100,2,FALSE), " ")</f>
        <v xml:space="preserve"> </v>
      </c>
      <c r="Z17" s="55"/>
      <c r="AA17" s="32"/>
      <c r="AB17" s="32"/>
      <c r="AC17" s="55"/>
      <c r="AD17" s="32"/>
      <c r="AE17" s="54"/>
      <c r="AF17" s="21" t="str">
        <f>IFERROR(VLOOKUP(April[[#This Row],[Drug Name3]],'Data Options'!$R$1:$S$100,2,FALSE), " ")</f>
        <v xml:space="preserve"> </v>
      </c>
      <c r="AG17" s="55"/>
      <c r="AH17" s="32"/>
      <c r="AI17" s="32"/>
      <c r="AJ17" s="55"/>
      <c r="AK17" s="32"/>
      <c r="AL17" s="32"/>
      <c r="AM17" s="32"/>
      <c r="AN17" s="32"/>
      <c r="AO17" s="32"/>
      <c r="AP17" s="31"/>
      <c r="AQ17" s="31"/>
      <c r="AR17" s="54"/>
      <c r="AS17" s="21" t="str">
        <f>IFERROR(VLOOKUP(April[[#This Row],[Drug Name4]],'Data Options'!$R$1:$S$100,2,FALSE), " ")</f>
        <v xml:space="preserve"> </v>
      </c>
      <c r="AT17" s="55"/>
      <c r="AU17" s="32"/>
      <c r="AV17" s="32"/>
      <c r="AW17" s="55"/>
      <c r="AX17" s="32"/>
      <c r="AY17" s="54"/>
      <c r="AZ17" s="21" t="str">
        <f>IFERROR(VLOOKUP(April[[#This Row],[Drug Name5]],'Data Options'!$R$1:$S$100,2,FALSE), " ")</f>
        <v xml:space="preserve"> </v>
      </c>
      <c r="BA17" s="55"/>
      <c r="BB17" s="32"/>
      <c r="BC17" s="32"/>
      <c r="BD17" s="55"/>
      <c r="BE17" s="32"/>
      <c r="BF17" s="54"/>
      <c r="BG17" s="21" t="str">
        <f>IFERROR(VLOOKUP(April[[#This Row],[Drug Name6]],'Data Options'!$R$1:$S$100,2,FALSE), " ")</f>
        <v xml:space="preserve"> </v>
      </c>
      <c r="BH17" s="55"/>
      <c r="BI17" s="32"/>
      <c r="BJ17" s="32"/>
      <c r="BK17" s="55"/>
      <c r="BL17" s="32"/>
      <c r="BM17" s="32"/>
      <c r="BN17" s="32"/>
      <c r="BO17" s="32"/>
      <c r="BP17" s="32"/>
      <c r="BQ17" s="31"/>
      <c r="BR17" s="31"/>
      <c r="BS17" s="54"/>
      <c r="BT17" s="21" t="str">
        <f>IFERROR(VLOOKUP(April[[#This Row],[Drug Name7]],'Data Options'!$R$1:$S$100,2,FALSE), " ")</f>
        <v xml:space="preserve"> </v>
      </c>
      <c r="BU17" s="55"/>
      <c r="BV17" s="32"/>
      <c r="BW17" s="32"/>
      <c r="BX17" s="55"/>
      <c r="BY17" s="32"/>
      <c r="BZ17" s="54"/>
      <c r="CA17" s="21" t="str">
        <f>IFERROR(VLOOKUP(April[[#This Row],[Drug Name8]],'Data Options'!$R$1:$S$100,2,FALSE), " ")</f>
        <v xml:space="preserve"> </v>
      </c>
      <c r="CB17" s="55"/>
      <c r="CC17" s="32"/>
      <c r="CD17" s="32"/>
      <c r="CE17" s="55"/>
      <c r="CF17" s="32"/>
      <c r="CG17" s="54"/>
      <c r="CH17" s="21" t="str">
        <f>IFERROR(VLOOKUP(April[[#This Row],[Drug Name9]],'Data Options'!$R$1:$S$100,2,FALSE), " ")</f>
        <v xml:space="preserve"> </v>
      </c>
      <c r="CI17" s="55"/>
      <c r="CJ17" s="32"/>
      <c r="CK17" s="32"/>
      <c r="CL17" s="55"/>
      <c r="CM17" s="32"/>
    </row>
    <row r="18" spans="1:9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1"/>
      <c r="Q18" s="54"/>
      <c r="R18" s="21" t="str">
        <f>IFERROR(VLOOKUP(April[[#This Row],[Drug Name]],'Data Options'!$R$1:$S$100,2,FALSE), " ")</f>
        <v xml:space="preserve"> </v>
      </c>
      <c r="S18" s="55"/>
      <c r="T18" s="32"/>
      <c r="U18" s="32"/>
      <c r="V18" s="55"/>
      <c r="W18" s="32"/>
      <c r="X18" s="54"/>
      <c r="Y18" s="21" t="str">
        <f>IFERROR(VLOOKUP(April[[#This Row],[Drug Name2]],'Data Options'!$R$1:$S$100,2,FALSE), " ")</f>
        <v xml:space="preserve"> </v>
      </c>
      <c r="Z18" s="55"/>
      <c r="AA18" s="32"/>
      <c r="AB18" s="32"/>
      <c r="AC18" s="55"/>
      <c r="AD18" s="32"/>
      <c r="AE18" s="54"/>
      <c r="AF18" s="21" t="str">
        <f>IFERROR(VLOOKUP(April[[#This Row],[Drug Name3]],'Data Options'!$R$1:$S$100,2,FALSE), " ")</f>
        <v xml:space="preserve"> </v>
      </c>
      <c r="AG18" s="55"/>
      <c r="AH18" s="32"/>
      <c r="AI18" s="32"/>
      <c r="AJ18" s="55"/>
      <c r="AK18" s="32"/>
      <c r="AL18" s="32"/>
      <c r="AM18" s="32"/>
      <c r="AN18" s="32"/>
      <c r="AO18" s="32"/>
      <c r="AP18" s="31"/>
      <c r="AQ18" s="31"/>
      <c r="AR18" s="54"/>
      <c r="AS18" s="21" t="str">
        <f>IFERROR(VLOOKUP(April[[#This Row],[Drug Name4]],'Data Options'!$R$1:$S$100,2,FALSE), " ")</f>
        <v xml:space="preserve"> </v>
      </c>
      <c r="AT18" s="55"/>
      <c r="AU18" s="32"/>
      <c r="AV18" s="32"/>
      <c r="AW18" s="55"/>
      <c r="AX18" s="32"/>
      <c r="AY18" s="54"/>
      <c r="AZ18" s="21" t="str">
        <f>IFERROR(VLOOKUP(April[[#This Row],[Drug Name5]],'Data Options'!$R$1:$S$100,2,FALSE), " ")</f>
        <v xml:space="preserve"> </v>
      </c>
      <c r="BA18" s="55"/>
      <c r="BB18" s="32"/>
      <c r="BC18" s="32"/>
      <c r="BD18" s="55"/>
      <c r="BE18" s="32"/>
      <c r="BF18" s="54"/>
      <c r="BG18" s="21" t="str">
        <f>IFERROR(VLOOKUP(April[[#This Row],[Drug Name6]],'Data Options'!$R$1:$S$100,2,FALSE), " ")</f>
        <v xml:space="preserve"> </v>
      </c>
      <c r="BH18" s="55"/>
      <c r="BI18" s="32"/>
      <c r="BJ18" s="32"/>
      <c r="BK18" s="55"/>
      <c r="BL18" s="32"/>
      <c r="BM18" s="32"/>
      <c r="BN18" s="32"/>
      <c r="BO18" s="32"/>
      <c r="BP18" s="32"/>
      <c r="BQ18" s="31"/>
      <c r="BR18" s="31"/>
      <c r="BS18" s="54"/>
      <c r="BT18" s="21" t="str">
        <f>IFERROR(VLOOKUP(April[[#This Row],[Drug Name7]],'Data Options'!$R$1:$S$100,2,FALSE), " ")</f>
        <v xml:space="preserve"> </v>
      </c>
      <c r="BU18" s="55"/>
      <c r="BV18" s="32"/>
      <c r="BW18" s="32"/>
      <c r="BX18" s="55"/>
      <c r="BY18" s="32"/>
      <c r="BZ18" s="54"/>
      <c r="CA18" s="21" t="str">
        <f>IFERROR(VLOOKUP(April[[#This Row],[Drug Name8]],'Data Options'!$R$1:$S$100,2,FALSE), " ")</f>
        <v xml:space="preserve"> </v>
      </c>
      <c r="CB18" s="55"/>
      <c r="CC18" s="32"/>
      <c r="CD18" s="32"/>
      <c r="CE18" s="55"/>
      <c r="CF18" s="32"/>
      <c r="CG18" s="54"/>
      <c r="CH18" s="21" t="str">
        <f>IFERROR(VLOOKUP(April[[#This Row],[Drug Name9]],'Data Options'!$R$1:$S$100,2,FALSE), " ")</f>
        <v xml:space="preserve"> </v>
      </c>
      <c r="CI18" s="55"/>
      <c r="CJ18" s="32"/>
      <c r="CK18" s="32"/>
      <c r="CL18" s="55"/>
      <c r="CM18" s="32"/>
    </row>
    <row r="19" spans="1:9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54"/>
      <c r="R19" s="21" t="str">
        <f>IFERROR(VLOOKUP(April[[#This Row],[Drug Name]],'Data Options'!$R$1:$S$100,2,FALSE), " ")</f>
        <v xml:space="preserve"> </v>
      </c>
      <c r="S19" s="55"/>
      <c r="T19" s="32"/>
      <c r="U19" s="32"/>
      <c r="V19" s="55"/>
      <c r="W19" s="32"/>
      <c r="X19" s="54"/>
      <c r="Y19" s="21" t="str">
        <f>IFERROR(VLOOKUP(April[[#This Row],[Drug Name2]],'Data Options'!$R$1:$S$100,2,FALSE), " ")</f>
        <v xml:space="preserve"> </v>
      </c>
      <c r="Z19" s="55"/>
      <c r="AA19" s="32"/>
      <c r="AB19" s="32"/>
      <c r="AC19" s="55"/>
      <c r="AD19" s="32"/>
      <c r="AE19" s="54"/>
      <c r="AF19" s="21" t="str">
        <f>IFERROR(VLOOKUP(April[[#This Row],[Drug Name3]],'Data Options'!$R$1:$S$100,2,FALSE), " ")</f>
        <v xml:space="preserve"> </v>
      </c>
      <c r="AG19" s="55"/>
      <c r="AH19" s="32"/>
      <c r="AI19" s="32"/>
      <c r="AJ19" s="55"/>
      <c r="AK19" s="32"/>
      <c r="AL19" s="32"/>
      <c r="AM19" s="32"/>
      <c r="AN19" s="32"/>
      <c r="AO19" s="32"/>
      <c r="AP19" s="31"/>
      <c r="AQ19" s="31"/>
      <c r="AR19" s="54"/>
      <c r="AS19" s="21" t="str">
        <f>IFERROR(VLOOKUP(April[[#This Row],[Drug Name4]],'Data Options'!$R$1:$S$100,2,FALSE), " ")</f>
        <v xml:space="preserve"> </v>
      </c>
      <c r="AT19" s="55"/>
      <c r="AU19" s="32"/>
      <c r="AV19" s="32"/>
      <c r="AW19" s="55"/>
      <c r="AX19" s="32"/>
      <c r="AY19" s="54"/>
      <c r="AZ19" s="21" t="str">
        <f>IFERROR(VLOOKUP(April[[#This Row],[Drug Name5]],'Data Options'!$R$1:$S$100,2,FALSE), " ")</f>
        <v xml:space="preserve"> </v>
      </c>
      <c r="BA19" s="55"/>
      <c r="BB19" s="32"/>
      <c r="BC19" s="32"/>
      <c r="BD19" s="55"/>
      <c r="BE19" s="32"/>
      <c r="BF19" s="54"/>
      <c r="BG19" s="21" t="str">
        <f>IFERROR(VLOOKUP(April[[#This Row],[Drug Name6]],'Data Options'!$R$1:$S$100,2,FALSE), " ")</f>
        <v xml:space="preserve"> </v>
      </c>
      <c r="BH19" s="55"/>
      <c r="BI19" s="32"/>
      <c r="BJ19" s="32"/>
      <c r="BK19" s="55"/>
      <c r="BL19" s="32"/>
      <c r="BM19" s="32"/>
      <c r="BN19" s="32"/>
      <c r="BO19" s="32"/>
      <c r="BP19" s="32"/>
      <c r="BQ19" s="31"/>
      <c r="BR19" s="31"/>
      <c r="BS19" s="54"/>
      <c r="BT19" s="21" t="str">
        <f>IFERROR(VLOOKUP(April[[#This Row],[Drug Name7]],'Data Options'!$R$1:$S$100,2,FALSE), " ")</f>
        <v xml:space="preserve"> </v>
      </c>
      <c r="BU19" s="55"/>
      <c r="BV19" s="32"/>
      <c r="BW19" s="32"/>
      <c r="BX19" s="55"/>
      <c r="BY19" s="32"/>
      <c r="BZ19" s="54"/>
      <c r="CA19" s="21" t="str">
        <f>IFERROR(VLOOKUP(April[[#This Row],[Drug Name8]],'Data Options'!$R$1:$S$100,2,FALSE), " ")</f>
        <v xml:space="preserve"> </v>
      </c>
      <c r="CB19" s="55"/>
      <c r="CC19" s="32"/>
      <c r="CD19" s="32"/>
      <c r="CE19" s="55"/>
      <c r="CF19" s="32"/>
      <c r="CG19" s="54"/>
      <c r="CH19" s="21" t="str">
        <f>IFERROR(VLOOKUP(April[[#This Row],[Drug Name9]],'Data Options'!$R$1:$S$100,2,FALSE), " ")</f>
        <v xml:space="preserve"> </v>
      </c>
      <c r="CI19" s="55"/>
      <c r="CJ19" s="32"/>
      <c r="CK19" s="32"/>
      <c r="CL19" s="55"/>
      <c r="CM19" s="32"/>
    </row>
    <row r="20" spans="1:9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1"/>
      <c r="Q20" s="54"/>
      <c r="R20" s="21" t="str">
        <f>IFERROR(VLOOKUP(April[[#This Row],[Drug Name]],'Data Options'!$R$1:$S$100,2,FALSE), " ")</f>
        <v xml:space="preserve"> </v>
      </c>
      <c r="S20" s="55"/>
      <c r="T20" s="32"/>
      <c r="U20" s="32"/>
      <c r="V20" s="55"/>
      <c r="W20" s="32"/>
      <c r="X20" s="54"/>
      <c r="Y20" s="21" t="str">
        <f>IFERROR(VLOOKUP(April[[#This Row],[Drug Name2]],'Data Options'!$R$1:$S$100,2,FALSE), " ")</f>
        <v xml:space="preserve"> </v>
      </c>
      <c r="Z20" s="55"/>
      <c r="AA20" s="32"/>
      <c r="AB20" s="32"/>
      <c r="AC20" s="55"/>
      <c r="AD20" s="32"/>
      <c r="AE20" s="54"/>
      <c r="AF20" s="21" t="str">
        <f>IFERROR(VLOOKUP(April[[#This Row],[Drug Name3]],'Data Options'!$R$1:$S$100,2,FALSE), " ")</f>
        <v xml:space="preserve"> </v>
      </c>
      <c r="AG20" s="55"/>
      <c r="AH20" s="32"/>
      <c r="AI20" s="32"/>
      <c r="AJ20" s="55"/>
      <c r="AK20" s="32"/>
      <c r="AL20" s="32"/>
      <c r="AM20" s="32"/>
      <c r="AN20" s="32"/>
      <c r="AO20" s="32"/>
      <c r="AP20" s="31"/>
      <c r="AQ20" s="31"/>
      <c r="AR20" s="54"/>
      <c r="AS20" s="21" t="str">
        <f>IFERROR(VLOOKUP(April[[#This Row],[Drug Name4]],'Data Options'!$R$1:$S$100,2,FALSE), " ")</f>
        <v xml:space="preserve"> </v>
      </c>
      <c r="AT20" s="55"/>
      <c r="AU20" s="32"/>
      <c r="AV20" s="32"/>
      <c r="AW20" s="55"/>
      <c r="AX20" s="32"/>
      <c r="AY20" s="54"/>
      <c r="AZ20" s="21" t="str">
        <f>IFERROR(VLOOKUP(April[[#This Row],[Drug Name5]],'Data Options'!$R$1:$S$100,2,FALSE), " ")</f>
        <v xml:space="preserve"> </v>
      </c>
      <c r="BA20" s="55"/>
      <c r="BB20" s="32"/>
      <c r="BC20" s="32"/>
      <c r="BD20" s="55"/>
      <c r="BE20" s="32"/>
      <c r="BF20" s="54"/>
      <c r="BG20" s="21" t="str">
        <f>IFERROR(VLOOKUP(April[[#This Row],[Drug Name6]],'Data Options'!$R$1:$S$100,2,FALSE), " ")</f>
        <v xml:space="preserve"> </v>
      </c>
      <c r="BH20" s="55"/>
      <c r="BI20" s="32"/>
      <c r="BJ20" s="32"/>
      <c r="BK20" s="55"/>
      <c r="BL20" s="32"/>
      <c r="BM20" s="32"/>
      <c r="BN20" s="32"/>
      <c r="BO20" s="32"/>
      <c r="BP20" s="32"/>
      <c r="BQ20" s="31"/>
      <c r="BR20" s="31"/>
      <c r="BS20" s="54"/>
      <c r="BT20" s="21" t="str">
        <f>IFERROR(VLOOKUP(April[[#This Row],[Drug Name7]],'Data Options'!$R$1:$S$100,2,FALSE), " ")</f>
        <v xml:space="preserve"> </v>
      </c>
      <c r="BU20" s="55"/>
      <c r="BV20" s="32"/>
      <c r="BW20" s="32"/>
      <c r="BX20" s="55"/>
      <c r="BY20" s="32"/>
      <c r="BZ20" s="54"/>
      <c r="CA20" s="21" t="str">
        <f>IFERROR(VLOOKUP(April[[#This Row],[Drug Name8]],'Data Options'!$R$1:$S$100,2,FALSE), " ")</f>
        <v xml:space="preserve"> </v>
      </c>
      <c r="CB20" s="55"/>
      <c r="CC20" s="32"/>
      <c r="CD20" s="32"/>
      <c r="CE20" s="55"/>
      <c r="CF20" s="32"/>
      <c r="CG20" s="54"/>
      <c r="CH20" s="21" t="str">
        <f>IFERROR(VLOOKUP(April[[#This Row],[Drug Name9]],'Data Options'!$R$1:$S$100,2,FALSE), " ")</f>
        <v xml:space="preserve"> </v>
      </c>
      <c r="CI20" s="55"/>
      <c r="CJ20" s="32"/>
      <c r="CK20" s="32"/>
      <c r="CL20" s="55"/>
      <c r="CM20" s="32"/>
    </row>
    <row r="21" spans="1:91">
      <c r="A21" s="5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1"/>
      <c r="Q21" s="54"/>
      <c r="R21" s="21" t="str">
        <f>IFERROR(VLOOKUP(April[[#This Row],[Drug Name]],'Data Options'!$R$1:$S$100,2,FALSE), " ")</f>
        <v xml:space="preserve"> </v>
      </c>
      <c r="S21" s="55"/>
      <c r="T21" s="32"/>
      <c r="U21" s="32"/>
      <c r="V21" s="55"/>
      <c r="W21" s="32"/>
      <c r="X21" s="54"/>
      <c r="Y21" s="21" t="str">
        <f>IFERROR(VLOOKUP(April[[#This Row],[Drug Name2]],'Data Options'!$R$1:$S$100,2,FALSE), " ")</f>
        <v xml:space="preserve"> </v>
      </c>
      <c r="Z21" s="55"/>
      <c r="AA21" s="32"/>
      <c r="AB21" s="32"/>
      <c r="AC21" s="55"/>
      <c r="AD21" s="32"/>
      <c r="AE21" s="54"/>
      <c r="AF21" s="21" t="str">
        <f>IFERROR(VLOOKUP(April[[#This Row],[Drug Name3]],'Data Options'!$R$1:$S$100,2,FALSE), " ")</f>
        <v xml:space="preserve"> </v>
      </c>
      <c r="AG21" s="55"/>
      <c r="AH21" s="32"/>
      <c r="AI21" s="32"/>
      <c r="AJ21" s="55"/>
      <c r="AK21" s="32"/>
      <c r="AL21" s="32"/>
      <c r="AM21" s="32"/>
      <c r="AN21" s="32"/>
      <c r="AO21" s="32"/>
      <c r="AP21" s="31"/>
      <c r="AQ21" s="31"/>
      <c r="AR21" s="54"/>
      <c r="AS21" s="21" t="str">
        <f>IFERROR(VLOOKUP(April[[#This Row],[Drug Name4]],'Data Options'!$R$1:$S$100,2,FALSE), " ")</f>
        <v xml:space="preserve"> </v>
      </c>
      <c r="AT21" s="55"/>
      <c r="AU21" s="32"/>
      <c r="AV21" s="32"/>
      <c r="AW21" s="55"/>
      <c r="AX21" s="32"/>
      <c r="AY21" s="54"/>
      <c r="AZ21" s="21" t="str">
        <f>IFERROR(VLOOKUP(April[[#This Row],[Drug Name5]],'Data Options'!$R$1:$S$100,2,FALSE), " ")</f>
        <v xml:space="preserve"> </v>
      </c>
      <c r="BA21" s="55"/>
      <c r="BB21" s="32"/>
      <c r="BC21" s="32"/>
      <c r="BD21" s="55"/>
      <c r="BE21" s="32"/>
      <c r="BF21" s="54"/>
      <c r="BG21" s="21" t="str">
        <f>IFERROR(VLOOKUP(April[[#This Row],[Drug Name6]],'Data Options'!$R$1:$S$100,2,FALSE), " ")</f>
        <v xml:space="preserve"> </v>
      </c>
      <c r="BH21" s="55"/>
      <c r="BI21" s="32"/>
      <c r="BJ21" s="32"/>
      <c r="BK21" s="55"/>
      <c r="BL21" s="32"/>
      <c r="BM21" s="32"/>
      <c r="BN21" s="32"/>
      <c r="BO21" s="32"/>
      <c r="BP21" s="32"/>
      <c r="BQ21" s="31"/>
      <c r="BR21" s="31"/>
      <c r="BS21" s="54"/>
      <c r="BT21" s="21" t="str">
        <f>IFERROR(VLOOKUP(April[[#This Row],[Drug Name7]],'Data Options'!$R$1:$S$100,2,FALSE), " ")</f>
        <v xml:space="preserve"> </v>
      </c>
      <c r="BU21" s="55"/>
      <c r="BV21" s="32"/>
      <c r="BW21" s="32"/>
      <c r="BX21" s="55"/>
      <c r="BY21" s="32"/>
      <c r="BZ21" s="54"/>
      <c r="CA21" s="21" t="str">
        <f>IFERROR(VLOOKUP(April[[#This Row],[Drug Name8]],'Data Options'!$R$1:$S$100,2,FALSE), " ")</f>
        <v xml:space="preserve"> </v>
      </c>
      <c r="CB21" s="55"/>
      <c r="CC21" s="32"/>
      <c r="CD21" s="32"/>
      <c r="CE21" s="55"/>
      <c r="CF21" s="32"/>
      <c r="CG21" s="54"/>
      <c r="CH21" s="21" t="str">
        <f>IFERROR(VLOOKUP(April[[#This Row],[Drug Name9]],'Data Options'!$R$1:$S$100,2,FALSE), " ")</f>
        <v xml:space="preserve"> </v>
      </c>
      <c r="CI21" s="55"/>
      <c r="CJ21" s="32"/>
      <c r="CK21" s="32"/>
      <c r="CL21" s="55"/>
      <c r="CM21" s="32"/>
    </row>
    <row r="22" spans="1:91">
      <c r="A22" s="5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1"/>
      <c r="Q22" s="54"/>
      <c r="R22" s="21" t="str">
        <f>IFERROR(VLOOKUP(April[[#This Row],[Drug Name]],'Data Options'!$R$1:$S$100,2,FALSE), " ")</f>
        <v xml:space="preserve"> </v>
      </c>
      <c r="S22" s="55"/>
      <c r="T22" s="32"/>
      <c r="U22" s="32"/>
      <c r="V22" s="55"/>
      <c r="W22" s="32"/>
      <c r="X22" s="54"/>
      <c r="Y22" s="21" t="str">
        <f>IFERROR(VLOOKUP(April[[#This Row],[Drug Name2]],'Data Options'!$R$1:$S$100,2,FALSE), " ")</f>
        <v xml:space="preserve"> </v>
      </c>
      <c r="Z22" s="55"/>
      <c r="AA22" s="32"/>
      <c r="AB22" s="32"/>
      <c r="AC22" s="55"/>
      <c r="AD22" s="32"/>
      <c r="AE22" s="54"/>
      <c r="AF22" s="21" t="str">
        <f>IFERROR(VLOOKUP(April[[#This Row],[Drug Name3]],'Data Options'!$R$1:$S$100,2,FALSE), " ")</f>
        <v xml:space="preserve"> </v>
      </c>
      <c r="AG22" s="55"/>
      <c r="AH22" s="32"/>
      <c r="AI22" s="32"/>
      <c r="AJ22" s="55"/>
      <c r="AK22" s="32"/>
      <c r="AL22" s="32"/>
      <c r="AM22" s="32"/>
      <c r="AN22" s="32"/>
      <c r="AO22" s="32"/>
      <c r="AP22" s="31"/>
      <c r="AQ22" s="31"/>
      <c r="AR22" s="54"/>
      <c r="AS22" s="21" t="str">
        <f>IFERROR(VLOOKUP(April[[#This Row],[Drug Name4]],'Data Options'!$R$1:$S$100,2,FALSE), " ")</f>
        <v xml:space="preserve"> </v>
      </c>
      <c r="AT22" s="55"/>
      <c r="AU22" s="32"/>
      <c r="AV22" s="32"/>
      <c r="AW22" s="55"/>
      <c r="AX22" s="32"/>
      <c r="AY22" s="54"/>
      <c r="AZ22" s="21" t="str">
        <f>IFERROR(VLOOKUP(April[[#This Row],[Drug Name5]],'Data Options'!$R$1:$S$100,2,FALSE), " ")</f>
        <v xml:space="preserve"> </v>
      </c>
      <c r="BA22" s="55"/>
      <c r="BB22" s="32"/>
      <c r="BC22" s="32"/>
      <c r="BD22" s="55"/>
      <c r="BE22" s="32"/>
      <c r="BF22" s="54"/>
      <c r="BG22" s="21" t="str">
        <f>IFERROR(VLOOKUP(April[[#This Row],[Drug Name6]],'Data Options'!$R$1:$S$100,2,FALSE), " ")</f>
        <v xml:space="preserve"> </v>
      </c>
      <c r="BH22" s="55"/>
      <c r="BI22" s="32"/>
      <c r="BJ22" s="32"/>
      <c r="BK22" s="55"/>
      <c r="BL22" s="32"/>
      <c r="BM22" s="32"/>
      <c r="BN22" s="32"/>
      <c r="BO22" s="32"/>
      <c r="BP22" s="32"/>
      <c r="BQ22" s="31"/>
      <c r="BR22" s="31"/>
      <c r="BS22" s="54"/>
      <c r="BT22" s="21" t="str">
        <f>IFERROR(VLOOKUP(April[[#This Row],[Drug Name7]],'Data Options'!$R$1:$S$100,2,FALSE), " ")</f>
        <v xml:space="preserve"> </v>
      </c>
      <c r="BU22" s="55"/>
      <c r="BV22" s="32"/>
      <c r="BW22" s="32"/>
      <c r="BX22" s="55"/>
      <c r="BY22" s="32"/>
      <c r="BZ22" s="54"/>
      <c r="CA22" s="21" t="str">
        <f>IFERROR(VLOOKUP(April[[#This Row],[Drug Name8]],'Data Options'!$R$1:$S$100,2,FALSE), " ")</f>
        <v xml:space="preserve"> </v>
      </c>
      <c r="CB22" s="55"/>
      <c r="CC22" s="32"/>
      <c r="CD22" s="32"/>
      <c r="CE22" s="55"/>
      <c r="CF22" s="32"/>
      <c r="CG22" s="54"/>
      <c r="CH22" s="21" t="str">
        <f>IFERROR(VLOOKUP(April[[#This Row],[Drug Name9]],'Data Options'!$R$1:$S$100,2,FALSE), " ")</f>
        <v xml:space="preserve"> </v>
      </c>
      <c r="CI22" s="55"/>
      <c r="CJ22" s="32"/>
      <c r="CK22" s="32"/>
      <c r="CL22" s="55"/>
      <c r="CM22" s="32"/>
    </row>
    <row r="23" spans="1:9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54"/>
      <c r="R23" s="21" t="str">
        <f>IFERROR(VLOOKUP(April[[#This Row],[Drug Name]],'Data Options'!$R$1:$S$100,2,FALSE), " ")</f>
        <v xml:space="preserve"> </v>
      </c>
      <c r="S23" s="55"/>
      <c r="T23" s="32"/>
      <c r="U23" s="32"/>
      <c r="V23" s="55"/>
      <c r="W23" s="32"/>
      <c r="X23" s="54"/>
      <c r="Y23" s="21" t="str">
        <f>IFERROR(VLOOKUP(April[[#This Row],[Drug Name2]],'Data Options'!$R$1:$S$100,2,FALSE), " ")</f>
        <v xml:space="preserve"> </v>
      </c>
      <c r="Z23" s="55"/>
      <c r="AA23" s="32"/>
      <c r="AB23" s="32"/>
      <c r="AC23" s="55"/>
      <c r="AD23" s="32"/>
      <c r="AE23" s="54"/>
      <c r="AF23" s="21" t="str">
        <f>IFERROR(VLOOKUP(April[[#This Row],[Drug Name3]],'Data Options'!$R$1:$S$100,2,FALSE), " ")</f>
        <v xml:space="preserve"> </v>
      </c>
      <c r="AG23" s="55"/>
      <c r="AH23" s="32"/>
      <c r="AI23" s="32"/>
      <c r="AJ23" s="55"/>
      <c r="AK23" s="32"/>
      <c r="AL23" s="32"/>
      <c r="AM23" s="32"/>
      <c r="AN23" s="32"/>
      <c r="AO23" s="32"/>
      <c r="AP23" s="31"/>
      <c r="AQ23" s="31"/>
      <c r="AR23" s="54"/>
      <c r="AS23" s="21" t="str">
        <f>IFERROR(VLOOKUP(April[[#This Row],[Drug Name4]],'Data Options'!$R$1:$S$100,2,FALSE), " ")</f>
        <v xml:space="preserve"> </v>
      </c>
      <c r="AT23" s="55"/>
      <c r="AU23" s="32"/>
      <c r="AV23" s="32"/>
      <c r="AW23" s="55"/>
      <c r="AX23" s="32"/>
      <c r="AY23" s="54"/>
      <c r="AZ23" s="21" t="str">
        <f>IFERROR(VLOOKUP(April[[#This Row],[Drug Name5]],'Data Options'!$R$1:$S$100,2,FALSE), " ")</f>
        <v xml:space="preserve"> </v>
      </c>
      <c r="BA23" s="55"/>
      <c r="BB23" s="32"/>
      <c r="BC23" s="32"/>
      <c r="BD23" s="55"/>
      <c r="BE23" s="32"/>
      <c r="BF23" s="54"/>
      <c r="BG23" s="21" t="str">
        <f>IFERROR(VLOOKUP(April[[#This Row],[Drug Name6]],'Data Options'!$R$1:$S$100,2,FALSE), " ")</f>
        <v xml:space="preserve"> </v>
      </c>
      <c r="BH23" s="55"/>
      <c r="BI23" s="32"/>
      <c r="BJ23" s="32"/>
      <c r="BK23" s="55"/>
      <c r="BL23" s="32"/>
      <c r="BM23" s="32"/>
      <c r="BN23" s="32"/>
      <c r="BO23" s="32"/>
      <c r="BP23" s="32"/>
      <c r="BQ23" s="31"/>
      <c r="BR23" s="31"/>
      <c r="BS23" s="54"/>
      <c r="BT23" s="21" t="str">
        <f>IFERROR(VLOOKUP(April[[#This Row],[Drug Name7]],'Data Options'!$R$1:$S$100,2,FALSE), " ")</f>
        <v xml:space="preserve"> </v>
      </c>
      <c r="BU23" s="55"/>
      <c r="BV23" s="32"/>
      <c r="BW23" s="32"/>
      <c r="BX23" s="55"/>
      <c r="BY23" s="32"/>
      <c r="BZ23" s="54"/>
      <c r="CA23" s="21" t="str">
        <f>IFERROR(VLOOKUP(April[[#This Row],[Drug Name8]],'Data Options'!$R$1:$S$100,2,FALSE), " ")</f>
        <v xml:space="preserve"> </v>
      </c>
      <c r="CB23" s="55"/>
      <c r="CC23" s="32"/>
      <c r="CD23" s="32"/>
      <c r="CE23" s="55"/>
      <c r="CF23" s="32"/>
      <c r="CG23" s="54"/>
      <c r="CH23" s="21" t="str">
        <f>IFERROR(VLOOKUP(April[[#This Row],[Drug Name9]],'Data Options'!$R$1:$S$100,2,FALSE), " ")</f>
        <v xml:space="preserve"> </v>
      </c>
      <c r="CI23" s="55"/>
      <c r="CJ23" s="32"/>
      <c r="CK23" s="32"/>
      <c r="CL23" s="55"/>
      <c r="CM23" s="32"/>
    </row>
    <row r="24" spans="1:91">
      <c r="A24" s="5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54"/>
      <c r="R24" s="21" t="str">
        <f>IFERROR(VLOOKUP(April[[#This Row],[Drug Name]],'Data Options'!$R$1:$S$100,2,FALSE), " ")</f>
        <v xml:space="preserve"> </v>
      </c>
      <c r="S24" s="55"/>
      <c r="T24" s="32"/>
      <c r="U24" s="32"/>
      <c r="V24" s="55"/>
      <c r="W24" s="32"/>
      <c r="X24" s="54"/>
      <c r="Y24" s="21" t="str">
        <f>IFERROR(VLOOKUP(April[[#This Row],[Drug Name2]],'Data Options'!$R$1:$S$100,2,FALSE), " ")</f>
        <v xml:space="preserve"> </v>
      </c>
      <c r="Z24" s="55"/>
      <c r="AA24" s="32"/>
      <c r="AB24" s="32"/>
      <c r="AC24" s="55"/>
      <c r="AD24" s="32"/>
      <c r="AE24" s="54"/>
      <c r="AF24" s="21" t="str">
        <f>IFERROR(VLOOKUP(April[[#This Row],[Drug Name3]],'Data Options'!$R$1:$S$100,2,FALSE), " ")</f>
        <v xml:space="preserve"> </v>
      </c>
      <c r="AG24" s="55"/>
      <c r="AH24" s="32"/>
      <c r="AI24" s="32"/>
      <c r="AJ24" s="55"/>
      <c r="AK24" s="32"/>
      <c r="AL24" s="32"/>
      <c r="AM24" s="32"/>
      <c r="AN24" s="32"/>
      <c r="AO24" s="32"/>
      <c r="AP24" s="31"/>
      <c r="AQ24" s="31"/>
      <c r="AR24" s="54"/>
      <c r="AS24" s="21" t="str">
        <f>IFERROR(VLOOKUP(April[[#This Row],[Drug Name4]],'Data Options'!$R$1:$S$100,2,FALSE), " ")</f>
        <v xml:space="preserve"> </v>
      </c>
      <c r="AT24" s="55"/>
      <c r="AU24" s="32"/>
      <c r="AV24" s="32"/>
      <c r="AW24" s="55"/>
      <c r="AX24" s="32"/>
      <c r="AY24" s="54"/>
      <c r="AZ24" s="21" t="str">
        <f>IFERROR(VLOOKUP(April[[#This Row],[Drug Name5]],'Data Options'!$R$1:$S$100,2,FALSE), " ")</f>
        <v xml:space="preserve"> </v>
      </c>
      <c r="BA24" s="55"/>
      <c r="BB24" s="32"/>
      <c r="BC24" s="32"/>
      <c r="BD24" s="55"/>
      <c r="BE24" s="32"/>
      <c r="BF24" s="54"/>
      <c r="BG24" s="21" t="str">
        <f>IFERROR(VLOOKUP(April[[#This Row],[Drug Name6]],'Data Options'!$R$1:$S$100,2,FALSE), " ")</f>
        <v xml:space="preserve"> </v>
      </c>
      <c r="BH24" s="55"/>
      <c r="BI24" s="32"/>
      <c r="BJ24" s="32"/>
      <c r="BK24" s="55"/>
      <c r="BL24" s="32"/>
      <c r="BM24" s="32"/>
      <c r="BN24" s="32"/>
      <c r="BO24" s="32"/>
      <c r="BP24" s="32"/>
      <c r="BQ24" s="31"/>
      <c r="BR24" s="31"/>
      <c r="BS24" s="54"/>
      <c r="BT24" s="21" t="str">
        <f>IFERROR(VLOOKUP(April[[#This Row],[Drug Name7]],'Data Options'!$R$1:$S$100,2,FALSE), " ")</f>
        <v xml:space="preserve"> </v>
      </c>
      <c r="BU24" s="55"/>
      <c r="BV24" s="32"/>
      <c r="BW24" s="32"/>
      <c r="BX24" s="55"/>
      <c r="BY24" s="32"/>
      <c r="BZ24" s="54"/>
      <c r="CA24" s="21" t="str">
        <f>IFERROR(VLOOKUP(April[[#This Row],[Drug Name8]],'Data Options'!$R$1:$S$100,2,FALSE), " ")</f>
        <v xml:space="preserve"> </v>
      </c>
      <c r="CB24" s="55"/>
      <c r="CC24" s="32"/>
      <c r="CD24" s="32"/>
      <c r="CE24" s="55"/>
      <c r="CF24" s="32"/>
      <c r="CG24" s="54"/>
      <c r="CH24" s="21" t="str">
        <f>IFERROR(VLOOKUP(April[[#This Row],[Drug Name9]],'Data Options'!$R$1:$S$100,2,FALSE), " ")</f>
        <v xml:space="preserve"> </v>
      </c>
      <c r="CI24" s="55"/>
      <c r="CJ24" s="32"/>
      <c r="CK24" s="32"/>
      <c r="CL24" s="55"/>
      <c r="CM24" s="32"/>
    </row>
    <row r="25" spans="1:9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54"/>
      <c r="R25" s="21" t="str">
        <f>IFERROR(VLOOKUP(April[[#This Row],[Drug Name]],'Data Options'!$R$1:$S$100,2,FALSE), " ")</f>
        <v xml:space="preserve"> </v>
      </c>
      <c r="S25" s="55"/>
      <c r="T25" s="32"/>
      <c r="U25" s="32"/>
      <c r="V25" s="55"/>
      <c r="W25" s="32"/>
      <c r="X25" s="54"/>
      <c r="Y25" s="21" t="str">
        <f>IFERROR(VLOOKUP(April[[#This Row],[Drug Name2]],'Data Options'!$R$1:$S$100,2,FALSE), " ")</f>
        <v xml:space="preserve"> </v>
      </c>
      <c r="Z25" s="55"/>
      <c r="AA25" s="32"/>
      <c r="AB25" s="32"/>
      <c r="AC25" s="55"/>
      <c r="AD25" s="32"/>
      <c r="AE25" s="54"/>
      <c r="AF25" s="21" t="str">
        <f>IFERROR(VLOOKUP(April[[#This Row],[Drug Name3]],'Data Options'!$R$1:$S$100,2,FALSE), " ")</f>
        <v xml:space="preserve"> </v>
      </c>
      <c r="AG25" s="55"/>
      <c r="AH25" s="32"/>
      <c r="AI25" s="32"/>
      <c r="AJ25" s="55"/>
      <c r="AK25" s="32"/>
      <c r="AL25" s="32"/>
      <c r="AM25" s="32"/>
      <c r="AN25" s="32"/>
      <c r="AO25" s="32"/>
      <c r="AP25" s="31"/>
      <c r="AQ25" s="31"/>
      <c r="AR25" s="54"/>
      <c r="AS25" s="21" t="str">
        <f>IFERROR(VLOOKUP(April[[#This Row],[Drug Name4]],'Data Options'!$R$1:$S$100,2,FALSE), " ")</f>
        <v xml:space="preserve"> </v>
      </c>
      <c r="AT25" s="55"/>
      <c r="AU25" s="32"/>
      <c r="AV25" s="32"/>
      <c r="AW25" s="55"/>
      <c r="AX25" s="32"/>
      <c r="AY25" s="54"/>
      <c r="AZ25" s="21" t="str">
        <f>IFERROR(VLOOKUP(April[[#This Row],[Drug Name5]],'Data Options'!$R$1:$S$100,2,FALSE), " ")</f>
        <v xml:space="preserve"> </v>
      </c>
      <c r="BA25" s="55"/>
      <c r="BB25" s="32"/>
      <c r="BC25" s="32"/>
      <c r="BD25" s="55"/>
      <c r="BE25" s="32"/>
      <c r="BF25" s="54"/>
      <c r="BG25" s="21" t="str">
        <f>IFERROR(VLOOKUP(April[[#This Row],[Drug Name6]],'Data Options'!$R$1:$S$100,2,FALSE), " ")</f>
        <v xml:space="preserve"> </v>
      </c>
      <c r="BH25" s="55"/>
      <c r="BI25" s="32"/>
      <c r="BJ25" s="32"/>
      <c r="BK25" s="55"/>
      <c r="BL25" s="32"/>
      <c r="BM25" s="32"/>
      <c r="BN25" s="32"/>
      <c r="BO25" s="32"/>
      <c r="BP25" s="32"/>
      <c r="BQ25" s="31"/>
      <c r="BR25" s="31"/>
      <c r="BS25" s="54"/>
      <c r="BT25" s="21" t="str">
        <f>IFERROR(VLOOKUP(April[[#This Row],[Drug Name7]],'Data Options'!$R$1:$S$100,2,FALSE), " ")</f>
        <v xml:space="preserve"> </v>
      </c>
      <c r="BU25" s="55"/>
      <c r="BV25" s="32"/>
      <c r="BW25" s="32"/>
      <c r="BX25" s="55"/>
      <c r="BY25" s="32"/>
      <c r="BZ25" s="54"/>
      <c r="CA25" s="21" t="str">
        <f>IFERROR(VLOOKUP(April[[#This Row],[Drug Name8]],'Data Options'!$R$1:$S$100,2,FALSE), " ")</f>
        <v xml:space="preserve"> </v>
      </c>
      <c r="CB25" s="55"/>
      <c r="CC25" s="32"/>
      <c r="CD25" s="32"/>
      <c r="CE25" s="55"/>
      <c r="CF25" s="32"/>
      <c r="CG25" s="54"/>
      <c r="CH25" s="21" t="str">
        <f>IFERROR(VLOOKUP(April[[#This Row],[Drug Name9]],'Data Options'!$R$1:$S$100,2,FALSE), " ")</f>
        <v xml:space="preserve"> </v>
      </c>
      <c r="CI25" s="55"/>
      <c r="CJ25" s="32"/>
      <c r="CK25" s="32"/>
      <c r="CL25" s="55"/>
      <c r="CM25" s="32"/>
    </row>
    <row r="26" spans="1:91">
      <c r="A26" s="5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54"/>
      <c r="R26" s="21" t="str">
        <f>IFERROR(VLOOKUP(April[[#This Row],[Drug Name]],'Data Options'!$R$1:$S$100,2,FALSE), " ")</f>
        <v xml:space="preserve"> </v>
      </c>
      <c r="S26" s="55"/>
      <c r="T26" s="32"/>
      <c r="U26" s="32"/>
      <c r="V26" s="55"/>
      <c r="W26" s="32"/>
      <c r="X26" s="54"/>
      <c r="Y26" s="21" t="str">
        <f>IFERROR(VLOOKUP(April[[#This Row],[Drug Name2]],'Data Options'!$R$1:$S$100,2,FALSE), " ")</f>
        <v xml:space="preserve"> </v>
      </c>
      <c r="Z26" s="55"/>
      <c r="AA26" s="32"/>
      <c r="AB26" s="32"/>
      <c r="AC26" s="55"/>
      <c r="AD26" s="32"/>
      <c r="AE26" s="54"/>
      <c r="AF26" s="21" t="str">
        <f>IFERROR(VLOOKUP(April[[#This Row],[Drug Name3]],'Data Options'!$R$1:$S$100,2,FALSE), " ")</f>
        <v xml:space="preserve"> </v>
      </c>
      <c r="AG26" s="55"/>
      <c r="AH26" s="32"/>
      <c r="AI26" s="32"/>
      <c r="AJ26" s="55"/>
      <c r="AK26" s="32"/>
      <c r="AL26" s="32"/>
      <c r="AM26" s="32"/>
      <c r="AN26" s="32"/>
      <c r="AO26" s="32"/>
      <c r="AP26" s="31"/>
      <c r="AQ26" s="31"/>
      <c r="AR26" s="54"/>
      <c r="AS26" s="21" t="str">
        <f>IFERROR(VLOOKUP(April[[#This Row],[Drug Name4]],'Data Options'!$R$1:$S$100,2,FALSE), " ")</f>
        <v xml:space="preserve"> </v>
      </c>
      <c r="AT26" s="55"/>
      <c r="AU26" s="32"/>
      <c r="AV26" s="32"/>
      <c r="AW26" s="55"/>
      <c r="AX26" s="32"/>
      <c r="AY26" s="54"/>
      <c r="AZ26" s="21" t="str">
        <f>IFERROR(VLOOKUP(April[[#This Row],[Drug Name5]],'Data Options'!$R$1:$S$100,2,FALSE), " ")</f>
        <v xml:space="preserve"> </v>
      </c>
      <c r="BA26" s="55"/>
      <c r="BB26" s="32"/>
      <c r="BC26" s="32"/>
      <c r="BD26" s="55"/>
      <c r="BE26" s="32"/>
      <c r="BF26" s="54"/>
      <c r="BG26" s="21" t="str">
        <f>IFERROR(VLOOKUP(April[[#This Row],[Drug Name6]],'Data Options'!$R$1:$S$100,2,FALSE), " ")</f>
        <v xml:space="preserve"> </v>
      </c>
      <c r="BH26" s="55"/>
      <c r="BI26" s="32"/>
      <c r="BJ26" s="32"/>
      <c r="BK26" s="55"/>
      <c r="BL26" s="32"/>
      <c r="BM26" s="32"/>
      <c r="BN26" s="32"/>
      <c r="BO26" s="32"/>
      <c r="BP26" s="32"/>
      <c r="BQ26" s="31"/>
      <c r="BR26" s="31"/>
      <c r="BS26" s="54"/>
      <c r="BT26" s="21" t="str">
        <f>IFERROR(VLOOKUP(April[[#This Row],[Drug Name7]],'Data Options'!$R$1:$S$100,2,FALSE), " ")</f>
        <v xml:space="preserve"> </v>
      </c>
      <c r="BU26" s="55"/>
      <c r="BV26" s="32"/>
      <c r="BW26" s="32"/>
      <c r="BX26" s="55"/>
      <c r="BY26" s="32"/>
      <c r="BZ26" s="54"/>
      <c r="CA26" s="21" t="str">
        <f>IFERROR(VLOOKUP(April[[#This Row],[Drug Name8]],'Data Options'!$R$1:$S$100,2,FALSE), " ")</f>
        <v xml:space="preserve"> </v>
      </c>
      <c r="CB26" s="55"/>
      <c r="CC26" s="32"/>
      <c r="CD26" s="32"/>
      <c r="CE26" s="55"/>
      <c r="CF26" s="32"/>
      <c r="CG26" s="54"/>
      <c r="CH26" s="21" t="str">
        <f>IFERROR(VLOOKUP(April[[#This Row],[Drug Name9]],'Data Options'!$R$1:$S$100,2,FALSE), " ")</f>
        <v xml:space="preserve"> </v>
      </c>
      <c r="CI26" s="55"/>
      <c r="CJ26" s="32"/>
      <c r="CK26" s="32"/>
      <c r="CL26" s="55"/>
      <c r="CM26" s="32"/>
    </row>
    <row r="27" spans="1:91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54"/>
      <c r="R27" s="21" t="str">
        <f>IFERROR(VLOOKUP(April[[#This Row],[Drug Name]],'Data Options'!$R$1:$S$100,2,FALSE), " ")</f>
        <v xml:space="preserve"> </v>
      </c>
      <c r="S27" s="55"/>
      <c r="T27" s="32"/>
      <c r="U27" s="32"/>
      <c r="V27" s="55"/>
      <c r="W27" s="32"/>
      <c r="X27" s="54"/>
      <c r="Y27" s="21" t="str">
        <f>IFERROR(VLOOKUP(April[[#This Row],[Drug Name2]],'Data Options'!$R$1:$S$100,2,FALSE), " ")</f>
        <v xml:space="preserve"> </v>
      </c>
      <c r="Z27" s="55"/>
      <c r="AA27" s="32"/>
      <c r="AB27" s="32"/>
      <c r="AC27" s="55"/>
      <c r="AD27" s="32"/>
      <c r="AE27" s="54"/>
      <c r="AF27" s="21" t="str">
        <f>IFERROR(VLOOKUP(April[[#This Row],[Drug Name3]],'Data Options'!$R$1:$S$100,2,FALSE), " ")</f>
        <v xml:space="preserve"> </v>
      </c>
      <c r="AG27" s="55"/>
      <c r="AH27" s="32"/>
      <c r="AI27" s="32"/>
      <c r="AJ27" s="55"/>
      <c r="AK27" s="32"/>
      <c r="AL27" s="32"/>
      <c r="AM27" s="32"/>
      <c r="AN27" s="32"/>
      <c r="AO27" s="32"/>
      <c r="AP27" s="31"/>
      <c r="AQ27" s="31"/>
      <c r="AR27" s="54"/>
      <c r="AS27" s="21" t="str">
        <f>IFERROR(VLOOKUP(April[[#This Row],[Drug Name4]],'Data Options'!$R$1:$S$100,2,FALSE), " ")</f>
        <v xml:space="preserve"> </v>
      </c>
      <c r="AT27" s="55"/>
      <c r="AU27" s="32"/>
      <c r="AV27" s="32"/>
      <c r="AW27" s="55"/>
      <c r="AX27" s="32"/>
      <c r="AY27" s="54"/>
      <c r="AZ27" s="21" t="str">
        <f>IFERROR(VLOOKUP(April[[#This Row],[Drug Name5]],'Data Options'!$R$1:$S$100,2,FALSE), " ")</f>
        <v xml:space="preserve"> </v>
      </c>
      <c r="BA27" s="55"/>
      <c r="BB27" s="32"/>
      <c r="BC27" s="32"/>
      <c r="BD27" s="55"/>
      <c r="BE27" s="32"/>
      <c r="BF27" s="54"/>
      <c r="BG27" s="21" t="str">
        <f>IFERROR(VLOOKUP(April[[#This Row],[Drug Name6]],'Data Options'!$R$1:$S$100,2,FALSE), " ")</f>
        <v xml:space="preserve"> </v>
      </c>
      <c r="BH27" s="55"/>
      <c r="BI27" s="32"/>
      <c r="BJ27" s="32"/>
      <c r="BK27" s="55"/>
      <c r="BL27" s="32"/>
      <c r="BM27" s="32"/>
      <c r="BN27" s="32"/>
      <c r="BO27" s="32"/>
      <c r="BP27" s="32"/>
      <c r="BQ27" s="31"/>
      <c r="BR27" s="31"/>
      <c r="BS27" s="54"/>
      <c r="BT27" s="21" t="str">
        <f>IFERROR(VLOOKUP(April[[#This Row],[Drug Name7]],'Data Options'!$R$1:$S$100,2,FALSE), " ")</f>
        <v xml:space="preserve"> </v>
      </c>
      <c r="BU27" s="55"/>
      <c r="BV27" s="32"/>
      <c r="BW27" s="32"/>
      <c r="BX27" s="55"/>
      <c r="BY27" s="32"/>
      <c r="BZ27" s="54"/>
      <c r="CA27" s="21" t="str">
        <f>IFERROR(VLOOKUP(April[[#This Row],[Drug Name8]],'Data Options'!$R$1:$S$100,2,FALSE), " ")</f>
        <v xml:space="preserve"> </v>
      </c>
      <c r="CB27" s="55"/>
      <c r="CC27" s="32"/>
      <c r="CD27" s="32"/>
      <c r="CE27" s="55"/>
      <c r="CF27" s="32"/>
      <c r="CG27" s="54"/>
      <c r="CH27" s="21" t="str">
        <f>IFERROR(VLOOKUP(April[[#This Row],[Drug Name9]],'Data Options'!$R$1:$S$100,2,FALSE), " ")</f>
        <v xml:space="preserve"> </v>
      </c>
      <c r="CI27" s="55"/>
      <c r="CJ27" s="32"/>
      <c r="CK27" s="32"/>
      <c r="CL27" s="55"/>
      <c r="CM27" s="32"/>
    </row>
    <row r="28" spans="1:91">
      <c r="A28" s="5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54"/>
      <c r="R28" s="21" t="str">
        <f>IFERROR(VLOOKUP(April[[#This Row],[Drug Name]],'Data Options'!$R$1:$S$100,2,FALSE), " ")</f>
        <v xml:space="preserve"> </v>
      </c>
      <c r="S28" s="55"/>
      <c r="T28" s="32"/>
      <c r="U28" s="32"/>
      <c r="V28" s="55"/>
      <c r="W28" s="32"/>
      <c r="X28" s="54"/>
      <c r="Y28" s="21" t="str">
        <f>IFERROR(VLOOKUP(April[[#This Row],[Drug Name2]],'Data Options'!$R$1:$S$100,2,FALSE), " ")</f>
        <v xml:space="preserve"> </v>
      </c>
      <c r="Z28" s="55"/>
      <c r="AA28" s="32"/>
      <c r="AB28" s="32"/>
      <c r="AC28" s="55"/>
      <c r="AD28" s="32"/>
      <c r="AE28" s="54"/>
      <c r="AF28" s="21" t="str">
        <f>IFERROR(VLOOKUP(April[[#This Row],[Drug Name3]],'Data Options'!$R$1:$S$100,2,FALSE), " ")</f>
        <v xml:space="preserve"> </v>
      </c>
      <c r="AG28" s="55"/>
      <c r="AH28" s="32"/>
      <c r="AI28" s="32"/>
      <c r="AJ28" s="55"/>
      <c r="AK28" s="32"/>
      <c r="AL28" s="32"/>
      <c r="AM28" s="32"/>
      <c r="AN28" s="32"/>
      <c r="AO28" s="32"/>
      <c r="AP28" s="31"/>
      <c r="AQ28" s="31"/>
      <c r="AR28" s="54"/>
      <c r="AS28" s="21" t="str">
        <f>IFERROR(VLOOKUP(April[[#This Row],[Drug Name4]],'Data Options'!$R$1:$S$100,2,FALSE), " ")</f>
        <v xml:space="preserve"> </v>
      </c>
      <c r="AT28" s="55"/>
      <c r="AU28" s="32"/>
      <c r="AV28" s="32"/>
      <c r="AW28" s="55"/>
      <c r="AX28" s="32"/>
      <c r="AY28" s="54"/>
      <c r="AZ28" s="21" t="str">
        <f>IFERROR(VLOOKUP(April[[#This Row],[Drug Name5]],'Data Options'!$R$1:$S$100,2,FALSE), " ")</f>
        <v xml:space="preserve"> </v>
      </c>
      <c r="BA28" s="55"/>
      <c r="BB28" s="32"/>
      <c r="BC28" s="32"/>
      <c r="BD28" s="55"/>
      <c r="BE28" s="32"/>
      <c r="BF28" s="54"/>
      <c r="BG28" s="21" t="str">
        <f>IFERROR(VLOOKUP(April[[#This Row],[Drug Name6]],'Data Options'!$R$1:$S$100,2,FALSE), " ")</f>
        <v xml:space="preserve"> </v>
      </c>
      <c r="BH28" s="55"/>
      <c r="BI28" s="32"/>
      <c r="BJ28" s="32"/>
      <c r="BK28" s="55"/>
      <c r="BL28" s="32"/>
      <c r="BM28" s="32"/>
      <c r="BN28" s="32"/>
      <c r="BO28" s="32"/>
      <c r="BP28" s="32"/>
      <c r="BQ28" s="31"/>
      <c r="BR28" s="31"/>
      <c r="BS28" s="54"/>
      <c r="BT28" s="21" t="str">
        <f>IFERROR(VLOOKUP(April[[#This Row],[Drug Name7]],'Data Options'!$R$1:$S$100,2,FALSE), " ")</f>
        <v xml:space="preserve"> </v>
      </c>
      <c r="BU28" s="55"/>
      <c r="BV28" s="32"/>
      <c r="BW28" s="32"/>
      <c r="BX28" s="55"/>
      <c r="BY28" s="32"/>
      <c r="BZ28" s="54"/>
      <c r="CA28" s="21" t="str">
        <f>IFERROR(VLOOKUP(April[[#This Row],[Drug Name8]],'Data Options'!$R$1:$S$100,2,FALSE), " ")</f>
        <v xml:space="preserve"> </v>
      </c>
      <c r="CB28" s="55"/>
      <c r="CC28" s="32"/>
      <c r="CD28" s="32"/>
      <c r="CE28" s="55"/>
      <c r="CF28" s="32"/>
      <c r="CG28" s="54"/>
      <c r="CH28" s="21" t="str">
        <f>IFERROR(VLOOKUP(April[[#This Row],[Drug Name9]],'Data Options'!$R$1:$S$100,2,FALSE), " ")</f>
        <v xml:space="preserve"> </v>
      </c>
      <c r="CI28" s="55"/>
      <c r="CJ28" s="32"/>
      <c r="CK28" s="32"/>
      <c r="CL28" s="55"/>
      <c r="CM28" s="32"/>
    </row>
    <row r="29" spans="1:91">
      <c r="A29" s="5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54"/>
      <c r="R29" s="21" t="str">
        <f>IFERROR(VLOOKUP(April[[#This Row],[Drug Name]],'Data Options'!$R$1:$S$100,2,FALSE), " ")</f>
        <v xml:space="preserve"> </v>
      </c>
      <c r="S29" s="55"/>
      <c r="T29" s="32"/>
      <c r="U29" s="32"/>
      <c r="V29" s="55"/>
      <c r="W29" s="32"/>
      <c r="X29" s="54"/>
      <c r="Y29" s="21" t="str">
        <f>IFERROR(VLOOKUP(April[[#This Row],[Drug Name2]],'Data Options'!$R$1:$S$100,2,FALSE), " ")</f>
        <v xml:space="preserve"> </v>
      </c>
      <c r="Z29" s="55"/>
      <c r="AA29" s="32"/>
      <c r="AB29" s="32"/>
      <c r="AC29" s="55"/>
      <c r="AD29" s="32"/>
      <c r="AE29" s="54"/>
      <c r="AF29" s="21" t="str">
        <f>IFERROR(VLOOKUP(April[[#This Row],[Drug Name3]],'Data Options'!$R$1:$S$100,2,FALSE), " ")</f>
        <v xml:space="preserve"> </v>
      </c>
      <c r="AG29" s="55"/>
      <c r="AH29" s="32"/>
      <c r="AI29" s="32"/>
      <c r="AJ29" s="55"/>
      <c r="AK29" s="32"/>
      <c r="AL29" s="32"/>
      <c r="AM29" s="32"/>
      <c r="AN29" s="32"/>
      <c r="AO29" s="32"/>
      <c r="AP29" s="31"/>
      <c r="AQ29" s="31"/>
      <c r="AR29" s="54"/>
      <c r="AS29" s="21" t="str">
        <f>IFERROR(VLOOKUP(April[[#This Row],[Drug Name4]],'Data Options'!$R$1:$S$100,2,FALSE), " ")</f>
        <v xml:space="preserve"> </v>
      </c>
      <c r="AT29" s="55"/>
      <c r="AU29" s="32"/>
      <c r="AV29" s="32"/>
      <c r="AW29" s="55"/>
      <c r="AX29" s="32"/>
      <c r="AY29" s="54"/>
      <c r="AZ29" s="21" t="str">
        <f>IFERROR(VLOOKUP(April[[#This Row],[Drug Name5]],'Data Options'!$R$1:$S$100,2,FALSE), " ")</f>
        <v xml:space="preserve"> </v>
      </c>
      <c r="BA29" s="55"/>
      <c r="BB29" s="32"/>
      <c r="BC29" s="32"/>
      <c r="BD29" s="55"/>
      <c r="BE29" s="32"/>
      <c r="BF29" s="54"/>
      <c r="BG29" s="21" t="str">
        <f>IFERROR(VLOOKUP(April[[#This Row],[Drug Name6]],'Data Options'!$R$1:$S$100,2,FALSE), " ")</f>
        <v xml:space="preserve"> </v>
      </c>
      <c r="BH29" s="55"/>
      <c r="BI29" s="32"/>
      <c r="BJ29" s="32"/>
      <c r="BK29" s="55"/>
      <c r="BL29" s="32"/>
      <c r="BM29" s="32"/>
      <c r="BN29" s="32"/>
      <c r="BO29" s="32"/>
      <c r="BP29" s="32"/>
      <c r="BQ29" s="31"/>
      <c r="BR29" s="31"/>
      <c r="BS29" s="54"/>
      <c r="BT29" s="21" t="str">
        <f>IFERROR(VLOOKUP(April[[#This Row],[Drug Name7]],'Data Options'!$R$1:$S$100,2,FALSE), " ")</f>
        <v xml:space="preserve"> </v>
      </c>
      <c r="BU29" s="55"/>
      <c r="BV29" s="32"/>
      <c r="BW29" s="32"/>
      <c r="BX29" s="55"/>
      <c r="BY29" s="32"/>
      <c r="BZ29" s="54"/>
      <c r="CA29" s="21" t="str">
        <f>IFERROR(VLOOKUP(April[[#This Row],[Drug Name8]],'Data Options'!$R$1:$S$100,2,FALSE), " ")</f>
        <v xml:space="preserve"> </v>
      </c>
      <c r="CB29" s="55"/>
      <c r="CC29" s="32"/>
      <c r="CD29" s="32"/>
      <c r="CE29" s="55"/>
      <c r="CF29" s="32"/>
      <c r="CG29" s="54"/>
      <c r="CH29" s="21" t="str">
        <f>IFERROR(VLOOKUP(April[[#This Row],[Drug Name9]],'Data Options'!$R$1:$S$100,2,FALSE), " ")</f>
        <v xml:space="preserve"> </v>
      </c>
      <c r="CI29" s="55"/>
      <c r="CJ29" s="32"/>
      <c r="CK29" s="32"/>
      <c r="CL29" s="55"/>
      <c r="CM29" s="32"/>
    </row>
    <row r="30" spans="1:91">
      <c r="A30" s="5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54"/>
      <c r="R30" s="21" t="str">
        <f>IFERROR(VLOOKUP(April[[#This Row],[Drug Name]],'Data Options'!$R$1:$S$100,2,FALSE), " ")</f>
        <v xml:space="preserve"> </v>
      </c>
      <c r="S30" s="55"/>
      <c r="T30" s="32"/>
      <c r="U30" s="32"/>
      <c r="V30" s="55"/>
      <c r="W30" s="32"/>
      <c r="X30" s="54"/>
      <c r="Y30" s="21" t="str">
        <f>IFERROR(VLOOKUP(April[[#This Row],[Drug Name2]],'Data Options'!$R$1:$S$100,2,FALSE), " ")</f>
        <v xml:space="preserve"> </v>
      </c>
      <c r="Z30" s="55"/>
      <c r="AA30" s="32"/>
      <c r="AB30" s="32"/>
      <c r="AC30" s="55"/>
      <c r="AD30" s="32"/>
      <c r="AE30" s="54"/>
      <c r="AF30" s="21" t="str">
        <f>IFERROR(VLOOKUP(April[[#This Row],[Drug Name3]],'Data Options'!$R$1:$S$100,2,FALSE), " ")</f>
        <v xml:space="preserve"> </v>
      </c>
      <c r="AG30" s="55"/>
      <c r="AH30" s="32"/>
      <c r="AI30" s="32"/>
      <c r="AJ30" s="55"/>
      <c r="AK30" s="32"/>
      <c r="AL30" s="32"/>
      <c r="AM30" s="32"/>
      <c r="AN30" s="32"/>
      <c r="AO30" s="32"/>
      <c r="AP30" s="31"/>
      <c r="AQ30" s="31"/>
      <c r="AR30" s="54"/>
      <c r="AS30" s="21" t="str">
        <f>IFERROR(VLOOKUP(April[[#This Row],[Drug Name4]],'Data Options'!$R$1:$S$100,2,FALSE), " ")</f>
        <v xml:space="preserve"> </v>
      </c>
      <c r="AT30" s="55"/>
      <c r="AU30" s="32"/>
      <c r="AV30" s="32"/>
      <c r="AW30" s="55"/>
      <c r="AX30" s="32"/>
      <c r="AY30" s="54"/>
      <c r="AZ30" s="21" t="str">
        <f>IFERROR(VLOOKUP(April[[#This Row],[Drug Name5]],'Data Options'!$R$1:$S$100,2,FALSE), " ")</f>
        <v xml:space="preserve"> </v>
      </c>
      <c r="BA30" s="55"/>
      <c r="BB30" s="32"/>
      <c r="BC30" s="32"/>
      <c r="BD30" s="55"/>
      <c r="BE30" s="32"/>
      <c r="BF30" s="54"/>
      <c r="BG30" s="21" t="str">
        <f>IFERROR(VLOOKUP(April[[#This Row],[Drug Name6]],'Data Options'!$R$1:$S$100,2,FALSE), " ")</f>
        <v xml:space="preserve"> </v>
      </c>
      <c r="BH30" s="55"/>
      <c r="BI30" s="32"/>
      <c r="BJ30" s="32"/>
      <c r="BK30" s="55"/>
      <c r="BL30" s="32"/>
      <c r="BM30" s="32"/>
      <c r="BN30" s="32"/>
      <c r="BO30" s="32"/>
      <c r="BP30" s="32"/>
      <c r="BQ30" s="31"/>
      <c r="BR30" s="31"/>
      <c r="BS30" s="54"/>
      <c r="BT30" s="21" t="str">
        <f>IFERROR(VLOOKUP(April[[#This Row],[Drug Name7]],'Data Options'!$R$1:$S$100,2,FALSE), " ")</f>
        <v xml:space="preserve"> </v>
      </c>
      <c r="BU30" s="55"/>
      <c r="BV30" s="32"/>
      <c r="BW30" s="32"/>
      <c r="BX30" s="55"/>
      <c r="BY30" s="32"/>
      <c r="BZ30" s="54"/>
      <c r="CA30" s="21" t="str">
        <f>IFERROR(VLOOKUP(April[[#This Row],[Drug Name8]],'Data Options'!$R$1:$S$100,2,FALSE), " ")</f>
        <v xml:space="preserve"> </v>
      </c>
      <c r="CB30" s="55"/>
      <c r="CC30" s="32"/>
      <c r="CD30" s="32"/>
      <c r="CE30" s="55"/>
      <c r="CF30" s="32"/>
      <c r="CG30" s="54"/>
      <c r="CH30" s="21" t="str">
        <f>IFERROR(VLOOKUP(April[[#This Row],[Drug Name9]],'Data Options'!$R$1:$S$100,2,FALSE), " ")</f>
        <v xml:space="preserve"> </v>
      </c>
      <c r="CI30" s="55"/>
      <c r="CJ30" s="32"/>
      <c r="CK30" s="32"/>
      <c r="CL30" s="55"/>
      <c r="CM30" s="32"/>
    </row>
    <row r="31" spans="1:9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54"/>
      <c r="R31" s="21" t="str">
        <f>IFERROR(VLOOKUP(April[[#This Row],[Drug Name]],'Data Options'!$R$1:$S$100,2,FALSE), " ")</f>
        <v xml:space="preserve"> </v>
      </c>
      <c r="S31" s="55"/>
      <c r="T31" s="32"/>
      <c r="U31" s="32"/>
      <c r="V31" s="55"/>
      <c r="W31" s="32"/>
      <c r="X31" s="54"/>
      <c r="Y31" s="21" t="str">
        <f>IFERROR(VLOOKUP(April[[#This Row],[Drug Name2]],'Data Options'!$R$1:$S$100,2,FALSE), " ")</f>
        <v xml:space="preserve"> </v>
      </c>
      <c r="Z31" s="55"/>
      <c r="AA31" s="32"/>
      <c r="AB31" s="32"/>
      <c r="AC31" s="55"/>
      <c r="AD31" s="32"/>
      <c r="AE31" s="54"/>
      <c r="AF31" s="21" t="str">
        <f>IFERROR(VLOOKUP(April[[#This Row],[Drug Name3]],'Data Options'!$R$1:$S$100,2,FALSE), " ")</f>
        <v xml:space="preserve"> </v>
      </c>
      <c r="AG31" s="55"/>
      <c r="AH31" s="32"/>
      <c r="AI31" s="32"/>
      <c r="AJ31" s="55"/>
      <c r="AK31" s="32"/>
      <c r="AL31" s="32"/>
      <c r="AM31" s="32"/>
      <c r="AN31" s="32"/>
      <c r="AO31" s="32"/>
      <c r="AP31" s="31"/>
      <c r="AQ31" s="31"/>
      <c r="AR31" s="54"/>
      <c r="AS31" s="21" t="str">
        <f>IFERROR(VLOOKUP(April[[#This Row],[Drug Name4]],'Data Options'!$R$1:$S$100,2,FALSE), " ")</f>
        <v xml:space="preserve"> </v>
      </c>
      <c r="AT31" s="55"/>
      <c r="AU31" s="32"/>
      <c r="AV31" s="32"/>
      <c r="AW31" s="55"/>
      <c r="AX31" s="32"/>
      <c r="AY31" s="54"/>
      <c r="AZ31" s="21" t="str">
        <f>IFERROR(VLOOKUP(April[[#This Row],[Drug Name5]],'Data Options'!$R$1:$S$100,2,FALSE), " ")</f>
        <v xml:space="preserve"> </v>
      </c>
      <c r="BA31" s="55"/>
      <c r="BB31" s="32"/>
      <c r="BC31" s="32"/>
      <c r="BD31" s="55"/>
      <c r="BE31" s="32"/>
      <c r="BF31" s="54"/>
      <c r="BG31" s="21" t="str">
        <f>IFERROR(VLOOKUP(April[[#This Row],[Drug Name6]],'Data Options'!$R$1:$S$100,2,FALSE), " ")</f>
        <v xml:space="preserve"> </v>
      </c>
      <c r="BH31" s="55"/>
      <c r="BI31" s="32"/>
      <c r="BJ31" s="32"/>
      <c r="BK31" s="55"/>
      <c r="BL31" s="32"/>
      <c r="BM31" s="32"/>
      <c r="BN31" s="32"/>
      <c r="BO31" s="32"/>
      <c r="BP31" s="32"/>
      <c r="BQ31" s="31"/>
      <c r="BR31" s="31"/>
      <c r="BS31" s="54"/>
      <c r="BT31" s="21" t="str">
        <f>IFERROR(VLOOKUP(April[[#This Row],[Drug Name7]],'Data Options'!$R$1:$S$100,2,FALSE), " ")</f>
        <v xml:space="preserve"> </v>
      </c>
      <c r="BU31" s="55"/>
      <c r="BV31" s="32"/>
      <c r="BW31" s="32"/>
      <c r="BX31" s="55"/>
      <c r="BY31" s="32"/>
      <c r="BZ31" s="54"/>
      <c r="CA31" s="21" t="str">
        <f>IFERROR(VLOOKUP(April[[#This Row],[Drug Name8]],'Data Options'!$R$1:$S$100,2,FALSE), " ")</f>
        <v xml:space="preserve"> </v>
      </c>
      <c r="CB31" s="55"/>
      <c r="CC31" s="32"/>
      <c r="CD31" s="32"/>
      <c r="CE31" s="55"/>
      <c r="CF31" s="32"/>
      <c r="CG31" s="54"/>
      <c r="CH31" s="21" t="str">
        <f>IFERROR(VLOOKUP(April[[#This Row],[Drug Name9]],'Data Options'!$R$1:$S$100,2,FALSE), " ")</f>
        <v xml:space="preserve"> </v>
      </c>
      <c r="CI31" s="55"/>
      <c r="CJ31" s="32"/>
      <c r="CK31" s="32"/>
      <c r="CL31" s="55"/>
      <c r="CM31" s="32"/>
    </row>
    <row r="32" spans="1:91">
      <c r="A32" s="5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54"/>
      <c r="R32" s="21" t="str">
        <f>IFERROR(VLOOKUP(April[[#This Row],[Drug Name]],'Data Options'!$R$1:$S$100,2,FALSE), " ")</f>
        <v xml:space="preserve"> </v>
      </c>
      <c r="S32" s="55"/>
      <c r="T32" s="32"/>
      <c r="U32" s="32"/>
      <c r="V32" s="55"/>
      <c r="W32" s="32"/>
      <c r="X32" s="54"/>
      <c r="Y32" s="21" t="str">
        <f>IFERROR(VLOOKUP(April[[#This Row],[Drug Name2]],'Data Options'!$R$1:$S$100,2,FALSE), " ")</f>
        <v xml:space="preserve"> </v>
      </c>
      <c r="Z32" s="55"/>
      <c r="AA32" s="32"/>
      <c r="AB32" s="32"/>
      <c r="AC32" s="55"/>
      <c r="AD32" s="32"/>
      <c r="AE32" s="54"/>
      <c r="AF32" s="21" t="str">
        <f>IFERROR(VLOOKUP(April[[#This Row],[Drug Name3]],'Data Options'!$R$1:$S$100,2,FALSE), " ")</f>
        <v xml:space="preserve"> </v>
      </c>
      <c r="AG32" s="55"/>
      <c r="AH32" s="32"/>
      <c r="AI32" s="32"/>
      <c r="AJ32" s="55"/>
      <c r="AK32" s="32"/>
      <c r="AL32" s="32"/>
      <c r="AM32" s="32"/>
      <c r="AN32" s="32"/>
      <c r="AO32" s="32"/>
      <c r="AP32" s="31"/>
      <c r="AQ32" s="31"/>
      <c r="AR32" s="54"/>
      <c r="AS32" s="21" t="str">
        <f>IFERROR(VLOOKUP(April[[#This Row],[Drug Name4]],'Data Options'!$R$1:$S$100,2,FALSE), " ")</f>
        <v xml:space="preserve"> </v>
      </c>
      <c r="AT32" s="55"/>
      <c r="AU32" s="32"/>
      <c r="AV32" s="32"/>
      <c r="AW32" s="55"/>
      <c r="AX32" s="32"/>
      <c r="AY32" s="54"/>
      <c r="AZ32" s="21" t="str">
        <f>IFERROR(VLOOKUP(April[[#This Row],[Drug Name5]],'Data Options'!$R$1:$S$100,2,FALSE), " ")</f>
        <v xml:space="preserve"> </v>
      </c>
      <c r="BA32" s="55"/>
      <c r="BB32" s="32"/>
      <c r="BC32" s="32"/>
      <c r="BD32" s="55"/>
      <c r="BE32" s="32"/>
      <c r="BF32" s="54"/>
      <c r="BG32" s="21" t="str">
        <f>IFERROR(VLOOKUP(April[[#This Row],[Drug Name6]],'Data Options'!$R$1:$S$100,2,FALSE), " ")</f>
        <v xml:space="preserve"> </v>
      </c>
      <c r="BH32" s="55"/>
      <c r="BI32" s="32"/>
      <c r="BJ32" s="32"/>
      <c r="BK32" s="55"/>
      <c r="BL32" s="32"/>
      <c r="BM32" s="32"/>
      <c r="BN32" s="32"/>
      <c r="BO32" s="32"/>
      <c r="BP32" s="32"/>
      <c r="BQ32" s="31"/>
      <c r="BR32" s="31"/>
      <c r="BS32" s="54"/>
      <c r="BT32" s="21" t="str">
        <f>IFERROR(VLOOKUP(April[[#This Row],[Drug Name7]],'Data Options'!$R$1:$S$100,2,FALSE), " ")</f>
        <v xml:space="preserve"> </v>
      </c>
      <c r="BU32" s="55"/>
      <c r="BV32" s="32"/>
      <c r="BW32" s="32"/>
      <c r="BX32" s="55"/>
      <c r="BY32" s="32"/>
      <c r="BZ32" s="54"/>
      <c r="CA32" s="21" t="str">
        <f>IFERROR(VLOOKUP(April[[#This Row],[Drug Name8]],'Data Options'!$R$1:$S$100,2,FALSE), " ")</f>
        <v xml:space="preserve"> </v>
      </c>
      <c r="CB32" s="55"/>
      <c r="CC32" s="32"/>
      <c r="CD32" s="32"/>
      <c r="CE32" s="55"/>
      <c r="CF32" s="32"/>
      <c r="CG32" s="54"/>
      <c r="CH32" s="21" t="str">
        <f>IFERROR(VLOOKUP(April[[#This Row],[Drug Name9]],'Data Options'!$R$1:$S$100,2,FALSE), " ")</f>
        <v xml:space="preserve"> </v>
      </c>
      <c r="CI32" s="55"/>
      <c r="CJ32" s="32"/>
      <c r="CK32" s="32"/>
      <c r="CL32" s="55"/>
      <c r="CM32" s="32"/>
    </row>
    <row r="33" spans="1:9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54"/>
      <c r="R33" s="21" t="str">
        <f>IFERROR(VLOOKUP(April[[#This Row],[Drug Name]],'Data Options'!$R$1:$S$100,2,FALSE), " ")</f>
        <v xml:space="preserve"> </v>
      </c>
      <c r="S33" s="55"/>
      <c r="T33" s="32"/>
      <c r="U33" s="32"/>
      <c r="V33" s="55"/>
      <c r="W33" s="32"/>
      <c r="X33" s="54"/>
      <c r="Y33" s="21" t="str">
        <f>IFERROR(VLOOKUP(April[[#This Row],[Drug Name2]],'Data Options'!$R$1:$S$100,2,FALSE), " ")</f>
        <v xml:space="preserve"> </v>
      </c>
      <c r="Z33" s="55"/>
      <c r="AA33" s="32"/>
      <c r="AB33" s="32"/>
      <c r="AC33" s="55"/>
      <c r="AD33" s="32"/>
      <c r="AE33" s="54"/>
      <c r="AF33" s="21" t="str">
        <f>IFERROR(VLOOKUP(April[[#This Row],[Drug Name3]],'Data Options'!$R$1:$S$100,2,FALSE), " ")</f>
        <v xml:space="preserve"> </v>
      </c>
      <c r="AG33" s="55"/>
      <c r="AH33" s="32"/>
      <c r="AI33" s="32"/>
      <c r="AJ33" s="55"/>
      <c r="AK33" s="32"/>
      <c r="AL33" s="32"/>
      <c r="AM33" s="32"/>
      <c r="AN33" s="32"/>
      <c r="AO33" s="32"/>
      <c r="AP33" s="31"/>
      <c r="AQ33" s="31"/>
      <c r="AR33" s="54"/>
      <c r="AS33" s="21" t="str">
        <f>IFERROR(VLOOKUP(April[[#This Row],[Drug Name4]],'Data Options'!$R$1:$S$100,2,FALSE), " ")</f>
        <v xml:space="preserve"> </v>
      </c>
      <c r="AT33" s="55"/>
      <c r="AU33" s="32"/>
      <c r="AV33" s="32"/>
      <c r="AW33" s="55"/>
      <c r="AX33" s="32"/>
      <c r="AY33" s="54"/>
      <c r="AZ33" s="21" t="str">
        <f>IFERROR(VLOOKUP(April[[#This Row],[Drug Name5]],'Data Options'!$R$1:$S$100,2,FALSE), " ")</f>
        <v xml:space="preserve"> </v>
      </c>
      <c r="BA33" s="55"/>
      <c r="BB33" s="32"/>
      <c r="BC33" s="32"/>
      <c r="BD33" s="55"/>
      <c r="BE33" s="32"/>
      <c r="BF33" s="54"/>
      <c r="BG33" s="21" t="str">
        <f>IFERROR(VLOOKUP(April[[#This Row],[Drug Name6]],'Data Options'!$R$1:$S$100,2,FALSE), " ")</f>
        <v xml:space="preserve"> </v>
      </c>
      <c r="BH33" s="55"/>
      <c r="BI33" s="32"/>
      <c r="BJ33" s="32"/>
      <c r="BK33" s="55"/>
      <c r="BL33" s="32"/>
      <c r="BM33" s="32"/>
      <c r="BN33" s="32"/>
      <c r="BO33" s="32"/>
      <c r="BP33" s="32"/>
      <c r="BQ33" s="31"/>
      <c r="BR33" s="31"/>
      <c r="BS33" s="54"/>
      <c r="BT33" s="21" t="str">
        <f>IFERROR(VLOOKUP(April[[#This Row],[Drug Name7]],'Data Options'!$R$1:$S$100,2,FALSE), " ")</f>
        <v xml:space="preserve"> </v>
      </c>
      <c r="BU33" s="55"/>
      <c r="BV33" s="32"/>
      <c r="BW33" s="32"/>
      <c r="BX33" s="55"/>
      <c r="BY33" s="32"/>
      <c r="BZ33" s="54"/>
      <c r="CA33" s="21" t="str">
        <f>IFERROR(VLOOKUP(April[[#This Row],[Drug Name8]],'Data Options'!$R$1:$S$100,2,FALSE), " ")</f>
        <v xml:space="preserve"> </v>
      </c>
      <c r="CB33" s="55"/>
      <c r="CC33" s="32"/>
      <c r="CD33" s="32"/>
      <c r="CE33" s="55"/>
      <c r="CF33" s="32"/>
      <c r="CG33" s="54"/>
      <c r="CH33" s="21" t="str">
        <f>IFERROR(VLOOKUP(April[[#This Row],[Drug Name9]],'Data Options'!$R$1:$S$100,2,FALSE), " ")</f>
        <v xml:space="preserve"> </v>
      </c>
      <c r="CI33" s="55"/>
      <c r="CJ33" s="32"/>
      <c r="CK33" s="32"/>
      <c r="CL33" s="55"/>
      <c r="CM33" s="32"/>
    </row>
    <row r="34" spans="1:9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54"/>
      <c r="R34" s="21" t="str">
        <f>IFERROR(VLOOKUP(April[[#This Row],[Drug Name]],'Data Options'!$R$1:$S$100,2,FALSE), " ")</f>
        <v xml:space="preserve"> </v>
      </c>
      <c r="S34" s="55"/>
      <c r="T34" s="32"/>
      <c r="U34" s="32"/>
      <c r="V34" s="55"/>
      <c r="W34" s="32"/>
      <c r="X34" s="54"/>
      <c r="Y34" s="21" t="str">
        <f>IFERROR(VLOOKUP(April[[#This Row],[Drug Name2]],'Data Options'!$R$1:$S$100,2,FALSE), " ")</f>
        <v xml:space="preserve"> </v>
      </c>
      <c r="Z34" s="55"/>
      <c r="AA34" s="32"/>
      <c r="AB34" s="32"/>
      <c r="AC34" s="55"/>
      <c r="AD34" s="32"/>
      <c r="AE34" s="54"/>
      <c r="AF34" s="21" t="str">
        <f>IFERROR(VLOOKUP(April[[#This Row],[Drug Name3]],'Data Options'!$R$1:$S$100,2,FALSE), " ")</f>
        <v xml:space="preserve"> </v>
      </c>
      <c r="AG34" s="55"/>
      <c r="AH34" s="32"/>
      <c r="AI34" s="32"/>
      <c r="AJ34" s="55"/>
      <c r="AK34" s="32"/>
      <c r="AL34" s="32"/>
      <c r="AM34" s="32"/>
      <c r="AN34" s="32"/>
      <c r="AO34" s="32"/>
      <c r="AP34" s="31"/>
      <c r="AQ34" s="31"/>
      <c r="AR34" s="54"/>
      <c r="AS34" s="21" t="str">
        <f>IFERROR(VLOOKUP(April[[#This Row],[Drug Name4]],'Data Options'!$R$1:$S$100,2,FALSE), " ")</f>
        <v xml:space="preserve"> </v>
      </c>
      <c r="AT34" s="55"/>
      <c r="AU34" s="32"/>
      <c r="AV34" s="32"/>
      <c r="AW34" s="55"/>
      <c r="AX34" s="32"/>
      <c r="AY34" s="54"/>
      <c r="AZ34" s="21" t="str">
        <f>IFERROR(VLOOKUP(April[[#This Row],[Drug Name5]],'Data Options'!$R$1:$S$100,2,FALSE), " ")</f>
        <v xml:space="preserve"> </v>
      </c>
      <c r="BA34" s="55"/>
      <c r="BB34" s="32"/>
      <c r="BC34" s="32"/>
      <c r="BD34" s="55"/>
      <c r="BE34" s="32"/>
      <c r="BF34" s="54"/>
      <c r="BG34" s="21" t="str">
        <f>IFERROR(VLOOKUP(April[[#This Row],[Drug Name6]],'Data Options'!$R$1:$S$100,2,FALSE), " ")</f>
        <v xml:space="preserve"> </v>
      </c>
      <c r="BH34" s="55"/>
      <c r="BI34" s="32"/>
      <c r="BJ34" s="32"/>
      <c r="BK34" s="55"/>
      <c r="BL34" s="32"/>
      <c r="BM34" s="32"/>
      <c r="BN34" s="32"/>
      <c r="BO34" s="32"/>
      <c r="BP34" s="32"/>
      <c r="BQ34" s="31"/>
      <c r="BR34" s="31"/>
      <c r="BS34" s="54"/>
      <c r="BT34" s="21" t="str">
        <f>IFERROR(VLOOKUP(April[[#This Row],[Drug Name7]],'Data Options'!$R$1:$S$100,2,FALSE), " ")</f>
        <v xml:space="preserve"> </v>
      </c>
      <c r="BU34" s="55"/>
      <c r="BV34" s="32"/>
      <c r="BW34" s="32"/>
      <c r="BX34" s="55"/>
      <c r="BY34" s="32"/>
      <c r="BZ34" s="54"/>
      <c r="CA34" s="21" t="str">
        <f>IFERROR(VLOOKUP(April[[#This Row],[Drug Name8]],'Data Options'!$R$1:$S$100,2,FALSE), " ")</f>
        <v xml:space="preserve"> </v>
      </c>
      <c r="CB34" s="55"/>
      <c r="CC34" s="32"/>
      <c r="CD34" s="32"/>
      <c r="CE34" s="55"/>
      <c r="CF34" s="32"/>
      <c r="CG34" s="54"/>
      <c r="CH34" s="21" t="str">
        <f>IFERROR(VLOOKUP(April[[#This Row],[Drug Name9]],'Data Options'!$R$1:$S$100,2,FALSE), " ")</f>
        <v xml:space="preserve"> </v>
      </c>
      <c r="CI34" s="55"/>
      <c r="CJ34" s="32"/>
      <c r="CK34" s="32"/>
      <c r="CL34" s="55"/>
      <c r="CM34" s="32"/>
    </row>
    <row r="35" spans="1:9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54"/>
      <c r="R35" s="21" t="str">
        <f>IFERROR(VLOOKUP(April[[#This Row],[Drug Name]],'Data Options'!$R$1:$S$100,2,FALSE), " ")</f>
        <v xml:space="preserve"> </v>
      </c>
      <c r="S35" s="55"/>
      <c r="T35" s="32"/>
      <c r="U35" s="32"/>
      <c r="V35" s="55"/>
      <c r="W35" s="32"/>
      <c r="X35" s="54"/>
      <c r="Y35" s="21" t="str">
        <f>IFERROR(VLOOKUP(April[[#This Row],[Drug Name2]],'Data Options'!$R$1:$S$100,2,FALSE), " ")</f>
        <v xml:space="preserve"> </v>
      </c>
      <c r="Z35" s="55"/>
      <c r="AA35" s="32"/>
      <c r="AB35" s="32"/>
      <c r="AC35" s="55"/>
      <c r="AD35" s="32"/>
      <c r="AE35" s="54"/>
      <c r="AF35" s="21" t="str">
        <f>IFERROR(VLOOKUP(April[[#This Row],[Drug Name3]],'Data Options'!$R$1:$S$100,2,FALSE), " ")</f>
        <v xml:space="preserve"> </v>
      </c>
      <c r="AG35" s="55"/>
      <c r="AH35" s="32"/>
      <c r="AI35" s="32"/>
      <c r="AJ35" s="55"/>
      <c r="AK35" s="32"/>
      <c r="AL35" s="32"/>
      <c r="AM35" s="32"/>
      <c r="AN35" s="32"/>
      <c r="AO35" s="32"/>
      <c r="AP35" s="31"/>
      <c r="AQ35" s="31"/>
      <c r="AR35" s="54"/>
      <c r="AS35" s="21" t="str">
        <f>IFERROR(VLOOKUP(April[[#This Row],[Drug Name4]],'Data Options'!$R$1:$S$100,2,FALSE), " ")</f>
        <v xml:space="preserve"> </v>
      </c>
      <c r="AT35" s="55"/>
      <c r="AU35" s="32"/>
      <c r="AV35" s="32"/>
      <c r="AW35" s="55"/>
      <c r="AX35" s="32"/>
      <c r="AY35" s="54"/>
      <c r="AZ35" s="21" t="str">
        <f>IFERROR(VLOOKUP(April[[#This Row],[Drug Name5]],'Data Options'!$R$1:$S$100,2,FALSE), " ")</f>
        <v xml:space="preserve"> </v>
      </c>
      <c r="BA35" s="55"/>
      <c r="BB35" s="32"/>
      <c r="BC35" s="32"/>
      <c r="BD35" s="55"/>
      <c r="BE35" s="32"/>
      <c r="BF35" s="54"/>
      <c r="BG35" s="21" t="str">
        <f>IFERROR(VLOOKUP(April[[#This Row],[Drug Name6]],'Data Options'!$R$1:$S$100,2,FALSE), " ")</f>
        <v xml:space="preserve"> </v>
      </c>
      <c r="BH35" s="55"/>
      <c r="BI35" s="32"/>
      <c r="BJ35" s="32"/>
      <c r="BK35" s="55"/>
      <c r="BL35" s="32"/>
      <c r="BM35" s="32"/>
      <c r="BN35" s="32"/>
      <c r="BO35" s="32"/>
      <c r="BP35" s="32"/>
      <c r="BQ35" s="31"/>
      <c r="BR35" s="31"/>
      <c r="BS35" s="54"/>
      <c r="BT35" s="21" t="str">
        <f>IFERROR(VLOOKUP(April[[#This Row],[Drug Name7]],'Data Options'!$R$1:$S$100,2,FALSE), " ")</f>
        <v xml:space="preserve"> </v>
      </c>
      <c r="BU35" s="55"/>
      <c r="BV35" s="32"/>
      <c r="BW35" s="32"/>
      <c r="BX35" s="55"/>
      <c r="BY35" s="32"/>
      <c r="BZ35" s="54"/>
      <c r="CA35" s="21" t="str">
        <f>IFERROR(VLOOKUP(April[[#This Row],[Drug Name8]],'Data Options'!$R$1:$S$100,2,FALSE), " ")</f>
        <v xml:space="preserve"> </v>
      </c>
      <c r="CB35" s="55"/>
      <c r="CC35" s="32"/>
      <c r="CD35" s="32"/>
      <c r="CE35" s="55"/>
      <c r="CF35" s="32"/>
      <c r="CG35" s="54"/>
      <c r="CH35" s="21" t="str">
        <f>IFERROR(VLOOKUP(April[[#This Row],[Drug Name9]],'Data Options'!$R$1:$S$100,2,FALSE), " ")</f>
        <v xml:space="preserve"> </v>
      </c>
      <c r="CI35" s="55"/>
      <c r="CJ35" s="32"/>
      <c r="CK35" s="32"/>
      <c r="CL35" s="55"/>
      <c r="CM35" s="32"/>
    </row>
    <row r="36" spans="1:91">
      <c r="A36" s="5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54"/>
      <c r="R36" s="21" t="str">
        <f>IFERROR(VLOOKUP(April[[#This Row],[Drug Name]],'Data Options'!$R$1:$S$100,2,FALSE), " ")</f>
        <v xml:space="preserve"> </v>
      </c>
      <c r="S36" s="55"/>
      <c r="T36" s="32"/>
      <c r="U36" s="32"/>
      <c r="V36" s="55"/>
      <c r="W36" s="32"/>
      <c r="X36" s="54"/>
      <c r="Y36" s="21" t="str">
        <f>IFERROR(VLOOKUP(April[[#This Row],[Drug Name2]],'Data Options'!$R$1:$S$100,2,FALSE), " ")</f>
        <v xml:space="preserve"> </v>
      </c>
      <c r="Z36" s="55"/>
      <c r="AA36" s="32"/>
      <c r="AB36" s="32"/>
      <c r="AC36" s="55"/>
      <c r="AD36" s="32"/>
      <c r="AE36" s="54"/>
      <c r="AF36" s="21" t="str">
        <f>IFERROR(VLOOKUP(April[[#This Row],[Drug Name3]],'Data Options'!$R$1:$S$100,2,FALSE), " ")</f>
        <v xml:space="preserve"> </v>
      </c>
      <c r="AG36" s="55"/>
      <c r="AH36" s="32"/>
      <c r="AI36" s="32"/>
      <c r="AJ36" s="55"/>
      <c r="AK36" s="32"/>
      <c r="AL36" s="32"/>
      <c r="AM36" s="32"/>
      <c r="AN36" s="32"/>
      <c r="AO36" s="32"/>
      <c r="AP36" s="31"/>
      <c r="AQ36" s="31"/>
      <c r="AR36" s="54"/>
      <c r="AS36" s="21" t="str">
        <f>IFERROR(VLOOKUP(April[[#This Row],[Drug Name4]],'Data Options'!$R$1:$S$100,2,FALSE), " ")</f>
        <v xml:space="preserve"> </v>
      </c>
      <c r="AT36" s="55"/>
      <c r="AU36" s="32"/>
      <c r="AV36" s="32"/>
      <c r="AW36" s="55"/>
      <c r="AX36" s="32"/>
      <c r="AY36" s="54"/>
      <c r="AZ36" s="21" t="str">
        <f>IFERROR(VLOOKUP(April[[#This Row],[Drug Name5]],'Data Options'!$R$1:$S$100,2,FALSE), " ")</f>
        <v xml:space="preserve"> </v>
      </c>
      <c r="BA36" s="55"/>
      <c r="BB36" s="32"/>
      <c r="BC36" s="32"/>
      <c r="BD36" s="55"/>
      <c r="BE36" s="32"/>
      <c r="BF36" s="54"/>
      <c r="BG36" s="21" t="str">
        <f>IFERROR(VLOOKUP(April[[#This Row],[Drug Name6]],'Data Options'!$R$1:$S$100,2,FALSE), " ")</f>
        <v xml:space="preserve"> </v>
      </c>
      <c r="BH36" s="55"/>
      <c r="BI36" s="32"/>
      <c r="BJ36" s="32"/>
      <c r="BK36" s="55"/>
      <c r="BL36" s="32"/>
      <c r="BM36" s="32"/>
      <c r="BN36" s="32"/>
      <c r="BO36" s="32"/>
      <c r="BP36" s="32"/>
      <c r="BQ36" s="31"/>
      <c r="BR36" s="31"/>
      <c r="BS36" s="54"/>
      <c r="BT36" s="21" t="str">
        <f>IFERROR(VLOOKUP(April[[#This Row],[Drug Name7]],'Data Options'!$R$1:$S$100,2,FALSE), " ")</f>
        <v xml:space="preserve"> </v>
      </c>
      <c r="BU36" s="55"/>
      <c r="BV36" s="32"/>
      <c r="BW36" s="32"/>
      <c r="BX36" s="55"/>
      <c r="BY36" s="32"/>
      <c r="BZ36" s="54"/>
      <c r="CA36" s="21" t="str">
        <f>IFERROR(VLOOKUP(April[[#This Row],[Drug Name8]],'Data Options'!$R$1:$S$100,2,FALSE), " ")</f>
        <v xml:space="preserve"> </v>
      </c>
      <c r="CB36" s="55"/>
      <c r="CC36" s="32"/>
      <c r="CD36" s="32"/>
      <c r="CE36" s="55"/>
      <c r="CF36" s="32"/>
      <c r="CG36" s="54"/>
      <c r="CH36" s="21" t="str">
        <f>IFERROR(VLOOKUP(April[[#This Row],[Drug Name9]],'Data Options'!$R$1:$S$100,2,FALSE), " ")</f>
        <v xml:space="preserve"> </v>
      </c>
      <c r="CI36" s="55"/>
      <c r="CJ36" s="32"/>
      <c r="CK36" s="32"/>
      <c r="CL36" s="55"/>
      <c r="CM36" s="32"/>
    </row>
    <row r="37" spans="1:9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54"/>
      <c r="R37" s="21" t="str">
        <f>IFERROR(VLOOKUP(April[[#This Row],[Drug Name]],'Data Options'!$R$1:$S$100,2,FALSE), " ")</f>
        <v xml:space="preserve"> </v>
      </c>
      <c r="S37" s="55"/>
      <c r="T37" s="32"/>
      <c r="U37" s="32"/>
      <c r="V37" s="55"/>
      <c r="W37" s="32"/>
      <c r="X37" s="54"/>
      <c r="Y37" s="21" t="str">
        <f>IFERROR(VLOOKUP(April[[#This Row],[Drug Name2]],'Data Options'!$R$1:$S$100,2,FALSE), " ")</f>
        <v xml:space="preserve"> </v>
      </c>
      <c r="Z37" s="55"/>
      <c r="AA37" s="32"/>
      <c r="AB37" s="32"/>
      <c r="AC37" s="55"/>
      <c r="AD37" s="32"/>
      <c r="AE37" s="54"/>
      <c r="AF37" s="21" t="str">
        <f>IFERROR(VLOOKUP(April[[#This Row],[Drug Name3]],'Data Options'!$R$1:$S$100,2,FALSE), " ")</f>
        <v xml:space="preserve"> </v>
      </c>
      <c r="AG37" s="55"/>
      <c r="AH37" s="32"/>
      <c r="AI37" s="32"/>
      <c r="AJ37" s="55"/>
      <c r="AK37" s="32"/>
      <c r="AL37" s="32"/>
      <c r="AM37" s="32"/>
      <c r="AN37" s="32"/>
      <c r="AO37" s="32"/>
      <c r="AP37" s="31"/>
      <c r="AQ37" s="31"/>
      <c r="AR37" s="54"/>
      <c r="AS37" s="21" t="str">
        <f>IFERROR(VLOOKUP(April[[#This Row],[Drug Name4]],'Data Options'!$R$1:$S$100,2,FALSE), " ")</f>
        <v xml:space="preserve"> </v>
      </c>
      <c r="AT37" s="55"/>
      <c r="AU37" s="32"/>
      <c r="AV37" s="32"/>
      <c r="AW37" s="55"/>
      <c r="AX37" s="32"/>
      <c r="AY37" s="54"/>
      <c r="AZ37" s="21" t="str">
        <f>IFERROR(VLOOKUP(April[[#This Row],[Drug Name5]],'Data Options'!$R$1:$S$100,2,FALSE), " ")</f>
        <v xml:space="preserve"> </v>
      </c>
      <c r="BA37" s="55"/>
      <c r="BB37" s="32"/>
      <c r="BC37" s="32"/>
      <c r="BD37" s="55"/>
      <c r="BE37" s="32"/>
      <c r="BF37" s="54"/>
      <c r="BG37" s="21" t="str">
        <f>IFERROR(VLOOKUP(April[[#This Row],[Drug Name6]],'Data Options'!$R$1:$S$100,2,FALSE), " ")</f>
        <v xml:space="preserve"> </v>
      </c>
      <c r="BH37" s="55"/>
      <c r="BI37" s="32"/>
      <c r="BJ37" s="32"/>
      <c r="BK37" s="55"/>
      <c r="BL37" s="32"/>
      <c r="BM37" s="32"/>
      <c r="BN37" s="32"/>
      <c r="BO37" s="32"/>
      <c r="BP37" s="32"/>
      <c r="BQ37" s="31"/>
      <c r="BR37" s="31"/>
      <c r="BS37" s="54"/>
      <c r="BT37" s="21" t="str">
        <f>IFERROR(VLOOKUP(April[[#This Row],[Drug Name7]],'Data Options'!$R$1:$S$100,2,FALSE), " ")</f>
        <v xml:space="preserve"> </v>
      </c>
      <c r="BU37" s="55"/>
      <c r="BV37" s="32"/>
      <c r="BW37" s="32"/>
      <c r="BX37" s="55"/>
      <c r="BY37" s="32"/>
      <c r="BZ37" s="54"/>
      <c r="CA37" s="21" t="str">
        <f>IFERROR(VLOOKUP(April[[#This Row],[Drug Name8]],'Data Options'!$R$1:$S$100,2,FALSE), " ")</f>
        <v xml:space="preserve"> </v>
      </c>
      <c r="CB37" s="55"/>
      <c r="CC37" s="32"/>
      <c r="CD37" s="32"/>
      <c r="CE37" s="55"/>
      <c r="CF37" s="32"/>
      <c r="CG37" s="54"/>
      <c r="CH37" s="21" t="str">
        <f>IFERROR(VLOOKUP(April[[#This Row],[Drug Name9]],'Data Options'!$R$1:$S$100,2,FALSE), " ")</f>
        <v xml:space="preserve"> </v>
      </c>
      <c r="CI37" s="55"/>
      <c r="CJ37" s="32"/>
      <c r="CK37" s="32"/>
      <c r="CL37" s="55"/>
      <c r="CM37" s="32"/>
    </row>
    <row r="38" spans="1:9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54"/>
      <c r="R38" s="21" t="str">
        <f>IFERROR(VLOOKUP(April[[#This Row],[Drug Name]],'Data Options'!$R$1:$S$100,2,FALSE), " ")</f>
        <v xml:space="preserve"> </v>
      </c>
      <c r="S38" s="55"/>
      <c r="T38" s="32"/>
      <c r="U38" s="32"/>
      <c r="V38" s="55"/>
      <c r="W38" s="32"/>
      <c r="X38" s="54"/>
      <c r="Y38" s="21" t="str">
        <f>IFERROR(VLOOKUP(April[[#This Row],[Drug Name2]],'Data Options'!$R$1:$S$100,2,FALSE), " ")</f>
        <v xml:space="preserve"> </v>
      </c>
      <c r="Z38" s="55"/>
      <c r="AA38" s="32"/>
      <c r="AB38" s="32"/>
      <c r="AC38" s="55"/>
      <c r="AD38" s="32"/>
      <c r="AE38" s="54"/>
      <c r="AF38" s="21" t="str">
        <f>IFERROR(VLOOKUP(April[[#This Row],[Drug Name3]],'Data Options'!$R$1:$S$100,2,FALSE), " ")</f>
        <v xml:space="preserve"> </v>
      </c>
      <c r="AG38" s="55"/>
      <c r="AH38" s="32"/>
      <c r="AI38" s="32"/>
      <c r="AJ38" s="55"/>
      <c r="AK38" s="32"/>
      <c r="AL38" s="32"/>
      <c r="AM38" s="32"/>
      <c r="AN38" s="32"/>
      <c r="AO38" s="32"/>
      <c r="AP38" s="31"/>
      <c r="AQ38" s="31"/>
      <c r="AR38" s="54"/>
      <c r="AS38" s="21" t="str">
        <f>IFERROR(VLOOKUP(April[[#This Row],[Drug Name4]],'Data Options'!$R$1:$S$100,2,FALSE), " ")</f>
        <v xml:space="preserve"> </v>
      </c>
      <c r="AT38" s="55"/>
      <c r="AU38" s="32"/>
      <c r="AV38" s="32"/>
      <c r="AW38" s="55"/>
      <c r="AX38" s="32"/>
      <c r="AY38" s="54"/>
      <c r="AZ38" s="21" t="str">
        <f>IFERROR(VLOOKUP(April[[#This Row],[Drug Name5]],'Data Options'!$R$1:$S$100,2,FALSE), " ")</f>
        <v xml:space="preserve"> </v>
      </c>
      <c r="BA38" s="55"/>
      <c r="BB38" s="32"/>
      <c r="BC38" s="32"/>
      <c r="BD38" s="55"/>
      <c r="BE38" s="32"/>
      <c r="BF38" s="54"/>
      <c r="BG38" s="21" t="str">
        <f>IFERROR(VLOOKUP(April[[#This Row],[Drug Name6]],'Data Options'!$R$1:$S$100,2,FALSE), " ")</f>
        <v xml:space="preserve"> </v>
      </c>
      <c r="BH38" s="55"/>
      <c r="BI38" s="32"/>
      <c r="BJ38" s="32"/>
      <c r="BK38" s="55"/>
      <c r="BL38" s="32"/>
      <c r="BM38" s="32"/>
      <c r="BN38" s="32"/>
      <c r="BO38" s="32"/>
      <c r="BP38" s="32"/>
      <c r="BQ38" s="31"/>
      <c r="BR38" s="31"/>
      <c r="BS38" s="54"/>
      <c r="BT38" s="21" t="str">
        <f>IFERROR(VLOOKUP(April[[#This Row],[Drug Name7]],'Data Options'!$R$1:$S$100,2,FALSE), " ")</f>
        <v xml:space="preserve"> </v>
      </c>
      <c r="BU38" s="55"/>
      <c r="BV38" s="32"/>
      <c r="BW38" s="32"/>
      <c r="BX38" s="55"/>
      <c r="BY38" s="32"/>
      <c r="BZ38" s="54"/>
      <c r="CA38" s="21" t="str">
        <f>IFERROR(VLOOKUP(April[[#This Row],[Drug Name8]],'Data Options'!$R$1:$S$100,2,FALSE), " ")</f>
        <v xml:space="preserve"> </v>
      </c>
      <c r="CB38" s="55"/>
      <c r="CC38" s="32"/>
      <c r="CD38" s="32"/>
      <c r="CE38" s="55"/>
      <c r="CF38" s="32"/>
      <c r="CG38" s="54"/>
      <c r="CH38" s="21" t="str">
        <f>IFERROR(VLOOKUP(April[[#This Row],[Drug Name9]],'Data Options'!$R$1:$S$100,2,FALSE), " ")</f>
        <v xml:space="preserve"> </v>
      </c>
      <c r="CI38" s="55"/>
      <c r="CJ38" s="32"/>
      <c r="CK38" s="32"/>
      <c r="CL38" s="55"/>
      <c r="CM38" s="32"/>
    </row>
    <row r="39" spans="1:9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54"/>
      <c r="R39" s="21" t="str">
        <f>IFERROR(VLOOKUP(April[[#This Row],[Drug Name]],'Data Options'!$R$1:$S$100,2,FALSE), " ")</f>
        <v xml:space="preserve"> </v>
      </c>
      <c r="S39" s="55"/>
      <c r="T39" s="32"/>
      <c r="U39" s="32"/>
      <c r="V39" s="55"/>
      <c r="W39" s="32"/>
      <c r="X39" s="54"/>
      <c r="Y39" s="21" t="str">
        <f>IFERROR(VLOOKUP(April[[#This Row],[Drug Name2]],'Data Options'!$R$1:$S$100,2,FALSE), " ")</f>
        <v xml:space="preserve"> </v>
      </c>
      <c r="Z39" s="55"/>
      <c r="AA39" s="32"/>
      <c r="AB39" s="32"/>
      <c r="AC39" s="55"/>
      <c r="AD39" s="32"/>
      <c r="AE39" s="54"/>
      <c r="AF39" s="21" t="str">
        <f>IFERROR(VLOOKUP(April[[#This Row],[Drug Name3]],'Data Options'!$R$1:$S$100,2,FALSE), " ")</f>
        <v xml:space="preserve"> </v>
      </c>
      <c r="AG39" s="55"/>
      <c r="AH39" s="32"/>
      <c r="AI39" s="32"/>
      <c r="AJ39" s="55"/>
      <c r="AK39" s="32"/>
      <c r="AL39" s="32"/>
      <c r="AM39" s="32"/>
      <c r="AN39" s="32"/>
      <c r="AO39" s="32"/>
      <c r="AP39" s="31"/>
      <c r="AQ39" s="31"/>
      <c r="AR39" s="54"/>
      <c r="AS39" s="21" t="str">
        <f>IFERROR(VLOOKUP(April[[#This Row],[Drug Name4]],'Data Options'!$R$1:$S$100,2,FALSE), " ")</f>
        <v xml:space="preserve"> </v>
      </c>
      <c r="AT39" s="55"/>
      <c r="AU39" s="32"/>
      <c r="AV39" s="32"/>
      <c r="AW39" s="55"/>
      <c r="AX39" s="32"/>
      <c r="AY39" s="54"/>
      <c r="AZ39" s="21" t="str">
        <f>IFERROR(VLOOKUP(April[[#This Row],[Drug Name5]],'Data Options'!$R$1:$S$100,2,FALSE), " ")</f>
        <v xml:space="preserve"> </v>
      </c>
      <c r="BA39" s="55"/>
      <c r="BB39" s="32"/>
      <c r="BC39" s="32"/>
      <c r="BD39" s="55"/>
      <c r="BE39" s="32"/>
      <c r="BF39" s="54"/>
      <c r="BG39" s="21" t="str">
        <f>IFERROR(VLOOKUP(April[[#This Row],[Drug Name6]],'Data Options'!$R$1:$S$100,2,FALSE), " ")</f>
        <v xml:space="preserve"> </v>
      </c>
      <c r="BH39" s="55"/>
      <c r="BI39" s="32"/>
      <c r="BJ39" s="32"/>
      <c r="BK39" s="55"/>
      <c r="BL39" s="32"/>
      <c r="BM39" s="32"/>
      <c r="BN39" s="32"/>
      <c r="BO39" s="32"/>
      <c r="BP39" s="32"/>
      <c r="BQ39" s="31"/>
      <c r="BR39" s="31"/>
      <c r="BS39" s="54"/>
      <c r="BT39" s="21" t="str">
        <f>IFERROR(VLOOKUP(April[[#This Row],[Drug Name7]],'Data Options'!$R$1:$S$100,2,FALSE), " ")</f>
        <v xml:space="preserve"> </v>
      </c>
      <c r="BU39" s="55"/>
      <c r="BV39" s="32"/>
      <c r="BW39" s="32"/>
      <c r="BX39" s="55"/>
      <c r="BY39" s="32"/>
      <c r="BZ39" s="54"/>
      <c r="CA39" s="21" t="str">
        <f>IFERROR(VLOOKUP(April[[#This Row],[Drug Name8]],'Data Options'!$R$1:$S$100,2,FALSE), " ")</f>
        <v xml:space="preserve"> </v>
      </c>
      <c r="CB39" s="55"/>
      <c r="CC39" s="32"/>
      <c r="CD39" s="32"/>
      <c r="CE39" s="55"/>
      <c r="CF39" s="32"/>
      <c r="CG39" s="54"/>
      <c r="CH39" s="21" t="str">
        <f>IFERROR(VLOOKUP(April[[#This Row],[Drug Name9]],'Data Options'!$R$1:$S$100,2,FALSE), " ")</f>
        <v xml:space="preserve"> </v>
      </c>
      <c r="CI39" s="55"/>
      <c r="CJ39" s="32"/>
      <c r="CK39" s="32"/>
      <c r="CL39" s="55"/>
      <c r="CM39" s="32"/>
    </row>
    <row r="40" spans="1:91">
      <c r="A40" s="5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54"/>
      <c r="R40" s="21" t="str">
        <f>IFERROR(VLOOKUP(April[[#This Row],[Drug Name]],'Data Options'!$R$1:$S$100,2,FALSE), " ")</f>
        <v xml:space="preserve"> </v>
      </c>
      <c r="S40" s="55"/>
      <c r="T40" s="32"/>
      <c r="U40" s="32"/>
      <c r="V40" s="55"/>
      <c r="W40" s="32"/>
      <c r="X40" s="54"/>
      <c r="Y40" s="21" t="str">
        <f>IFERROR(VLOOKUP(April[[#This Row],[Drug Name2]],'Data Options'!$R$1:$S$100,2,FALSE), " ")</f>
        <v xml:space="preserve"> </v>
      </c>
      <c r="Z40" s="55"/>
      <c r="AA40" s="32"/>
      <c r="AB40" s="32"/>
      <c r="AC40" s="55"/>
      <c r="AD40" s="32"/>
      <c r="AE40" s="54"/>
      <c r="AF40" s="21" t="str">
        <f>IFERROR(VLOOKUP(April[[#This Row],[Drug Name3]],'Data Options'!$R$1:$S$100,2,FALSE), " ")</f>
        <v xml:space="preserve"> </v>
      </c>
      <c r="AG40" s="55"/>
      <c r="AH40" s="32"/>
      <c r="AI40" s="32"/>
      <c r="AJ40" s="55"/>
      <c r="AK40" s="32"/>
      <c r="AL40" s="32"/>
      <c r="AM40" s="32"/>
      <c r="AN40" s="32"/>
      <c r="AO40" s="32"/>
      <c r="AP40" s="31"/>
      <c r="AQ40" s="31"/>
      <c r="AR40" s="54"/>
      <c r="AS40" s="21" t="str">
        <f>IFERROR(VLOOKUP(April[[#This Row],[Drug Name4]],'Data Options'!$R$1:$S$100,2,FALSE), " ")</f>
        <v xml:space="preserve"> </v>
      </c>
      <c r="AT40" s="55"/>
      <c r="AU40" s="32"/>
      <c r="AV40" s="32"/>
      <c r="AW40" s="55"/>
      <c r="AX40" s="32"/>
      <c r="AY40" s="54"/>
      <c r="AZ40" s="21" t="str">
        <f>IFERROR(VLOOKUP(April[[#This Row],[Drug Name5]],'Data Options'!$R$1:$S$100,2,FALSE), " ")</f>
        <v xml:space="preserve"> </v>
      </c>
      <c r="BA40" s="55"/>
      <c r="BB40" s="32"/>
      <c r="BC40" s="32"/>
      <c r="BD40" s="55"/>
      <c r="BE40" s="32"/>
      <c r="BF40" s="54"/>
      <c r="BG40" s="21" t="str">
        <f>IFERROR(VLOOKUP(April[[#This Row],[Drug Name6]],'Data Options'!$R$1:$S$100,2,FALSE), " ")</f>
        <v xml:space="preserve"> </v>
      </c>
      <c r="BH40" s="55"/>
      <c r="BI40" s="32"/>
      <c r="BJ40" s="32"/>
      <c r="BK40" s="55"/>
      <c r="BL40" s="32"/>
      <c r="BM40" s="32"/>
      <c r="BN40" s="32"/>
      <c r="BO40" s="32"/>
      <c r="BP40" s="32"/>
      <c r="BQ40" s="31"/>
      <c r="BR40" s="31"/>
      <c r="BS40" s="54"/>
      <c r="BT40" s="21" t="str">
        <f>IFERROR(VLOOKUP(April[[#This Row],[Drug Name7]],'Data Options'!$R$1:$S$100,2,FALSE), " ")</f>
        <v xml:space="preserve"> </v>
      </c>
      <c r="BU40" s="55"/>
      <c r="BV40" s="32"/>
      <c r="BW40" s="32"/>
      <c r="BX40" s="55"/>
      <c r="BY40" s="32"/>
      <c r="BZ40" s="54"/>
      <c r="CA40" s="21" t="str">
        <f>IFERROR(VLOOKUP(April[[#This Row],[Drug Name8]],'Data Options'!$R$1:$S$100,2,FALSE), " ")</f>
        <v xml:space="preserve"> </v>
      </c>
      <c r="CB40" s="55"/>
      <c r="CC40" s="32"/>
      <c r="CD40" s="32"/>
      <c r="CE40" s="55"/>
      <c r="CF40" s="32"/>
      <c r="CG40" s="54"/>
      <c r="CH40" s="21" t="str">
        <f>IFERROR(VLOOKUP(April[[#This Row],[Drug Name9]],'Data Options'!$R$1:$S$100,2,FALSE), " ")</f>
        <v xml:space="preserve"> </v>
      </c>
      <c r="CI40" s="55"/>
      <c r="CJ40" s="32"/>
      <c r="CK40" s="32"/>
      <c r="CL40" s="55"/>
      <c r="CM40" s="32"/>
    </row>
    <row r="41" spans="1:91">
      <c r="A41" s="5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54"/>
      <c r="R41" s="21" t="str">
        <f>IFERROR(VLOOKUP(April[[#This Row],[Drug Name]],'Data Options'!$R$1:$S$100,2,FALSE), " ")</f>
        <v xml:space="preserve"> </v>
      </c>
      <c r="S41" s="55"/>
      <c r="T41" s="32"/>
      <c r="U41" s="32"/>
      <c r="V41" s="55"/>
      <c r="W41" s="32"/>
      <c r="X41" s="54"/>
      <c r="Y41" s="21" t="str">
        <f>IFERROR(VLOOKUP(April[[#This Row],[Drug Name2]],'Data Options'!$R$1:$S$100,2,FALSE), " ")</f>
        <v xml:space="preserve"> </v>
      </c>
      <c r="Z41" s="55"/>
      <c r="AA41" s="32"/>
      <c r="AB41" s="32"/>
      <c r="AC41" s="55"/>
      <c r="AD41" s="32"/>
      <c r="AE41" s="54"/>
      <c r="AF41" s="21" t="str">
        <f>IFERROR(VLOOKUP(April[[#This Row],[Drug Name3]],'Data Options'!$R$1:$S$100,2,FALSE), " ")</f>
        <v xml:space="preserve"> </v>
      </c>
      <c r="AG41" s="55"/>
      <c r="AH41" s="32"/>
      <c r="AI41" s="32"/>
      <c r="AJ41" s="55"/>
      <c r="AK41" s="32"/>
      <c r="AL41" s="32"/>
      <c r="AM41" s="32"/>
      <c r="AN41" s="32"/>
      <c r="AO41" s="32"/>
      <c r="AP41" s="31"/>
      <c r="AQ41" s="31"/>
      <c r="AR41" s="54"/>
      <c r="AS41" s="21" t="str">
        <f>IFERROR(VLOOKUP(April[[#This Row],[Drug Name4]],'Data Options'!$R$1:$S$100,2,FALSE), " ")</f>
        <v xml:space="preserve"> </v>
      </c>
      <c r="AT41" s="55"/>
      <c r="AU41" s="32"/>
      <c r="AV41" s="32"/>
      <c r="AW41" s="55"/>
      <c r="AX41" s="32"/>
      <c r="AY41" s="54"/>
      <c r="AZ41" s="21" t="str">
        <f>IFERROR(VLOOKUP(April[[#This Row],[Drug Name5]],'Data Options'!$R$1:$S$100,2,FALSE), " ")</f>
        <v xml:space="preserve"> </v>
      </c>
      <c r="BA41" s="55"/>
      <c r="BB41" s="32"/>
      <c r="BC41" s="32"/>
      <c r="BD41" s="55"/>
      <c r="BE41" s="32"/>
      <c r="BF41" s="54"/>
      <c r="BG41" s="21" t="str">
        <f>IFERROR(VLOOKUP(April[[#This Row],[Drug Name6]],'Data Options'!$R$1:$S$100,2,FALSE), " ")</f>
        <v xml:space="preserve"> </v>
      </c>
      <c r="BH41" s="55"/>
      <c r="BI41" s="32"/>
      <c r="BJ41" s="32"/>
      <c r="BK41" s="55"/>
      <c r="BL41" s="32"/>
      <c r="BM41" s="32"/>
      <c r="BN41" s="32"/>
      <c r="BO41" s="32"/>
      <c r="BP41" s="32"/>
      <c r="BQ41" s="31"/>
      <c r="BR41" s="31"/>
      <c r="BS41" s="54"/>
      <c r="BT41" s="21" t="str">
        <f>IFERROR(VLOOKUP(April[[#This Row],[Drug Name7]],'Data Options'!$R$1:$S$100,2,FALSE), " ")</f>
        <v xml:space="preserve"> </v>
      </c>
      <c r="BU41" s="55"/>
      <c r="BV41" s="32"/>
      <c r="BW41" s="32"/>
      <c r="BX41" s="55"/>
      <c r="BY41" s="32"/>
      <c r="BZ41" s="54"/>
      <c r="CA41" s="21" t="str">
        <f>IFERROR(VLOOKUP(April[[#This Row],[Drug Name8]],'Data Options'!$R$1:$S$100,2,FALSE), " ")</f>
        <v xml:space="preserve"> </v>
      </c>
      <c r="CB41" s="55"/>
      <c r="CC41" s="32"/>
      <c r="CD41" s="32"/>
      <c r="CE41" s="55"/>
      <c r="CF41" s="32"/>
      <c r="CG41" s="54"/>
      <c r="CH41" s="21" t="str">
        <f>IFERROR(VLOOKUP(April[[#This Row],[Drug Name9]],'Data Options'!$R$1:$S$100,2,FALSE), " ")</f>
        <v xml:space="preserve"> </v>
      </c>
      <c r="CI41" s="55"/>
      <c r="CJ41" s="32"/>
      <c r="CK41" s="32"/>
      <c r="CL41" s="55"/>
      <c r="CM41" s="32"/>
    </row>
    <row r="42" spans="1:91">
      <c r="A42" s="5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54"/>
      <c r="R42" s="21" t="str">
        <f>IFERROR(VLOOKUP(April[[#This Row],[Drug Name]],'Data Options'!$R$1:$S$100,2,FALSE), " ")</f>
        <v xml:space="preserve"> </v>
      </c>
      <c r="S42" s="55"/>
      <c r="T42" s="32"/>
      <c r="U42" s="32"/>
      <c r="V42" s="55"/>
      <c r="W42" s="32"/>
      <c r="X42" s="54"/>
      <c r="Y42" s="21" t="str">
        <f>IFERROR(VLOOKUP(April[[#This Row],[Drug Name2]],'Data Options'!$R$1:$S$100,2,FALSE), " ")</f>
        <v xml:space="preserve"> </v>
      </c>
      <c r="Z42" s="55"/>
      <c r="AA42" s="32"/>
      <c r="AB42" s="32"/>
      <c r="AC42" s="55"/>
      <c r="AD42" s="32"/>
      <c r="AE42" s="54"/>
      <c r="AF42" s="21" t="str">
        <f>IFERROR(VLOOKUP(April[[#This Row],[Drug Name3]],'Data Options'!$R$1:$S$100,2,FALSE), " ")</f>
        <v xml:space="preserve"> </v>
      </c>
      <c r="AG42" s="55"/>
      <c r="AH42" s="32"/>
      <c r="AI42" s="32"/>
      <c r="AJ42" s="55"/>
      <c r="AK42" s="32"/>
      <c r="AL42" s="32"/>
      <c r="AM42" s="32"/>
      <c r="AN42" s="32"/>
      <c r="AO42" s="32"/>
      <c r="AP42" s="31"/>
      <c r="AQ42" s="31"/>
      <c r="AR42" s="54"/>
      <c r="AS42" s="21" t="str">
        <f>IFERROR(VLOOKUP(April[[#This Row],[Drug Name4]],'Data Options'!$R$1:$S$100,2,FALSE), " ")</f>
        <v xml:space="preserve"> </v>
      </c>
      <c r="AT42" s="55"/>
      <c r="AU42" s="32"/>
      <c r="AV42" s="32"/>
      <c r="AW42" s="55"/>
      <c r="AX42" s="32"/>
      <c r="AY42" s="54"/>
      <c r="AZ42" s="21" t="str">
        <f>IFERROR(VLOOKUP(April[[#This Row],[Drug Name5]],'Data Options'!$R$1:$S$100,2,FALSE), " ")</f>
        <v xml:space="preserve"> </v>
      </c>
      <c r="BA42" s="55"/>
      <c r="BB42" s="32"/>
      <c r="BC42" s="32"/>
      <c r="BD42" s="55"/>
      <c r="BE42" s="32"/>
      <c r="BF42" s="54"/>
      <c r="BG42" s="21" t="str">
        <f>IFERROR(VLOOKUP(April[[#This Row],[Drug Name6]],'Data Options'!$R$1:$S$100,2,FALSE), " ")</f>
        <v xml:space="preserve"> </v>
      </c>
      <c r="BH42" s="55"/>
      <c r="BI42" s="32"/>
      <c r="BJ42" s="32"/>
      <c r="BK42" s="55"/>
      <c r="BL42" s="32"/>
      <c r="BM42" s="32"/>
      <c r="BN42" s="32"/>
      <c r="BO42" s="32"/>
      <c r="BP42" s="32"/>
      <c r="BQ42" s="31"/>
      <c r="BR42" s="31"/>
      <c r="BS42" s="54"/>
      <c r="BT42" s="21" t="str">
        <f>IFERROR(VLOOKUP(April[[#This Row],[Drug Name7]],'Data Options'!$R$1:$S$100,2,FALSE), " ")</f>
        <v xml:space="preserve"> </v>
      </c>
      <c r="BU42" s="55"/>
      <c r="BV42" s="32"/>
      <c r="BW42" s="32"/>
      <c r="BX42" s="55"/>
      <c r="BY42" s="32"/>
      <c r="BZ42" s="54"/>
      <c r="CA42" s="21" t="str">
        <f>IFERROR(VLOOKUP(April[[#This Row],[Drug Name8]],'Data Options'!$R$1:$S$100,2,FALSE), " ")</f>
        <v xml:space="preserve"> </v>
      </c>
      <c r="CB42" s="55"/>
      <c r="CC42" s="32"/>
      <c r="CD42" s="32"/>
      <c r="CE42" s="55"/>
      <c r="CF42" s="32"/>
      <c r="CG42" s="54"/>
      <c r="CH42" s="21" t="str">
        <f>IFERROR(VLOOKUP(April[[#This Row],[Drug Name9]],'Data Options'!$R$1:$S$100,2,FALSE), " ")</f>
        <v xml:space="preserve"> </v>
      </c>
      <c r="CI42" s="55"/>
      <c r="CJ42" s="32"/>
      <c r="CK42" s="32"/>
      <c r="CL42" s="55"/>
      <c r="CM42" s="32"/>
    </row>
    <row r="43" spans="1:91">
      <c r="A43" s="5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54"/>
      <c r="R43" s="21" t="str">
        <f>IFERROR(VLOOKUP(April[[#This Row],[Drug Name]],'Data Options'!$R$1:$S$100,2,FALSE), " ")</f>
        <v xml:space="preserve"> </v>
      </c>
      <c r="S43" s="55"/>
      <c r="T43" s="32"/>
      <c r="U43" s="32"/>
      <c r="V43" s="55"/>
      <c r="W43" s="32"/>
      <c r="X43" s="54"/>
      <c r="Y43" s="21" t="str">
        <f>IFERROR(VLOOKUP(April[[#This Row],[Drug Name2]],'Data Options'!$R$1:$S$100,2,FALSE), " ")</f>
        <v xml:space="preserve"> </v>
      </c>
      <c r="Z43" s="55"/>
      <c r="AA43" s="32"/>
      <c r="AB43" s="32"/>
      <c r="AC43" s="55"/>
      <c r="AD43" s="32"/>
      <c r="AE43" s="54"/>
      <c r="AF43" s="21" t="str">
        <f>IFERROR(VLOOKUP(April[[#This Row],[Drug Name3]],'Data Options'!$R$1:$S$100,2,FALSE), " ")</f>
        <v xml:space="preserve"> </v>
      </c>
      <c r="AG43" s="55"/>
      <c r="AH43" s="32"/>
      <c r="AI43" s="32"/>
      <c r="AJ43" s="55"/>
      <c r="AK43" s="32"/>
      <c r="AL43" s="32"/>
      <c r="AM43" s="32"/>
      <c r="AN43" s="32"/>
      <c r="AO43" s="32"/>
      <c r="AP43" s="31"/>
      <c r="AQ43" s="31"/>
      <c r="AR43" s="54"/>
      <c r="AS43" s="21" t="str">
        <f>IFERROR(VLOOKUP(April[[#This Row],[Drug Name4]],'Data Options'!$R$1:$S$100,2,FALSE), " ")</f>
        <v xml:space="preserve"> </v>
      </c>
      <c r="AT43" s="55"/>
      <c r="AU43" s="32"/>
      <c r="AV43" s="32"/>
      <c r="AW43" s="55"/>
      <c r="AX43" s="32"/>
      <c r="AY43" s="54"/>
      <c r="AZ43" s="21" t="str">
        <f>IFERROR(VLOOKUP(April[[#This Row],[Drug Name5]],'Data Options'!$R$1:$S$100,2,FALSE), " ")</f>
        <v xml:space="preserve"> </v>
      </c>
      <c r="BA43" s="55"/>
      <c r="BB43" s="32"/>
      <c r="BC43" s="32"/>
      <c r="BD43" s="55"/>
      <c r="BE43" s="32"/>
      <c r="BF43" s="54"/>
      <c r="BG43" s="21" t="str">
        <f>IFERROR(VLOOKUP(April[[#This Row],[Drug Name6]],'Data Options'!$R$1:$S$100,2,FALSE), " ")</f>
        <v xml:space="preserve"> </v>
      </c>
      <c r="BH43" s="55"/>
      <c r="BI43" s="32"/>
      <c r="BJ43" s="32"/>
      <c r="BK43" s="55"/>
      <c r="BL43" s="32"/>
      <c r="BM43" s="32"/>
      <c r="BN43" s="32"/>
      <c r="BO43" s="32"/>
      <c r="BP43" s="32"/>
      <c r="BQ43" s="31"/>
      <c r="BR43" s="31"/>
      <c r="BS43" s="54"/>
      <c r="BT43" s="21" t="str">
        <f>IFERROR(VLOOKUP(April[[#This Row],[Drug Name7]],'Data Options'!$R$1:$S$100,2,FALSE), " ")</f>
        <v xml:space="preserve"> </v>
      </c>
      <c r="BU43" s="55"/>
      <c r="BV43" s="32"/>
      <c r="BW43" s="32"/>
      <c r="BX43" s="55"/>
      <c r="BY43" s="32"/>
      <c r="BZ43" s="54"/>
      <c r="CA43" s="21" t="str">
        <f>IFERROR(VLOOKUP(April[[#This Row],[Drug Name8]],'Data Options'!$R$1:$S$100,2,FALSE), " ")</f>
        <v xml:space="preserve"> </v>
      </c>
      <c r="CB43" s="55"/>
      <c r="CC43" s="32"/>
      <c r="CD43" s="32"/>
      <c r="CE43" s="55"/>
      <c r="CF43" s="32"/>
      <c r="CG43" s="54"/>
      <c r="CH43" s="21" t="str">
        <f>IFERROR(VLOOKUP(April[[#This Row],[Drug Name9]],'Data Options'!$R$1:$S$100,2,FALSE), " ")</f>
        <v xml:space="preserve"> </v>
      </c>
      <c r="CI43" s="55"/>
      <c r="CJ43" s="32"/>
      <c r="CK43" s="32"/>
      <c r="CL43" s="55"/>
      <c r="CM43" s="32"/>
    </row>
    <row r="44" spans="1:9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54"/>
      <c r="R44" s="21" t="str">
        <f>IFERROR(VLOOKUP(April[[#This Row],[Drug Name]],'Data Options'!$R$1:$S$100,2,FALSE), " ")</f>
        <v xml:space="preserve"> </v>
      </c>
      <c r="S44" s="55"/>
      <c r="T44" s="32"/>
      <c r="U44" s="32"/>
      <c r="V44" s="55"/>
      <c r="W44" s="32"/>
      <c r="X44" s="54"/>
      <c r="Y44" s="21" t="str">
        <f>IFERROR(VLOOKUP(April[[#This Row],[Drug Name2]],'Data Options'!$R$1:$S$100,2,FALSE), " ")</f>
        <v xml:space="preserve"> </v>
      </c>
      <c r="Z44" s="55"/>
      <c r="AA44" s="32"/>
      <c r="AB44" s="32"/>
      <c r="AC44" s="55"/>
      <c r="AD44" s="32"/>
      <c r="AE44" s="54"/>
      <c r="AF44" s="21" t="str">
        <f>IFERROR(VLOOKUP(April[[#This Row],[Drug Name3]],'Data Options'!$R$1:$S$100,2,FALSE), " ")</f>
        <v xml:space="preserve"> </v>
      </c>
      <c r="AG44" s="55"/>
      <c r="AH44" s="32"/>
      <c r="AI44" s="32"/>
      <c r="AJ44" s="55"/>
      <c r="AK44" s="32"/>
      <c r="AL44" s="32"/>
      <c r="AM44" s="32"/>
      <c r="AN44" s="32"/>
      <c r="AO44" s="32"/>
      <c r="AP44" s="31"/>
      <c r="AQ44" s="31"/>
      <c r="AR44" s="54"/>
      <c r="AS44" s="21" t="str">
        <f>IFERROR(VLOOKUP(April[[#This Row],[Drug Name4]],'Data Options'!$R$1:$S$100,2,FALSE), " ")</f>
        <v xml:space="preserve"> </v>
      </c>
      <c r="AT44" s="55"/>
      <c r="AU44" s="32"/>
      <c r="AV44" s="32"/>
      <c r="AW44" s="55"/>
      <c r="AX44" s="32"/>
      <c r="AY44" s="54"/>
      <c r="AZ44" s="21" t="str">
        <f>IFERROR(VLOOKUP(April[[#This Row],[Drug Name5]],'Data Options'!$R$1:$S$100,2,FALSE), " ")</f>
        <v xml:space="preserve"> </v>
      </c>
      <c r="BA44" s="55"/>
      <c r="BB44" s="32"/>
      <c r="BC44" s="32"/>
      <c r="BD44" s="55"/>
      <c r="BE44" s="32"/>
      <c r="BF44" s="54"/>
      <c r="BG44" s="21" t="str">
        <f>IFERROR(VLOOKUP(April[[#This Row],[Drug Name6]],'Data Options'!$R$1:$S$100,2,FALSE), " ")</f>
        <v xml:space="preserve"> </v>
      </c>
      <c r="BH44" s="55"/>
      <c r="BI44" s="32"/>
      <c r="BJ44" s="32"/>
      <c r="BK44" s="55"/>
      <c r="BL44" s="32"/>
      <c r="BM44" s="32"/>
      <c r="BN44" s="32"/>
      <c r="BO44" s="32"/>
      <c r="BP44" s="32"/>
      <c r="BQ44" s="31"/>
      <c r="BR44" s="31"/>
      <c r="BS44" s="54"/>
      <c r="BT44" s="21" t="str">
        <f>IFERROR(VLOOKUP(April[[#This Row],[Drug Name7]],'Data Options'!$R$1:$S$100,2,FALSE), " ")</f>
        <v xml:space="preserve"> </v>
      </c>
      <c r="BU44" s="55"/>
      <c r="BV44" s="32"/>
      <c r="BW44" s="32"/>
      <c r="BX44" s="55"/>
      <c r="BY44" s="32"/>
      <c r="BZ44" s="54"/>
      <c r="CA44" s="21" t="str">
        <f>IFERROR(VLOOKUP(April[[#This Row],[Drug Name8]],'Data Options'!$R$1:$S$100,2,FALSE), " ")</f>
        <v xml:space="preserve"> </v>
      </c>
      <c r="CB44" s="55"/>
      <c r="CC44" s="32"/>
      <c r="CD44" s="32"/>
      <c r="CE44" s="55"/>
      <c r="CF44" s="32"/>
      <c r="CG44" s="54"/>
      <c r="CH44" s="21" t="str">
        <f>IFERROR(VLOOKUP(April[[#This Row],[Drug Name9]],'Data Options'!$R$1:$S$100,2,FALSE), " ")</f>
        <v xml:space="preserve"> </v>
      </c>
      <c r="CI44" s="55"/>
      <c r="CJ44" s="32"/>
      <c r="CK44" s="32"/>
      <c r="CL44" s="55"/>
      <c r="CM44" s="32"/>
    </row>
    <row r="45" spans="1:91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54"/>
      <c r="R45" s="21" t="str">
        <f>IFERROR(VLOOKUP(April[[#This Row],[Drug Name]],'Data Options'!$R$1:$S$100,2,FALSE), " ")</f>
        <v xml:space="preserve"> </v>
      </c>
      <c r="S45" s="55"/>
      <c r="T45" s="32"/>
      <c r="U45" s="32"/>
      <c r="V45" s="55"/>
      <c r="W45" s="32"/>
      <c r="X45" s="54"/>
      <c r="Y45" s="21" t="str">
        <f>IFERROR(VLOOKUP(April[[#This Row],[Drug Name2]],'Data Options'!$R$1:$S$100,2,FALSE), " ")</f>
        <v xml:space="preserve"> </v>
      </c>
      <c r="Z45" s="55"/>
      <c r="AA45" s="32"/>
      <c r="AB45" s="32"/>
      <c r="AC45" s="55"/>
      <c r="AD45" s="32"/>
      <c r="AE45" s="54"/>
      <c r="AF45" s="21" t="str">
        <f>IFERROR(VLOOKUP(April[[#This Row],[Drug Name3]],'Data Options'!$R$1:$S$100,2,FALSE), " ")</f>
        <v xml:space="preserve"> </v>
      </c>
      <c r="AG45" s="55"/>
      <c r="AH45" s="32"/>
      <c r="AI45" s="32"/>
      <c r="AJ45" s="55"/>
      <c r="AK45" s="32"/>
      <c r="AL45" s="32"/>
      <c r="AM45" s="32"/>
      <c r="AN45" s="32"/>
      <c r="AO45" s="32"/>
      <c r="AP45" s="31"/>
      <c r="AQ45" s="31"/>
      <c r="AR45" s="54"/>
      <c r="AS45" s="21" t="str">
        <f>IFERROR(VLOOKUP(April[[#This Row],[Drug Name4]],'Data Options'!$R$1:$S$100,2,FALSE), " ")</f>
        <v xml:space="preserve"> </v>
      </c>
      <c r="AT45" s="55"/>
      <c r="AU45" s="32"/>
      <c r="AV45" s="32"/>
      <c r="AW45" s="55"/>
      <c r="AX45" s="32"/>
      <c r="AY45" s="54"/>
      <c r="AZ45" s="21" t="str">
        <f>IFERROR(VLOOKUP(April[[#This Row],[Drug Name5]],'Data Options'!$R$1:$S$100,2,FALSE), " ")</f>
        <v xml:space="preserve"> </v>
      </c>
      <c r="BA45" s="55"/>
      <c r="BB45" s="32"/>
      <c r="BC45" s="32"/>
      <c r="BD45" s="55"/>
      <c r="BE45" s="32"/>
      <c r="BF45" s="54"/>
      <c r="BG45" s="21" t="str">
        <f>IFERROR(VLOOKUP(April[[#This Row],[Drug Name6]],'Data Options'!$R$1:$S$100,2,FALSE), " ")</f>
        <v xml:space="preserve"> </v>
      </c>
      <c r="BH45" s="55"/>
      <c r="BI45" s="32"/>
      <c r="BJ45" s="32"/>
      <c r="BK45" s="55"/>
      <c r="BL45" s="32"/>
      <c r="BM45" s="32"/>
      <c r="BN45" s="32"/>
      <c r="BO45" s="32"/>
      <c r="BP45" s="32"/>
      <c r="BQ45" s="31"/>
      <c r="BR45" s="31"/>
      <c r="BS45" s="54"/>
      <c r="BT45" s="21" t="str">
        <f>IFERROR(VLOOKUP(April[[#This Row],[Drug Name7]],'Data Options'!$R$1:$S$100,2,FALSE), " ")</f>
        <v xml:space="preserve"> </v>
      </c>
      <c r="BU45" s="55"/>
      <c r="BV45" s="32"/>
      <c r="BW45" s="32"/>
      <c r="BX45" s="55"/>
      <c r="BY45" s="32"/>
      <c r="BZ45" s="54"/>
      <c r="CA45" s="21" t="str">
        <f>IFERROR(VLOOKUP(April[[#This Row],[Drug Name8]],'Data Options'!$R$1:$S$100,2,FALSE), " ")</f>
        <v xml:space="preserve"> </v>
      </c>
      <c r="CB45" s="55"/>
      <c r="CC45" s="32"/>
      <c r="CD45" s="32"/>
      <c r="CE45" s="55"/>
      <c r="CF45" s="32"/>
      <c r="CG45" s="54"/>
      <c r="CH45" s="21" t="str">
        <f>IFERROR(VLOOKUP(April[[#This Row],[Drug Name9]],'Data Options'!$R$1:$S$100,2,FALSE), " ")</f>
        <v xml:space="preserve"> </v>
      </c>
      <c r="CI45" s="55"/>
      <c r="CJ45" s="32"/>
      <c r="CK45" s="32"/>
      <c r="CL45" s="55"/>
      <c r="CM45" s="32"/>
    </row>
    <row r="46" spans="1:91">
      <c r="A46" s="5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54"/>
      <c r="R46" s="21" t="str">
        <f>IFERROR(VLOOKUP(April[[#This Row],[Drug Name]],'Data Options'!$R$1:$S$100,2,FALSE), " ")</f>
        <v xml:space="preserve"> </v>
      </c>
      <c r="S46" s="55"/>
      <c r="T46" s="32"/>
      <c r="U46" s="32"/>
      <c r="V46" s="55"/>
      <c r="W46" s="32"/>
      <c r="X46" s="54"/>
      <c r="Y46" s="21" t="str">
        <f>IFERROR(VLOOKUP(April[[#This Row],[Drug Name2]],'Data Options'!$R$1:$S$100,2,FALSE), " ")</f>
        <v xml:space="preserve"> </v>
      </c>
      <c r="Z46" s="55"/>
      <c r="AA46" s="32"/>
      <c r="AB46" s="32"/>
      <c r="AC46" s="55"/>
      <c r="AD46" s="32"/>
      <c r="AE46" s="54"/>
      <c r="AF46" s="21" t="str">
        <f>IFERROR(VLOOKUP(April[[#This Row],[Drug Name3]],'Data Options'!$R$1:$S$100,2,FALSE), " ")</f>
        <v xml:space="preserve"> </v>
      </c>
      <c r="AG46" s="55"/>
      <c r="AH46" s="32"/>
      <c r="AI46" s="32"/>
      <c r="AJ46" s="55"/>
      <c r="AK46" s="32"/>
      <c r="AL46" s="32"/>
      <c r="AM46" s="32"/>
      <c r="AN46" s="32"/>
      <c r="AO46" s="32"/>
      <c r="AP46" s="31"/>
      <c r="AQ46" s="31"/>
      <c r="AR46" s="54"/>
      <c r="AS46" s="21" t="str">
        <f>IFERROR(VLOOKUP(April[[#This Row],[Drug Name4]],'Data Options'!$R$1:$S$100,2,FALSE), " ")</f>
        <v xml:space="preserve"> </v>
      </c>
      <c r="AT46" s="55"/>
      <c r="AU46" s="32"/>
      <c r="AV46" s="32"/>
      <c r="AW46" s="55"/>
      <c r="AX46" s="32"/>
      <c r="AY46" s="54"/>
      <c r="AZ46" s="21" t="str">
        <f>IFERROR(VLOOKUP(April[[#This Row],[Drug Name5]],'Data Options'!$R$1:$S$100,2,FALSE), " ")</f>
        <v xml:space="preserve"> </v>
      </c>
      <c r="BA46" s="55"/>
      <c r="BB46" s="32"/>
      <c r="BC46" s="32"/>
      <c r="BD46" s="55"/>
      <c r="BE46" s="32"/>
      <c r="BF46" s="54"/>
      <c r="BG46" s="21" t="str">
        <f>IFERROR(VLOOKUP(April[[#This Row],[Drug Name6]],'Data Options'!$R$1:$S$100,2,FALSE), " ")</f>
        <v xml:space="preserve"> </v>
      </c>
      <c r="BH46" s="55"/>
      <c r="BI46" s="32"/>
      <c r="BJ46" s="32"/>
      <c r="BK46" s="55"/>
      <c r="BL46" s="32"/>
      <c r="BM46" s="32"/>
      <c r="BN46" s="32"/>
      <c r="BO46" s="32"/>
      <c r="BP46" s="32"/>
      <c r="BQ46" s="31"/>
      <c r="BR46" s="31"/>
      <c r="BS46" s="54"/>
      <c r="BT46" s="21" t="str">
        <f>IFERROR(VLOOKUP(April[[#This Row],[Drug Name7]],'Data Options'!$R$1:$S$100,2,FALSE), " ")</f>
        <v xml:space="preserve"> </v>
      </c>
      <c r="BU46" s="55"/>
      <c r="BV46" s="32"/>
      <c r="BW46" s="32"/>
      <c r="BX46" s="55"/>
      <c r="BY46" s="32"/>
      <c r="BZ46" s="54"/>
      <c r="CA46" s="21" t="str">
        <f>IFERROR(VLOOKUP(April[[#This Row],[Drug Name8]],'Data Options'!$R$1:$S$100,2,FALSE), " ")</f>
        <v xml:space="preserve"> </v>
      </c>
      <c r="CB46" s="55"/>
      <c r="CC46" s="32"/>
      <c r="CD46" s="32"/>
      <c r="CE46" s="55"/>
      <c r="CF46" s="32"/>
      <c r="CG46" s="54"/>
      <c r="CH46" s="21" t="str">
        <f>IFERROR(VLOOKUP(April[[#This Row],[Drug Name9]],'Data Options'!$R$1:$S$100,2,FALSE), " ")</f>
        <v xml:space="preserve"> </v>
      </c>
      <c r="CI46" s="55"/>
      <c r="CJ46" s="32"/>
      <c r="CK46" s="32"/>
      <c r="CL46" s="55"/>
      <c r="CM46" s="32"/>
    </row>
    <row r="47" spans="1:9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54"/>
      <c r="R47" s="21" t="str">
        <f>IFERROR(VLOOKUP(April[[#This Row],[Drug Name]],'Data Options'!$R$1:$S$100,2,FALSE), " ")</f>
        <v xml:space="preserve"> </v>
      </c>
      <c r="S47" s="55"/>
      <c r="T47" s="32"/>
      <c r="U47" s="32"/>
      <c r="V47" s="55"/>
      <c r="W47" s="32"/>
      <c r="X47" s="54"/>
      <c r="Y47" s="21" t="str">
        <f>IFERROR(VLOOKUP(April[[#This Row],[Drug Name2]],'Data Options'!$R$1:$S$100,2,FALSE), " ")</f>
        <v xml:space="preserve"> </v>
      </c>
      <c r="Z47" s="55"/>
      <c r="AA47" s="32"/>
      <c r="AB47" s="32"/>
      <c r="AC47" s="55"/>
      <c r="AD47" s="32"/>
      <c r="AE47" s="54"/>
      <c r="AF47" s="21" t="str">
        <f>IFERROR(VLOOKUP(April[[#This Row],[Drug Name3]],'Data Options'!$R$1:$S$100,2,FALSE), " ")</f>
        <v xml:space="preserve"> </v>
      </c>
      <c r="AG47" s="55"/>
      <c r="AH47" s="32"/>
      <c r="AI47" s="32"/>
      <c r="AJ47" s="55"/>
      <c r="AK47" s="32"/>
      <c r="AL47" s="32"/>
      <c r="AM47" s="32"/>
      <c r="AN47" s="32"/>
      <c r="AO47" s="32"/>
      <c r="AP47" s="31"/>
      <c r="AQ47" s="31"/>
      <c r="AR47" s="54"/>
      <c r="AS47" s="21" t="str">
        <f>IFERROR(VLOOKUP(April[[#This Row],[Drug Name4]],'Data Options'!$R$1:$S$100,2,FALSE), " ")</f>
        <v xml:space="preserve"> </v>
      </c>
      <c r="AT47" s="55"/>
      <c r="AU47" s="32"/>
      <c r="AV47" s="32"/>
      <c r="AW47" s="55"/>
      <c r="AX47" s="32"/>
      <c r="AY47" s="54"/>
      <c r="AZ47" s="21" t="str">
        <f>IFERROR(VLOOKUP(April[[#This Row],[Drug Name5]],'Data Options'!$R$1:$S$100,2,FALSE), " ")</f>
        <v xml:space="preserve"> </v>
      </c>
      <c r="BA47" s="55"/>
      <c r="BB47" s="32"/>
      <c r="BC47" s="32"/>
      <c r="BD47" s="55"/>
      <c r="BE47" s="32"/>
      <c r="BF47" s="54"/>
      <c r="BG47" s="21" t="str">
        <f>IFERROR(VLOOKUP(April[[#This Row],[Drug Name6]],'Data Options'!$R$1:$S$100,2,FALSE), " ")</f>
        <v xml:space="preserve"> </v>
      </c>
      <c r="BH47" s="55"/>
      <c r="BI47" s="32"/>
      <c r="BJ47" s="32"/>
      <c r="BK47" s="55"/>
      <c r="BL47" s="32"/>
      <c r="BM47" s="32"/>
      <c r="BN47" s="32"/>
      <c r="BO47" s="32"/>
      <c r="BP47" s="32"/>
      <c r="BQ47" s="31"/>
      <c r="BR47" s="31"/>
      <c r="BS47" s="54"/>
      <c r="BT47" s="21" t="str">
        <f>IFERROR(VLOOKUP(April[[#This Row],[Drug Name7]],'Data Options'!$R$1:$S$100,2,FALSE), " ")</f>
        <v xml:space="preserve"> </v>
      </c>
      <c r="BU47" s="55"/>
      <c r="BV47" s="32"/>
      <c r="BW47" s="32"/>
      <c r="BX47" s="55"/>
      <c r="BY47" s="32"/>
      <c r="BZ47" s="54"/>
      <c r="CA47" s="21" t="str">
        <f>IFERROR(VLOOKUP(April[[#This Row],[Drug Name8]],'Data Options'!$R$1:$S$100,2,FALSE), " ")</f>
        <v xml:space="preserve"> </v>
      </c>
      <c r="CB47" s="55"/>
      <c r="CC47" s="32"/>
      <c r="CD47" s="32"/>
      <c r="CE47" s="55"/>
      <c r="CF47" s="32"/>
      <c r="CG47" s="54"/>
      <c r="CH47" s="21" t="str">
        <f>IFERROR(VLOOKUP(April[[#This Row],[Drug Name9]],'Data Options'!$R$1:$S$100,2,FALSE), " ")</f>
        <v xml:space="preserve"> </v>
      </c>
      <c r="CI47" s="55"/>
      <c r="CJ47" s="32"/>
      <c r="CK47" s="32"/>
      <c r="CL47" s="55"/>
      <c r="CM47" s="32"/>
    </row>
    <row r="48" spans="1:9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54"/>
      <c r="R48" s="21" t="str">
        <f>IFERROR(VLOOKUP(April[[#This Row],[Drug Name]],'Data Options'!$R$1:$S$100,2,FALSE), " ")</f>
        <v xml:space="preserve"> </v>
      </c>
      <c r="S48" s="55"/>
      <c r="T48" s="32"/>
      <c r="U48" s="32"/>
      <c r="V48" s="55"/>
      <c r="W48" s="32"/>
      <c r="X48" s="54"/>
      <c r="Y48" s="21" t="str">
        <f>IFERROR(VLOOKUP(April[[#This Row],[Drug Name2]],'Data Options'!$R$1:$S$100,2,FALSE), " ")</f>
        <v xml:space="preserve"> </v>
      </c>
      <c r="Z48" s="55"/>
      <c r="AA48" s="32"/>
      <c r="AB48" s="32"/>
      <c r="AC48" s="55"/>
      <c r="AD48" s="32"/>
      <c r="AE48" s="54"/>
      <c r="AF48" s="21" t="str">
        <f>IFERROR(VLOOKUP(April[[#This Row],[Drug Name3]],'Data Options'!$R$1:$S$100,2,FALSE), " ")</f>
        <v xml:space="preserve"> </v>
      </c>
      <c r="AG48" s="55"/>
      <c r="AH48" s="32"/>
      <c r="AI48" s="32"/>
      <c r="AJ48" s="55"/>
      <c r="AK48" s="32"/>
      <c r="AL48" s="32"/>
      <c r="AM48" s="32"/>
      <c r="AN48" s="32"/>
      <c r="AO48" s="32"/>
      <c r="AP48" s="31"/>
      <c r="AQ48" s="31"/>
      <c r="AR48" s="54"/>
      <c r="AS48" s="21" t="str">
        <f>IFERROR(VLOOKUP(April[[#This Row],[Drug Name4]],'Data Options'!$R$1:$S$100,2,FALSE), " ")</f>
        <v xml:space="preserve"> </v>
      </c>
      <c r="AT48" s="55"/>
      <c r="AU48" s="32"/>
      <c r="AV48" s="32"/>
      <c r="AW48" s="55"/>
      <c r="AX48" s="32"/>
      <c r="AY48" s="54"/>
      <c r="AZ48" s="21" t="str">
        <f>IFERROR(VLOOKUP(April[[#This Row],[Drug Name5]],'Data Options'!$R$1:$S$100,2,FALSE), " ")</f>
        <v xml:space="preserve"> </v>
      </c>
      <c r="BA48" s="55"/>
      <c r="BB48" s="32"/>
      <c r="BC48" s="32"/>
      <c r="BD48" s="55"/>
      <c r="BE48" s="32"/>
      <c r="BF48" s="54"/>
      <c r="BG48" s="21" t="str">
        <f>IFERROR(VLOOKUP(April[[#This Row],[Drug Name6]],'Data Options'!$R$1:$S$100,2,FALSE), " ")</f>
        <v xml:space="preserve"> </v>
      </c>
      <c r="BH48" s="55"/>
      <c r="BI48" s="32"/>
      <c r="BJ48" s="32"/>
      <c r="BK48" s="55"/>
      <c r="BL48" s="32"/>
      <c r="BM48" s="32"/>
      <c r="BN48" s="32"/>
      <c r="BO48" s="32"/>
      <c r="BP48" s="32"/>
      <c r="BQ48" s="31"/>
      <c r="BR48" s="31"/>
      <c r="BS48" s="54"/>
      <c r="BT48" s="21" t="str">
        <f>IFERROR(VLOOKUP(April[[#This Row],[Drug Name7]],'Data Options'!$R$1:$S$100,2,FALSE), " ")</f>
        <v xml:space="preserve"> </v>
      </c>
      <c r="BU48" s="55"/>
      <c r="BV48" s="32"/>
      <c r="BW48" s="32"/>
      <c r="BX48" s="55"/>
      <c r="BY48" s="32"/>
      <c r="BZ48" s="54"/>
      <c r="CA48" s="21" t="str">
        <f>IFERROR(VLOOKUP(April[[#This Row],[Drug Name8]],'Data Options'!$R$1:$S$100,2,FALSE), " ")</f>
        <v xml:space="preserve"> </v>
      </c>
      <c r="CB48" s="55"/>
      <c r="CC48" s="32"/>
      <c r="CD48" s="32"/>
      <c r="CE48" s="55"/>
      <c r="CF48" s="32"/>
      <c r="CG48" s="54"/>
      <c r="CH48" s="21" t="str">
        <f>IFERROR(VLOOKUP(April[[#This Row],[Drug Name9]],'Data Options'!$R$1:$S$100,2,FALSE), " ")</f>
        <v xml:space="preserve"> </v>
      </c>
      <c r="CI48" s="55"/>
      <c r="CJ48" s="32"/>
      <c r="CK48" s="32"/>
      <c r="CL48" s="55"/>
      <c r="CM48" s="32"/>
    </row>
    <row r="49" spans="1:9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54"/>
      <c r="R49" s="21" t="str">
        <f>IFERROR(VLOOKUP(April[[#This Row],[Drug Name]],'Data Options'!$R$1:$S$100,2,FALSE), " ")</f>
        <v xml:space="preserve"> </v>
      </c>
      <c r="S49" s="55"/>
      <c r="T49" s="32"/>
      <c r="U49" s="32"/>
      <c r="V49" s="55"/>
      <c r="W49" s="32"/>
      <c r="X49" s="54"/>
      <c r="Y49" s="21" t="str">
        <f>IFERROR(VLOOKUP(April[[#This Row],[Drug Name2]],'Data Options'!$R$1:$S$100,2,FALSE), " ")</f>
        <v xml:space="preserve"> </v>
      </c>
      <c r="Z49" s="55"/>
      <c r="AA49" s="32"/>
      <c r="AB49" s="32"/>
      <c r="AC49" s="55"/>
      <c r="AD49" s="32"/>
      <c r="AE49" s="54"/>
      <c r="AF49" s="21" t="str">
        <f>IFERROR(VLOOKUP(April[[#This Row],[Drug Name3]],'Data Options'!$R$1:$S$100,2,FALSE), " ")</f>
        <v xml:space="preserve"> </v>
      </c>
      <c r="AG49" s="55"/>
      <c r="AH49" s="32"/>
      <c r="AI49" s="32"/>
      <c r="AJ49" s="55"/>
      <c r="AK49" s="32"/>
      <c r="AL49" s="32"/>
      <c r="AM49" s="32"/>
      <c r="AN49" s="32"/>
      <c r="AO49" s="32"/>
      <c r="AP49" s="31"/>
      <c r="AQ49" s="31"/>
      <c r="AR49" s="54"/>
      <c r="AS49" s="21" t="str">
        <f>IFERROR(VLOOKUP(April[[#This Row],[Drug Name4]],'Data Options'!$R$1:$S$100,2,FALSE), " ")</f>
        <v xml:space="preserve"> </v>
      </c>
      <c r="AT49" s="55"/>
      <c r="AU49" s="32"/>
      <c r="AV49" s="32"/>
      <c r="AW49" s="55"/>
      <c r="AX49" s="32"/>
      <c r="AY49" s="54"/>
      <c r="AZ49" s="21" t="str">
        <f>IFERROR(VLOOKUP(April[[#This Row],[Drug Name5]],'Data Options'!$R$1:$S$100,2,FALSE), " ")</f>
        <v xml:space="preserve"> </v>
      </c>
      <c r="BA49" s="55"/>
      <c r="BB49" s="32"/>
      <c r="BC49" s="32"/>
      <c r="BD49" s="55"/>
      <c r="BE49" s="32"/>
      <c r="BF49" s="54"/>
      <c r="BG49" s="21" t="str">
        <f>IFERROR(VLOOKUP(April[[#This Row],[Drug Name6]],'Data Options'!$R$1:$S$100,2,FALSE), " ")</f>
        <v xml:space="preserve"> </v>
      </c>
      <c r="BH49" s="55"/>
      <c r="BI49" s="32"/>
      <c r="BJ49" s="32"/>
      <c r="BK49" s="55"/>
      <c r="BL49" s="32"/>
      <c r="BM49" s="32"/>
      <c r="BN49" s="32"/>
      <c r="BO49" s="32"/>
      <c r="BP49" s="32"/>
      <c r="BQ49" s="31"/>
      <c r="BR49" s="31"/>
      <c r="BS49" s="54"/>
      <c r="BT49" s="21" t="str">
        <f>IFERROR(VLOOKUP(April[[#This Row],[Drug Name7]],'Data Options'!$R$1:$S$100,2,FALSE), " ")</f>
        <v xml:space="preserve"> </v>
      </c>
      <c r="BU49" s="55"/>
      <c r="BV49" s="32"/>
      <c r="BW49" s="32"/>
      <c r="BX49" s="55"/>
      <c r="BY49" s="32"/>
      <c r="BZ49" s="54"/>
      <c r="CA49" s="21" t="str">
        <f>IFERROR(VLOOKUP(April[[#This Row],[Drug Name8]],'Data Options'!$R$1:$S$100,2,FALSE), " ")</f>
        <v xml:space="preserve"> </v>
      </c>
      <c r="CB49" s="55"/>
      <c r="CC49" s="32"/>
      <c r="CD49" s="32"/>
      <c r="CE49" s="55"/>
      <c r="CF49" s="32"/>
      <c r="CG49" s="54"/>
      <c r="CH49" s="21" t="str">
        <f>IFERROR(VLOOKUP(April[[#This Row],[Drug Name9]],'Data Options'!$R$1:$S$100,2,FALSE), " ")</f>
        <v xml:space="preserve"> </v>
      </c>
      <c r="CI49" s="55"/>
      <c r="CJ49" s="32"/>
      <c r="CK49" s="32"/>
      <c r="CL49" s="55"/>
      <c r="CM49" s="32"/>
    </row>
    <row r="50" spans="1:91">
      <c r="A50" s="5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54"/>
      <c r="R50" s="21" t="str">
        <f>IFERROR(VLOOKUP(April[[#This Row],[Drug Name]],'Data Options'!$R$1:$S$100,2,FALSE), " ")</f>
        <v xml:space="preserve"> </v>
      </c>
      <c r="S50" s="55"/>
      <c r="T50" s="32"/>
      <c r="U50" s="32"/>
      <c r="V50" s="55"/>
      <c r="W50" s="32"/>
      <c r="X50" s="54"/>
      <c r="Y50" s="21" t="str">
        <f>IFERROR(VLOOKUP(April[[#This Row],[Drug Name2]],'Data Options'!$R$1:$S$100,2,FALSE), " ")</f>
        <v xml:space="preserve"> </v>
      </c>
      <c r="Z50" s="55"/>
      <c r="AA50" s="32"/>
      <c r="AB50" s="32"/>
      <c r="AC50" s="55"/>
      <c r="AD50" s="32"/>
      <c r="AE50" s="54"/>
      <c r="AF50" s="21" t="str">
        <f>IFERROR(VLOOKUP(April[[#This Row],[Drug Name3]],'Data Options'!$R$1:$S$100,2,FALSE), " ")</f>
        <v xml:space="preserve"> </v>
      </c>
      <c r="AG50" s="55"/>
      <c r="AH50" s="32"/>
      <c r="AI50" s="32"/>
      <c r="AJ50" s="55"/>
      <c r="AK50" s="32"/>
      <c r="AL50" s="32"/>
      <c r="AM50" s="32"/>
      <c r="AN50" s="32"/>
      <c r="AO50" s="32"/>
      <c r="AP50" s="31"/>
      <c r="AQ50" s="31"/>
      <c r="AR50" s="54"/>
      <c r="AS50" s="21" t="str">
        <f>IFERROR(VLOOKUP(April[[#This Row],[Drug Name4]],'Data Options'!$R$1:$S$100,2,FALSE), " ")</f>
        <v xml:space="preserve"> </v>
      </c>
      <c r="AT50" s="55"/>
      <c r="AU50" s="32"/>
      <c r="AV50" s="32"/>
      <c r="AW50" s="55"/>
      <c r="AX50" s="32"/>
      <c r="AY50" s="54"/>
      <c r="AZ50" s="21" t="str">
        <f>IFERROR(VLOOKUP(April[[#This Row],[Drug Name5]],'Data Options'!$R$1:$S$100,2,FALSE), " ")</f>
        <v xml:space="preserve"> </v>
      </c>
      <c r="BA50" s="55"/>
      <c r="BB50" s="32"/>
      <c r="BC50" s="32"/>
      <c r="BD50" s="55"/>
      <c r="BE50" s="32"/>
      <c r="BF50" s="54"/>
      <c r="BG50" s="21" t="str">
        <f>IFERROR(VLOOKUP(April[[#This Row],[Drug Name6]],'Data Options'!$R$1:$S$100,2,FALSE), " ")</f>
        <v xml:space="preserve"> </v>
      </c>
      <c r="BH50" s="55"/>
      <c r="BI50" s="32"/>
      <c r="BJ50" s="32"/>
      <c r="BK50" s="55"/>
      <c r="BL50" s="32"/>
      <c r="BM50" s="32"/>
      <c r="BN50" s="32"/>
      <c r="BO50" s="32"/>
      <c r="BP50" s="32"/>
      <c r="BQ50" s="31"/>
      <c r="BR50" s="31"/>
      <c r="BS50" s="54"/>
      <c r="BT50" s="21" t="str">
        <f>IFERROR(VLOOKUP(April[[#This Row],[Drug Name7]],'Data Options'!$R$1:$S$100,2,FALSE), " ")</f>
        <v xml:space="preserve"> </v>
      </c>
      <c r="BU50" s="55"/>
      <c r="BV50" s="32"/>
      <c r="BW50" s="32"/>
      <c r="BX50" s="55"/>
      <c r="BY50" s="32"/>
      <c r="BZ50" s="54"/>
      <c r="CA50" s="21" t="str">
        <f>IFERROR(VLOOKUP(April[[#This Row],[Drug Name8]],'Data Options'!$R$1:$S$100,2,FALSE), " ")</f>
        <v xml:space="preserve"> </v>
      </c>
      <c r="CB50" s="55"/>
      <c r="CC50" s="32"/>
      <c r="CD50" s="32"/>
      <c r="CE50" s="55"/>
      <c r="CF50" s="32"/>
      <c r="CG50" s="54"/>
      <c r="CH50" s="21" t="str">
        <f>IFERROR(VLOOKUP(April[[#This Row],[Drug Name9]],'Data Options'!$R$1:$S$100,2,FALSE), " ")</f>
        <v xml:space="preserve"> </v>
      </c>
      <c r="CI50" s="55"/>
      <c r="CJ50" s="32"/>
      <c r="CK50" s="32"/>
      <c r="CL50" s="55"/>
      <c r="CM50" s="32"/>
    </row>
    <row r="51" spans="1:9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54"/>
      <c r="R51" s="21" t="str">
        <f>IFERROR(VLOOKUP(April[[#This Row],[Drug Name]],'Data Options'!$R$1:$S$100,2,FALSE), " ")</f>
        <v xml:space="preserve"> </v>
      </c>
      <c r="S51" s="55"/>
      <c r="T51" s="32"/>
      <c r="U51" s="32"/>
      <c r="V51" s="55"/>
      <c r="W51" s="32"/>
      <c r="X51" s="54"/>
      <c r="Y51" s="21" t="str">
        <f>IFERROR(VLOOKUP(April[[#This Row],[Drug Name2]],'Data Options'!$R$1:$S$100,2,FALSE), " ")</f>
        <v xml:space="preserve"> </v>
      </c>
      <c r="Z51" s="55"/>
      <c r="AA51" s="32"/>
      <c r="AB51" s="32"/>
      <c r="AC51" s="55"/>
      <c r="AD51" s="32"/>
      <c r="AE51" s="54"/>
      <c r="AF51" s="21" t="str">
        <f>IFERROR(VLOOKUP(April[[#This Row],[Drug Name3]],'Data Options'!$R$1:$S$100,2,FALSE), " ")</f>
        <v xml:space="preserve"> </v>
      </c>
      <c r="AG51" s="55"/>
      <c r="AH51" s="32"/>
      <c r="AI51" s="32"/>
      <c r="AJ51" s="55"/>
      <c r="AK51" s="32"/>
      <c r="AL51" s="32"/>
      <c r="AM51" s="32"/>
      <c r="AN51" s="32"/>
      <c r="AO51" s="32"/>
      <c r="AP51" s="31"/>
      <c r="AQ51" s="31"/>
      <c r="AR51" s="54"/>
      <c r="AS51" s="21" t="str">
        <f>IFERROR(VLOOKUP(April[[#This Row],[Drug Name4]],'Data Options'!$R$1:$S$100,2,FALSE), " ")</f>
        <v xml:space="preserve"> </v>
      </c>
      <c r="AT51" s="55"/>
      <c r="AU51" s="32"/>
      <c r="AV51" s="32"/>
      <c r="AW51" s="55"/>
      <c r="AX51" s="32"/>
      <c r="AY51" s="54"/>
      <c r="AZ51" s="21" t="str">
        <f>IFERROR(VLOOKUP(April[[#This Row],[Drug Name5]],'Data Options'!$R$1:$S$100,2,FALSE), " ")</f>
        <v xml:space="preserve"> </v>
      </c>
      <c r="BA51" s="55"/>
      <c r="BB51" s="32"/>
      <c r="BC51" s="32"/>
      <c r="BD51" s="55"/>
      <c r="BE51" s="32"/>
      <c r="BF51" s="54"/>
      <c r="BG51" s="21" t="str">
        <f>IFERROR(VLOOKUP(April[[#This Row],[Drug Name6]],'Data Options'!$R$1:$S$100,2,FALSE), " ")</f>
        <v xml:space="preserve"> </v>
      </c>
      <c r="BH51" s="55"/>
      <c r="BI51" s="32"/>
      <c r="BJ51" s="32"/>
      <c r="BK51" s="55"/>
      <c r="BL51" s="32"/>
      <c r="BM51" s="32"/>
      <c r="BN51" s="32"/>
      <c r="BO51" s="32"/>
      <c r="BP51" s="32"/>
      <c r="BQ51" s="31"/>
      <c r="BR51" s="31"/>
      <c r="BS51" s="54"/>
      <c r="BT51" s="21" t="str">
        <f>IFERROR(VLOOKUP(April[[#This Row],[Drug Name7]],'Data Options'!$R$1:$S$100,2,FALSE), " ")</f>
        <v xml:space="preserve"> </v>
      </c>
      <c r="BU51" s="55"/>
      <c r="BV51" s="32"/>
      <c r="BW51" s="32"/>
      <c r="BX51" s="55"/>
      <c r="BY51" s="32"/>
      <c r="BZ51" s="54"/>
      <c r="CA51" s="21" t="str">
        <f>IFERROR(VLOOKUP(April[[#This Row],[Drug Name8]],'Data Options'!$R$1:$S$100,2,FALSE), " ")</f>
        <v xml:space="preserve"> </v>
      </c>
      <c r="CB51" s="55"/>
      <c r="CC51" s="32"/>
      <c r="CD51" s="32"/>
      <c r="CE51" s="55"/>
      <c r="CF51" s="32"/>
      <c r="CG51" s="54"/>
      <c r="CH51" s="21" t="str">
        <f>IFERROR(VLOOKUP(April[[#This Row],[Drug Name9]],'Data Options'!$R$1:$S$100,2,FALSE), " ")</f>
        <v xml:space="preserve"> </v>
      </c>
      <c r="CI51" s="55"/>
      <c r="CJ51" s="32"/>
      <c r="CK51" s="32"/>
      <c r="CL51" s="55"/>
      <c r="CM51" s="32"/>
    </row>
    <row r="52" spans="1:9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54"/>
      <c r="R52" s="21" t="str">
        <f>IFERROR(VLOOKUP(April[[#This Row],[Drug Name]],'Data Options'!$R$1:$S$100,2,FALSE), " ")</f>
        <v xml:space="preserve"> </v>
      </c>
      <c r="S52" s="55"/>
      <c r="T52" s="32"/>
      <c r="U52" s="32"/>
      <c r="V52" s="55"/>
      <c r="W52" s="32"/>
      <c r="X52" s="54"/>
      <c r="Y52" s="21" t="str">
        <f>IFERROR(VLOOKUP(April[[#This Row],[Drug Name2]],'Data Options'!$R$1:$S$100,2,FALSE), " ")</f>
        <v xml:space="preserve"> </v>
      </c>
      <c r="Z52" s="55"/>
      <c r="AA52" s="32"/>
      <c r="AB52" s="32"/>
      <c r="AC52" s="55"/>
      <c r="AD52" s="32"/>
      <c r="AE52" s="54"/>
      <c r="AF52" s="21" t="str">
        <f>IFERROR(VLOOKUP(April[[#This Row],[Drug Name3]],'Data Options'!$R$1:$S$100,2,FALSE), " ")</f>
        <v xml:space="preserve"> </v>
      </c>
      <c r="AG52" s="55"/>
      <c r="AH52" s="32"/>
      <c r="AI52" s="32"/>
      <c r="AJ52" s="55"/>
      <c r="AK52" s="32"/>
      <c r="AL52" s="32"/>
      <c r="AM52" s="32"/>
      <c r="AN52" s="32"/>
      <c r="AO52" s="32"/>
      <c r="AP52" s="31"/>
      <c r="AQ52" s="31"/>
      <c r="AR52" s="54"/>
      <c r="AS52" s="21" t="str">
        <f>IFERROR(VLOOKUP(April[[#This Row],[Drug Name4]],'Data Options'!$R$1:$S$100,2,FALSE), " ")</f>
        <v xml:space="preserve"> </v>
      </c>
      <c r="AT52" s="55"/>
      <c r="AU52" s="32"/>
      <c r="AV52" s="32"/>
      <c r="AW52" s="55"/>
      <c r="AX52" s="32"/>
      <c r="AY52" s="54"/>
      <c r="AZ52" s="21" t="str">
        <f>IFERROR(VLOOKUP(April[[#This Row],[Drug Name5]],'Data Options'!$R$1:$S$100,2,FALSE), " ")</f>
        <v xml:space="preserve"> </v>
      </c>
      <c r="BA52" s="55"/>
      <c r="BB52" s="32"/>
      <c r="BC52" s="32"/>
      <c r="BD52" s="55"/>
      <c r="BE52" s="32"/>
      <c r="BF52" s="54"/>
      <c r="BG52" s="21" t="str">
        <f>IFERROR(VLOOKUP(April[[#This Row],[Drug Name6]],'Data Options'!$R$1:$S$100,2,FALSE), " ")</f>
        <v xml:space="preserve"> </v>
      </c>
      <c r="BH52" s="55"/>
      <c r="BI52" s="32"/>
      <c r="BJ52" s="32"/>
      <c r="BK52" s="55"/>
      <c r="BL52" s="32"/>
      <c r="BM52" s="32"/>
      <c r="BN52" s="32"/>
      <c r="BO52" s="32"/>
      <c r="BP52" s="32"/>
      <c r="BQ52" s="31"/>
      <c r="BR52" s="31"/>
      <c r="BS52" s="54"/>
      <c r="BT52" s="21" t="str">
        <f>IFERROR(VLOOKUP(April[[#This Row],[Drug Name7]],'Data Options'!$R$1:$S$100,2,FALSE), " ")</f>
        <v xml:space="preserve"> </v>
      </c>
      <c r="BU52" s="55"/>
      <c r="BV52" s="32"/>
      <c r="BW52" s="32"/>
      <c r="BX52" s="55"/>
      <c r="BY52" s="32"/>
      <c r="BZ52" s="54"/>
      <c r="CA52" s="21" t="str">
        <f>IFERROR(VLOOKUP(April[[#This Row],[Drug Name8]],'Data Options'!$R$1:$S$100,2,FALSE), " ")</f>
        <v xml:space="preserve"> </v>
      </c>
      <c r="CB52" s="55"/>
      <c r="CC52" s="32"/>
      <c r="CD52" s="32"/>
      <c r="CE52" s="55"/>
      <c r="CF52" s="32"/>
      <c r="CG52" s="54"/>
      <c r="CH52" s="21" t="str">
        <f>IFERROR(VLOOKUP(April[[#This Row],[Drug Name9]],'Data Options'!$R$1:$S$100,2,FALSE), " ")</f>
        <v xml:space="preserve"> </v>
      </c>
      <c r="CI52" s="55"/>
      <c r="CJ52" s="32"/>
      <c r="CK52" s="32"/>
      <c r="CL52" s="55"/>
      <c r="CM52" s="32"/>
    </row>
    <row r="53" spans="1:91">
      <c r="A53" s="5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54"/>
      <c r="R53" s="21" t="str">
        <f>IFERROR(VLOOKUP(April[[#This Row],[Drug Name]],'Data Options'!$R$1:$S$100,2,FALSE), " ")</f>
        <v xml:space="preserve"> </v>
      </c>
      <c r="S53" s="55"/>
      <c r="T53" s="32"/>
      <c r="U53" s="32"/>
      <c r="V53" s="55"/>
      <c r="W53" s="32"/>
      <c r="X53" s="54"/>
      <c r="Y53" s="21" t="str">
        <f>IFERROR(VLOOKUP(April[[#This Row],[Drug Name2]],'Data Options'!$R$1:$S$100,2,FALSE), " ")</f>
        <v xml:space="preserve"> </v>
      </c>
      <c r="Z53" s="55"/>
      <c r="AA53" s="32"/>
      <c r="AB53" s="32"/>
      <c r="AC53" s="55"/>
      <c r="AD53" s="32"/>
      <c r="AE53" s="54"/>
      <c r="AF53" s="21" t="str">
        <f>IFERROR(VLOOKUP(April[[#This Row],[Drug Name3]],'Data Options'!$R$1:$S$100,2,FALSE), " ")</f>
        <v xml:space="preserve"> </v>
      </c>
      <c r="AG53" s="55"/>
      <c r="AH53" s="32"/>
      <c r="AI53" s="32"/>
      <c r="AJ53" s="55"/>
      <c r="AK53" s="32"/>
      <c r="AL53" s="32"/>
      <c r="AM53" s="32"/>
      <c r="AN53" s="32"/>
      <c r="AO53" s="32"/>
      <c r="AP53" s="31"/>
      <c r="AQ53" s="31"/>
      <c r="AR53" s="54"/>
      <c r="AS53" s="21" t="str">
        <f>IFERROR(VLOOKUP(April[[#This Row],[Drug Name4]],'Data Options'!$R$1:$S$100,2,FALSE), " ")</f>
        <v xml:space="preserve"> </v>
      </c>
      <c r="AT53" s="55"/>
      <c r="AU53" s="32"/>
      <c r="AV53" s="32"/>
      <c r="AW53" s="55"/>
      <c r="AX53" s="32"/>
      <c r="AY53" s="54"/>
      <c r="AZ53" s="21" t="str">
        <f>IFERROR(VLOOKUP(April[[#This Row],[Drug Name5]],'Data Options'!$R$1:$S$100,2,FALSE), " ")</f>
        <v xml:space="preserve"> </v>
      </c>
      <c r="BA53" s="55"/>
      <c r="BB53" s="32"/>
      <c r="BC53" s="32"/>
      <c r="BD53" s="55"/>
      <c r="BE53" s="32"/>
      <c r="BF53" s="54"/>
      <c r="BG53" s="21" t="str">
        <f>IFERROR(VLOOKUP(April[[#This Row],[Drug Name6]],'Data Options'!$R$1:$S$100,2,FALSE), " ")</f>
        <v xml:space="preserve"> </v>
      </c>
      <c r="BH53" s="55"/>
      <c r="BI53" s="32"/>
      <c r="BJ53" s="32"/>
      <c r="BK53" s="55"/>
      <c r="BL53" s="32"/>
      <c r="BM53" s="32"/>
      <c r="BN53" s="32"/>
      <c r="BO53" s="32"/>
      <c r="BP53" s="32"/>
      <c r="BQ53" s="31"/>
      <c r="BR53" s="31"/>
      <c r="BS53" s="54"/>
      <c r="BT53" s="21" t="str">
        <f>IFERROR(VLOOKUP(April[[#This Row],[Drug Name7]],'Data Options'!$R$1:$S$100,2,FALSE), " ")</f>
        <v xml:space="preserve"> </v>
      </c>
      <c r="BU53" s="55"/>
      <c r="BV53" s="32"/>
      <c r="BW53" s="32"/>
      <c r="BX53" s="55"/>
      <c r="BY53" s="32"/>
      <c r="BZ53" s="54"/>
      <c r="CA53" s="21" t="str">
        <f>IFERROR(VLOOKUP(April[[#This Row],[Drug Name8]],'Data Options'!$R$1:$S$100,2,FALSE), " ")</f>
        <v xml:space="preserve"> </v>
      </c>
      <c r="CB53" s="55"/>
      <c r="CC53" s="32"/>
      <c r="CD53" s="32"/>
      <c r="CE53" s="55"/>
      <c r="CF53" s="32"/>
      <c r="CG53" s="54"/>
      <c r="CH53" s="21" t="str">
        <f>IFERROR(VLOOKUP(April[[#This Row],[Drug Name9]],'Data Options'!$R$1:$S$100,2,FALSE), " ")</f>
        <v xml:space="preserve"> </v>
      </c>
      <c r="CI53" s="55"/>
      <c r="CJ53" s="32"/>
      <c r="CK53" s="32"/>
      <c r="CL53" s="55"/>
      <c r="CM53" s="32"/>
    </row>
    <row r="54" spans="1:91">
      <c r="A54" s="5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54"/>
      <c r="R54" s="21" t="str">
        <f>IFERROR(VLOOKUP(April[[#This Row],[Drug Name]],'Data Options'!$R$1:$S$100,2,FALSE), " ")</f>
        <v xml:space="preserve"> </v>
      </c>
      <c r="S54" s="55"/>
      <c r="T54" s="32"/>
      <c r="U54" s="32"/>
      <c r="V54" s="55"/>
      <c r="W54" s="32"/>
      <c r="X54" s="54"/>
      <c r="Y54" s="21" t="str">
        <f>IFERROR(VLOOKUP(April[[#This Row],[Drug Name2]],'Data Options'!$R$1:$S$100,2,FALSE), " ")</f>
        <v xml:space="preserve"> </v>
      </c>
      <c r="Z54" s="55"/>
      <c r="AA54" s="32"/>
      <c r="AB54" s="32"/>
      <c r="AC54" s="55"/>
      <c r="AD54" s="32"/>
      <c r="AE54" s="54"/>
      <c r="AF54" s="21" t="str">
        <f>IFERROR(VLOOKUP(April[[#This Row],[Drug Name3]],'Data Options'!$R$1:$S$100,2,FALSE), " ")</f>
        <v xml:space="preserve"> </v>
      </c>
      <c r="AG54" s="55"/>
      <c r="AH54" s="32"/>
      <c r="AI54" s="32"/>
      <c r="AJ54" s="55"/>
      <c r="AK54" s="32"/>
      <c r="AL54" s="32"/>
      <c r="AM54" s="32"/>
      <c r="AN54" s="32"/>
      <c r="AO54" s="32"/>
      <c r="AP54" s="31"/>
      <c r="AQ54" s="31"/>
      <c r="AR54" s="54"/>
      <c r="AS54" s="21" t="str">
        <f>IFERROR(VLOOKUP(April[[#This Row],[Drug Name4]],'Data Options'!$R$1:$S$100,2,FALSE), " ")</f>
        <v xml:space="preserve"> </v>
      </c>
      <c r="AT54" s="55"/>
      <c r="AU54" s="32"/>
      <c r="AV54" s="32"/>
      <c r="AW54" s="55"/>
      <c r="AX54" s="32"/>
      <c r="AY54" s="54"/>
      <c r="AZ54" s="21" t="str">
        <f>IFERROR(VLOOKUP(April[[#This Row],[Drug Name5]],'Data Options'!$R$1:$S$100,2,FALSE), " ")</f>
        <v xml:space="preserve"> </v>
      </c>
      <c r="BA54" s="55"/>
      <c r="BB54" s="32"/>
      <c r="BC54" s="32"/>
      <c r="BD54" s="55"/>
      <c r="BE54" s="32"/>
      <c r="BF54" s="54"/>
      <c r="BG54" s="21" t="str">
        <f>IFERROR(VLOOKUP(April[[#This Row],[Drug Name6]],'Data Options'!$R$1:$S$100,2,FALSE), " ")</f>
        <v xml:space="preserve"> </v>
      </c>
      <c r="BH54" s="55"/>
      <c r="BI54" s="32"/>
      <c r="BJ54" s="32"/>
      <c r="BK54" s="55"/>
      <c r="BL54" s="32"/>
      <c r="BM54" s="32"/>
      <c r="BN54" s="32"/>
      <c r="BO54" s="32"/>
      <c r="BP54" s="32"/>
      <c r="BQ54" s="31"/>
      <c r="BR54" s="31"/>
      <c r="BS54" s="54"/>
      <c r="BT54" s="21" t="str">
        <f>IFERROR(VLOOKUP(April[[#This Row],[Drug Name7]],'Data Options'!$R$1:$S$100,2,FALSE), " ")</f>
        <v xml:space="preserve"> </v>
      </c>
      <c r="BU54" s="55"/>
      <c r="BV54" s="32"/>
      <c r="BW54" s="32"/>
      <c r="BX54" s="55"/>
      <c r="BY54" s="32"/>
      <c r="BZ54" s="54"/>
      <c r="CA54" s="21" t="str">
        <f>IFERROR(VLOOKUP(April[[#This Row],[Drug Name8]],'Data Options'!$R$1:$S$100,2,FALSE), " ")</f>
        <v xml:space="preserve"> </v>
      </c>
      <c r="CB54" s="55"/>
      <c r="CC54" s="32"/>
      <c r="CD54" s="32"/>
      <c r="CE54" s="55"/>
      <c r="CF54" s="32"/>
      <c r="CG54" s="54"/>
      <c r="CH54" s="21" t="str">
        <f>IFERROR(VLOOKUP(April[[#This Row],[Drug Name9]],'Data Options'!$R$1:$S$100,2,FALSE), " ")</f>
        <v xml:space="preserve"> </v>
      </c>
      <c r="CI54" s="55"/>
      <c r="CJ54" s="32"/>
      <c r="CK54" s="32"/>
      <c r="CL54" s="55"/>
      <c r="CM54" s="32"/>
    </row>
    <row r="55" spans="1:91">
      <c r="A55" s="5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54"/>
      <c r="R55" s="21" t="str">
        <f>IFERROR(VLOOKUP(April[[#This Row],[Drug Name]],'Data Options'!$R$1:$S$100,2,FALSE), " ")</f>
        <v xml:space="preserve"> </v>
      </c>
      <c r="S55" s="55"/>
      <c r="T55" s="32"/>
      <c r="U55" s="32"/>
      <c r="V55" s="55"/>
      <c r="W55" s="32"/>
      <c r="X55" s="54"/>
      <c r="Y55" s="21" t="str">
        <f>IFERROR(VLOOKUP(April[[#This Row],[Drug Name2]],'Data Options'!$R$1:$S$100,2,FALSE), " ")</f>
        <v xml:space="preserve"> </v>
      </c>
      <c r="Z55" s="55"/>
      <c r="AA55" s="32"/>
      <c r="AB55" s="32"/>
      <c r="AC55" s="55"/>
      <c r="AD55" s="32"/>
      <c r="AE55" s="54"/>
      <c r="AF55" s="21" t="str">
        <f>IFERROR(VLOOKUP(April[[#This Row],[Drug Name3]],'Data Options'!$R$1:$S$100,2,FALSE), " ")</f>
        <v xml:space="preserve"> </v>
      </c>
      <c r="AG55" s="55"/>
      <c r="AH55" s="32"/>
      <c r="AI55" s="32"/>
      <c r="AJ55" s="55"/>
      <c r="AK55" s="32"/>
      <c r="AL55" s="32"/>
      <c r="AM55" s="32"/>
      <c r="AN55" s="32"/>
      <c r="AO55" s="32"/>
      <c r="AP55" s="31"/>
      <c r="AQ55" s="31"/>
      <c r="AR55" s="54"/>
      <c r="AS55" s="21" t="str">
        <f>IFERROR(VLOOKUP(April[[#This Row],[Drug Name4]],'Data Options'!$R$1:$S$100,2,FALSE), " ")</f>
        <v xml:space="preserve"> </v>
      </c>
      <c r="AT55" s="55"/>
      <c r="AU55" s="32"/>
      <c r="AV55" s="32"/>
      <c r="AW55" s="55"/>
      <c r="AX55" s="32"/>
      <c r="AY55" s="54"/>
      <c r="AZ55" s="21" t="str">
        <f>IFERROR(VLOOKUP(April[[#This Row],[Drug Name5]],'Data Options'!$R$1:$S$100,2,FALSE), " ")</f>
        <v xml:space="preserve"> </v>
      </c>
      <c r="BA55" s="55"/>
      <c r="BB55" s="32"/>
      <c r="BC55" s="32"/>
      <c r="BD55" s="55"/>
      <c r="BE55" s="32"/>
      <c r="BF55" s="54"/>
      <c r="BG55" s="21" t="str">
        <f>IFERROR(VLOOKUP(April[[#This Row],[Drug Name6]],'Data Options'!$R$1:$S$100,2,FALSE), " ")</f>
        <v xml:space="preserve"> </v>
      </c>
      <c r="BH55" s="55"/>
      <c r="BI55" s="32"/>
      <c r="BJ55" s="32"/>
      <c r="BK55" s="55"/>
      <c r="BL55" s="32"/>
      <c r="BM55" s="32"/>
      <c r="BN55" s="32"/>
      <c r="BO55" s="32"/>
      <c r="BP55" s="32"/>
      <c r="BQ55" s="31"/>
      <c r="BR55" s="31"/>
      <c r="BS55" s="54"/>
      <c r="BT55" s="21" t="str">
        <f>IFERROR(VLOOKUP(April[[#This Row],[Drug Name7]],'Data Options'!$R$1:$S$100,2,FALSE), " ")</f>
        <v xml:space="preserve"> </v>
      </c>
      <c r="BU55" s="55"/>
      <c r="BV55" s="32"/>
      <c r="BW55" s="32"/>
      <c r="BX55" s="55"/>
      <c r="BY55" s="32"/>
      <c r="BZ55" s="54"/>
      <c r="CA55" s="21" t="str">
        <f>IFERROR(VLOOKUP(April[[#This Row],[Drug Name8]],'Data Options'!$R$1:$S$100,2,FALSE), " ")</f>
        <v xml:space="preserve"> </v>
      </c>
      <c r="CB55" s="55"/>
      <c r="CC55" s="32"/>
      <c r="CD55" s="32"/>
      <c r="CE55" s="55"/>
      <c r="CF55" s="32"/>
      <c r="CG55" s="54"/>
      <c r="CH55" s="21" t="str">
        <f>IFERROR(VLOOKUP(April[[#This Row],[Drug Name9]],'Data Options'!$R$1:$S$100,2,FALSE), " ")</f>
        <v xml:space="preserve"> </v>
      </c>
      <c r="CI55" s="55"/>
      <c r="CJ55" s="32"/>
      <c r="CK55" s="32"/>
      <c r="CL55" s="55"/>
      <c r="CM55" s="32"/>
    </row>
    <row r="56" spans="1:91">
      <c r="A56" s="5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54"/>
      <c r="R56" s="21" t="str">
        <f>IFERROR(VLOOKUP(April[[#This Row],[Drug Name]],'Data Options'!$R$1:$S$100,2,FALSE), " ")</f>
        <v xml:space="preserve"> </v>
      </c>
      <c r="S56" s="55"/>
      <c r="T56" s="32"/>
      <c r="U56" s="32"/>
      <c r="V56" s="55"/>
      <c r="W56" s="32"/>
      <c r="X56" s="54"/>
      <c r="Y56" s="21" t="str">
        <f>IFERROR(VLOOKUP(April[[#This Row],[Drug Name2]],'Data Options'!$R$1:$S$100,2,FALSE), " ")</f>
        <v xml:space="preserve"> </v>
      </c>
      <c r="Z56" s="55"/>
      <c r="AA56" s="32"/>
      <c r="AB56" s="32"/>
      <c r="AC56" s="55"/>
      <c r="AD56" s="32"/>
      <c r="AE56" s="54"/>
      <c r="AF56" s="21" t="str">
        <f>IFERROR(VLOOKUP(April[[#This Row],[Drug Name3]],'Data Options'!$R$1:$S$100,2,FALSE), " ")</f>
        <v xml:space="preserve"> </v>
      </c>
      <c r="AG56" s="55"/>
      <c r="AH56" s="32"/>
      <c r="AI56" s="32"/>
      <c r="AJ56" s="55"/>
      <c r="AK56" s="32"/>
      <c r="AL56" s="32"/>
      <c r="AM56" s="32"/>
      <c r="AN56" s="32"/>
      <c r="AO56" s="32"/>
      <c r="AP56" s="31"/>
      <c r="AQ56" s="31"/>
      <c r="AR56" s="54"/>
      <c r="AS56" s="21" t="str">
        <f>IFERROR(VLOOKUP(April[[#This Row],[Drug Name4]],'Data Options'!$R$1:$S$100,2,FALSE), " ")</f>
        <v xml:space="preserve"> </v>
      </c>
      <c r="AT56" s="55"/>
      <c r="AU56" s="32"/>
      <c r="AV56" s="32"/>
      <c r="AW56" s="55"/>
      <c r="AX56" s="32"/>
      <c r="AY56" s="54"/>
      <c r="AZ56" s="21" t="str">
        <f>IFERROR(VLOOKUP(April[[#This Row],[Drug Name5]],'Data Options'!$R$1:$S$100,2,FALSE), " ")</f>
        <v xml:space="preserve"> </v>
      </c>
      <c r="BA56" s="55"/>
      <c r="BB56" s="32"/>
      <c r="BC56" s="32"/>
      <c r="BD56" s="55"/>
      <c r="BE56" s="32"/>
      <c r="BF56" s="54"/>
      <c r="BG56" s="21" t="str">
        <f>IFERROR(VLOOKUP(April[[#This Row],[Drug Name6]],'Data Options'!$R$1:$S$100,2,FALSE), " ")</f>
        <v xml:space="preserve"> </v>
      </c>
      <c r="BH56" s="55"/>
      <c r="BI56" s="32"/>
      <c r="BJ56" s="32"/>
      <c r="BK56" s="55"/>
      <c r="BL56" s="32"/>
      <c r="BM56" s="32"/>
      <c r="BN56" s="32"/>
      <c r="BO56" s="32"/>
      <c r="BP56" s="32"/>
      <c r="BQ56" s="31"/>
      <c r="BR56" s="31"/>
      <c r="BS56" s="54"/>
      <c r="BT56" s="21" t="str">
        <f>IFERROR(VLOOKUP(April[[#This Row],[Drug Name7]],'Data Options'!$R$1:$S$100,2,FALSE), " ")</f>
        <v xml:space="preserve"> </v>
      </c>
      <c r="BU56" s="55"/>
      <c r="BV56" s="32"/>
      <c r="BW56" s="32"/>
      <c r="BX56" s="55"/>
      <c r="BY56" s="32"/>
      <c r="BZ56" s="54"/>
      <c r="CA56" s="21" t="str">
        <f>IFERROR(VLOOKUP(April[[#This Row],[Drug Name8]],'Data Options'!$R$1:$S$100,2,FALSE), " ")</f>
        <v xml:space="preserve"> </v>
      </c>
      <c r="CB56" s="55"/>
      <c r="CC56" s="32"/>
      <c r="CD56" s="32"/>
      <c r="CE56" s="55"/>
      <c r="CF56" s="32"/>
      <c r="CG56" s="54"/>
      <c r="CH56" s="21" t="str">
        <f>IFERROR(VLOOKUP(April[[#This Row],[Drug Name9]],'Data Options'!$R$1:$S$100,2,FALSE), " ")</f>
        <v xml:space="preserve"> </v>
      </c>
      <c r="CI56" s="55"/>
      <c r="CJ56" s="32"/>
      <c r="CK56" s="32"/>
      <c r="CL56" s="55"/>
      <c r="CM56" s="32"/>
    </row>
    <row r="57" spans="1:91">
      <c r="A57" s="5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31"/>
      <c r="Q57" s="54"/>
      <c r="R57" s="21" t="str">
        <f>IFERROR(VLOOKUP(April[[#This Row],[Drug Name]],'Data Options'!$R$1:$S$100,2,FALSE), " ")</f>
        <v xml:space="preserve"> </v>
      </c>
      <c r="S57" s="55"/>
      <c r="T57" s="32"/>
      <c r="U57" s="32"/>
      <c r="V57" s="55"/>
      <c r="W57" s="32"/>
      <c r="X57" s="54"/>
      <c r="Y57" s="21" t="str">
        <f>IFERROR(VLOOKUP(April[[#This Row],[Drug Name2]],'Data Options'!$R$1:$S$100,2,FALSE), " ")</f>
        <v xml:space="preserve"> </v>
      </c>
      <c r="Z57" s="55"/>
      <c r="AA57" s="32"/>
      <c r="AB57" s="32"/>
      <c r="AC57" s="55"/>
      <c r="AD57" s="32"/>
      <c r="AE57" s="54"/>
      <c r="AF57" s="21" t="str">
        <f>IFERROR(VLOOKUP(April[[#This Row],[Drug Name3]],'Data Options'!$R$1:$S$100,2,FALSE), " ")</f>
        <v xml:space="preserve"> </v>
      </c>
      <c r="AG57" s="55"/>
      <c r="AH57" s="32"/>
      <c r="AI57" s="32"/>
      <c r="AJ57" s="55"/>
      <c r="AK57" s="32"/>
      <c r="AL57" s="32"/>
      <c r="AM57" s="32"/>
      <c r="AN57" s="32"/>
      <c r="AO57" s="32"/>
      <c r="AP57" s="31"/>
      <c r="AQ57" s="31"/>
      <c r="AR57" s="54"/>
      <c r="AS57" s="21" t="str">
        <f>IFERROR(VLOOKUP(April[[#This Row],[Drug Name4]],'Data Options'!$R$1:$S$100,2,FALSE), " ")</f>
        <v xml:space="preserve"> </v>
      </c>
      <c r="AT57" s="55"/>
      <c r="AU57" s="32"/>
      <c r="AV57" s="32"/>
      <c r="AW57" s="55"/>
      <c r="AX57" s="32"/>
      <c r="AY57" s="54"/>
      <c r="AZ57" s="21" t="str">
        <f>IFERROR(VLOOKUP(April[[#This Row],[Drug Name5]],'Data Options'!$R$1:$S$100,2,FALSE), " ")</f>
        <v xml:space="preserve"> </v>
      </c>
      <c r="BA57" s="55"/>
      <c r="BB57" s="32"/>
      <c r="BC57" s="32"/>
      <c r="BD57" s="55"/>
      <c r="BE57" s="32"/>
      <c r="BF57" s="54"/>
      <c r="BG57" s="21" t="str">
        <f>IFERROR(VLOOKUP(April[[#This Row],[Drug Name6]],'Data Options'!$R$1:$S$100,2,FALSE), " ")</f>
        <v xml:space="preserve"> </v>
      </c>
      <c r="BH57" s="55"/>
      <c r="BI57" s="32"/>
      <c r="BJ57" s="32"/>
      <c r="BK57" s="55"/>
      <c r="BL57" s="32"/>
      <c r="BM57" s="32"/>
      <c r="BN57" s="32"/>
      <c r="BO57" s="32"/>
      <c r="BP57" s="32"/>
      <c r="BQ57" s="31"/>
      <c r="BR57" s="31"/>
      <c r="BS57" s="54"/>
      <c r="BT57" s="21" t="str">
        <f>IFERROR(VLOOKUP(April[[#This Row],[Drug Name7]],'Data Options'!$R$1:$S$100,2,FALSE), " ")</f>
        <v xml:space="preserve"> </v>
      </c>
      <c r="BU57" s="55"/>
      <c r="BV57" s="32"/>
      <c r="BW57" s="32"/>
      <c r="BX57" s="55"/>
      <c r="BY57" s="32"/>
      <c r="BZ57" s="54"/>
      <c r="CA57" s="21" t="str">
        <f>IFERROR(VLOOKUP(April[[#This Row],[Drug Name8]],'Data Options'!$R$1:$S$100,2,FALSE), " ")</f>
        <v xml:space="preserve"> </v>
      </c>
      <c r="CB57" s="55"/>
      <c r="CC57" s="32"/>
      <c r="CD57" s="32"/>
      <c r="CE57" s="55"/>
      <c r="CF57" s="32"/>
      <c r="CG57" s="54"/>
      <c r="CH57" s="21" t="str">
        <f>IFERROR(VLOOKUP(April[[#This Row],[Drug Name9]],'Data Options'!$R$1:$S$100,2,FALSE), " ")</f>
        <v xml:space="preserve"> </v>
      </c>
      <c r="CI57" s="55"/>
      <c r="CJ57" s="32"/>
      <c r="CK57" s="32"/>
      <c r="CL57" s="55"/>
      <c r="CM57" s="32"/>
    </row>
    <row r="58" spans="1:9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54"/>
      <c r="R58" s="21" t="str">
        <f>IFERROR(VLOOKUP(April[[#This Row],[Drug Name]],'Data Options'!$R$1:$S$100,2,FALSE), " ")</f>
        <v xml:space="preserve"> </v>
      </c>
      <c r="S58" s="55"/>
      <c r="T58" s="32"/>
      <c r="U58" s="32"/>
      <c r="V58" s="55"/>
      <c r="W58" s="32"/>
      <c r="X58" s="54"/>
      <c r="Y58" s="21" t="str">
        <f>IFERROR(VLOOKUP(April[[#This Row],[Drug Name2]],'Data Options'!$R$1:$S$100,2,FALSE), " ")</f>
        <v xml:space="preserve"> </v>
      </c>
      <c r="Z58" s="55"/>
      <c r="AA58" s="32"/>
      <c r="AB58" s="32"/>
      <c r="AC58" s="55"/>
      <c r="AD58" s="32"/>
      <c r="AE58" s="54"/>
      <c r="AF58" s="21" t="str">
        <f>IFERROR(VLOOKUP(April[[#This Row],[Drug Name3]],'Data Options'!$R$1:$S$100,2,FALSE), " ")</f>
        <v xml:space="preserve"> </v>
      </c>
      <c r="AG58" s="55"/>
      <c r="AH58" s="32"/>
      <c r="AI58" s="32"/>
      <c r="AJ58" s="55"/>
      <c r="AK58" s="32"/>
      <c r="AL58" s="32"/>
      <c r="AM58" s="32"/>
      <c r="AN58" s="32"/>
      <c r="AO58" s="32"/>
      <c r="AP58" s="31"/>
      <c r="AQ58" s="31"/>
      <c r="AR58" s="54"/>
      <c r="AS58" s="21" t="str">
        <f>IFERROR(VLOOKUP(April[[#This Row],[Drug Name4]],'Data Options'!$R$1:$S$100,2,FALSE), " ")</f>
        <v xml:space="preserve"> </v>
      </c>
      <c r="AT58" s="55"/>
      <c r="AU58" s="32"/>
      <c r="AV58" s="32"/>
      <c r="AW58" s="55"/>
      <c r="AX58" s="32"/>
      <c r="AY58" s="54"/>
      <c r="AZ58" s="21" t="str">
        <f>IFERROR(VLOOKUP(April[[#This Row],[Drug Name5]],'Data Options'!$R$1:$S$100,2,FALSE), " ")</f>
        <v xml:space="preserve"> </v>
      </c>
      <c r="BA58" s="55"/>
      <c r="BB58" s="32"/>
      <c r="BC58" s="32"/>
      <c r="BD58" s="55"/>
      <c r="BE58" s="32"/>
      <c r="BF58" s="54"/>
      <c r="BG58" s="21" t="str">
        <f>IFERROR(VLOOKUP(April[[#This Row],[Drug Name6]],'Data Options'!$R$1:$S$100,2,FALSE), " ")</f>
        <v xml:space="preserve"> </v>
      </c>
      <c r="BH58" s="55"/>
      <c r="BI58" s="32"/>
      <c r="BJ58" s="32"/>
      <c r="BK58" s="55"/>
      <c r="BL58" s="32"/>
      <c r="BM58" s="32"/>
      <c r="BN58" s="32"/>
      <c r="BO58" s="32"/>
      <c r="BP58" s="32"/>
      <c r="BQ58" s="31"/>
      <c r="BR58" s="31"/>
      <c r="BS58" s="54"/>
      <c r="BT58" s="21" t="str">
        <f>IFERROR(VLOOKUP(April[[#This Row],[Drug Name7]],'Data Options'!$R$1:$S$100,2,FALSE), " ")</f>
        <v xml:space="preserve"> </v>
      </c>
      <c r="BU58" s="55"/>
      <c r="BV58" s="32"/>
      <c r="BW58" s="32"/>
      <c r="BX58" s="55"/>
      <c r="BY58" s="32"/>
      <c r="BZ58" s="54"/>
      <c r="CA58" s="21" t="str">
        <f>IFERROR(VLOOKUP(April[[#This Row],[Drug Name8]],'Data Options'!$R$1:$S$100,2,FALSE), " ")</f>
        <v xml:space="preserve"> </v>
      </c>
      <c r="CB58" s="55"/>
      <c r="CC58" s="32"/>
      <c r="CD58" s="32"/>
      <c r="CE58" s="55"/>
      <c r="CF58" s="32"/>
      <c r="CG58" s="54"/>
      <c r="CH58" s="21" t="str">
        <f>IFERROR(VLOOKUP(April[[#This Row],[Drug Name9]],'Data Options'!$R$1:$S$100,2,FALSE), " ")</f>
        <v xml:space="preserve"> </v>
      </c>
      <c r="CI58" s="55"/>
      <c r="CJ58" s="32"/>
      <c r="CK58" s="32"/>
      <c r="CL58" s="55"/>
      <c r="CM58" s="32"/>
    </row>
    <row r="59" spans="1:91">
      <c r="A59" s="5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31"/>
      <c r="Q59" s="54"/>
      <c r="R59" s="21" t="str">
        <f>IFERROR(VLOOKUP(April[[#This Row],[Drug Name]],'Data Options'!$R$1:$S$100,2,FALSE), " ")</f>
        <v xml:space="preserve"> </v>
      </c>
      <c r="S59" s="55"/>
      <c r="T59" s="32"/>
      <c r="U59" s="32"/>
      <c r="V59" s="55"/>
      <c r="W59" s="32"/>
      <c r="X59" s="54"/>
      <c r="Y59" s="21" t="str">
        <f>IFERROR(VLOOKUP(April[[#This Row],[Drug Name2]],'Data Options'!$R$1:$S$100,2,FALSE), " ")</f>
        <v xml:space="preserve"> </v>
      </c>
      <c r="Z59" s="55"/>
      <c r="AA59" s="32"/>
      <c r="AB59" s="32"/>
      <c r="AC59" s="55"/>
      <c r="AD59" s="32"/>
      <c r="AE59" s="54"/>
      <c r="AF59" s="21" t="str">
        <f>IFERROR(VLOOKUP(April[[#This Row],[Drug Name3]],'Data Options'!$R$1:$S$100,2,FALSE), " ")</f>
        <v xml:space="preserve"> </v>
      </c>
      <c r="AG59" s="55"/>
      <c r="AH59" s="32"/>
      <c r="AI59" s="32"/>
      <c r="AJ59" s="55"/>
      <c r="AK59" s="32"/>
      <c r="AL59" s="32"/>
      <c r="AM59" s="32"/>
      <c r="AN59" s="32"/>
      <c r="AO59" s="32"/>
      <c r="AP59" s="31"/>
      <c r="AQ59" s="31"/>
      <c r="AR59" s="54"/>
      <c r="AS59" s="21" t="str">
        <f>IFERROR(VLOOKUP(April[[#This Row],[Drug Name4]],'Data Options'!$R$1:$S$100,2,FALSE), " ")</f>
        <v xml:space="preserve"> </v>
      </c>
      <c r="AT59" s="55"/>
      <c r="AU59" s="32"/>
      <c r="AV59" s="32"/>
      <c r="AW59" s="55"/>
      <c r="AX59" s="32"/>
      <c r="AY59" s="54"/>
      <c r="AZ59" s="21" t="str">
        <f>IFERROR(VLOOKUP(April[[#This Row],[Drug Name5]],'Data Options'!$R$1:$S$100,2,FALSE), " ")</f>
        <v xml:space="preserve"> </v>
      </c>
      <c r="BA59" s="55"/>
      <c r="BB59" s="32"/>
      <c r="BC59" s="32"/>
      <c r="BD59" s="55"/>
      <c r="BE59" s="32"/>
      <c r="BF59" s="54"/>
      <c r="BG59" s="21" t="str">
        <f>IFERROR(VLOOKUP(April[[#This Row],[Drug Name6]],'Data Options'!$R$1:$S$100,2,FALSE), " ")</f>
        <v xml:space="preserve"> </v>
      </c>
      <c r="BH59" s="55"/>
      <c r="BI59" s="32"/>
      <c r="BJ59" s="32"/>
      <c r="BK59" s="55"/>
      <c r="BL59" s="32"/>
      <c r="BM59" s="32"/>
      <c r="BN59" s="32"/>
      <c r="BO59" s="32"/>
      <c r="BP59" s="32"/>
      <c r="BQ59" s="31"/>
      <c r="BR59" s="31"/>
      <c r="BS59" s="54"/>
      <c r="BT59" s="21" t="str">
        <f>IFERROR(VLOOKUP(April[[#This Row],[Drug Name7]],'Data Options'!$R$1:$S$100,2,FALSE), " ")</f>
        <v xml:space="preserve"> </v>
      </c>
      <c r="BU59" s="55"/>
      <c r="BV59" s="32"/>
      <c r="BW59" s="32"/>
      <c r="BX59" s="55"/>
      <c r="BY59" s="32"/>
      <c r="BZ59" s="54"/>
      <c r="CA59" s="21" t="str">
        <f>IFERROR(VLOOKUP(April[[#This Row],[Drug Name8]],'Data Options'!$R$1:$S$100,2,FALSE), " ")</f>
        <v xml:space="preserve"> </v>
      </c>
      <c r="CB59" s="55"/>
      <c r="CC59" s="32"/>
      <c r="CD59" s="32"/>
      <c r="CE59" s="55"/>
      <c r="CF59" s="32"/>
      <c r="CG59" s="54"/>
      <c r="CH59" s="21" t="str">
        <f>IFERROR(VLOOKUP(April[[#This Row],[Drug Name9]],'Data Options'!$R$1:$S$100,2,FALSE), " ")</f>
        <v xml:space="preserve"> </v>
      </c>
      <c r="CI59" s="55"/>
      <c r="CJ59" s="32"/>
      <c r="CK59" s="32"/>
      <c r="CL59" s="55"/>
      <c r="CM59" s="32"/>
    </row>
    <row r="60" spans="1:91">
      <c r="A60" s="5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31"/>
      <c r="Q60" s="54"/>
      <c r="R60" s="21" t="str">
        <f>IFERROR(VLOOKUP(April[[#This Row],[Drug Name]],'Data Options'!$R$1:$S$100,2,FALSE), " ")</f>
        <v xml:space="preserve"> </v>
      </c>
      <c r="S60" s="55"/>
      <c r="T60" s="32"/>
      <c r="U60" s="32"/>
      <c r="V60" s="55"/>
      <c r="W60" s="32"/>
      <c r="X60" s="54"/>
      <c r="Y60" s="21" t="str">
        <f>IFERROR(VLOOKUP(April[[#This Row],[Drug Name2]],'Data Options'!$R$1:$S$100,2,FALSE), " ")</f>
        <v xml:space="preserve"> </v>
      </c>
      <c r="Z60" s="55"/>
      <c r="AA60" s="32"/>
      <c r="AB60" s="32"/>
      <c r="AC60" s="55"/>
      <c r="AD60" s="32"/>
      <c r="AE60" s="54"/>
      <c r="AF60" s="21" t="str">
        <f>IFERROR(VLOOKUP(April[[#This Row],[Drug Name3]],'Data Options'!$R$1:$S$100,2,FALSE), " ")</f>
        <v xml:space="preserve"> </v>
      </c>
      <c r="AG60" s="55"/>
      <c r="AH60" s="32"/>
      <c r="AI60" s="32"/>
      <c r="AJ60" s="55"/>
      <c r="AK60" s="32"/>
      <c r="AL60" s="32"/>
      <c r="AM60" s="32"/>
      <c r="AN60" s="32"/>
      <c r="AO60" s="32"/>
      <c r="AP60" s="31"/>
      <c r="AQ60" s="31"/>
      <c r="AR60" s="54"/>
      <c r="AS60" s="21" t="str">
        <f>IFERROR(VLOOKUP(April[[#This Row],[Drug Name4]],'Data Options'!$R$1:$S$100,2,FALSE), " ")</f>
        <v xml:space="preserve"> </v>
      </c>
      <c r="AT60" s="55"/>
      <c r="AU60" s="32"/>
      <c r="AV60" s="32"/>
      <c r="AW60" s="55"/>
      <c r="AX60" s="32"/>
      <c r="AY60" s="54"/>
      <c r="AZ60" s="21" t="str">
        <f>IFERROR(VLOOKUP(April[[#This Row],[Drug Name5]],'Data Options'!$R$1:$S$100,2,FALSE), " ")</f>
        <v xml:space="preserve"> </v>
      </c>
      <c r="BA60" s="55"/>
      <c r="BB60" s="32"/>
      <c r="BC60" s="32"/>
      <c r="BD60" s="55"/>
      <c r="BE60" s="32"/>
      <c r="BF60" s="54"/>
      <c r="BG60" s="21" t="str">
        <f>IFERROR(VLOOKUP(April[[#This Row],[Drug Name6]],'Data Options'!$R$1:$S$100,2,FALSE), " ")</f>
        <v xml:space="preserve"> </v>
      </c>
      <c r="BH60" s="55"/>
      <c r="BI60" s="32"/>
      <c r="BJ60" s="32"/>
      <c r="BK60" s="55"/>
      <c r="BL60" s="32"/>
      <c r="BM60" s="32"/>
      <c r="BN60" s="32"/>
      <c r="BO60" s="32"/>
      <c r="BP60" s="32"/>
      <c r="BQ60" s="31"/>
      <c r="BR60" s="31"/>
      <c r="BS60" s="54"/>
      <c r="BT60" s="21" t="str">
        <f>IFERROR(VLOOKUP(April[[#This Row],[Drug Name7]],'Data Options'!$R$1:$S$100,2,FALSE), " ")</f>
        <v xml:space="preserve"> </v>
      </c>
      <c r="BU60" s="55"/>
      <c r="BV60" s="32"/>
      <c r="BW60" s="32"/>
      <c r="BX60" s="55"/>
      <c r="BY60" s="32"/>
      <c r="BZ60" s="54"/>
      <c r="CA60" s="21" t="str">
        <f>IFERROR(VLOOKUP(April[[#This Row],[Drug Name8]],'Data Options'!$R$1:$S$100,2,FALSE), " ")</f>
        <v xml:space="preserve"> </v>
      </c>
      <c r="CB60" s="55"/>
      <c r="CC60" s="32"/>
      <c r="CD60" s="32"/>
      <c r="CE60" s="55"/>
      <c r="CF60" s="32"/>
      <c r="CG60" s="54"/>
      <c r="CH60" s="21" t="str">
        <f>IFERROR(VLOOKUP(April[[#This Row],[Drug Name9]],'Data Options'!$R$1:$S$100,2,FALSE), " ")</f>
        <v xml:space="preserve"> </v>
      </c>
      <c r="CI60" s="55"/>
      <c r="CJ60" s="32"/>
      <c r="CK60" s="32"/>
      <c r="CL60" s="55"/>
      <c r="CM60" s="32"/>
    </row>
    <row r="61" spans="1:91">
      <c r="A61" s="5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31"/>
      <c r="Q61" s="54"/>
      <c r="R61" s="21" t="str">
        <f>IFERROR(VLOOKUP(April[[#This Row],[Drug Name]],'Data Options'!$R$1:$S$100,2,FALSE), " ")</f>
        <v xml:space="preserve"> </v>
      </c>
      <c r="S61" s="55"/>
      <c r="T61" s="32"/>
      <c r="U61" s="32"/>
      <c r="V61" s="55"/>
      <c r="W61" s="32"/>
      <c r="X61" s="54"/>
      <c r="Y61" s="21" t="str">
        <f>IFERROR(VLOOKUP(April[[#This Row],[Drug Name2]],'Data Options'!$R$1:$S$100,2,FALSE), " ")</f>
        <v xml:space="preserve"> </v>
      </c>
      <c r="Z61" s="55"/>
      <c r="AA61" s="32"/>
      <c r="AB61" s="32"/>
      <c r="AC61" s="55"/>
      <c r="AD61" s="32"/>
      <c r="AE61" s="54"/>
      <c r="AF61" s="21" t="str">
        <f>IFERROR(VLOOKUP(April[[#This Row],[Drug Name3]],'Data Options'!$R$1:$S$100,2,FALSE), " ")</f>
        <v xml:space="preserve"> </v>
      </c>
      <c r="AG61" s="55"/>
      <c r="AH61" s="32"/>
      <c r="AI61" s="32"/>
      <c r="AJ61" s="55"/>
      <c r="AK61" s="32"/>
      <c r="AL61" s="32"/>
      <c r="AM61" s="32"/>
      <c r="AN61" s="32"/>
      <c r="AO61" s="32"/>
      <c r="AP61" s="31"/>
      <c r="AQ61" s="31"/>
      <c r="AR61" s="54"/>
      <c r="AS61" s="21" t="str">
        <f>IFERROR(VLOOKUP(April[[#This Row],[Drug Name4]],'Data Options'!$R$1:$S$100,2,FALSE), " ")</f>
        <v xml:space="preserve"> </v>
      </c>
      <c r="AT61" s="55"/>
      <c r="AU61" s="32"/>
      <c r="AV61" s="32"/>
      <c r="AW61" s="55"/>
      <c r="AX61" s="32"/>
      <c r="AY61" s="54"/>
      <c r="AZ61" s="21" t="str">
        <f>IFERROR(VLOOKUP(April[[#This Row],[Drug Name5]],'Data Options'!$R$1:$S$100,2,FALSE), " ")</f>
        <v xml:space="preserve"> </v>
      </c>
      <c r="BA61" s="55"/>
      <c r="BB61" s="32"/>
      <c r="BC61" s="32"/>
      <c r="BD61" s="55"/>
      <c r="BE61" s="32"/>
      <c r="BF61" s="54"/>
      <c r="BG61" s="21" t="str">
        <f>IFERROR(VLOOKUP(April[[#This Row],[Drug Name6]],'Data Options'!$R$1:$S$100,2,FALSE), " ")</f>
        <v xml:space="preserve"> </v>
      </c>
      <c r="BH61" s="55"/>
      <c r="BI61" s="32"/>
      <c r="BJ61" s="32"/>
      <c r="BK61" s="55"/>
      <c r="BL61" s="32"/>
      <c r="BM61" s="32"/>
      <c r="BN61" s="32"/>
      <c r="BO61" s="32"/>
      <c r="BP61" s="32"/>
      <c r="BQ61" s="31"/>
      <c r="BR61" s="31"/>
      <c r="BS61" s="54"/>
      <c r="BT61" s="21" t="str">
        <f>IFERROR(VLOOKUP(April[[#This Row],[Drug Name7]],'Data Options'!$R$1:$S$100,2,FALSE), " ")</f>
        <v xml:space="preserve"> </v>
      </c>
      <c r="BU61" s="55"/>
      <c r="BV61" s="32"/>
      <c r="BW61" s="32"/>
      <c r="BX61" s="55"/>
      <c r="BY61" s="32"/>
      <c r="BZ61" s="54"/>
      <c r="CA61" s="21" t="str">
        <f>IFERROR(VLOOKUP(April[[#This Row],[Drug Name8]],'Data Options'!$R$1:$S$100,2,FALSE), " ")</f>
        <v xml:space="preserve"> </v>
      </c>
      <c r="CB61" s="55"/>
      <c r="CC61" s="32"/>
      <c r="CD61" s="32"/>
      <c r="CE61" s="55"/>
      <c r="CF61" s="32"/>
      <c r="CG61" s="54"/>
      <c r="CH61" s="21" t="str">
        <f>IFERROR(VLOOKUP(April[[#This Row],[Drug Name9]],'Data Options'!$R$1:$S$100,2,FALSE), " ")</f>
        <v xml:space="preserve"> </v>
      </c>
      <c r="CI61" s="55"/>
      <c r="CJ61" s="32"/>
      <c r="CK61" s="32"/>
      <c r="CL61" s="55"/>
      <c r="CM61" s="32"/>
    </row>
    <row r="62" spans="1:9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31"/>
      <c r="Q62" s="54"/>
      <c r="R62" s="21" t="str">
        <f>IFERROR(VLOOKUP(April[[#This Row],[Drug Name]],'Data Options'!$R$1:$S$100,2,FALSE), " ")</f>
        <v xml:space="preserve"> </v>
      </c>
      <c r="S62" s="55"/>
      <c r="T62" s="32"/>
      <c r="U62" s="32"/>
      <c r="V62" s="55"/>
      <c r="W62" s="32"/>
      <c r="X62" s="54"/>
      <c r="Y62" s="21" t="str">
        <f>IFERROR(VLOOKUP(April[[#This Row],[Drug Name2]],'Data Options'!$R$1:$S$100,2,FALSE), " ")</f>
        <v xml:space="preserve"> </v>
      </c>
      <c r="Z62" s="55"/>
      <c r="AA62" s="32"/>
      <c r="AB62" s="32"/>
      <c r="AC62" s="55"/>
      <c r="AD62" s="32"/>
      <c r="AE62" s="54"/>
      <c r="AF62" s="21" t="str">
        <f>IFERROR(VLOOKUP(April[[#This Row],[Drug Name3]],'Data Options'!$R$1:$S$100,2,FALSE), " ")</f>
        <v xml:space="preserve"> </v>
      </c>
      <c r="AG62" s="55"/>
      <c r="AH62" s="32"/>
      <c r="AI62" s="32"/>
      <c r="AJ62" s="55"/>
      <c r="AK62" s="32"/>
      <c r="AL62" s="32"/>
      <c r="AM62" s="32"/>
      <c r="AN62" s="32"/>
      <c r="AO62" s="32"/>
      <c r="AP62" s="31"/>
      <c r="AQ62" s="31"/>
      <c r="AR62" s="54"/>
      <c r="AS62" s="21" t="str">
        <f>IFERROR(VLOOKUP(April[[#This Row],[Drug Name4]],'Data Options'!$R$1:$S$100,2,FALSE), " ")</f>
        <v xml:space="preserve"> </v>
      </c>
      <c r="AT62" s="55"/>
      <c r="AU62" s="32"/>
      <c r="AV62" s="32"/>
      <c r="AW62" s="55"/>
      <c r="AX62" s="32"/>
      <c r="AY62" s="54"/>
      <c r="AZ62" s="21" t="str">
        <f>IFERROR(VLOOKUP(April[[#This Row],[Drug Name5]],'Data Options'!$R$1:$S$100,2,FALSE), " ")</f>
        <v xml:space="preserve"> </v>
      </c>
      <c r="BA62" s="55"/>
      <c r="BB62" s="32"/>
      <c r="BC62" s="32"/>
      <c r="BD62" s="55"/>
      <c r="BE62" s="32"/>
      <c r="BF62" s="54"/>
      <c r="BG62" s="21" t="str">
        <f>IFERROR(VLOOKUP(April[[#This Row],[Drug Name6]],'Data Options'!$R$1:$S$100,2,FALSE), " ")</f>
        <v xml:space="preserve"> </v>
      </c>
      <c r="BH62" s="55"/>
      <c r="BI62" s="32"/>
      <c r="BJ62" s="32"/>
      <c r="BK62" s="55"/>
      <c r="BL62" s="32"/>
      <c r="BM62" s="32"/>
      <c r="BN62" s="32"/>
      <c r="BO62" s="32"/>
      <c r="BP62" s="32"/>
      <c r="BQ62" s="31"/>
      <c r="BR62" s="31"/>
      <c r="BS62" s="54"/>
      <c r="BT62" s="21" t="str">
        <f>IFERROR(VLOOKUP(April[[#This Row],[Drug Name7]],'Data Options'!$R$1:$S$100,2,FALSE), " ")</f>
        <v xml:space="preserve"> </v>
      </c>
      <c r="BU62" s="55"/>
      <c r="BV62" s="32"/>
      <c r="BW62" s="32"/>
      <c r="BX62" s="55"/>
      <c r="BY62" s="32"/>
      <c r="BZ62" s="54"/>
      <c r="CA62" s="21" t="str">
        <f>IFERROR(VLOOKUP(April[[#This Row],[Drug Name8]],'Data Options'!$R$1:$S$100,2,FALSE), " ")</f>
        <v xml:space="preserve"> </v>
      </c>
      <c r="CB62" s="55"/>
      <c r="CC62" s="32"/>
      <c r="CD62" s="32"/>
      <c r="CE62" s="55"/>
      <c r="CF62" s="32"/>
      <c r="CG62" s="54"/>
      <c r="CH62" s="21" t="str">
        <f>IFERROR(VLOOKUP(April[[#This Row],[Drug Name9]],'Data Options'!$R$1:$S$100,2,FALSE), " ")</f>
        <v xml:space="preserve"> </v>
      </c>
      <c r="CI62" s="55"/>
      <c r="CJ62" s="32"/>
      <c r="CK62" s="32"/>
      <c r="CL62" s="55"/>
      <c r="CM62" s="32"/>
    </row>
    <row r="63" spans="1:91">
      <c r="A63" s="5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31"/>
      <c r="Q63" s="54"/>
      <c r="R63" s="21" t="str">
        <f>IFERROR(VLOOKUP(April[[#This Row],[Drug Name]],'Data Options'!$R$1:$S$100,2,FALSE), " ")</f>
        <v xml:space="preserve"> </v>
      </c>
      <c r="S63" s="55"/>
      <c r="T63" s="32"/>
      <c r="U63" s="32"/>
      <c r="V63" s="55"/>
      <c r="W63" s="32"/>
      <c r="X63" s="54"/>
      <c r="Y63" s="21" t="str">
        <f>IFERROR(VLOOKUP(April[[#This Row],[Drug Name2]],'Data Options'!$R$1:$S$100,2,FALSE), " ")</f>
        <v xml:space="preserve"> </v>
      </c>
      <c r="Z63" s="55"/>
      <c r="AA63" s="32"/>
      <c r="AB63" s="32"/>
      <c r="AC63" s="55"/>
      <c r="AD63" s="32"/>
      <c r="AE63" s="54"/>
      <c r="AF63" s="21" t="str">
        <f>IFERROR(VLOOKUP(April[[#This Row],[Drug Name3]],'Data Options'!$R$1:$S$100,2,FALSE), " ")</f>
        <v xml:space="preserve"> </v>
      </c>
      <c r="AG63" s="55"/>
      <c r="AH63" s="32"/>
      <c r="AI63" s="32"/>
      <c r="AJ63" s="55"/>
      <c r="AK63" s="32"/>
      <c r="AL63" s="32"/>
      <c r="AM63" s="32"/>
      <c r="AN63" s="32"/>
      <c r="AO63" s="32"/>
      <c r="AP63" s="31"/>
      <c r="AQ63" s="31"/>
      <c r="AR63" s="54"/>
      <c r="AS63" s="21" t="str">
        <f>IFERROR(VLOOKUP(April[[#This Row],[Drug Name4]],'Data Options'!$R$1:$S$100,2,FALSE), " ")</f>
        <v xml:space="preserve"> </v>
      </c>
      <c r="AT63" s="55"/>
      <c r="AU63" s="32"/>
      <c r="AV63" s="32"/>
      <c r="AW63" s="55"/>
      <c r="AX63" s="32"/>
      <c r="AY63" s="54"/>
      <c r="AZ63" s="21" t="str">
        <f>IFERROR(VLOOKUP(April[[#This Row],[Drug Name5]],'Data Options'!$R$1:$S$100,2,FALSE), " ")</f>
        <v xml:space="preserve"> </v>
      </c>
      <c r="BA63" s="55"/>
      <c r="BB63" s="32"/>
      <c r="BC63" s="32"/>
      <c r="BD63" s="55"/>
      <c r="BE63" s="32"/>
      <c r="BF63" s="54"/>
      <c r="BG63" s="21" t="str">
        <f>IFERROR(VLOOKUP(April[[#This Row],[Drug Name6]],'Data Options'!$R$1:$S$100,2,FALSE), " ")</f>
        <v xml:space="preserve"> </v>
      </c>
      <c r="BH63" s="55"/>
      <c r="BI63" s="32"/>
      <c r="BJ63" s="32"/>
      <c r="BK63" s="55"/>
      <c r="BL63" s="32"/>
      <c r="BM63" s="32"/>
      <c r="BN63" s="32"/>
      <c r="BO63" s="32"/>
      <c r="BP63" s="32"/>
      <c r="BQ63" s="31"/>
      <c r="BR63" s="31"/>
      <c r="BS63" s="54"/>
      <c r="BT63" s="21" t="str">
        <f>IFERROR(VLOOKUP(April[[#This Row],[Drug Name7]],'Data Options'!$R$1:$S$100,2,FALSE), " ")</f>
        <v xml:space="preserve"> </v>
      </c>
      <c r="BU63" s="55"/>
      <c r="BV63" s="32"/>
      <c r="BW63" s="32"/>
      <c r="BX63" s="55"/>
      <c r="BY63" s="32"/>
      <c r="BZ63" s="54"/>
      <c r="CA63" s="21" t="str">
        <f>IFERROR(VLOOKUP(April[[#This Row],[Drug Name8]],'Data Options'!$R$1:$S$100,2,FALSE), " ")</f>
        <v xml:space="preserve"> </v>
      </c>
      <c r="CB63" s="55"/>
      <c r="CC63" s="32"/>
      <c r="CD63" s="32"/>
      <c r="CE63" s="55"/>
      <c r="CF63" s="32"/>
      <c r="CG63" s="54"/>
      <c r="CH63" s="21" t="str">
        <f>IFERROR(VLOOKUP(April[[#This Row],[Drug Name9]],'Data Options'!$R$1:$S$100,2,FALSE), " ")</f>
        <v xml:space="preserve"> </v>
      </c>
      <c r="CI63" s="55"/>
      <c r="CJ63" s="32"/>
      <c r="CK63" s="32"/>
      <c r="CL63" s="55"/>
      <c r="CM63" s="32"/>
    </row>
    <row r="64" spans="1:91">
      <c r="A64" s="5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31"/>
      <c r="Q64" s="54"/>
      <c r="R64" s="21" t="str">
        <f>IFERROR(VLOOKUP(April[[#This Row],[Drug Name]],'Data Options'!$R$1:$S$100,2,FALSE), " ")</f>
        <v xml:space="preserve"> </v>
      </c>
      <c r="S64" s="55"/>
      <c r="T64" s="32"/>
      <c r="U64" s="32"/>
      <c r="V64" s="55"/>
      <c r="W64" s="32"/>
      <c r="X64" s="54"/>
      <c r="Y64" s="21" t="str">
        <f>IFERROR(VLOOKUP(April[[#This Row],[Drug Name2]],'Data Options'!$R$1:$S$100,2,FALSE), " ")</f>
        <v xml:space="preserve"> </v>
      </c>
      <c r="Z64" s="55"/>
      <c r="AA64" s="32"/>
      <c r="AB64" s="32"/>
      <c r="AC64" s="55"/>
      <c r="AD64" s="32"/>
      <c r="AE64" s="54"/>
      <c r="AF64" s="21" t="str">
        <f>IFERROR(VLOOKUP(April[[#This Row],[Drug Name3]],'Data Options'!$R$1:$S$100,2,FALSE), " ")</f>
        <v xml:space="preserve"> </v>
      </c>
      <c r="AG64" s="55"/>
      <c r="AH64" s="32"/>
      <c r="AI64" s="32"/>
      <c r="AJ64" s="55"/>
      <c r="AK64" s="32"/>
      <c r="AL64" s="32"/>
      <c r="AM64" s="32"/>
      <c r="AN64" s="32"/>
      <c r="AO64" s="32"/>
      <c r="AP64" s="31"/>
      <c r="AQ64" s="31"/>
      <c r="AR64" s="54"/>
      <c r="AS64" s="21" t="str">
        <f>IFERROR(VLOOKUP(April[[#This Row],[Drug Name4]],'Data Options'!$R$1:$S$100,2,FALSE), " ")</f>
        <v xml:space="preserve"> </v>
      </c>
      <c r="AT64" s="55"/>
      <c r="AU64" s="32"/>
      <c r="AV64" s="32"/>
      <c r="AW64" s="55"/>
      <c r="AX64" s="32"/>
      <c r="AY64" s="54"/>
      <c r="AZ64" s="21" t="str">
        <f>IFERROR(VLOOKUP(April[[#This Row],[Drug Name5]],'Data Options'!$R$1:$S$100,2,FALSE), " ")</f>
        <v xml:space="preserve"> </v>
      </c>
      <c r="BA64" s="55"/>
      <c r="BB64" s="32"/>
      <c r="BC64" s="32"/>
      <c r="BD64" s="55"/>
      <c r="BE64" s="32"/>
      <c r="BF64" s="54"/>
      <c r="BG64" s="21" t="str">
        <f>IFERROR(VLOOKUP(April[[#This Row],[Drug Name6]],'Data Options'!$R$1:$S$100,2,FALSE), " ")</f>
        <v xml:space="preserve"> </v>
      </c>
      <c r="BH64" s="55"/>
      <c r="BI64" s="32"/>
      <c r="BJ64" s="32"/>
      <c r="BK64" s="55"/>
      <c r="BL64" s="32"/>
      <c r="BM64" s="32"/>
      <c r="BN64" s="32"/>
      <c r="BO64" s="32"/>
      <c r="BP64" s="32"/>
      <c r="BQ64" s="31"/>
      <c r="BR64" s="31"/>
      <c r="BS64" s="54"/>
      <c r="BT64" s="21" t="str">
        <f>IFERROR(VLOOKUP(April[[#This Row],[Drug Name7]],'Data Options'!$R$1:$S$100,2,FALSE), " ")</f>
        <v xml:space="preserve"> </v>
      </c>
      <c r="BU64" s="55"/>
      <c r="BV64" s="32"/>
      <c r="BW64" s="32"/>
      <c r="BX64" s="55"/>
      <c r="BY64" s="32"/>
      <c r="BZ64" s="54"/>
      <c r="CA64" s="21" t="str">
        <f>IFERROR(VLOOKUP(April[[#This Row],[Drug Name8]],'Data Options'!$R$1:$S$100,2,FALSE), " ")</f>
        <v xml:space="preserve"> </v>
      </c>
      <c r="CB64" s="55"/>
      <c r="CC64" s="32"/>
      <c r="CD64" s="32"/>
      <c r="CE64" s="55"/>
      <c r="CF64" s="32"/>
      <c r="CG64" s="54"/>
      <c r="CH64" s="21" t="str">
        <f>IFERROR(VLOOKUP(April[[#This Row],[Drug Name9]],'Data Options'!$R$1:$S$100,2,FALSE), " ")</f>
        <v xml:space="preserve"> </v>
      </c>
      <c r="CI64" s="55"/>
      <c r="CJ64" s="32"/>
      <c r="CK64" s="32"/>
      <c r="CL64" s="55"/>
      <c r="CM64" s="32"/>
    </row>
    <row r="65" spans="1:91">
      <c r="A65" s="5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54"/>
      <c r="R65" s="21" t="str">
        <f>IFERROR(VLOOKUP(April[[#This Row],[Drug Name]],'Data Options'!$R$1:$S$100,2,FALSE), " ")</f>
        <v xml:space="preserve"> </v>
      </c>
      <c r="S65" s="55"/>
      <c r="T65" s="32"/>
      <c r="U65" s="32"/>
      <c r="V65" s="55"/>
      <c r="W65" s="32"/>
      <c r="X65" s="54"/>
      <c r="Y65" s="21" t="str">
        <f>IFERROR(VLOOKUP(April[[#This Row],[Drug Name2]],'Data Options'!$R$1:$S$100,2,FALSE), " ")</f>
        <v xml:space="preserve"> </v>
      </c>
      <c r="Z65" s="55"/>
      <c r="AA65" s="32"/>
      <c r="AB65" s="32"/>
      <c r="AC65" s="55"/>
      <c r="AD65" s="32"/>
      <c r="AE65" s="54"/>
      <c r="AF65" s="21" t="str">
        <f>IFERROR(VLOOKUP(April[[#This Row],[Drug Name3]],'Data Options'!$R$1:$S$100,2,FALSE), " ")</f>
        <v xml:space="preserve"> </v>
      </c>
      <c r="AG65" s="55"/>
      <c r="AH65" s="32"/>
      <c r="AI65" s="32"/>
      <c r="AJ65" s="55"/>
      <c r="AK65" s="32"/>
      <c r="AL65" s="32"/>
      <c r="AM65" s="32"/>
      <c r="AN65" s="32"/>
      <c r="AO65" s="32"/>
      <c r="AP65" s="31"/>
      <c r="AQ65" s="31"/>
      <c r="AR65" s="54"/>
      <c r="AS65" s="21" t="str">
        <f>IFERROR(VLOOKUP(April[[#This Row],[Drug Name4]],'Data Options'!$R$1:$S$100,2,FALSE), " ")</f>
        <v xml:space="preserve"> </v>
      </c>
      <c r="AT65" s="55"/>
      <c r="AU65" s="32"/>
      <c r="AV65" s="32"/>
      <c r="AW65" s="55"/>
      <c r="AX65" s="32"/>
      <c r="AY65" s="54"/>
      <c r="AZ65" s="21" t="str">
        <f>IFERROR(VLOOKUP(April[[#This Row],[Drug Name5]],'Data Options'!$R$1:$S$100,2,FALSE), " ")</f>
        <v xml:space="preserve"> </v>
      </c>
      <c r="BA65" s="55"/>
      <c r="BB65" s="32"/>
      <c r="BC65" s="32"/>
      <c r="BD65" s="55"/>
      <c r="BE65" s="32"/>
      <c r="BF65" s="54"/>
      <c r="BG65" s="21" t="str">
        <f>IFERROR(VLOOKUP(April[[#This Row],[Drug Name6]],'Data Options'!$R$1:$S$100,2,FALSE), " ")</f>
        <v xml:space="preserve"> </v>
      </c>
      <c r="BH65" s="55"/>
      <c r="BI65" s="32"/>
      <c r="BJ65" s="32"/>
      <c r="BK65" s="55"/>
      <c r="BL65" s="32"/>
      <c r="BM65" s="32"/>
      <c r="BN65" s="32"/>
      <c r="BO65" s="32"/>
      <c r="BP65" s="32"/>
      <c r="BQ65" s="31"/>
      <c r="BR65" s="31"/>
      <c r="BS65" s="54"/>
      <c r="BT65" s="21" t="str">
        <f>IFERROR(VLOOKUP(April[[#This Row],[Drug Name7]],'Data Options'!$R$1:$S$100,2,FALSE), " ")</f>
        <v xml:space="preserve"> </v>
      </c>
      <c r="BU65" s="55"/>
      <c r="BV65" s="32"/>
      <c r="BW65" s="32"/>
      <c r="BX65" s="55"/>
      <c r="BY65" s="32"/>
      <c r="BZ65" s="54"/>
      <c r="CA65" s="21" t="str">
        <f>IFERROR(VLOOKUP(April[[#This Row],[Drug Name8]],'Data Options'!$R$1:$S$100,2,FALSE), " ")</f>
        <v xml:space="preserve"> </v>
      </c>
      <c r="CB65" s="55"/>
      <c r="CC65" s="32"/>
      <c r="CD65" s="32"/>
      <c r="CE65" s="55"/>
      <c r="CF65" s="32"/>
      <c r="CG65" s="54"/>
      <c r="CH65" s="21" t="str">
        <f>IFERROR(VLOOKUP(April[[#This Row],[Drug Name9]],'Data Options'!$R$1:$S$100,2,FALSE), " ")</f>
        <v xml:space="preserve"> </v>
      </c>
      <c r="CI65" s="55"/>
      <c r="CJ65" s="32"/>
      <c r="CK65" s="32"/>
      <c r="CL65" s="55"/>
      <c r="CM65" s="32"/>
    </row>
    <row r="66" spans="1:91">
      <c r="A66" s="5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31"/>
      <c r="Q66" s="54"/>
      <c r="R66" s="21" t="str">
        <f>IFERROR(VLOOKUP(April[[#This Row],[Drug Name]],'Data Options'!$R$1:$S$100,2,FALSE), " ")</f>
        <v xml:space="preserve"> </v>
      </c>
      <c r="S66" s="55"/>
      <c r="T66" s="32"/>
      <c r="U66" s="32"/>
      <c r="V66" s="55"/>
      <c r="W66" s="32"/>
      <c r="X66" s="54"/>
      <c r="Y66" s="21" t="str">
        <f>IFERROR(VLOOKUP(April[[#This Row],[Drug Name2]],'Data Options'!$R$1:$S$100,2,FALSE), " ")</f>
        <v xml:space="preserve"> </v>
      </c>
      <c r="Z66" s="55"/>
      <c r="AA66" s="32"/>
      <c r="AB66" s="32"/>
      <c r="AC66" s="55"/>
      <c r="AD66" s="32"/>
      <c r="AE66" s="54"/>
      <c r="AF66" s="21" t="str">
        <f>IFERROR(VLOOKUP(April[[#This Row],[Drug Name3]],'Data Options'!$R$1:$S$100,2,FALSE), " ")</f>
        <v xml:space="preserve"> </v>
      </c>
      <c r="AG66" s="55"/>
      <c r="AH66" s="32"/>
      <c r="AI66" s="32"/>
      <c r="AJ66" s="55"/>
      <c r="AK66" s="32"/>
      <c r="AL66" s="32"/>
      <c r="AM66" s="32"/>
      <c r="AN66" s="32"/>
      <c r="AO66" s="32"/>
      <c r="AP66" s="31"/>
      <c r="AQ66" s="31"/>
      <c r="AR66" s="54"/>
      <c r="AS66" s="21" t="str">
        <f>IFERROR(VLOOKUP(April[[#This Row],[Drug Name4]],'Data Options'!$R$1:$S$100,2,FALSE), " ")</f>
        <v xml:space="preserve"> </v>
      </c>
      <c r="AT66" s="55"/>
      <c r="AU66" s="32"/>
      <c r="AV66" s="32"/>
      <c r="AW66" s="55"/>
      <c r="AX66" s="32"/>
      <c r="AY66" s="54"/>
      <c r="AZ66" s="21" t="str">
        <f>IFERROR(VLOOKUP(April[[#This Row],[Drug Name5]],'Data Options'!$R$1:$S$100,2,FALSE), " ")</f>
        <v xml:space="preserve"> </v>
      </c>
      <c r="BA66" s="55"/>
      <c r="BB66" s="32"/>
      <c r="BC66" s="32"/>
      <c r="BD66" s="55"/>
      <c r="BE66" s="32"/>
      <c r="BF66" s="54"/>
      <c r="BG66" s="21" t="str">
        <f>IFERROR(VLOOKUP(April[[#This Row],[Drug Name6]],'Data Options'!$R$1:$S$100,2,FALSE), " ")</f>
        <v xml:space="preserve"> </v>
      </c>
      <c r="BH66" s="55"/>
      <c r="BI66" s="32"/>
      <c r="BJ66" s="32"/>
      <c r="BK66" s="55"/>
      <c r="BL66" s="32"/>
      <c r="BM66" s="32"/>
      <c r="BN66" s="32"/>
      <c r="BO66" s="32"/>
      <c r="BP66" s="32"/>
      <c r="BQ66" s="31"/>
      <c r="BR66" s="31"/>
      <c r="BS66" s="54"/>
      <c r="BT66" s="21" t="str">
        <f>IFERROR(VLOOKUP(April[[#This Row],[Drug Name7]],'Data Options'!$R$1:$S$100,2,FALSE), " ")</f>
        <v xml:space="preserve"> </v>
      </c>
      <c r="BU66" s="55"/>
      <c r="BV66" s="32"/>
      <c r="BW66" s="32"/>
      <c r="BX66" s="55"/>
      <c r="BY66" s="32"/>
      <c r="BZ66" s="54"/>
      <c r="CA66" s="21" t="str">
        <f>IFERROR(VLOOKUP(April[[#This Row],[Drug Name8]],'Data Options'!$R$1:$S$100,2,FALSE), " ")</f>
        <v xml:space="preserve"> </v>
      </c>
      <c r="CB66" s="55"/>
      <c r="CC66" s="32"/>
      <c r="CD66" s="32"/>
      <c r="CE66" s="55"/>
      <c r="CF66" s="32"/>
      <c r="CG66" s="54"/>
      <c r="CH66" s="21" t="str">
        <f>IFERROR(VLOOKUP(April[[#This Row],[Drug Name9]],'Data Options'!$R$1:$S$100,2,FALSE), " ")</f>
        <v xml:space="preserve"> </v>
      </c>
      <c r="CI66" s="55"/>
      <c r="CJ66" s="32"/>
      <c r="CK66" s="32"/>
      <c r="CL66" s="55"/>
      <c r="CM66" s="32"/>
    </row>
    <row r="67" spans="1:91">
      <c r="A67" s="5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31"/>
      <c r="Q67" s="54"/>
      <c r="R67" s="21" t="str">
        <f>IFERROR(VLOOKUP(April[[#This Row],[Drug Name]],'Data Options'!$R$1:$S$100,2,FALSE), " ")</f>
        <v xml:space="preserve"> </v>
      </c>
      <c r="S67" s="55"/>
      <c r="T67" s="32"/>
      <c r="U67" s="32"/>
      <c r="V67" s="55"/>
      <c r="W67" s="32"/>
      <c r="X67" s="54"/>
      <c r="Y67" s="21" t="str">
        <f>IFERROR(VLOOKUP(April[[#This Row],[Drug Name2]],'Data Options'!$R$1:$S$100,2,FALSE), " ")</f>
        <v xml:space="preserve"> </v>
      </c>
      <c r="Z67" s="55"/>
      <c r="AA67" s="32"/>
      <c r="AB67" s="32"/>
      <c r="AC67" s="55"/>
      <c r="AD67" s="32"/>
      <c r="AE67" s="54"/>
      <c r="AF67" s="21" t="str">
        <f>IFERROR(VLOOKUP(April[[#This Row],[Drug Name3]],'Data Options'!$R$1:$S$100,2,FALSE), " ")</f>
        <v xml:space="preserve"> </v>
      </c>
      <c r="AG67" s="55"/>
      <c r="AH67" s="32"/>
      <c r="AI67" s="32"/>
      <c r="AJ67" s="55"/>
      <c r="AK67" s="32"/>
      <c r="AL67" s="32"/>
      <c r="AM67" s="32"/>
      <c r="AN67" s="32"/>
      <c r="AO67" s="32"/>
      <c r="AP67" s="31"/>
      <c r="AQ67" s="31"/>
      <c r="AR67" s="54"/>
      <c r="AS67" s="21" t="str">
        <f>IFERROR(VLOOKUP(April[[#This Row],[Drug Name4]],'Data Options'!$R$1:$S$100,2,FALSE), " ")</f>
        <v xml:space="preserve"> </v>
      </c>
      <c r="AT67" s="55"/>
      <c r="AU67" s="32"/>
      <c r="AV67" s="32"/>
      <c r="AW67" s="55"/>
      <c r="AX67" s="32"/>
      <c r="AY67" s="54"/>
      <c r="AZ67" s="21" t="str">
        <f>IFERROR(VLOOKUP(April[[#This Row],[Drug Name5]],'Data Options'!$R$1:$S$100,2,FALSE), " ")</f>
        <v xml:space="preserve"> </v>
      </c>
      <c r="BA67" s="55"/>
      <c r="BB67" s="32"/>
      <c r="BC67" s="32"/>
      <c r="BD67" s="55"/>
      <c r="BE67" s="32"/>
      <c r="BF67" s="54"/>
      <c r="BG67" s="21" t="str">
        <f>IFERROR(VLOOKUP(April[[#This Row],[Drug Name6]],'Data Options'!$R$1:$S$100,2,FALSE), " ")</f>
        <v xml:space="preserve"> </v>
      </c>
      <c r="BH67" s="55"/>
      <c r="BI67" s="32"/>
      <c r="BJ67" s="32"/>
      <c r="BK67" s="55"/>
      <c r="BL67" s="32"/>
      <c r="BM67" s="32"/>
      <c r="BN67" s="32"/>
      <c r="BO67" s="32"/>
      <c r="BP67" s="32"/>
      <c r="BQ67" s="31"/>
      <c r="BR67" s="31"/>
      <c r="BS67" s="54"/>
      <c r="BT67" s="21" t="str">
        <f>IFERROR(VLOOKUP(April[[#This Row],[Drug Name7]],'Data Options'!$R$1:$S$100,2,FALSE), " ")</f>
        <v xml:space="preserve"> </v>
      </c>
      <c r="BU67" s="55"/>
      <c r="BV67" s="32"/>
      <c r="BW67" s="32"/>
      <c r="BX67" s="55"/>
      <c r="BY67" s="32"/>
      <c r="BZ67" s="54"/>
      <c r="CA67" s="21" t="str">
        <f>IFERROR(VLOOKUP(April[[#This Row],[Drug Name8]],'Data Options'!$R$1:$S$100,2,FALSE), " ")</f>
        <v xml:space="preserve"> </v>
      </c>
      <c r="CB67" s="55"/>
      <c r="CC67" s="32"/>
      <c r="CD67" s="32"/>
      <c r="CE67" s="55"/>
      <c r="CF67" s="32"/>
      <c r="CG67" s="54"/>
      <c r="CH67" s="21" t="str">
        <f>IFERROR(VLOOKUP(April[[#This Row],[Drug Name9]],'Data Options'!$R$1:$S$100,2,FALSE), " ")</f>
        <v xml:space="preserve"> </v>
      </c>
      <c r="CI67" s="55"/>
      <c r="CJ67" s="32"/>
      <c r="CK67" s="32"/>
      <c r="CL67" s="55"/>
      <c r="CM67" s="32"/>
    </row>
    <row r="68" spans="1:91">
      <c r="A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31"/>
      <c r="Q68" s="54"/>
      <c r="R68" s="21" t="str">
        <f>IFERROR(VLOOKUP(April[[#This Row],[Drug Name]],'Data Options'!$R$1:$S$100,2,FALSE), " ")</f>
        <v xml:space="preserve"> </v>
      </c>
      <c r="S68" s="55"/>
      <c r="T68" s="32"/>
      <c r="U68" s="32"/>
      <c r="V68" s="55"/>
      <c r="W68" s="32"/>
      <c r="X68" s="54"/>
      <c r="Y68" s="21" t="str">
        <f>IFERROR(VLOOKUP(April[[#This Row],[Drug Name2]],'Data Options'!$R$1:$S$100,2,FALSE), " ")</f>
        <v xml:space="preserve"> </v>
      </c>
      <c r="Z68" s="55"/>
      <c r="AA68" s="32"/>
      <c r="AB68" s="32"/>
      <c r="AC68" s="55"/>
      <c r="AD68" s="32"/>
      <c r="AE68" s="54"/>
      <c r="AF68" s="21" t="str">
        <f>IFERROR(VLOOKUP(April[[#This Row],[Drug Name3]],'Data Options'!$R$1:$S$100,2,FALSE), " ")</f>
        <v xml:space="preserve"> </v>
      </c>
      <c r="AG68" s="55"/>
      <c r="AH68" s="32"/>
      <c r="AI68" s="32"/>
      <c r="AJ68" s="55"/>
      <c r="AK68" s="32"/>
      <c r="AL68" s="32"/>
      <c r="AM68" s="32"/>
      <c r="AN68" s="32"/>
      <c r="AO68" s="32"/>
      <c r="AP68" s="31"/>
      <c r="AQ68" s="31"/>
      <c r="AR68" s="54"/>
      <c r="AS68" s="21" t="str">
        <f>IFERROR(VLOOKUP(April[[#This Row],[Drug Name4]],'Data Options'!$R$1:$S$100,2,FALSE), " ")</f>
        <v xml:space="preserve"> </v>
      </c>
      <c r="AT68" s="55"/>
      <c r="AU68" s="32"/>
      <c r="AV68" s="32"/>
      <c r="AW68" s="55"/>
      <c r="AX68" s="32"/>
      <c r="AY68" s="54"/>
      <c r="AZ68" s="21" t="str">
        <f>IFERROR(VLOOKUP(April[[#This Row],[Drug Name5]],'Data Options'!$R$1:$S$100,2,FALSE), " ")</f>
        <v xml:space="preserve"> </v>
      </c>
      <c r="BA68" s="55"/>
      <c r="BB68" s="32"/>
      <c r="BC68" s="32"/>
      <c r="BD68" s="55"/>
      <c r="BE68" s="32"/>
      <c r="BF68" s="54"/>
      <c r="BG68" s="21" t="str">
        <f>IFERROR(VLOOKUP(April[[#This Row],[Drug Name6]],'Data Options'!$R$1:$S$100,2,FALSE), " ")</f>
        <v xml:space="preserve"> </v>
      </c>
      <c r="BH68" s="55"/>
      <c r="BI68" s="32"/>
      <c r="BJ68" s="32"/>
      <c r="BK68" s="55"/>
      <c r="BL68" s="32"/>
      <c r="BM68" s="32"/>
      <c r="BN68" s="32"/>
      <c r="BO68" s="32"/>
      <c r="BP68" s="32"/>
      <c r="BQ68" s="31"/>
      <c r="BR68" s="31"/>
      <c r="BS68" s="54"/>
      <c r="BT68" s="21" t="str">
        <f>IFERROR(VLOOKUP(April[[#This Row],[Drug Name7]],'Data Options'!$R$1:$S$100,2,FALSE), " ")</f>
        <v xml:space="preserve"> </v>
      </c>
      <c r="BU68" s="55"/>
      <c r="BV68" s="32"/>
      <c r="BW68" s="32"/>
      <c r="BX68" s="55"/>
      <c r="BY68" s="32"/>
      <c r="BZ68" s="54"/>
      <c r="CA68" s="21" t="str">
        <f>IFERROR(VLOOKUP(April[[#This Row],[Drug Name8]],'Data Options'!$R$1:$S$100,2,FALSE), " ")</f>
        <v xml:space="preserve"> </v>
      </c>
      <c r="CB68" s="55"/>
      <c r="CC68" s="32"/>
      <c r="CD68" s="32"/>
      <c r="CE68" s="55"/>
      <c r="CF68" s="32"/>
      <c r="CG68" s="54"/>
      <c r="CH68" s="21" t="str">
        <f>IFERROR(VLOOKUP(April[[#This Row],[Drug Name9]],'Data Options'!$R$1:$S$100,2,FALSE), " ")</f>
        <v xml:space="preserve"> </v>
      </c>
      <c r="CI68" s="55"/>
      <c r="CJ68" s="32"/>
      <c r="CK68" s="32"/>
      <c r="CL68" s="55"/>
      <c r="CM68" s="32"/>
    </row>
    <row r="69" spans="1:91">
      <c r="A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31"/>
      <c r="Q69" s="54"/>
      <c r="R69" s="21" t="str">
        <f>IFERROR(VLOOKUP(April[[#This Row],[Drug Name]],'Data Options'!$R$1:$S$100,2,FALSE), " ")</f>
        <v xml:space="preserve"> </v>
      </c>
      <c r="S69" s="55"/>
      <c r="T69" s="32"/>
      <c r="U69" s="32"/>
      <c r="V69" s="55"/>
      <c r="W69" s="32"/>
      <c r="X69" s="54"/>
      <c r="Y69" s="21" t="str">
        <f>IFERROR(VLOOKUP(April[[#This Row],[Drug Name2]],'Data Options'!$R$1:$S$100,2,FALSE), " ")</f>
        <v xml:space="preserve"> </v>
      </c>
      <c r="Z69" s="55"/>
      <c r="AA69" s="32"/>
      <c r="AB69" s="32"/>
      <c r="AC69" s="55"/>
      <c r="AD69" s="32"/>
      <c r="AE69" s="54"/>
      <c r="AF69" s="21" t="str">
        <f>IFERROR(VLOOKUP(April[[#This Row],[Drug Name3]],'Data Options'!$R$1:$S$100,2,FALSE), " ")</f>
        <v xml:space="preserve"> </v>
      </c>
      <c r="AG69" s="55"/>
      <c r="AH69" s="32"/>
      <c r="AI69" s="32"/>
      <c r="AJ69" s="55"/>
      <c r="AK69" s="32"/>
      <c r="AL69" s="32"/>
      <c r="AM69" s="32"/>
      <c r="AN69" s="32"/>
      <c r="AO69" s="32"/>
      <c r="AP69" s="31"/>
      <c r="AQ69" s="31"/>
      <c r="AR69" s="54"/>
      <c r="AS69" s="21" t="str">
        <f>IFERROR(VLOOKUP(April[[#This Row],[Drug Name4]],'Data Options'!$R$1:$S$100,2,FALSE), " ")</f>
        <v xml:space="preserve"> </v>
      </c>
      <c r="AT69" s="55"/>
      <c r="AU69" s="32"/>
      <c r="AV69" s="32"/>
      <c r="AW69" s="55"/>
      <c r="AX69" s="32"/>
      <c r="AY69" s="54"/>
      <c r="AZ69" s="21" t="str">
        <f>IFERROR(VLOOKUP(April[[#This Row],[Drug Name5]],'Data Options'!$R$1:$S$100,2,FALSE), " ")</f>
        <v xml:space="preserve"> </v>
      </c>
      <c r="BA69" s="55"/>
      <c r="BB69" s="32"/>
      <c r="BC69" s="32"/>
      <c r="BD69" s="55"/>
      <c r="BE69" s="32"/>
      <c r="BF69" s="54"/>
      <c r="BG69" s="21" t="str">
        <f>IFERROR(VLOOKUP(April[[#This Row],[Drug Name6]],'Data Options'!$R$1:$S$100,2,FALSE), " ")</f>
        <v xml:space="preserve"> </v>
      </c>
      <c r="BH69" s="55"/>
      <c r="BI69" s="32"/>
      <c r="BJ69" s="32"/>
      <c r="BK69" s="55"/>
      <c r="BL69" s="32"/>
      <c r="BM69" s="32"/>
      <c r="BN69" s="32"/>
      <c r="BO69" s="32"/>
      <c r="BP69" s="32"/>
      <c r="BQ69" s="31"/>
      <c r="BR69" s="31"/>
      <c r="BS69" s="54"/>
      <c r="BT69" s="21" t="str">
        <f>IFERROR(VLOOKUP(April[[#This Row],[Drug Name7]],'Data Options'!$R$1:$S$100,2,FALSE), " ")</f>
        <v xml:space="preserve"> </v>
      </c>
      <c r="BU69" s="55"/>
      <c r="BV69" s="32"/>
      <c r="BW69" s="32"/>
      <c r="BX69" s="55"/>
      <c r="BY69" s="32"/>
      <c r="BZ69" s="54"/>
      <c r="CA69" s="21" t="str">
        <f>IFERROR(VLOOKUP(April[[#This Row],[Drug Name8]],'Data Options'!$R$1:$S$100,2,FALSE), " ")</f>
        <v xml:space="preserve"> </v>
      </c>
      <c r="CB69" s="55"/>
      <c r="CC69" s="32"/>
      <c r="CD69" s="32"/>
      <c r="CE69" s="55"/>
      <c r="CF69" s="32"/>
      <c r="CG69" s="54"/>
      <c r="CH69" s="21" t="str">
        <f>IFERROR(VLOOKUP(April[[#This Row],[Drug Name9]],'Data Options'!$R$1:$S$100,2,FALSE), " ")</f>
        <v xml:space="preserve"> </v>
      </c>
      <c r="CI69" s="55"/>
      <c r="CJ69" s="32"/>
      <c r="CK69" s="32"/>
      <c r="CL69" s="55"/>
      <c r="CM69" s="32"/>
    </row>
    <row r="70" spans="1:91">
      <c r="A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31"/>
      <c r="Q70" s="54"/>
      <c r="R70" s="21" t="str">
        <f>IFERROR(VLOOKUP(April[[#This Row],[Drug Name]],'Data Options'!$R$1:$S$100,2,FALSE), " ")</f>
        <v xml:space="preserve"> </v>
      </c>
      <c r="S70" s="55"/>
      <c r="T70" s="32"/>
      <c r="U70" s="32"/>
      <c r="V70" s="55"/>
      <c r="W70" s="32"/>
      <c r="X70" s="54"/>
      <c r="Y70" s="21" t="str">
        <f>IFERROR(VLOOKUP(April[[#This Row],[Drug Name2]],'Data Options'!$R$1:$S$100,2,FALSE), " ")</f>
        <v xml:space="preserve"> </v>
      </c>
      <c r="Z70" s="55"/>
      <c r="AA70" s="32"/>
      <c r="AB70" s="32"/>
      <c r="AC70" s="55"/>
      <c r="AD70" s="32"/>
      <c r="AE70" s="54"/>
      <c r="AF70" s="21" t="str">
        <f>IFERROR(VLOOKUP(April[[#This Row],[Drug Name3]],'Data Options'!$R$1:$S$100,2,FALSE), " ")</f>
        <v xml:space="preserve"> </v>
      </c>
      <c r="AG70" s="55"/>
      <c r="AH70" s="32"/>
      <c r="AI70" s="32"/>
      <c r="AJ70" s="55"/>
      <c r="AK70" s="32"/>
      <c r="AL70" s="32"/>
      <c r="AM70" s="32"/>
      <c r="AN70" s="32"/>
      <c r="AO70" s="32"/>
      <c r="AP70" s="31"/>
      <c r="AQ70" s="31"/>
      <c r="AR70" s="54"/>
      <c r="AS70" s="21" t="str">
        <f>IFERROR(VLOOKUP(April[[#This Row],[Drug Name4]],'Data Options'!$R$1:$S$100,2,FALSE), " ")</f>
        <v xml:space="preserve"> </v>
      </c>
      <c r="AT70" s="55"/>
      <c r="AU70" s="32"/>
      <c r="AV70" s="32"/>
      <c r="AW70" s="55"/>
      <c r="AX70" s="32"/>
      <c r="AY70" s="54"/>
      <c r="AZ70" s="21" t="str">
        <f>IFERROR(VLOOKUP(April[[#This Row],[Drug Name5]],'Data Options'!$R$1:$S$100,2,FALSE), " ")</f>
        <v xml:space="preserve"> </v>
      </c>
      <c r="BA70" s="55"/>
      <c r="BB70" s="32"/>
      <c r="BC70" s="32"/>
      <c r="BD70" s="55"/>
      <c r="BE70" s="32"/>
      <c r="BF70" s="54"/>
      <c r="BG70" s="21" t="str">
        <f>IFERROR(VLOOKUP(April[[#This Row],[Drug Name6]],'Data Options'!$R$1:$S$100,2,FALSE), " ")</f>
        <v xml:space="preserve"> </v>
      </c>
      <c r="BH70" s="55"/>
      <c r="BI70" s="32"/>
      <c r="BJ70" s="32"/>
      <c r="BK70" s="55"/>
      <c r="BL70" s="32"/>
      <c r="BM70" s="32"/>
      <c r="BN70" s="32"/>
      <c r="BO70" s="32"/>
      <c r="BP70" s="32"/>
      <c r="BQ70" s="31"/>
      <c r="BR70" s="31"/>
      <c r="BS70" s="54"/>
      <c r="BT70" s="21" t="str">
        <f>IFERROR(VLOOKUP(April[[#This Row],[Drug Name7]],'Data Options'!$R$1:$S$100,2,FALSE), " ")</f>
        <v xml:space="preserve"> </v>
      </c>
      <c r="BU70" s="55"/>
      <c r="BV70" s="32"/>
      <c r="BW70" s="32"/>
      <c r="BX70" s="55"/>
      <c r="BY70" s="32"/>
      <c r="BZ70" s="54"/>
      <c r="CA70" s="21" t="str">
        <f>IFERROR(VLOOKUP(April[[#This Row],[Drug Name8]],'Data Options'!$R$1:$S$100,2,FALSE), " ")</f>
        <v xml:space="preserve"> </v>
      </c>
      <c r="CB70" s="55"/>
      <c r="CC70" s="32"/>
      <c r="CD70" s="32"/>
      <c r="CE70" s="55"/>
      <c r="CF70" s="32"/>
      <c r="CG70" s="54"/>
      <c r="CH70" s="21" t="str">
        <f>IFERROR(VLOOKUP(April[[#This Row],[Drug Name9]],'Data Options'!$R$1:$S$100,2,FALSE), " ")</f>
        <v xml:space="preserve"> </v>
      </c>
      <c r="CI70" s="55"/>
      <c r="CJ70" s="32"/>
      <c r="CK70" s="32"/>
      <c r="CL70" s="55"/>
      <c r="CM70" s="32"/>
    </row>
    <row r="71" spans="1:91">
      <c r="A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31"/>
      <c r="Q71" s="54"/>
      <c r="R71" s="21" t="str">
        <f>IFERROR(VLOOKUP(April[[#This Row],[Drug Name]],'Data Options'!$R$1:$S$100,2,FALSE), " ")</f>
        <v xml:space="preserve"> </v>
      </c>
      <c r="S71" s="55"/>
      <c r="T71" s="32"/>
      <c r="U71" s="32"/>
      <c r="V71" s="55"/>
      <c r="W71" s="32"/>
      <c r="X71" s="54"/>
      <c r="Y71" s="21" t="str">
        <f>IFERROR(VLOOKUP(April[[#This Row],[Drug Name2]],'Data Options'!$R$1:$S$100,2,FALSE), " ")</f>
        <v xml:space="preserve"> </v>
      </c>
      <c r="Z71" s="55"/>
      <c r="AA71" s="32"/>
      <c r="AB71" s="32"/>
      <c r="AC71" s="55"/>
      <c r="AD71" s="32"/>
      <c r="AE71" s="54"/>
      <c r="AF71" s="21" t="str">
        <f>IFERROR(VLOOKUP(April[[#This Row],[Drug Name3]],'Data Options'!$R$1:$S$100,2,FALSE), " ")</f>
        <v xml:space="preserve"> </v>
      </c>
      <c r="AG71" s="55"/>
      <c r="AH71" s="32"/>
      <c r="AI71" s="32"/>
      <c r="AJ71" s="55"/>
      <c r="AK71" s="32"/>
      <c r="AL71" s="32"/>
      <c r="AM71" s="32"/>
      <c r="AN71" s="32"/>
      <c r="AO71" s="32"/>
      <c r="AP71" s="31"/>
      <c r="AQ71" s="31"/>
      <c r="AR71" s="54"/>
      <c r="AS71" s="21" t="str">
        <f>IFERROR(VLOOKUP(April[[#This Row],[Drug Name4]],'Data Options'!$R$1:$S$100,2,FALSE), " ")</f>
        <v xml:space="preserve"> </v>
      </c>
      <c r="AT71" s="55"/>
      <c r="AU71" s="32"/>
      <c r="AV71" s="32"/>
      <c r="AW71" s="55"/>
      <c r="AX71" s="32"/>
      <c r="AY71" s="54"/>
      <c r="AZ71" s="21" t="str">
        <f>IFERROR(VLOOKUP(April[[#This Row],[Drug Name5]],'Data Options'!$R$1:$S$100,2,FALSE), " ")</f>
        <v xml:space="preserve"> </v>
      </c>
      <c r="BA71" s="55"/>
      <c r="BB71" s="32"/>
      <c r="BC71" s="32"/>
      <c r="BD71" s="55"/>
      <c r="BE71" s="32"/>
      <c r="BF71" s="54"/>
      <c r="BG71" s="21" t="str">
        <f>IFERROR(VLOOKUP(April[[#This Row],[Drug Name6]],'Data Options'!$R$1:$S$100,2,FALSE), " ")</f>
        <v xml:space="preserve"> </v>
      </c>
      <c r="BH71" s="55"/>
      <c r="BI71" s="32"/>
      <c r="BJ71" s="32"/>
      <c r="BK71" s="55"/>
      <c r="BL71" s="32"/>
      <c r="BM71" s="32"/>
      <c r="BN71" s="32"/>
      <c r="BO71" s="32"/>
      <c r="BP71" s="32"/>
      <c r="BQ71" s="31"/>
      <c r="BR71" s="31"/>
      <c r="BS71" s="54"/>
      <c r="BT71" s="21" t="str">
        <f>IFERROR(VLOOKUP(April[[#This Row],[Drug Name7]],'Data Options'!$R$1:$S$100,2,FALSE), " ")</f>
        <v xml:space="preserve"> </v>
      </c>
      <c r="BU71" s="55"/>
      <c r="BV71" s="32"/>
      <c r="BW71" s="32"/>
      <c r="BX71" s="55"/>
      <c r="BY71" s="32"/>
      <c r="BZ71" s="54"/>
      <c r="CA71" s="21" t="str">
        <f>IFERROR(VLOOKUP(April[[#This Row],[Drug Name8]],'Data Options'!$R$1:$S$100,2,FALSE), " ")</f>
        <v xml:space="preserve"> </v>
      </c>
      <c r="CB71" s="55"/>
      <c r="CC71" s="32"/>
      <c r="CD71" s="32"/>
      <c r="CE71" s="55"/>
      <c r="CF71" s="32"/>
      <c r="CG71" s="54"/>
      <c r="CH71" s="21" t="str">
        <f>IFERROR(VLOOKUP(April[[#This Row],[Drug Name9]],'Data Options'!$R$1:$S$100,2,FALSE), " ")</f>
        <v xml:space="preserve"> </v>
      </c>
      <c r="CI71" s="55"/>
      <c r="CJ71" s="32"/>
      <c r="CK71" s="32"/>
      <c r="CL71" s="55"/>
      <c r="CM71" s="32"/>
    </row>
    <row r="72" spans="1:91">
      <c r="A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54"/>
      <c r="R72" s="21" t="str">
        <f>IFERROR(VLOOKUP(April[[#This Row],[Drug Name]],'Data Options'!$R$1:$S$100,2,FALSE), " ")</f>
        <v xml:space="preserve"> </v>
      </c>
      <c r="S72" s="55"/>
      <c r="T72" s="32"/>
      <c r="U72" s="32"/>
      <c r="V72" s="55"/>
      <c r="W72" s="32"/>
      <c r="X72" s="54"/>
      <c r="Y72" s="21" t="str">
        <f>IFERROR(VLOOKUP(April[[#This Row],[Drug Name2]],'Data Options'!$R$1:$S$100,2,FALSE), " ")</f>
        <v xml:space="preserve"> </v>
      </c>
      <c r="Z72" s="55"/>
      <c r="AA72" s="32"/>
      <c r="AB72" s="32"/>
      <c r="AC72" s="55"/>
      <c r="AD72" s="32"/>
      <c r="AE72" s="54"/>
      <c r="AF72" s="21" t="str">
        <f>IFERROR(VLOOKUP(April[[#This Row],[Drug Name3]],'Data Options'!$R$1:$S$100,2,FALSE), " ")</f>
        <v xml:space="preserve"> </v>
      </c>
      <c r="AG72" s="55"/>
      <c r="AH72" s="32"/>
      <c r="AI72" s="32"/>
      <c r="AJ72" s="55"/>
      <c r="AK72" s="32"/>
      <c r="AL72" s="32"/>
      <c r="AM72" s="32"/>
      <c r="AN72" s="32"/>
      <c r="AO72" s="32"/>
      <c r="AP72" s="31"/>
      <c r="AQ72" s="31"/>
      <c r="AR72" s="54"/>
      <c r="AS72" s="21" t="str">
        <f>IFERROR(VLOOKUP(April[[#This Row],[Drug Name4]],'Data Options'!$R$1:$S$100,2,FALSE), " ")</f>
        <v xml:space="preserve"> </v>
      </c>
      <c r="AT72" s="55"/>
      <c r="AU72" s="32"/>
      <c r="AV72" s="32"/>
      <c r="AW72" s="55"/>
      <c r="AX72" s="32"/>
      <c r="AY72" s="54"/>
      <c r="AZ72" s="21" t="str">
        <f>IFERROR(VLOOKUP(April[[#This Row],[Drug Name5]],'Data Options'!$R$1:$S$100,2,FALSE), " ")</f>
        <v xml:space="preserve"> </v>
      </c>
      <c r="BA72" s="55"/>
      <c r="BB72" s="32"/>
      <c r="BC72" s="32"/>
      <c r="BD72" s="55"/>
      <c r="BE72" s="32"/>
      <c r="BF72" s="54"/>
      <c r="BG72" s="21" t="str">
        <f>IFERROR(VLOOKUP(April[[#This Row],[Drug Name6]],'Data Options'!$R$1:$S$100,2,FALSE), " ")</f>
        <v xml:space="preserve"> </v>
      </c>
      <c r="BH72" s="55"/>
      <c r="BI72" s="32"/>
      <c r="BJ72" s="32"/>
      <c r="BK72" s="55"/>
      <c r="BL72" s="32"/>
      <c r="BM72" s="32"/>
      <c r="BN72" s="32"/>
      <c r="BO72" s="32"/>
      <c r="BP72" s="32"/>
      <c r="BQ72" s="31"/>
      <c r="BR72" s="31"/>
      <c r="BS72" s="54"/>
      <c r="BT72" s="21" t="str">
        <f>IFERROR(VLOOKUP(April[[#This Row],[Drug Name7]],'Data Options'!$R$1:$S$100,2,FALSE), " ")</f>
        <v xml:space="preserve"> </v>
      </c>
      <c r="BU72" s="55"/>
      <c r="BV72" s="32"/>
      <c r="BW72" s="32"/>
      <c r="BX72" s="55"/>
      <c r="BY72" s="32"/>
      <c r="BZ72" s="54"/>
      <c r="CA72" s="21" t="str">
        <f>IFERROR(VLOOKUP(April[[#This Row],[Drug Name8]],'Data Options'!$R$1:$S$100,2,FALSE), " ")</f>
        <v xml:space="preserve"> </v>
      </c>
      <c r="CB72" s="55"/>
      <c r="CC72" s="32"/>
      <c r="CD72" s="32"/>
      <c r="CE72" s="55"/>
      <c r="CF72" s="32"/>
      <c r="CG72" s="54"/>
      <c r="CH72" s="21" t="str">
        <f>IFERROR(VLOOKUP(April[[#This Row],[Drug Name9]],'Data Options'!$R$1:$S$100,2,FALSE), " ")</f>
        <v xml:space="preserve"> </v>
      </c>
      <c r="CI72" s="55"/>
      <c r="CJ72" s="32"/>
      <c r="CK72" s="32"/>
      <c r="CL72" s="55"/>
      <c r="CM72" s="32"/>
    </row>
    <row r="73" spans="1:91">
      <c r="A73" s="5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31"/>
      <c r="Q73" s="54"/>
      <c r="R73" s="21" t="str">
        <f>IFERROR(VLOOKUP(April[[#This Row],[Drug Name]],'Data Options'!$R$1:$S$100,2,FALSE), " ")</f>
        <v xml:space="preserve"> </v>
      </c>
      <c r="S73" s="55"/>
      <c r="T73" s="32"/>
      <c r="U73" s="32"/>
      <c r="V73" s="55"/>
      <c r="W73" s="32"/>
      <c r="X73" s="54"/>
      <c r="Y73" s="21" t="str">
        <f>IFERROR(VLOOKUP(April[[#This Row],[Drug Name2]],'Data Options'!$R$1:$S$100,2,FALSE), " ")</f>
        <v xml:space="preserve"> </v>
      </c>
      <c r="Z73" s="55"/>
      <c r="AA73" s="32"/>
      <c r="AB73" s="32"/>
      <c r="AC73" s="55"/>
      <c r="AD73" s="32"/>
      <c r="AE73" s="54"/>
      <c r="AF73" s="21" t="str">
        <f>IFERROR(VLOOKUP(April[[#This Row],[Drug Name3]],'Data Options'!$R$1:$S$100,2,FALSE), " ")</f>
        <v xml:space="preserve"> </v>
      </c>
      <c r="AG73" s="55"/>
      <c r="AH73" s="32"/>
      <c r="AI73" s="32"/>
      <c r="AJ73" s="55"/>
      <c r="AK73" s="32"/>
      <c r="AL73" s="32"/>
      <c r="AM73" s="32"/>
      <c r="AN73" s="32"/>
      <c r="AO73" s="32"/>
      <c r="AP73" s="31"/>
      <c r="AQ73" s="31"/>
      <c r="AR73" s="54"/>
      <c r="AS73" s="21" t="str">
        <f>IFERROR(VLOOKUP(April[[#This Row],[Drug Name4]],'Data Options'!$R$1:$S$100,2,FALSE), " ")</f>
        <v xml:space="preserve"> </v>
      </c>
      <c r="AT73" s="55"/>
      <c r="AU73" s="32"/>
      <c r="AV73" s="32"/>
      <c r="AW73" s="55"/>
      <c r="AX73" s="32"/>
      <c r="AY73" s="54"/>
      <c r="AZ73" s="21" t="str">
        <f>IFERROR(VLOOKUP(April[[#This Row],[Drug Name5]],'Data Options'!$R$1:$S$100,2,FALSE), " ")</f>
        <v xml:space="preserve"> </v>
      </c>
      <c r="BA73" s="55"/>
      <c r="BB73" s="32"/>
      <c r="BC73" s="32"/>
      <c r="BD73" s="55"/>
      <c r="BE73" s="32"/>
      <c r="BF73" s="54"/>
      <c r="BG73" s="21" t="str">
        <f>IFERROR(VLOOKUP(April[[#This Row],[Drug Name6]],'Data Options'!$R$1:$S$100,2,FALSE), " ")</f>
        <v xml:space="preserve"> </v>
      </c>
      <c r="BH73" s="55"/>
      <c r="BI73" s="32"/>
      <c r="BJ73" s="32"/>
      <c r="BK73" s="55"/>
      <c r="BL73" s="32"/>
      <c r="BM73" s="32"/>
      <c r="BN73" s="32"/>
      <c r="BO73" s="32"/>
      <c r="BP73" s="32"/>
      <c r="BQ73" s="31"/>
      <c r="BR73" s="31"/>
      <c r="BS73" s="54"/>
      <c r="BT73" s="21" t="str">
        <f>IFERROR(VLOOKUP(April[[#This Row],[Drug Name7]],'Data Options'!$R$1:$S$100,2,FALSE), " ")</f>
        <v xml:space="preserve"> </v>
      </c>
      <c r="BU73" s="55"/>
      <c r="BV73" s="32"/>
      <c r="BW73" s="32"/>
      <c r="BX73" s="55"/>
      <c r="BY73" s="32"/>
      <c r="BZ73" s="54"/>
      <c r="CA73" s="21" t="str">
        <f>IFERROR(VLOOKUP(April[[#This Row],[Drug Name8]],'Data Options'!$R$1:$S$100,2,FALSE), " ")</f>
        <v xml:space="preserve"> </v>
      </c>
      <c r="CB73" s="55"/>
      <c r="CC73" s="32"/>
      <c r="CD73" s="32"/>
      <c r="CE73" s="55"/>
      <c r="CF73" s="32"/>
      <c r="CG73" s="54"/>
      <c r="CH73" s="21" t="str">
        <f>IFERROR(VLOOKUP(April[[#This Row],[Drug Name9]],'Data Options'!$R$1:$S$100,2,FALSE), " ")</f>
        <v xml:space="preserve"> </v>
      </c>
      <c r="CI73" s="55"/>
      <c r="CJ73" s="32"/>
      <c r="CK73" s="32"/>
      <c r="CL73" s="55"/>
      <c r="CM73" s="32"/>
    </row>
    <row r="74" spans="1:91">
      <c r="A74" s="5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31"/>
      <c r="Q74" s="54"/>
      <c r="R74" s="21" t="str">
        <f>IFERROR(VLOOKUP(April[[#This Row],[Drug Name]],'Data Options'!$R$1:$S$100,2,FALSE), " ")</f>
        <v xml:space="preserve"> </v>
      </c>
      <c r="S74" s="55"/>
      <c r="T74" s="32"/>
      <c r="U74" s="32"/>
      <c r="V74" s="55"/>
      <c r="W74" s="32"/>
      <c r="X74" s="54"/>
      <c r="Y74" s="21" t="str">
        <f>IFERROR(VLOOKUP(April[[#This Row],[Drug Name2]],'Data Options'!$R$1:$S$100,2,FALSE), " ")</f>
        <v xml:space="preserve"> </v>
      </c>
      <c r="Z74" s="55"/>
      <c r="AA74" s="32"/>
      <c r="AB74" s="32"/>
      <c r="AC74" s="55"/>
      <c r="AD74" s="32"/>
      <c r="AE74" s="54"/>
      <c r="AF74" s="21" t="str">
        <f>IFERROR(VLOOKUP(April[[#This Row],[Drug Name3]],'Data Options'!$R$1:$S$100,2,FALSE), " ")</f>
        <v xml:space="preserve"> </v>
      </c>
      <c r="AG74" s="55"/>
      <c r="AH74" s="32"/>
      <c r="AI74" s="32"/>
      <c r="AJ74" s="55"/>
      <c r="AK74" s="32"/>
      <c r="AL74" s="32"/>
      <c r="AM74" s="32"/>
      <c r="AN74" s="32"/>
      <c r="AO74" s="32"/>
      <c r="AP74" s="31"/>
      <c r="AQ74" s="31"/>
      <c r="AR74" s="54"/>
      <c r="AS74" s="21" t="str">
        <f>IFERROR(VLOOKUP(April[[#This Row],[Drug Name4]],'Data Options'!$R$1:$S$100,2,FALSE), " ")</f>
        <v xml:space="preserve"> </v>
      </c>
      <c r="AT74" s="55"/>
      <c r="AU74" s="32"/>
      <c r="AV74" s="32"/>
      <c r="AW74" s="55"/>
      <c r="AX74" s="32"/>
      <c r="AY74" s="54"/>
      <c r="AZ74" s="21" t="str">
        <f>IFERROR(VLOOKUP(April[[#This Row],[Drug Name5]],'Data Options'!$R$1:$S$100,2,FALSE), " ")</f>
        <v xml:space="preserve"> </v>
      </c>
      <c r="BA74" s="55"/>
      <c r="BB74" s="32"/>
      <c r="BC74" s="32"/>
      <c r="BD74" s="55"/>
      <c r="BE74" s="32"/>
      <c r="BF74" s="54"/>
      <c r="BG74" s="21" t="str">
        <f>IFERROR(VLOOKUP(April[[#This Row],[Drug Name6]],'Data Options'!$R$1:$S$100,2,FALSE), " ")</f>
        <v xml:space="preserve"> </v>
      </c>
      <c r="BH74" s="55"/>
      <c r="BI74" s="32"/>
      <c r="BJ74" s="32"/>
      <c r="BK74" s="55"/>
      <c r="BL74" s="32"/>
      <c r="BM74" s="32"/>
      <c r="BN74" s="32"/>
      <c r="BO74" s="32"/>
      <c r="BP74" s="32"/>
      <c r="BQ74" s="31"/>
      <c r="BR74" s="31"/>
      <c r="BS74" s="54"/>
      <c r="BT74" s="21" t="str">
        <f>IFERROR(VLOOKUP(April[[#This Row],[Drug Name7]],'Data Options'!$R$1:$S$100,2,FALSE), " ")</f>
        <v xml:space="preserve"> </v>
      </c>
      <c r="BU74" s="55"/>
      <c r="BV74" s="32"/>
      <c r="BW74" s="32"/>
      <c r="BX74" s="55"/>
      <c r="BY74" s="32"/>
      <c r="BZ74" s="54"/>
      <c r="CA74" s="21" t="str">
        <f>IFERROR(VLOOKUP(April[[#This Row],[Drug Name8]],'Data Options'!$R$1:$S$100,2,FALSE), " ")</f>
        <v xml:space="preserve"> </v>
      </c>
      <c r="CB74" s="55"/>
      <c r="CC74" s="32"/>
      <c r="CD74" s="32"/>
      <c r="CE74" s="55"/>
      <c r="CF74" s="32"/>
      <c r="CG74" s="54"/>
      <c r="CH74" s="21" t="str">
        <f>IFERROR(VLOOKUP(April[[#This Row],[Drug Name9]],'Data Options'!$R$1:$S$100,2,FALSE), " ")</f>
        <v xml:space="preserve"> </v>
      </c>
      <c r="CI74" s="55"/>
      <c r="CJ74" s="32"/>
      <c r="CK74" s="32"/>
      <c r="CL74" s="55"/>
      <c r="CM74" s="32"/>
    </row>
    <row r="75" spans="1:91">
      <c r="A75" s="5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31"/>
      <c r="Q75" s="54"/>
      <c r="R75" s="21" t="str">
        <f>IFERROR(VLOOKUP(April[[#This Row],[Drug Name]],'Data Options'!$R$1:$S$100,2,FALSE), " ")</f>
        <v xml:space="preserve"> </v>
      </c>
      <c r="S75" s="55"/>
      <c r="T75" s="32"/>
      <c r="U75" s="32"/>
      <c r="V75" s="55"/>
      <c r="W75" s="32"/>
      <c r="X75" s="54"/>
      <c r="Y75" s="21" t="str">
        <f>IFERROR(VLOOKUP(April[[#This Row],[Drug Name2]],'Data Options'!$R$1:$S$100,2,FALSE), " ")</f>
        <v xml:space="preserve"> </v>
      </c>
      <c r="Z75" s="55"/>
      <c r="AA75" s="32"/>
      <c r="AB75" s="32"/>
      <c r="AC75" s="55"/>
      <c r="AD75" s="32"/>
      <c r="AE75" s="54"/>
      <c r="AF75" s="21" t="str">
        <f>IFERROR(VLOOKUP(April[[#This Row],[Drug Name3]],'Data Options'!$R$1:$S$100,2,FALSE), " ")</f>
        <v xml:space="preserve"> </v>
      </c>
      <c r="AG75" s="55"/>
      <c r="AH75" s="32"/>
      <c r="AI75" s="32"/>
      <c r="AJ75" s="55"/>
      <c r="AK75" s="32"/>
      <c r="AL75" s="32"/>
      <c r="AM75" s="32"/>
      <c r="AN75" s="32"/>
      <c r="AO75" s="32"/>
      <c r="AP75" s="31"/>
      <c r="AQ75" s="31"/>
      <c r="AR75" s="54"/>
      <c r="AS75" s="21" t="str">
        <f>IFERROR(VLOOKUP(April[[#This Row],[Drug Name4]],'Data Options'!$R$1:$S$100,2,FALSE), " ")</f>
        <v xml:space="preserve"> </v>
      </c>
      <c r="AT75" s="55"/>
      <c r="AU75" s="32"/>
      <c r="AV75" s="32"/>
      <c r="AW75" s="55"/>
      <c r="AX75" s="32"/>
      <c r="AY75" s="54"/>
      <c r="AZ75" s="21" t="str">
        <f>IFERROR(VLOOKUP(April[[#This Row],[Drug Name5]],'Data Options'!$R$1:$S$100,2,FALSE), " ")</f>
        <v xml:space="preserve"> </v>
      </c>
      <c r="BA75" s="55"/>
      <c r="BB75" s="32"/>
      <c r="BC75" s="32"/>
      <c r="BD75" s="55"/>
      <c r="BE75" s="32"/>
      <c r="BF75" s="54"/>
      <c r="BG75" s="21" t="str">
        <f>IFERROR(VLOOKUP(April[[#This Row],[Drug Name6]],'Data Options'!$R$1:$S$100,2,FALSE), " ")</f>
        <v xml:space="preserve"> </v>
      </c>
      <c r="BH75" s="55"/>
      <c r="BI75" s="32"/>
      <c r="BJ75" s="32"/>
      <c r="BK75" s="55"/>
      <c r="BL75" s="32"/>
      <c r="BM75" s="32"/>
      <c r="BN75" s="32"/>
      <c r="BO75" s="32"/>
      <c r="BP75" s="32"/>
      <c r="BQ75" s="31"/>
      <c r="BR75" s="31"/>
      <c r="BS75" s="54"/>
      <c r="BT75" s="21" t="str">
        <f>IFERROR(VLOOKUP(April[[#This Row],[Drug Name7]],'Data Options'!$R$1:$S$100,2,FALSE), " ")</f>
        <v xml:space="preserve"> </v>
      </c>
      <c r="BU75" s="55"/>
      <c r="BV75" s="32"/>
      <c r="BW75" s="32"/>
      <c r="BX75" s="55"/>
      <c r="BY75" s="32"/>
      <c r="BZ75" s="54"/>
      <c r="CA75" s="21" t="str">
        <f>IFERROR(VLOOKUP(April[[#This Row],[Drug Name8]],'Data Options'!$R$1:$S$100,2,FALSE), " ")</f>
        <v xml:space="preserve"> </v>
      </c>
      <c r="CB75" s="55"/>
      <c r="CC75" s="32"/>
      <c r="CD75" s="32"/>
      <c r="CE75" s="55"/>
      <c r="CF75" s="32"/>
      <c r="CG75" s="54"/>
      <c r="CH75" s="21" t="str">
        <f>IFERROR(VLOOKUP(April[[#This Row],[Drug Name9]],'Data Options'!$R$1:$S$100,2,FALSE), " ")</f>
        <v xml:space="preserve"> </v>
      </c>
      <c r="CI75" s="55"/>
      <c r="CJ75" s="32"/>
      <c r="CK75" s="32"/>
      <c r="CL75" s="55"/>
      <c r="CM75" s="32"/>
    </row>
    <row r="76" spans="1:91">
      <c r="A76" s="5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54"/>
      <c r="R76" s="21" t="str">
        <f>IFERROR(VLOOKUP(April[[#This Row],[Drug Name]],'Data Options'!$R$1:$S$100,2,FALSE), " ")</f>
        <v xml:space="preserve"> </v>
      </c>
      <c r="S76" s="55"/>
      <c r="T76" s="32"/>
      <c r="U76" s="32"/>
      <c r="V76" s="55"/>
      <c r="W76" s="32"/>
      <c r="X76" s="54"/>
      <c r="Y76" s="21" t="str">
        <f>IFERROR(VLOOKUP(April[[#This Row],[Drug Name2]],'Data Options'!$R$1:$S$100,2,FALSE), " ")</f>
        <v xml:space="preserve"> </v>
      </c>
      <c r="Z76" s="55"/>
      <c r="AA76" s="32"/>
      <c r="AB76" s="32"/>
      <c r="AC76" s="55"/>
      <c r="AD76" s="32"/>
      <c r="AE76" s="54"/>
      <c r="AF76" s="21" t="str">
        <f>IFERROR(VLOOKUP(April[[#This Row],[Drug Name3]],'Data Options'!$R$1:$S$100,2,FALSE), " ")</f>
        <v xml:space="preserve"> </v>
      </c>
      <c r="AG76" s="55"/>
      <c r="AH76" s="32"/>
      <c r="AI76" s="32"/>
      <c r="AJ76" s="55"/>
      <c r="AK76" s="32"/>
      <c r="AL76" s="32"/>
      <c r="AM76" s="32"/>
      <c r="AN76" s="32"/>
      <c r="AO76" s="32"/>
      <c r="AP76" s="31"/>
      <c r="AQ76" s="31"/>
      <c r="AR76" s="54"/>
      <c r="AS76" s="21" t="str">
        <f>IFERROR(VLOOKUP(April[[#This Row],[Drug Name4]],'Data Options'!$R$1:$S$100,2,FALSE), " ")</f>
        <v xml:space="preserve"> </v>
      </c>
      <c r="AT76" s="55"/>
      <c r="AU76" s="32"/>
      <c r="AV76" s="32"/>
      <c r="AW76" s="55"/>
      <c r="AX76" s="32"/>
      <c r="AY76" s="54"/>
      <c r="AZ76" s="21" t="str">
        <f>IFERROR(VLOOKUP(April[[#This Row],[Drug Name5]],'Data Options'!$R$1:$S$100,2,FALSE), " ")</f>
        <v xml:space="preserve"> </v>
      </c>
      <c r="BA76" s="55"/>
      <c r="BB76" s="32"/>
      <c r="BC76" s="32"/>
      <c r="BD76" s="55"/>
      <c r="BE76" s="32"/>
      <c r="BF76" s="54"/>
      <c r="BG76" s="21" t="str">
        <f>IFERROR(VLOOKUP(April[[#This Row],[Drug Name6]],'Data Options'!$R$1:$S$100,2,FALSE), " ")</f>
        <v xml:space="preserve"> </v>
      </c>
      <c r="BH76" s="55"/>
      <c r="BI76" s="32"/>
      <c r="BJ76" s="32"/>
      <c r="BK76" s="55"/>
      <c r="BL76" s="32"/>
      <c r="BM76" s="32"/>
      <c r="BN76" s="32"/>
      <c r="BO76" s="32"/>
      <c r="BP76" s="32"/>
      <c r="BQ76" s="31"/>
      <c r="BR76" s="31"/>
      <c r="BS76" s="54"/>
      <c r="BT76" s="21" t="str">
        <f>IFERROR(VLOOKUP(April[[#This Row],[Drug Name7]],'Data Options'!$R$1:$S$100,2,FALSE), " ")</f>
        <v xml:space="preserve"> </v>
      </c>
      <c r="BU76" s="55"/>
      <c r="BV76" s="32"/>
      <c r="BW76" s="32"/>
      <c r="BX76" s="55"/>
      <c r="BY76" s="32"/>
      <c r="BZ76" s="54"/>
      <c r="CA76" s="21" t="str">
        <f>IFERROR(VLOOKUP(April[[#This Row],[Drug Name8]],'Data Options'!$R$1:$S$100,2,FALSE), " ")</f>
        <v xml:space="preserve"> </v>
      </c>
      <c r="CB76" s="55"/>
      <c r="CC76" s="32"/>
      <c r="CD76" s="32"/>
      <c r="CE76" s="55"/>
      <c r="CF76" s="32"/>
      <c r="CG76" s="54"/>
      <c r="CH76" s="21" t="str">
        <f>IFERROR(VLOOKUP(April[[#This Row],[Drug Name9]],'Data Options'!$R$1:$S$100,2,FALSE), " ")</f>
        <v xml:space="preserve"> </v>
      </c>
      <c r="CI76" s="55"/>
      <c r="CJ76" s="32"/>
      <c r="CK76" s="32"/>
      <c r="CL76" s="55"/>
      <c r="CM76" s="32"/>
    </row>
    <row r="77" spans="1:91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31"/>
      <c r="Q77" s="54"/>
      <c r="R77" s="21" t="str">
        <f>IFERROR(VLOOKUP(April[[#This Row],[Drug Name]],'Data Options'!$R$1:$S$100,2,FALSE), " ")</f>
        <v xml:space="preserve"> </v>
      </c>
      <c r="S77" s="55"/>
      <c r="T77" s="32"/>
      <c r="U77" s="32"/>
      <c r="V77" s="55"/>
      <c r="W77" s="32"/>
      <c r="X77" s="54"/>
      <c r="Y77" s="21" t="str">
        <f>IFERROR(VLOOKUP(April[[#This Row],[Drug Name2]],'Data Options'!$R$1:$S$100,2,FALSE), " ")</f>
        <v xml:space="preserve"> </v>
      </c>
      <c r="Z77" s="55"/>
      <c r="AA77" s="32"/>
      <c r="AB77" s="32"/>
      <c r="AC77" s="55"/>
      <c r="AD77" s="32"/>
      <c r="AE77" s="54"/>
      <c r="AF77" s="21" t="str">
        <f>IFERROR(VLOOKUP(April[[#This Row],[Drug Name3]],'Data Options'!$R$1:$S$100,2,FALSE), " ")</f>
        <v xml:space="preserve"> </v>
      </c>
      <c r="AG77" s="55"/>
      <c r="AH77" s="32"/>
      <c r="AI77" s="32"/>
      <c r="AJ77" s="55"/>
      <c r="AK77" s="32"/>
      <c r="AL77" s="32"/>
      <c r="AM77" s="32"/>
      <c r="AN77" s="32"/>
      <c r="AO77" s="32"/>
      <c r="AP77" s="31"/>
      <c r="AQ77" s="31"/>
      <c r="AR77" s="54"/>
      <c r="AS77" s="21" t="str">
        <f>IFERROR(VLOOKUP(April[[#This Row],[Drug Name4]],'Data Options'!$R$1:$S$100,2,FALSE), " ")</f>
        <v xml:space="preserve"> </v>
      </c>
      <c r="AT77" s="55"/>
      <c r="AU77" s="32"/>
      <c r="AV77" s="32"/>
      <c r="AW77" s="55"/>
      <c r="AX77" s="32"/>
      <c r="AY77" s="54"/>
      <c r="AZ77" s="21" t="str">
        <f>IFERROR(VLOOKUP(April[[#This Row],[Drug Name5]],'Data Options'!$R$1:$S$100,2,FALSE), " ")</f>
        <v xml:space="preserve"> </v>
      </c>
      <c r="BA77" s="55"/>
      <c r="BB77" s="32"/>
      <c r="BC77" s="32"/>
      <c r="BD77" s="55"/>
      <c r="BE77" s="32"/>
      <c r="BF77" s="54"/>
      <c r="BG77" s="21" t="str">
        <f>IFERROR(VLOOKUP(April[[#This Row],[Drug Name6]],'Data Options'!$R$1:$S$100,2,FALSE), " ")</f>
        <v xml:space="preserve"> </v>
      </c>
      <c r="BH77" s="55"/>
      <c r="BI77" s="32"/>
      <c r="BJ77" s="32"/>
      <c r="BK77" s="55"/>
      <c r="BL77" s="32"/>
      <c r="BM77" s="32"/>
      <c r="BN77" s="32"/>
      <c r="BO77" s="32"/>
      <c r="BP77" s="32"/>
      <c r="BQ77" s="31"/>
      <c r="BR77" s="31"/>
      <c r="BS77" s="54"/>
      <c r="BT77" s="21" t="str">
        <f>IFERROR(VLOOKUP(April[[#This Row],[Drug Name7]],'Data Options'!$R$1:$S$100,2,FALSE), " ")</f>
        <v xml:space="preserve"> </v>
      </c>
      <c r="BU77" s="55"/>
      <c r="BV77" s="32"/>
      <c r="BW77" s="32"/>
      <c r="BX77" s="55"/>
      <c r="BY77" s="32"/>
      <c r="BZ77" s="54"/>
      <c r="CA77" s="21" t="str">
        <f>IFERROR(VLOOKUP(April[[#This Row],[Drug Name8]],'Data Options'!$R$1:$S$100,2,FALSE), " ")</f>
        <v xml:space="preserve"> </v>
      </c>
      <c r="CB77" s="55"/>
      <c r="CC77" s="32"/>
      <c r="CD77" s="32"/>
      <c r="CE77" s="55"/>
      <c r="CF77" s="32"/>
      <c r="CG77" s="54"/>
      <c r="CH77" s="21" t="str">
        <f>IFERROR(VLOOKUP(April[[#This Row],[Drug Name9]],'Data Options'!$R$1:$S$100,2,FALSE), " ")</f>
        <v xml:space="preserve"> </v>
      </c>
      <c r="CI77" s="55"/>
      <c r="CJ77" s="32"/>
      <c r="CK77" s="32"/>
      <c r="CL77" s="55"/>
      <c r="CM77" s="32"/>
    </row>
    <row r="78" spans="1:91">
      <c r="A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31"/>
      <c r="Q78" s="54"/>
      <c r="R78" s="21" t="str">
        <f>IFERROR(VLOOKUP(April[[#This Row],[Drug Name]],'Data Options'!$R$1:$S$100,2,FALSE), " ")</f>
        <v xml:space="preserve"> </v>
      </c>
      <c r="S78" s="55"/>
      <c r="T78" s="32"/>
      <c r="U78" s="32"/>
      <c r="V78" s="55"/>
      <c r="W78" s="32"/>
      <c r="X78" s="54"/>
      <c r="Y78" s="21" t="str">
        <f>IFERROR(VLOOKUP(April[[#This Row],[Drug Name2]],'Data Options'!$R$1:$S$100,2,FALSE), " ")</f>
        <v xml:space="preserve"> </v>
      </c>
      <c r="Z78" s="55"/>
      <c r="AA78" s="32"/>
      <c r="AB78" s="32"/>
      <c r="AC78" s="55"/>
      <c r="AD78" s="32"/>
      <c r="AE78" s="54"/>
      <c r="AF78" s="21" t="str">
        <f>IFERROR(VLOOKUP(April[[#This Row],[Drug Name3]],'Data Options'!$R$1:$S$100,2,FALSE), " ")</f>
        <v xml:space="preserve"> </v>
      </c>
      <c r="AG78" s="55"/>
      <c r="AH78" s="32"/>
      <c r="AI78" s="32"/>
      <c r="AJ78" s="55"/>
      <c r="AK78" s="32"/>
      <c r="AL78" s="32"/>
      <c r="AM78" s="32"/>
      <c r="AN78" s="32"/>
      <c r="AO78" s="32"/>
      <c r="AP78" s="31"/>
      <c r="AQ78" s="31"/>
      <c r="AR78" s="54"/>
      <c r="AS78" s="21" t="str">
        <f>IFERROR(VLOOKUP(April[[#This Row],[Drug Name4]],'Data Options'!$R$1:$S$100,2,FALSE), " ")</f>
        <v xml:space="preserve"> </v>
      </c>
      <c r="AT78" s="55"/>
      <c r="AU78" s="32"/>
      <c r="AV78" s="32"/>
      <c r="AW78" s="55"/>
      <c r="AX78" s="32"/>
      <c r="AY78" s="54"/>
      <c r="AZ78" s="21" t="str">
        <f>IFERROR(VLOOKUP(April[[#This Row],[Drug Name5]],'Data Options'!$R$1:$S$100,2,FALSE), " ")</f>
        <v xml:space="preserve"> </v>
      </c>
      <c r="BA78" s="55"/>
      <c r="BB78" s="32"/>
      <c r="BC78" s="32"/>
      <c r="BD78" s="55"/>
      <c r="BE78" s="32"/>
      <c r="BF78" s="54"/>
      <c r="BG78" s="21" t="str">
        <f>IFERROR(VLOOKUP(April[[#This Row],[Drug Name6]],'Data Options'!$R$1:$S$100,2,FALSE), " ")</f>
        <v xml:space="preserve"> </v>
      </c>
      <c r="BH78" s="55"/>
      <c r="BI78" s="32"/>
      <c r="BJ78" s="32"/>
      <c r="BK78" s="55"/>
      <c r="BL78" s="32"/>
      <c r="BM78" s="32"/>
      <c r="BN78" s="32"/>
      <c r="BO78" s="32"/>
      <c r="BP78" s="32"/>
      <c r="BQ78" s="31"/>
      <c r="BR78" s="31"/>
      <c r="BS78" s="54"/>
      <c r="BT78" s="21" t="str">
        <f>IFERROR(VLOOKUP(April[[#This Row],[Drug Name7]],'Data Options'!$R$1:$S$100,2,FALSE), " ")</f>
        <v xml:space="preserve"> </v>
      </c>
      <c r="BU78" s="55"/>
      <c r="BV78" s="32"/>
      <c r="BW78" s="32"/>
      <c r="BX78" s="55"/>
      <c r="BY78" s="32"/>
      <c r="BZ78" s="54"/>
      <c r="CA78" s="21" t="str">
        <f>IFERROR(VLOOKUP(April[[#This Row],[Drug Name8]],'Data Options'!$R$1:$S$100,2,FALSE), " ")</f>
        <v xml:space="preserve"> </v>
      </c>
      <c r="CB78" s="55"/>
      <c r="CC78" s="32"/>
      <c r="CD78" s="32"/>
      <c r="CE78" s="55"/>
      <c r="CF78" s="32"/>
      <c r="CG78" s="54"/>
      <c r="CH78" s="21" t="str">
        <f>IFERROR(VLOOKUP(April[[#This Row],[Drug Name9]],'Data Options'!$R$1:$S$100,2,FALSE), " ")</f>
        <v xml:space="preserve"> </v>
      </c>
      <c r="CI78" s="55"/>
      <c r="CJ78" s="32"/>
      <c r="CK78" s="32"/>
      <c r="CL78" s="55"/>
      <c r="CM78" s="32"/>
    </row>
    <row r="79" spans="1:91">
      <c r="A79" s="5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31"/>
      <c r="Q79" s="54"/>
      <c r="R79" s="21" t="str">
        <f>IFERROR(VLOOKUP(April[[#This Row],[Drug Name]],'Data Options'!$R$1:$S$100,2,FALSE), " ")</f>
        <v xml:space="preserve"> </v>
      </c>
      <c r="S79" s="55"/>
      <c r="T79" s="32"/>
      <c r="U79" s="32"/>
      <c r="V79" s="55"/>
      <c r="W79" s="32"/>
      <c r="X79" s="54"/>
      <c r="Y79" s="21" t="str">
        <f>IFERROR(VLOOKUP(April[[#This Row],[Drug Name2]],'Data Options'!$R$1:$S$100,2,FALSE), " ")</f>
        <v xml:space="preserve"> </v>
      </c>
      <c r="Z79" s="55"/>
      <c r="AA79" s="32"/>
      <c r="AB79" s="32"/>
      <c r="AC79" s="55"/>
      <c r="AD79" s="32"/>
      <c r="AE79" s="54"/>
      <c r="AF79" s="21" t="str">
        <f>IFERROR(VLOOKUP(April[[#This Row],[Drug Name3]],'Data Options'!$R$1:$S$100,2,FALSE), " ")</f>
        <v xml:space="preserve"> </v>
      </c>
      <c r="AG79" s="55"/>
      <c r="AH79" s="32"/>
      <c r="AI79" s="32"/>
      <c r="AJ79" s="55"/>
      <c r="AK79" s="32"/>
      <c r="AL79" s="32"/>
      <c r="AM79" s="32"/>
      <c r="AN79" s="32"/>
      <c r="AO79" s="32"/>
      <c r="AP79" s="31"/>
      <c r="AQ79" s="31"/>
      <c r="AR79" s="54"/>
      <c r="AS79" s="21" t="str">
        <f>IFERROR(VLOOKUP(April[[#This Row],[Drug Name4]],'Data Options'!$R$1:$S$100,2,FALSE), " ")</f>
        <v xml:space="preserve"> </v>
      </c>
      <c r="AT79" s="55"/>
      <c r="AU79" s="32"/>
      <c r="AV79" s="32"/>
      <c r="AW79" s="55"/>
      <c r="AX79" s="32"/>
      <c r="AY79" s="54"/>
      <c r="AZ79" s="21" t="str">
        <f>IFERROR(VLOOKUP(April[[#This Row],[Drug Name5]],'Data Options'!$R$1:$S$100,2,FALSE), " ")</f>
        <v xml:space="preserve"> </v>
      </c>
      <c r="BA79" s="55"/>
      <c r="BB79" s="32"/>
      <c r="BC79" s="32"/>
      <c r="BD79" s="55"/>
      <c r="BE79" s="32"/>
      <c r="BF79" s="54"/>
      <c r="BG79" s="21" t="str">
        <f>IFERROR(VLOOKUP(April[[#This Row],[Drug Name6]],'Data Options'!$R$1:$S$100,2,FALSE), " ")</f>
        <v xml:space="preserve"> </v>
      </c>
      <c r="BH79" s="55"/>
      <c r="BI79" s="32"/>
      <c r="BJ79" s="32"/>
      <c r="BK79" s="55"/>
      <c r="BL79" s="32"/>
      <c r="BM79" s="32"/>
      <c r="BN79" s="32"/>
      <c r="BO79" s="32"/>
      <c r="BP79" s="32"/>
      <c r="BQ79" s="31"/>
      <c r="BR79" s="31"/>
      <c r="BS79" s="54"/>
      <c r="BT79" s="21" t="str">
        <f>IFERROR(VLOOKUP(April[[#This Row],[Drug Name7]],'Data Options'!$R$1:$S$100,2,FALSE), " ")</f>
        <v xml:space="preserve"> </v>
      </c>
      <c r="BU79" s="55"/>
      <c r="BV79" s="32"/>
      <c r="BW79" s="32"/>
      <c r="BX79" s="55"/>
      <c r="BY79" s="32"/>
      <c r="BZ79" s="54"/>
      <c r="CA79" s="21" t="str">
        <f>IFERROR(VLOOKUP(April[[#This Row],[Drug Name8]],'Data Options'!$R$1:$S$100,2,FALSE), " ")</f>
        <v xml:space="preserve"> </v>
      </c>
      <c r="CB79" s="55"/>
      <c r="CC79" s="32"/>
      <c r="CD79" s="32"/>
      <c r="CE79" s="55"/>
      <c r="CF79" s="32"/>
      <c r="CG79" s="54"/>
      <c r="CH79" s="21" t="str">
        <f>IFERROR(VLOOKUP(April[[#This Row],[Drug Name9]],'Data Options'!$R$1:$S$100,2,FALSE), " ")</f>
        <v xml:space="preserve"> </v>
      </c>
      <c r="CI79" s="55"/>
      <c r="CJ79" s="32"/>
      <c r="CK79" s="32"/>
      <c r="CL79" s="55"/>
      <c r="CM79" s="32"/>
    </row>
    <row r="80" spans="1:91">
      <c r="A80" s="5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31"/>
      <c r="Q80" s="54"/>
      <c r="R80" s="21" t="str">
        <f>IFERROR(VLOOKUP(April[[#This Row],[Drug Name]],'Data Options'!$R$1:$S$100,2,FALSE), " ")</f>
        <v xml:space="preserve"> </v>
      </c>
      <c r="S80" s="55"/>
      <c r="T80" s="32"/>
      <c r="U80" s="32"/>
      <c r="V80" s="55"/>
      <c r="W80" s="32"/>
      <c r="X80" s="54"/>
      <c r="Y80" s="21" t="str">
        <f>IFERROR(VLOOKUP(April[[#This Row],[Drug Name2]],'Data Options'!$R$1:$S$100,2,FALSE), " ")</f>
        <v xml:space="preserve"> </v>
      </c>
      <c r="Z80" s="55"/>
      <c r="AA80" s="32"/>
      <c r="AB80" s="32"/>
      <c r="AC80" s="55"/>
      <c r="AD80" s="32"/>
      <c r="AE80" s="54"/>
      <c r="AF80" s="21" t="str">
        <f>IFERROR(VLOOKUP(April[[#This Row],[Drug Name3]],'Data Options'!$R$1:$S$100,2,FALSE), " ")</f>
        <v xml:space="preserve"> </v>
      </c>
      <c r="AG80" s="55"/>
      <c r="AH80" s="32"/>
      <c r="AI80" s="32"/>
      <c r="AJ80" s="55"/>
      <c r="AK80" s="32"/>
      <c r="AL80" s="32"/>
      <c r="AM80" s="32"/>
      <c r="AN80" s="32"/>
      <c r="AO80" s="32"/>
      <c r="AP80" s="31"/>
      <c r="AQ80" s="31"/>
      <c r="AR80" s="54"/>
      <c r="AS80" s="21" t="str">
        <f>IFERROR(VLOOKUP(April[[#This Row],[Drug Name4]],'Data Options'!$R$1:$S$100,2,FALSE), " ")</f>
        <v xml:space="preserve"> </v>
      </c>
      <c r="AT80" s="55"/>
      <c r="AU80" s="32"/>
      <c r="AV80" s="32"/>
      <c r="AW80" s="55"/>
      <c r="AX80" s="32"/>
      <c r="AY80" s="54"/>
      <c r="AZ80" s="21" t="str">
        <f>IFERROR(VLOOKUP(April[[#This Row],[Drug Name5]],'Data Options'!$R$1:$S$100,2,FALSE), " ")</f>
        <v xml:space="preserve"> </v>
      </c>
      <c r="BA80" s="55"/>
      <c r="BB80" s="32"/>
      <c r="BC80" s="32"/>
      <c r="BD80" s="55"/>
      <c r="BE80" s="32"/>
      <c r="BF80" s="54"/>
      <c r="BG80" s="21" t="str">
        <f>IFERROR(VLOOKUP(April[[#This Row],[Drug Name6]],'Data Options'!$R$1:$S$100,2,FALSE), " ")</f>
        <v xml:space="preserve"> </v>
      </c>
      <c r="BH80" s="55"/>
      <c r="BI80" s="32"/>
      <c r="BJ80" s="32"/>
      <c r="BK80" s="55"/>
      <c r="BL80" s="32"/>
      <c r="BM80" s="32"/>
      <c r="BN80" s="32"/>
      <c r="BO80" s="32"/>
      <c r="BP80" s="32"/>
      <c r="BQ80" s="31"/>
      <c r="BR80" s="31"/>
      <c r="BS80" s="54"/>
      <c r="BT80" s="21" t="str">
        <f>IFERROR(VLOOKUP(April[[#This Row],[Drug Name7]],'Data Options'!$R$1:$S$100,2,FALSE), " ")</f>
        <v xml:space="preserve"> </v>
      </c>
      <c r="BU80" s="55"/>
      <c r="BV80" s="32"/>
      <c r="BW80" s="32"/>
      <c r="BX80" s="55"/>
      <c r="BY80" s="32"/>
      <c r="BZ80" s="54"/>
      <c r="CA80" s="21" t="str">
        <f>IFERROR(VLOOKUP(April[[#This Row],[Drug Name8]],'Data Options'!$R$1:$S$100,2,FALSE), " ")</f>
        <v xml:space="preserve"> </v>
      </c>
      <c r="CB80" s="55"/>
      <c r="CC80" s="32"/>
      <c r="CD80" s="32"/>
      <c r="CE80" s="55"/>
      <c r="CF80" s="32"/>
      <c r="CG80" s="54"/>
      <c r="CH80" s="21" t="str">
        <f>IFERROR(VLOOKUP(April[[#This Row],[Drug Name9]],'Data Options'!$R$1:$S$100,2,FALSE), " ")</f>
        <v xml:space="preserve"> </v>
      </c>
      <c r="CI80" s="55"/>
      <c r="CJ80" s="32"/>
      <c r="CK80" s="32"/>
      <c r="CL80" s="55"/>
      <c r="CM80" s="32"/>
    </row>
    <row r="81" spans="1:91">
      <c r="A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54"/>
      <c r="R81" s="21" t="str">
        <f>IFERROR(VLOOKUP(April[[#This Row],[Drug Name]],'Data Options'!$R$1:$S$100,2,FALSE), " ")</f>
        <v xml:space="preserve"> </v>
      </c>
      <c r="S81" s="55"/>
      <c r="T81" s="32"/>
      <c r="U81" s="32"/>
      <c r="V81" s="55"/>
      <c r="W81" s="32"/>
      <c r="X81" s="54"/>
      <c r="Y81" s="21" t="str">
        <f>IFERROR(VLOOKUP(April[[#This Row],[Drug Name2]],'Data Options'!$R$1:$S$100,2,FALSE), " ")</f>
        <v xml:space="preserve"> </v>
      </c>
      <c r="Z81" s="55"/>
      <c r="AA81" s="32"/>
      <c r="AB81" s="32"/>
      <c r="AC81" s="55"/>
      <c r="AD81" s="32"/>
      <c r="AE81" s="54"/>
      <c r="AF81" s="21" t="str">
        <f>IFERROR(VLOOKUP(April[[#This Row],[Drug Name3]],'Data Options'!$R$1:$S$100,2,FALSE), " ")</f>
        <v xml:space="preserve"> </v>
      </c>
      <c r="AG81" s="55"/>
      <c r="AH81" s="32"/>
      <c r="AI81" s="32"/>
      <c r="AJ81" s="55"/>
      <c r="AK81" s="32"/>
      <c r="AL81" s="32"/>
      <c r="AM81" s="32"/>
      <c r="AN81" s="32"/>
      <c r="AO81" s="32"/>
      <c r="AP81" s="31"/>
      <c r="AQ81" s="31"/>
      <c r="AR81" s="54"/>
      <c r="AS81" s="21" t="str">
        <f>IFERROR(VLOOKUP(April[[#This Row],[Drug Name4]],'Data Options'!$R$1:$S$100,2,FALSE), " ")</f>
        <v xml:space="preserve"> </v>
      </c>
      <c r="AT81" s="55"/>
      <c r="AU81" s="32"/>
      <c r="AV81" s="32"/>
      <c r="AW81" s="55"/>
      <c r="AX81" s="32"/>
      <c r="AY81" s="54"/>
      <c r="AZ81" s="21" t="str">
        <f>IFERROR(VLOOKUP(April[[#This Row],[Drug Name5]],'Data Options'!$R$1:$S$100,2,FALSE), " ")</f>
        <v xml:space="preserve"> </v>
      </c>
      <c r="BA81" s="55"/>
      <c r="BB81" s="32"/>
      <c r="BC81" s="32"/>
      <c r="BD81" s="55"/>
      <c r="BE81" s="32"/>
      <c r="BF81" s="54"/>
      <c r="BG81" s="21" t="str">
        <f>IFERROR(VLOOKUP(April[[#This Row],[Drug Name6]],'Data Options'!$R$1:$S$100,2,FALSE), " ")</f>
        <v xml:space="preserve"> </v>
      </c>
      <c r="BH81" s="55"/>
      <c r="BI81" s="32"/>
      <c r="BJ81" s="32"/>
      <c r="BK81" s="55"/>
      <c r="BL81" s="32"/>
      <c r="BM81" s="32"/>
      <c r="BN81" s="32"/>
      <c r="BO81" s="32"/>
      <c r="BP81" s="32"/>
      <c r="BQ81" s="31"/>
      <c r="BR81" s="31"/>
      <c r="BS81" s="54"/>
      <c r="BT81" s="21" t="str">
        <f>IFERROR(VLOOKUP(April[[#This Row],[Drug Name7]],'Data Options'!$R$1:$S$100,2,FALSE), " ")</f>
        <v xml:space="preserve"> </v>
      </c>
      <c r="BU81" s="55"/>
      <c r="BV81" s="32"/>
      <c r="BW81" s="32"/>
      <c r="BX81" s="55"/>
      <c r="BY81" s="32"/>
      <c r="BZ81" s="54"/>
      <c r="CA81" s="21" t="str">
        <f>IFERROR(VLOOKUP(April[[#This Row],[Drug Name8]],'Data Options'!$R$1:$S$100,2,FALSE), " ")</f>
        <v xml:space="preserve"> </v>
      </c>
      <c r="CB81" s="55"/>
      <c r="CC81" s="32"/>
      <c r="CD81" s="32"/>
      <c r="CE81" s="55"/>
      <c r="CF81" s="32"/>
      <c r="CG81" s="54"/>
      <c r="CH81" s="21" t="str">
        <f>IFERROR(VLOOKUP(April[[#This Row],[Drug Name9]],'Data Options'!$R$1:$S$100,2,FALSE), " ")</f>
        <v xml:space="preserve"> </v>
      </c>
      <c r="CI81" s="55"/>
      <c r="CJ81" s="32"/>
      <c r="CK81" s="32"/>
      <c r="CL81" s="55"/>
      <c r="CM81" s="32"/>
    </row>
    <row r="82" spans="1:91">
      <c r="A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54"/>
      <c r="R82" s="21" t="str">
        <f>IFERROR(VLOOKUP(April[[#This Row],[Drug Name]],'Data Options'!$R$1:$S$100,2,FALSE), " ")</f>
        <v xml:space="preserve"> </v>
      </c>
      <c r="S82" s="55"/>
      <c r="T82" s="32"/>
      <c r="U82" s="32"/>
      <c r="V82" s="55"/>
      <c r="W82" s="32"/>
      <c r="X82" s="54"/>
      <c r="Y82" s="21" t="str">
        <f>IFERROR(VLOOKUP(April[[#This Row],[Drug Name2]],'Data Options'!$R$1:$S$100,2,FALSE), " ")</f>
        <v xml:space="preserve"> </v>
      </c>
      <c r="Z82" s="55"/>
      <c r="AA82" s="32"/>
      <c r="AB82" s="32"/>
      <c r="AC82" s="55"/>
      <c r="AD82" s="32"/>
      <c r="AE82" s="54"/>
      <c r="AF82" s="21" t="str">
        <f>IFERROR(VLOOKUP(April[[#This Row],[Drug Name3]],'Data Options'!$R$1:$S$100,2,FALSE), " ")</f>
        <v xml:space="preserve"> </v>
      </c>
      <c r="AG82" s="55"/>
      <c r="AH82" s="32"/>
      <c r="AI82" s="32"/>
      <c r="AJ82" s="55"/>
      <c r="AK82" s="32"/>
      <c r="AL82" s="32"/>
      <c r="AM82" s="32"/>
      <c r="AN82" s="32"/>
      <c r="AO82" s="32"/>
      <c r="AP82" s="31"/>
      <c r="AQ82" s="31"/>
      <c r="AR82" s="54"/>
      <c r="AS82" s="21" t="str">
        <f>IFERROR(VLOOKUP(April[[#This Row],[Drug Name4]],'Data Options'!$R$1:$S$100,2,FALSE), " ")</f>
        <v xml:space="preserve"> </v>
      </c>
      <c r="AT82" s="55"/>
      <c r="AU82" s="32"/>
      <c r="AV82" s="32"/>
      <c r="AW82" s="55"/>
      <c r="AX82" s="32"/>
      <c r="AY82" s="54"/>
      <c r="AZ82" s="21" t="str">
        <f>IFERROR(VLOOKUP(April[[#This Row],[Drug Name5]],'Data Options'!$R$1:$S$100,2,FALSE), " ")</f>
        <v xml:space="preserve"> </v>
      </c>
      <c r="BA82" s="55"/>
      <c r="BB82" s="32"/>
      <c r="BC82" s="32"/>
      <c r="BD82" s="55"/>
      <c r="BE82" s="32"/>
      <c r="BF82" s="54"/>
      <c r="BG82" s="21" t="str">
        <f>IFERROR(VLOOKUP(April[[#This Row],[Drug Name6]],'Data Options'!$R$1:$S$100,2,FALSE), " ")</f>
        <v xml:space="preserve"> </v>
      </c>
      <c r="BH82" s="55"/>
      <c r="BI82" s="32"/>
      <c r="BJ82" s="32"/>
      <c r="BK82" s="55"/>
      <c r="BL82" s="32"/>
      <c r="BM82" s="32"/>
      <c r="BN82" s="32"/>
      <c r="BO82" s="32"/>
      <c r="BP82" s="32"/>
      <c r="BQ82" s="31"/>
      <c r="BR82" s="31"/>
      <c r="BS82" s="54"/>
      <c r="BT82" s="21" t="str">
        <f>IFERROR(VLOOKUP(April[[#This Row],[Drug Name7]],'Data Options'!$R$1:$S$100,2,FALSE), " ")</f>
        <v xml:space="preserve"> </v>
      </c>
      <c r="BU82" s="55"/>
      <c r="BV82" s="32"/>
      <c r="BW82" s="32"/>
      <c r="BX82" s="55"/>
      <c r="BY82" s="32"/>
      <c r="BZ82" s="54"/>
      <c r="CA82" s="21" t="str">
        <f>IFERROR(VLOOKUP(April[[#This Row],[Drug Name8]],'Data Options'!$R$1:$S$100,2,FALSE), " ")</f>
        <v xml:space="preserve"> </v>
      </c>
      <c r="CB82" s="55"/>
      <c r="CC82" s="32"/>
      <c r="CD82" s="32"/>
      <c r="CE82" s="55"/>
      <c r="CF82" s="32"/>
      <c r="CG82" s="54"/>
      <c r="CH82" s="21" t="str">
        <f>IFERROR(VLOOKUP(April[[#This Row],[Drug Name9]],'Data Options'!$R$1:$S$100,2,FALSE), " ")</f>
        <v xml:space="preserve"> </v>
      </c>
      <c r="CI82" s="55"/>
      <c r="CJ82" s="32"/>
      <c r="CK82" s="32"/>
      <c r="CL82" s="55"/>
      <c r="CM82" s="32"/>
    </row>
    <row r="83" spans="1:91">
      <c r="A83" s="5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31"/>
      <c r="Q83" s="54"/>
      <c r="R83" s="21" t="str">
        <f>IFERROR(VLOOKUP(April[[#This Row],[Drug Name]],'Data Options'!$R$1:$S$100,2,FALSE), " ")</f>
        <v xml:space="preserve"> </v>
      </c>
      <c r="S83" s="55"/>
      <c r="T83" s="32"/>
      <c r="U83" s="32"/>
      <c r="V83" s="55"/>
      <c r="W83" s="32"/>
      <c r="X83" s="54"/>
      <c r="Y83" s="21" t="str">
        <f>IFERROR(VLOOKUP(April[[#This Row],[Drug Name2]],'Data Options'!$R$1:$S$100,2,FALSE), " ")</f>
        <v xml:space="preserve"> </v>
      </c>
      <c r="Z83" s="55"/>
      <c r="AA83" s="32"/>
      <c r="AB83" s="32"/>
      <c r="AC83" s="55"/>
      <c r="AD83" s="32"/>
      <c r="AE83" s="54"/>
      <c r="AF83" s="21" t="str">
        <f>IFERROR(VLOOKUP(April[[#This Row],[Drug Name3]],'Data Options'!$R$1:$S$100,2,FALSE), " ")</f>
        <v xml:space="preserve"> </v>
      </c>
      <c r="AG83" s="55"/>
      <c r="AH83" s="32"/>
      <c r="AI83" s="32"/>
      <c r="AJ83" s="55"/>
      <c r="AK83" s="32"/>
      <c r="AL83" s="32"/>
      <c r="AM83" s="32"/>
      <c r="AN83" s="32"/>
      <c r="AO83" s="32"/>
      <c r="AP83" s="31"/>
      <c r="AQ83" s="31"/>
      <c r="AR83" s="54"/>
      <c r="AS83" s="21" t="str">
        <f>IFERROR(VLOOKUP(April[[#This Row],[Drug Name4]],'Data Options'!$R$1:$S$100,2,FALSE), " ")</f>
        <v xml:space="preserve"> </v>
      </c>
      <c r="AT83" s="55"/>
      <c r="AU83" s="32"/>
      <c r="AV83" s="32"/>
      <c r="AW83" s="55"/>
      <c r="AX83" s="32"/>
      <c r="AY83" s="54"/>
      <c r="AZ83" s="21" t="str">
        <f>IFERROR(VLOOKUP(April[[#This Row],[Drug Name5]],'Data Options'!$R$1:$S$100,2,FALSE), " ")</f>
        <v xml:space="preserve"> </v>
      </c>
      <c r="BA83" s="55"/>
      <c r="BB83" s="32"/>
      <c r="BC83" s="32"/>
      <c r="BD83" s="55"/>
      <c r="BE83" s="32"/>
      <c r="BF83" s="54"/>
      <c r="BG83" s="21" t="str">
        <f>IFERROR(VLOOKUP(April[[#This Row],[Drug Name6]],'Data Options'!$R$1:$S$100,2,FALSE), " ")</f>
        <v xml:space="preserve"> </v>
      </c>
      <c r="BH83" s="55"/>
      <c r="BI83" s="32"/>
      <c r="BJ83" s="32"/>
      <c r="BK83" s="55"/>
      <c r="BL83" s="32"/>
      <c r="BM83" s="32"/>
      <c r="BN83" s="32"/>
      <c r="BO83" s="32"/>
      <c r="BP83" s="32"/>
      <c r="BQ83" s="31"/>
      <c r="BR83" s="31"/>
      <c r="BS83" s="54"/>
      <c r="BT83" s="21" t="str">
        <f>IFERROR(VLOOKUP(April[[#This Row],[Drug Name7]],'Data Options'!$R$1:$S$100,2,FALSE), " ")</f>
        <v xml:space="preserve"> </v>
      </c>
      <c r="BU83" s="55"/>
      <c r="BV83" s="32"/>
      <c r="BW83" s="32"/>
      <c r="BX83" s="55"/>
      <c r="BY83" s="32"/>
      <c r="BZ83" s="54"/>
      <c r="CA83" s="21" t="str">
        <f>IFERROR(VLOOKUP(April[[#This Row],[Drug Name8]],'Data Options'!$R$1:$S$100,2,FALSE), " ")</f>
        <v xml:space="preserve"> </v>
      </c>
      <c r="CB83" s="55"/>
      <c r="CC83" s="32"/>
      <c r="CD83" s="32"/>
      <c r="CE83" s="55"/>
      <c r="CF83" s="32"/>
      <c r="CG83" s="54"/>
      <c r="CH83" s="21" t="str">
        <f>IFERROR(VLOOKUP(April[[#This Row],[Drug Name9]],'Data Options'!$R$1:$S$100,2,FALSE), " ")</f>
        <v xml:space="preserve"> </v>
      </c>
      <c r="CI83" s="55"/>
      <c r="CJ83" s="32"/>
      <c r="CK83" s="32"/>
      <c r="CL83" s="55"/>
      <c r="CM83" s="32"/>
    </row>
    <row r="84" spans="1:91">
      <c r="A84" s="5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31"/>
      <c r="Q84" s="54"/>
      <c r="R84" s="21" t="str">
        <f>IFERROR(VLOOKUP(April[[#This Row],[Drug Name]],'Data Options'!$R$1:$S$100,2,FALSE), " ")</f>
        <v xml:space="preserve"> </v>
      </c>
      <c r="S84" s="55"/>
      <c r="T84" s="32"/>
      <c r="U84" s="32"/>
      <c r="V84" s="55"/>
      <c r="W84" s="32"/>
      <c r="X84" s="54"/>
      <c r="Y84" s="21" t="str">
        <f>IFERROR(VLOOKUP(April[[#This Row],[Drug Name2]],'Data Options'!$R$1:$S$100,2,FALSE), " ")</f>
        <v xml:space="preserve"> </v>
      </c>
      <c r="Z84" s="55"/>
      <c r="AA84" s="32"/>
      <c r="AB84" s="32"/>
      <c r="AC84" s="55"/>
      <c r="AD84" s="32"/>
      <c r="AE84" s="54"/>
      <c r="AF84" s="21" t="str">
        <f>IFERROR(VLOOKUP(April[[#This Row],[Drug Name3]],'Data Options'!$R$1:$S$100,2,FALSE), " ")</f>
        <v xml:space="preserve"> </v>
      </c>
      <c r="AG84" s="55"/>
      <c r="AH84" s="32"/>
      <c r="AI84" s="32"/>
      <c r="AJ84" s="55"/>
      <c r="AK84" s="32"/>
      <c r="AL84" s="32"/>
      <c r="AM84" s="32"/>
      <c r="AN84" s="32"/>
      <c r="AO84" s="32"/>
      <c r="AP84" s="31"/>
      <c r="AQ84" s="31"/>
      <c r="AR84" s="54"/>
      <c r="AS84" s="21" t="str">
        <f>IFERROR(VLOOKUP(April[[#This Row],[Drug Name4]],'Data Options'!$R$1:$S$100,2,FALSE), " ")</f>
        <v xml:space="preserve"> </v>
      </c>
      <c r="AT84" s="55"/>
      <c r="AU84" s="32"/>
      <c r="AV84" s="32"/>
      <c r="AW84" s="55"/>
      <c r="AX84" s="32"/>
      <c r="AY84" s="54"/>
      <c r="AZ84" s="21" t="str">
        <f>IFERROR(VLOOKUP(April[[#This Row],[Drug Name5]],'Data Options'!$R$1:$S$100,2,FALSE), " ")</f>
        <v xml:space="preserve"> </v>
      </c>
      <c r="BA84" s="55"/>
      <c r="BB84" s="32"/>
      <c r="BC84" s="32"/>
      <c r="BD84" s="55"/>
      <c r="BE84" s="32"/>
      <c r="BF84" s="54"/>
      <c r="BG84" s="21" t="str">
        <f>IFERROR(VLOOKUP(April[[#This Row],[Drug Name6]],'Data Options'!$R$1:$S$100,2,FALSE), " ")</f>
        <v xml:space="preserve"> </v>
      </c>
      <c r="BH84" s="55"/>
      <c r="BI84" s="32"/>
      <c r="BJ84" s="32"/>
      <c r="BK84" s="55"/>
      <c r="BL84" s="32"/>
      <c r="BM84" s="32"/>
      <c r="BN84" s="32"/>
      <c r="BO84" s="32"/>
      <c r="BP84" s="32"/>
      <c r="BQ84" s="31"/>
      <c r="BR84" s="31"/>
      <c r="BS84" s="54"/>
      <c r="BT84" s="21" t="str">
        <f>IFERROR(VLOOKUP(April[[#This Row],[Drug Name7]],'Data Options'!$R$1:$S$100,2,FALSE), " ")</f>
        <v xml:space="preserve"> </v>
      </c>
      <c r="BU84" s="55"/>
      <c r="BV84" s="32"/>
      <c r="BW84" s="32"/>
      <c r="BX84" s="55"/>
      <c r="BY84" s="32"/>
      <c r="BZ84" s="54"/>
      <c r="CA84" s="21" t="str">
        <f>IFERROR(VLOOKUP(April[[#This Row],[Drug Name8]],'Data Options'!$R$1:$S$100,2,FALSE), " ")</f>
        <v xml:space="preserve"> </v>
      </c>
      <c r="CB84" s="55"/>
      <c r="CC84" s="32"/>
      <c r="CD84" s="32"/>
      <c r="CE84" s="55"/>
      <c r="CF84" s="32"/>
      <c r="CG84" s="54"/>
      <c r="CH84" s="21" t="str">
        <f>IFERROR(VLOOKUP(April[[#This Row],[Drug Name9]],'Data Options'!$R$1:$S$100,2,FALSE), " ")</f>
        <v xml:space="preserve"> </v>
      </c>
      <c r="CI84" s="55"/>
      <c r="CJ84" s="32"/>
      <c r="CK84" s="32"/>
      <c r="CL84" s="55"/>
      <c r="CM84" s="32"/>
    </row>
    <row r="85" spans="1:91">
      <c r="A85" s="5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31"/>
      <c r="Q85" s="54"/>
      <c r="R85" s="21" t="str">
        <f>IFERROR(VLOOKUP(April[[#This Row],[Drug Name]],'Data Options'!$R$1:$S$100,2,FALSE), " ")</f>
        <v xml:space="preserve"> </v>
      </c>
      <c r="S85" s="55"/>
      <c r="T85" s="32"/>
      <c r="U85" s="32"/>
      <c r="V85" s="55"/>
      <c r="W85" s="32"/>
      <c r="X85" s="54"/>
      <c r="Y85" s="21" t="str">
        <f>IFERROR(VLOOKUP(April[[#This Row],[Drug Name2]],'Data Options'!$R$1:$S$100,2,FALSE), " ")</f>
        <v xml:space="preserve"> </v>
      </c>
      <c r="Z85" s="55"/>
      <c r="AA85" s="32"/>
      <c r="AB85" s="32"/>
      <c r="AC85" s="55"/>
      <c r="AD85" s="32"/>
      <c r="AE85" s="54"/>
      <c r="AF85" s="21" t="str">
        <f>IFERROR(VLOOKUP(April[[#This Row],[Drug Name3]],'Data Options'!$R$1:$S$100,2,FALSE), " ")</f>
        <v xml:space="preserve"> </v>
      </c>
      <c r="AG85" s="55"/>
      <c r="AH85" s="32"/>
      <c r="AI85" s="32"/>
      <c r="AJ85" s="55"/>
      <c r="AK85" s="32"/>
      <c r="AL85" s="32"/>
      <c r="AM85" s="32"/>
      <c r="AN85" s="32"/>
      <c r="AO85" s="32"/>
      <c r="AP85" s="31"/>
      <c r="AQ85" s="31"/>
      <c r="AR85" s="54"/>
      <c r="AS85" s="21" t="str">
        <f>IFERROR(VLOOKUP(April[[#This Row],[Drug Name4]],'Data Options'!$R$1:$S$100,2,FALSE), " ")</f>
        <v xml:space="preserve"> </v>
      </c>
      <c r="AT85" s="55"/>
      <c r="AU85" s="32"/>
      <c r="AV85" s="32"/>
      <c r="AW85" s="55"/>
      <c r="AX85" s="32"/>
      <c r="AY85" s="54"/>
      <c r="AZ85" s="21" t="str">
        <f>IFERROR(VLOOKUP(April[[#This Row],[Drug Name5]],'Data Options'!$R$1:$S$100,2,FALSE), " ")</f>
        <v xml:space="preserve"> </v>
      </c>
      <c r="BA85" s="55"/>
      <c r="BB85" s="32"/>
      <c r="BC85" s="32"/>
      <c r="BD85" s="55"/>
      <c r="BE85" s="32"/>
      <c r="BF85" s="54"/>
      <c r="BG85" s="21" t="str">
        <f>IFERROR(VLOOKUP(April[[#This Row],[Drug Name6]],'Data Options'!$R$1:$S$100,2,FALSE), " ")</f>
        <v xml:space="preserve"> </v>
      </c>
      <c r="BH85" s="55"/>
      <c r="BI85" s="32"/>
      <c r="BJ85" s="32"/>
      <c r="BK85" s="55"/>
      <c r="BL85" s="32"/>
      <c r="BM85" s="32"/>
      <c r="BN85" s="32"/>
      <c r="BO85" s="32"/>
      <c r="BP85" s="32"/>
      <c r="BQ85" s="31"/>
      <c r="BR85" s="31"/>
      <c r="BS85" s="54"/>
      <c r="BT85" s="21" t="str">
        <f>IFERROR(VLOOKUP(April[[#This Row],[Drug Name7]],'Data Options'!$R$1:$S$100,2,FALSE), " ")</f>
        <v xml:space="preserve"> </v>
      </c>
      <c r="BU85" s="55"/>
      <c r="BV85" s="32"/>
      <c r="BW85" s="32"/>
      <c r="BX85" s="55"/>
      <c r="BY85" s="32"/>
      <c r="BZ85" s="54"/>
      <c r="CA85" s="21" t="str">
        <f>IFERROR(VLOOKUP(April[[#This Row],[Drug Name8]],'Data Options'!$R$1:$S$100,2,FALSE), " ")</f>
        <v xml:space="preserve"> </v>
      </c>
      <c r="CB85" s="55"/>
      <c r="CC85" s="32"/>
      <c r="CD85" s="32"/>
      <c r="CE85" s="55"/>
      <c r="CF85" s="32"/>
      <c r="CG85" s="54"/>
      <c r="CH85" s="21" t="str">
        <f>IFERROR(VLOOKUP(April[[#This Row],[Drug Name9]],'Data Options'!$R$1:$S$100,2,FALSE), " ")</f>
        <v xml:space="preserve"> </v>
      </c>
      <c r="CI85" s="55"/>
      <c r="CJ85" s="32"/>
      <c r="CK85" s="32"/>
      <c r="CL85" s="55"/>
      <c r="CM85" s="32"/>
    </row>
    <row r="86" spans="1:91">
      <c r="A86" s="5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31"/>
      <c r="Q86" s="54"/>
      <c r="R86" s="21" t="str">
        <f>IFERROR(VLOOKUP(April[[#This Row],[Drug Name]],'Data Options'!$R$1:$S$100,2,FALSE), " ")</f>
        <v xml:space="preserve"> </v>
      </c>
      <c r="S86" s="55"/>
      <c r="T86" s="32"/>
      <c r="U86" s="32"/>
      <c r="V86" s="55"/>
      <c r="W86" s="32"/>
      <c r="X86" s="54"/>
      <c r="Y86" s="21" t="str">
        <f>IFERROR(VLOOKUP(April[[#This Row],[Drug Name2]],'Data Options'!$R$1:$S$100,2,FALSE), " ")</f>
        <v xml:space="preserve"> </v>
      </c>
      <c r="Z86" s="55"/>
      <c r="AA86" s="32"/>
      <c r="AB86" s="32"/>
      <c r="AC86" s="55"/>
      <c r="AD86" s="32"/>
      <c r="AE86" s="54"/>
      <c r="AF86" s="21" t="str">
        <f>IFERROR(VLOOKUP(April[[#This Row],[Drug Name3]],'Data Options'!$R$1:$S$100,2,FALSE), " ")</f>
        <v xml:space="preserve"> </v>
      </c>
      <c r="AG86" s="55"/>
      <c r="AH86" s="32"/>
      <c r="AI86" s="32"/>
      <c r="AJ86" s="55"/>
      <c r="AK86" s="32"/>
      <c r="AL86" s="32"/>
      <c r="AM86" s="32"/>
      <c r="AN86" s="32"/>
      <c r="AO86" s="32"/>
      <c r="AP86" s="31"/>
      <c r="AQ86" s="31"/>
      <c r="AR86" s="54"/>
      <c r="AS86" s="21" t="str">
        <f>IFERROR(VLOOKUP(April[[#This Row],[Drug Name4]],'Data Options'!$R$1:$S$100,2,FALSE), " ")</f>
        <v xml:space="preserve"> </v>
      </c>
      <c r="AT86" s="55"/>
      <c r="AU86" s="32"/>
      <c r="AV86" s="32"/>
      <c r="AW86" s="55"/>
      <c r="AX86" s="32"/>
      <c r="AY86" s="54"/>
      <c r="AZ86" s="21" t="str">
        <f>IFERROR(VLOOKUP(April[[#This Row],[Drug Name5]],'Data Options'!$R$1:$S$100,2,FALSE), " ")</f>
        <v xml:space="preserve"> </v>
      </c>
      <c r="BA86" s="55"/>
      <c r="BB86" s="32"/>
      <c r="BC86" s="32"/>
      <c r="BD86" s="55"/>
      <c r="BE86" s="32"/>
      <c r="BF86" s="54"/>
      <c r="BG86" s="21" t="str">
        <f>IFERROR(VLOOKUP(April[[#This Row],[Drug Name6]],'Data Options'!$R$1:$S$100,2,FALSE), " ")</f>
        <v xml:space="preserve"> </v>
      </c>
      <c r="BH86" s="55"/>
      <c r="BI86" s="32"/>
      <c r="BJ86" s="32"/>
      <c r="BK86" s="55"/>
      <c r="BL86" s="32"/>
      <c r="BM86" s="32"/>
      <c r="BN86" s="32"/>
      <c r="BO86" s="32"/>
      <c r="BP86" s="32"/>
      <c r="BQ86" s="31"/>
      <c r="BR86" s="31"/>
      <c r="BS86" s="54"/>
      <c r="BT86" s="21" t="str">
        <f>IFERROR(VLOOKUP(April[[#This Row],[Drug Name7]],'Data Options'!$R$1:$S$100,2,FALSE), " ")</f>
        <v xml:space="preserve"> </v>
      </c>
      <c r="BU86" s="55"/>
      <c r="BV86" s="32"/>
      <c r="BW86" s="32"/>
      <c r="BX86" s="55"/>
      <c r="BY86" s="32"/>
      <c r="BZ86" s="54"/>
      <c r="CA86" s="21" t="str">
        <f>IFERROR(VLOOKUP(April[[#This Row],[Drug Name8]],'Data Options'!$R$1:$S$100,2,FALSE), " ")</f>
        <v xml:space="preserve"> </v>
      </c>
      <c r="CB86" s="55"/>
      <c r="CC86" s="32"/>
      <c r="CD86" s="32"/>
      <c r="CE86" s="55"/>
      <c r="CF86" s="32"/>
      <c r="CG86" s="54"/>
      <c r="CH86" s="21" t="str">
        <f>IFERROR(VLOOKUP(April[[#This Row],[Drug Name9]],'Data Options'!$R$1:$S$100,2,FALSE), " ")</f>
        <v xml:space="preserve"> </v>
      </c>
      <c r="CI86" s="55"/>
      <c r="CJ86" s="32"/>
      <c r="CK86" s="32"/>
      <c r="CL86" s="55"/>
      <c r="CM86" s="32"/>
    </row>
    <row r="87" spans="1:91">
      <c r="A87" s="5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31"/>
      <c r="Q87" s="54"/>
      <c r="R87" s="21" t="str">
        <f>IFERROR(VLOOKUP(April[[#This Row],[Drug Name]],'Data Options'!$R$1:$S$100,2,FALSE), " ")</f>
        <v xml:space="preserve"> </v>
      </c>
      <c r="S87" s="55"/>
      <c r="T87" s="32"/>
      <c r="U87" s="32"/>
      <c r="V87" s="55"/>
      <c r="W87" s="32"/>
      <c r="X87" s="54"/>
      <c r="Y87" s="21" t="str">
        <f>IFERROR(VLOOKUP(April[[#This Row],[Drug Name2]],'Data Options'!$R$1:$S$100,2,FALSE), " ")</f>
        <v xml:space="preserve"> </v>
      </c>
      <c r="Z87" s="55"/>
      <c r="AA87" s="32"/>
      <c r="AB87" s="32"/>
      <c r="AC87" s="55"/>
      <c r="AD87" s="32"/>
      <c r="AE87" s="54"/>
      <c r="AF87" s="21" t="str">
        <f>IFERROR(VLOOKUP(April[[#This Row],[Drug Name3]],'Data Options'!$R$1:$S$100,2,FALSE), " ")</f>
        <v xml:space="preserve"> </v>
      </c>
      <c r="AG87" s="55"/>
      <c r="AH87" s="32"/>
      <c r="AI87" s="32"/>
      <c r="AJ87" s="55"/>
      <c r="AK87" s="32"/>
      <c r="AL87" s="32"/>
      <c r="AM87" s="32"/>
      <c r="AN87" s="32"/>
      <c r="AO87" s="32"/>
      <c r="AP87" s="31"/>
      <c r="AQ87" s="31"/>
      <c r="AR87" s="54"/>
      <c r="AS87" s="21" t="str">
        <f>IFERROR(VLOOKUP(April[[#This Row],[Drug Name4]],'Data Options'!$R$1:$S$100,2,FALSE), " ")</f>
        <v xml:space="preserve"> </v>
      </c>
      <c r="AT87" s="55"/>
      <c r="AU87" s="32"/>
      <c r="AV87" s="32"/>
      <c r="AW87" s="55"/>
      <c r="AX87" s="32"/>
      <c r="AY87" s="54"/>
      <c r="AZ87" s="21" t="str">
        <f>IFERROR(VLOOKUP(April[[#This Row],[Drug Name5]],'Data Options'!$R$1:$S$100,2,FALSE), " ")</f>
        <v xml:space="preserve"> </v>
      </c>
      <c r="BA87" s="55"/>
      <c r="BB87" s="32"/>
      <c r="BC87" s="32"/>
      <c r="BD87" s="55"/>
      <c r="BE87" s="32"/>
      <c r="BF87" s="54"/>
      <c r="BG87" s="21" t="str">
        <f>IFERROR(VLOOKUP(April[[#This Row],[Drug Name6]],'Data Options'!$R$1:$S$100,2,FALSE), " ")</f>
        <v xml:space="preserve"> </v>
      </c>
      <c r="BH87" s="55"/>
      <c r="BI87" s="32"/>
      <c r="BJ87" s="32"/>
      <c r="BK87" s="55"/>
      <c r="BL87" s="32"/>
      <c r="BM87" s="32"/>
      <c r="BN87" s="32"/>
      <c r="BO87" s="32"/>
      <c r="BP87" s="32"/>
      <c r="BQ87" s="31"/>
      <c r="BR87" s="31"/>
      <c r="BS87" s="54"/>
      <c r="BT87" s="21" t="str">
        <f>IFERROR(VLOOKUP(April[[#This Row],[Drug Name7]],'Data Options'!$R$1:$S$100,2,FALSE), " ")</f>
        <v xml:space="preserve"> </v>
      </c>
      <c r="BU87" s="55"/>
      <c r="BV87" s="32"/>
      <c r="BW87" s="32"/>
      <c r="BX87" s="55"/>
      <c r="BY87" s="32"/>
      <c r="BZ87" s="54"/>
      <c r="CA87" s="21" t="str">
        <f>IFERROR(VLOOKUP(April[[#This Row],[Drug Name8]],'Data Options'!$R$1:$S$100,2,FALSE), " ")</f>
        <v xml:space="preserve"> </v>
      </c>
      <c r="CB87" s="55"/>
      <c r="CC87" s="32"/>
      <c r="CD87" s="32"/>
      <c r="CE87" s="55"/>
      <c r="CF87" s="32"/>
      <c r="CG87" s="54"/>
      <c r="CH87" s="21" t="str">
        <f>IFERROR(VLOOKUP(April[[#This Row],[Drug Name9]],'Data Options'!$R$1:$S$100,2,FALSE), " ")</f>
        <v xml:space="preserve"> </v>
      </c>
      <c r="CI87" s="55"/>
      <c r="CJ87" s="32"/>
      <c r="CK87" s="32"/>
      <c r="CL87" s="55"/>
      <c r="CM87" s="32"/>
    </row>
    <row r="88" spans="1:91">
      <c r="A88" s="5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31"/>
      <c r="Q88" s="54"/>
      <c r="R88" s="21" t="str">
        <f>IFERROR(VLOOKUP(April[[#This Row],[Drug Name]],'Data Options'!$R$1:$S$100,2,FALSE), " ")</f>
        <v xml:space="preserve"> </v>
      </c>
      <c r="S88" s="55"/>
      <c r="T88" s="32"/>
      <c r="U88" s="32"/>
      <c r="V88" s="55"/>
      <c r="W88" s="32"/>
      <c r="X88" s="54"/>
      <c r="Y88" s="21" t="str">
        <f>IFERROR(VLOOKUP(April[[#This Row],[Drug Name2]],'Data Options'!$R$1:$S$100,2,FALSE), " ")</f>
        <v xml:space="preserve"> </v>
      </c>
      <c r="Z88" s="55"/>
      <c r="AA88" s="32"/>
      <c r="AB88" s="32"/>
      <c r="AC88" s="55"/>
      <c r="AD88" s="32"/>
      <c r="AE88" s="54"/>
      <c r="AF88" s="21" t="str">
        <f>IFERROR(VLOOKUP(April[[#This Row],[Drug Name3]],'Data Options'!$R$1:$S$100,2,FALSE), " ")</f>
        <v xml:space="preserve"> </v>
      </c>
      <c r="AG88" s="55"/>
      <c r="AH88" s="32"/>
      <c r="AI88" s="32"/>
      <c r="AJ88" s="55"/>
      <c r="AK88" s="32"/>
      <c r="AL88" s="32"/>
      <c r="AM88" s="32"/>
      <c r="AN88" s="32"/>
      <c r="AO88" s="32"/>
      <c r="AP88" s="31"/>
      <c r="AQ88" s="31"/>
      <c r="AR88" s="54"/>
      <c r="AS88" s="21" t="str">
        <f>IFERROR(VLOOKUP(April[[#This Row],[Drug Name4]],'Data Options'!$R$1:$S$100,2,FALSE), " ")</f>
        <v xml:space="preserve"> </v>
      </c>
      <c r="AT88" s="55"/>
      <c r="AU88" s="32"/>
      <c r="AV88" s="32"/>
      <c r="AW88" s="55"/>
      <c r="AX88" s="32"/>
      <c r="AY88" s="54"/>
      <c r="AZ88" s="21" t="str">
        <f>IFERROR(VLOOKUP(April[[#This Row],[Drug Name5]],'Data Options'!$R$1:$S$100,2,FALSE), " ")</f>
        <v xml:space="preserve"> </v>
      </c>
      <c r="BA88" s="55"/>
      <c r="BB88" s="32"/>
      <c r="BC88" s="32"/>
      <c r="BD88" s="55"/>
      <c r="BE88" s="32"/>
      <c r="BF88" s="54"/>
      <c r="BG88" s="21" t="str">
        <f>IFERROR(VLOOKUP(April[[#This Row],[Drug Name6]],'Data Options'!$R$1:$S$100,2,FALSE), " ")</f>
        <v xml:space="preserve"> </v>
      </c>
      <c r="BH88" s="55"/>
      <c r="BI88" s="32"/>
      <c r="BJ88" s="32"/>
      <c r="BK88" s="55"/>
      <c r="BL88" s="32"/>
      <c r="BM88" s="32"/>
      <c r="BN88" s="32"/>
      <c r="BO88" s="32"/>
      <c r="BP88" s="32"/>
      <c r="BQ88" s="31"/>
      <c r="BR88" s="31"/>
      <c r="BS88" s="54"/>
      <c r="BT88" s="21" t="str">
        <f>IFERROR(VLOOKUP(April[[#This Row],[Drug Name7]],'Data Options'!$R$1:$S$100,2,FALSE), " ")</f>
        <v xml:space="preserve"> </v>
      </c>
      <c r="BU88" s="55"/>
      <c r="BV88" s="32"/>
      <c r="BW88" s="32"/>
      <c r="BX88" s="55"/>
      <c r="BY88" s="32"/>
      <c r="BZ88" s="54"/>
      <c r="CA88" s="21" t="str">
        <f>IFERROR(VLOOKUP(April[[#This Row],[Drug Name8]],'Data Options'!$R$1:$S$100,2,FALSE), " ")</f>
        <v xml:space="preserve"> </v>
      </c>
      <c r="CB88" s="55"/>
      <c r="CC88" s="32"/>
      <c r="CD88" s="32"/>
      <c r="CE88" s="55"/>
      <c r="CF88" s="32"/>
      <c r="CG88" s="54"/>
      <c r="CH88" s="21" t="str">
        <f>IFERROR(VLOOKUP(April[[#This Row],[Drug Name9]],'Data Options'!$R$1:$S$100,2,FALSE), " ")</f>
        <v xml:space="preserve"> </v>
      </c>
      <c r="CI88" s="55"/>
      <c r="CJ88" s="32"/>
      <c r="CK88" s="32"/>
      <c r="CL88" s="55"/>
      <c r="CM88" s="32"/>
    </row>
    <row r="89" spans="1:91">
      <c r="A89" s="5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31"/>
      <c r="Q89" s="54"/>
      <c r="R89" s="21" t="str">
        <f>IFERROR(VLOOKUP(April[[#This Row],[Drug Name]],'Data Options'!$R$1:$S$100,2,FALSE), " ")</f>
        <v xml:space="preserve"> </v>
      </c>
      <c r="S89" s="55"/>
      <c r="T89" s="32"/>
      <c r="U89" s="32"/>
      <c r="V89" s="55"/>
      <c r="W89" s="32"/>
      <c r="X89" s="54"/>
      <c r="Y89" s="21" t="str">
        <f>IFERROR(VLOOKUP(April[[#This Row],[Drug Name2]],'Data Options'!$R$1:$S$100,2,FALSE), " ")</f>
        <v xml:space="preserve"> </v>
      </c>
      <c r="Z89" s="55"/>
      <c r="AA89" s="32"/>
      <c r="AB89" s="32"/>
      <c r="AC89" s="55"/>
      <c r="AD89" s="32"/>
      <c r="AE89" s="54"/>
      <c r="AF89" s="21" t="str">
        <f>IFERROR(VLOOKUP(April[[#This Row],[Drug Name3]],'Data Options'!$R$1:$S$100,2,FALSE), " ")</f>
        <v xml:space="preserve"> </v>
      </c>
      <c r="AG89" s="55"/>
      <c r="AH89" s="32"/>
      <c r="AI89" s="32"/>
      <c r="AJ89" s="55"/>
      <c r="AK89" s="32"/>
      <c r="AL89" s="32"/>
      <c r="AM89" s="32"/>
      <c r="AN89" s="32"/>
      <c r="AO89" s="32"/>
      <c r="AP89" s="31"/>
      <c r="AQ89" s="31"/>
      <c r="AR89" s="54"/>
      <c r="AS89" s="21" t="str">
        <f>IFERROR(VLOOKUP(April[[#This Row],[Drug Name4]],'Data Options'!$R$1:$S$100,2,FALSE), " ")</f>
        <v xml:space="preserve"> </v>
      </c>
      <c r="AT89" s="55"/>
      <c r="AU89" s="32"/>
      <c r="AV89" s="32"/>
      <c r="AW89" s="55"/>
      <c r="AX89" s="32"/>
      <c r="AY89" s="54"/>
      <c r="AZ89" s="21" t="str">
        <f>IFERROR(VLOOKUP(April[[#This Row],[Drug Name5]],'Data Options'!$R$1:$S$100,2,FALSE), " ")</f>
        <v xml:space="preserve"> </v>
      </c>
      <c r="BA89" s="55"/>
      <c r="BB89" s="32"/>
      <c r="BC89" s="32"/>
      <c r="BD89" s="55"/>
      <c r="BE89" s="32"/>
      <c r="BF89" s="54"/>
      <c r="BG89" s="21" t="str">
        <f>IFERROR(VLOOKUP(April[[#This Row],[Drug Name6]],'Data Options'!$R$1:$S$100,2,FALSE), " ")</f>
        <v xml:space="preserve"> </v>
      </c>
      <c r="BH89" s="55"/>
      <c r="BI89" s="32"/>
      <c r="BJ89" s="32"/>
      <c r="BK89" s="55"/>
      <c r="BL89" s="32"/>
      <c r="BM89" s="32"/>
      <c r="BN89" s="32"/>
      <c r="BO89" s="32"/>
      <c r="BP89" s="32"/>
      <c r="BQ89" s="31"/>
      <c r="BR89" s="31"/>
      <c r="BS89" s="54"/>
      <c r="BT89" s="21" t="str">
        <f>IFERROR(VLOOKUP(April[[#This Row],[Drug Name7]],'Data Options'!$R$1:$S$100,2,FALSE), " ")</f>
        <v xml:space="preserve"> </v>
      </c>
      <c r="BU89" s="55"/>
      <c r="BV89" s="32"/>
      <c r="BW89" s="32"/>
      <c r="BX89" s="55"/>
      <c r="BY89" s="32"/>
      <c r="BZ89" s="54"/>
      <c r="CA89" s="21" t="str">
        <f>IFERROR(VLOOKUP(April[[#This Row],[Drug Name8]],'Data Options'!$R$1:$S$100,2,FALSE), " ")</f>
        <v xml:space="preserve"> </v>
      </c>
      <c r="CB89" s="55"/>
      <c r="CC89" s="32"/>
      <c r="CD89" s="32"/>
      <c r="CE89" s="55"/>
      <c r="CF89" s="32"/>
      <c r="CG89" s="54"/>
      <c r="CH89" s="21" t="str">
        <f>IFERROR(VLOOKUP(April[[#This Row],[Drug Name9]],'Data Options'!$R$1:$S$100,2,FALSE), " ")</f>
        <v xml:space="preserve"> </v>
      </c>
      <c r="CI89" s="55"/>
      <c r="CJ89" s="32"/>
      <c r="CK89" s="32"/>
      <c r="CL89" s="55"/>
      <c r="CM89" s="32"/>
    </row>
    <row r="90" spans="1:91">
      <c r="A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1"/>
      <c r="Q90" s="54"/>
      <c r="R90" s="21" t="str">
        <f>IFERROR(VLOOKUP(April[[#This Row],[Drug Name]],'Data Options'!$R$1:$S$100,2,FALSE), " ")</f>
        <v xml:space="preserve"> </v>
      </c>
      <c r="S90" s="55"/>
      <c r="T90" s="32"/>
      <c r="U90" s="32"/>
      <c r="V90" s="55"/>
      <c r="W90" s="32"/>
      <c r="X90" s="54"/>
      <c r="Y90" s="21" t="str">
        <f>IFERROR(VLOOKUP(April[[#This Row],[Drug Name2]],'Data Options'!$R$1:$S$100,2,FALSE), " ")</f>
        <v xml:space="preserve"> </v>
      </c>
      <c r="Z90" s="55"/>
      <c r="AA90" s="32"/>
      <c r="AB90" s="32"/>
      <c r="AC90" s="55"/>
      <c r="AD90" s="32"/>
      <c r="AE90" s="54"/>
      <c r="AF90" s="21" t="str">
        <f>IFERROR(VLOOKUP(April[[#This Row],[Drug Name3]],'Data Options'!$R$1:$S$100,2,FALSE), " ")</f>
        <v xml:space="preserve"> </v>
      </c>
      <c r="AG90" s="55"/>
      <c r="AH90" s="32"/>
      <c r="AI90" s="32"/>
      <c r="AJ90" s="55"/>
      <c r="AK90" s="32"/>
      <c r="AL90" s="32"/>
      <c r="AM90" s="32"/>
      <c r="AN90" s="32"/>
      <c r="AO90" s="32"/>
      <c r="AP90" s="31"/>
      <c r="AQ90" s="31"/>
      <c r="AR90" s="54"/>
      <c r="AS90" s="21" t="str">
        <f>IFERROR(VLOOKUP(April[[#This Row],[Drug Name4]],'Data Options'!$R$1:$S$100,2,FALSE), " ")</f>
        <v xml:space="preserve"> </v>
      </c>
      <c r="AT90" s="55"/>
      <c r="AU90" s="32"/>
      <c r="AV90" s="32"/>
      <c r="AW90" s="55"/>
      <c r="AX90" s="32"/>
      <c r="AY90" s="54"/>
      <c r="AZ90" s="21" t="str">
        <f>IFERROR(VLOOKUP(April[[#This Row],[Drug Name5]],'Data Options'!$R$1:$S$100,2,FALSE), " ")</f>
        <v xml:space="preserve"> </v>
      </c>
      <c r="BA90" s="55"/>
      <c r="BB90" s="32"/>
      <c r="BC90" s="32"/>
      <c r="BD90" s="55"/>
      <c r="BE90" s="32"/>
      <c r="BF90" s="54"/>
      <c r="BG90" s="21" t="str">
        <f>IFERROR(VLOOKUP(April[[#This Row],[Drug Name6]],'Data Options'!$R$1:$S$100,2,FALSE), " ")</f>
        <v xml:space="preserve"> </v>
      </c>
      <c r="BH90" s="55"/>
      <c r="BI90" s="32"/>
      <c r="BJ90" s="32"/>
      <c r="BK90" s="55"/>
      <c r="BL90" s="32"/>
      <c r="BM90" s="32"/>
      <c r="BN90" s="32"/>
      <c r="BO90" s="32"/>
      <c r="BP90" s="32"/>
      <c r="BQ90" s="31"/>
      <c r="BR90" s="31"/>
      <c r="BS90" s="54"/>
      <c r="BT90" s="21" t="str">
        <f>IFERROR(VLOOKUP(April[[#This Row],[Drug Name7]],'Data Options'!$R$1:$S$100,2,FALSE), " ")</f>
        <v xml:space="preserve"> </v>
      </c>
      <c r="BU90" s="55"/>
      <c r="BV90" s="32"/>
      <c r="BW90" s="32"/>
      <c r="BX90" s="55"/>
      <c r="BY90" s="32"/>
      <c r="BZ90" s="54"/>
      <c r="CA90" s="21" t="str">
        <f>IFERROR(VLOOKUP(April[[#This Row],[Drug Name8]],'Data Options'!$R$1:$S$100,2,FALSE), " ")</f>
        <v xml:space="preserve"> </v>
      </c>
      <c r="CB90" s="55"/>
      <c r="CC90" s="32"/>
      <c r="CD90" s="32"/>
      <c r="CE90" s="55"/>
      <c r="CF90" s="32"/>
      <c r="CG90" s="54"/>
      <c r="CH90" s="21" t="str">
        <f>IFERROR(VLOOKUP(April[[#This Row],[Drug Name9]],'Data Options'!$R$1:$S$100,2,FALSE), " ")</f>
        <v xml:space="preserve"> </v>
      </c>
      <c r="CI90" s="55"/>
      <c r="CJ90" s="32"/>
      <c r="CK90" s="32"/>
      <c r="CL90" s="55"/>
      <c r="CM90" s="32"/>
    </row>
    <row r="91" spans="1:91">
      <c r="A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1"/>
      <c r="Q91" s="54"/>
      <c r="R91" s="21" t="str">
        <f>IFERROR(VLOOKUP(April[[#This Row],[Drug Name]],'Data Options'!$R$1:$S$100,2,FALSE), " ")</f>
        <v xml:space="preserve"> </v>
      </c>
      <c r="S91" s="55"/>
      <c r="T91" s="32"/>
      <c r="U91" s="32"/>
      <c r="V91" s="55"/>
      <c r="W91" s="32"/>
      <c r="X91" s="54"/>
      <c r="Y91" s="21" t="str">
        <f>IFERROR(VLOOKUP(April[[#This Row],[Drug Name2]],'Data Options'!$R$1:$S$100,2,FALSE), " ")</f>
        <v xml:space="preserve"> </v>
      </c>
      <c r="Z91" s="55"/>
      <c r="AA91" s="32"/>
      <c r="AB91" s="32"/>
      <c r="AC91" s="55"/>
      <c r="AD91" s="32"/>
      <c r="AE91" s="54"/>
      <c r="AF91" s="21" t="str">
        <f>IFERROR(VLOOKUP(April[[#This Row],[Drug Name3]],'Data Options'!$R$1:$S$100,2,FALSE), " ")</f>
        <v xml:space="preserve"> </v>
      </c>
      <c r="AG91" s="55"/>
      <c r="AH91" s="32"/>
      <c r="AI91" s="32"/>
      <c r="AJ91" s="55"/>
      <c r="AK91" s="32"/>
      <c r="AL91" s="32"/>
      <c r="AM91" s="32"/>
      <c r="AN91" s="32"/>
      <c r="AO91" s="32"/>
      <c r="AP91" s="31"/>
      <c r="AQ91" s="31"/>
      <c r="AR91" s="54"/>
      <c r="AS91" s="21" t="str">
        <f>IFERROR(VLOOKUP(April[[#This Row],[Drug Name4]],'Data Options'!$R$1:$S$100,2,FALSE), " ")</f>
        <v xml:space="preserve"> </v>
      </c>
      <c r="AT91" s="55"/>
      <c r="AU91" s="32"/>
      <c r="AV91" s="32"/>
      <c r="AW91" s="55"/>
      <c r="AX91" s="32"/>
      <c r="AY91" s="54"/>
      <c r="AZ91" s="21" t="str">
        <f>IFERROR(VLOOKUP(April[[#This Row],[Drug Name5]],'Data Options'!$R$1:$S$100,2,FALSE), " ")</f>
        <v xml:space="preserve"> </v>
      </c>
      <c r="BA91" s="55"/>
      <c r="BB91" s="32"/>
      <c r="BC91" s="32"/>
      <c r="BD91" s="55"/>
      <c r="BE91" s="32"/>
      <c r="BF91" s="54"/>
      <c r="BG91" s="21" t="str">
        <f>IFERROR(VLOOKUP(April[[#This Row],[Drug Name6]],'Data Options'!$R$1:$S$100,2,FALSE), " ")</f>
        <v xml:space="preserve"> </v>
      </c>
      <c r="BH91" s="55"/>
      <c r="BI91" s="32"/>
      <c r="BJ91" s="32"/>
      <c r="BK91" s="55"/>
      <c r="BL91" s="32"/>
      <c r="BM91" s="32"/>
      <c r="BN91" s="32"/>
      <c r="BO91" s="32"/>
      <c r="BP91" s="32"/>
      <c r="BQ91" s="31"/>
      <c r="BR91" s="31"/>
      <c r="BS91" s="54"/>
      <c r="BT91" s="21" t="str">
        <f>IFERROR(VLOOKUP(April[[#This Row],[Drug Name7]],'Data Options'!$R$1:$S$100,2,FALSE), " ")</f>
        <v xml:space="preserve"> </v>
      </c>
      <c r="BU91" s="55"/>
      <c r="BV91" s="32"/>
      <c r="BW91" s="32"/>
      <c r="BX91" s="55"/>
      <c r="BY91" s="32"/>
      <c r="BZ91" s="54"/>
      <c r="CA91" s="21" t="str">
        <f>IFERROR(VLOOKUP(April[[#This Row],[Drug Name8]],'Data Options'!$R$1:$S$100,2,FALSE), " ")</f>
        <v xml:space="preserve"> </v>
      </c>
      <c r="CB91" s="55"/>
      <c r="CC91" s="32"/>
      <c r="CD91" s="32"/>
      <c r="CE91" s="55"/>
      <c r="CF91" s="32"/>
      <c r="CG91" s="54"/>
      <c r="CH91" s="21" t="str">
        <f>IFERROR(VLOOKUP(April[[#This Row],[Drug Name9]],'Data Options'!$R$1:$S$100,2,FALSE), " ")</f>
        <v xml:space="preserve"> </v>
      </c>
      <c r="CI91" s="55"/>
      <c r="CJ91" s="32"/>
      <c r="CK91" s="32"/>
      <c r="CL91" s="55"/>
      <c r="CM91" s="32"/>
    </row>
    <row r="92" spans="1:91">
      <c r="A92" s="5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1"/>
      <c r="Q92" s="54"/>
      <c r="R92" s="21" t="str">
        <f>IFERROR(VLOOKUP(April[[#This Row],[Drug Name]],'Data Options'!$R$1:$S$100,2,FALSE), " ")</f>
        <v xml:space="preserve"> </v>
      </c>
      <c r="S92" s="55"/>
      <c r="T92" s="32"/>
      <c r="U92" s="32"/>
      <c r="V92" s="55"/>
      <c r="W92" s="32"/>
      <c r="X92" s="54"/>
      <c r="Y92" s="21" t="str">
        <f>IFERROR(VLOOKUP(April[[#This Row],[Drug Name2]],'Data Options'!$R$1:$S$100,2,FALSE), " ")</f>
        <v xml:space="preserve"> </v>
      </c>
      <c r="Z92" s="55"/>
      <c r="AA92" s="32"/>
      <c r="AB92" s="32"/>
      <c r="AC92" s="55"/>
      <c r="AD92" s="32"/>
      <c r="AE92" s="54"/>
      <c r="AF92" s="21" t="str">
        <f>IFERROR(VLOOKUP(April[[#This Row],[Drug Name3]],'Data Options'!$R$1:$S$100,2,FALSE), " ")</f>
        <v xml:space="preserve"> </v>
      </c>
      <c r="AG92" s="55"/>
      <c r="AH92" s="32"/>
      <c r="AI92" s="32"/>
      <c r="AJ92" s="55"/>
      <c r="AK92" s="32"/>
      <c r="AL92" s="32"/>
      <c r="AM92" s="32"/>
      <c r="AN92" s="32"/>
      <c r="AO92" s="32"/>
      <c r="AP92" s="31"/>
      <c r="AQ92" s="31"/>
      <c r="AR92" s="54"/>
      <c r="AS92" s="21" t="str">
        <f>IFERROR(VLOOKUP(April[[#This Row],[Drug Name4]],'Data Options'!$R$1:$S$100,2,FALSE), " ")</f>
        <v xml:space="preserve"> </v>
      </c>
      <c r="AT92" s="55"/>
      <c r="AU92" s="32"/>
      <c r="AV92" s="32"/>
      <c r="AW92" s="55"/>
      <c r="AX92" s="32"/>
      <c r="AY92" s="54"/>
      <c r="AZ92" s="21" t="str">
        <f>IFERROR(VLOOKUP(April[[#This Row],[Drug Name5]],'Data Options'!$R$1:$S$100,2,FALSE), " ")</f>
        <v xml:space="preserve"> </v>
      </c>
      <c r="BA92" s="55"/>
      <c r="BB92" s="32"/>
      <c r="BC92" s="32"/>
      <c r="BD92" s="55"/>
      <c r="BE92" s="32"/>
      <c r="BF92" s="54"/>
      <c r="BG92" s="21" t="str">
        <f>IFERROR(VLOOKUP(April[[#This Row],[Drug Name6]],'Data Options'!$R$1:$S$100,2,FALSE), " ")</f>
        <v xml:space="preserve"> </v>
      </c>
      <c r="BH92" s="55"/>
      <c r="BI92" s="32"/>
      <c r="BJ92" s="32"/>
      <c r="BK92" s="55"/>
      <c r="BL92" s="32"/>
      <c r="BM92" s="32"/>
      <c r="BN92" s="32"/>
      <c r="BO92" s="32"/>
      <c r="BP92" s="32"/>
      <c r="BQ92" s="31"/>
      <c r="BR92" s="31"/>
      <c r="BS92" s="54"/>
      <c r="BT92" s="21" t="str">
        <f>IFERROR(VLOOKUP(April[[#This Row],[Drug Name7]],'Data Options'!$R$1:$S$100,2,FALSE), " ")</f>
        <v xml:space="preserve"> </v>
      </c>
      <c r="BU92" s="55"/>
      <c r="BV92" s="32"/>
      <c r="BW92" s="32"/>
      <c r="BX92" s="55"/>
      <c r="BY92" s="32"/>
      <c r="BZ92" s="54"/>
      <c r="CA92" s="21" t="str">
        <f>IFERROR(VLOOKUP(April[[#This Row],[Drug Name8]],'Data Options'!$R$1:$S$100,2,FALSE), " ")</f>
        <v xml:space="preserve"> </v>
      </c>
      <c r="CB92" s="55"/>
      <c r="CC92" s="32"/>
      <c r="CD92" s="32"/>
      <c r="CE92" s="55"/>
      <c r="CF92" s="32"/>
      <c r="CG92" s="54"/>
      <c r="CH92" s="21" t="str">
        <f>IFERROR(VLOOKUP(April[[#This Row],[Drug Name9]],'Data Options'!$R$1:$S$100,2,FALSE), " ")</f>
        <v xml:space="preserve"> </v>
      </c>
      <c r="CI92" s="55"/>
      <c r="CJ92" s="32"/>
      <c r="CK92" s="32"/>
      <c r="CL92" s="55"/>
      <c r="CM92" s="32"/>
    </row>
    <row r="93" spans="1:91">
      <c r="A93" s="5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1"/>
      <c r="Q93" s="54"/>
      <c r="R93" s="21" t="str">
        <f>IFERROR(VLOOKUP(April[[#This Row],[Drug Name]],'Data Options'!$R$1:$S$100,2,FALSE), " ")</f>
        <v xml:space="preserve"> </v>
      </c>
      <c r="S93" s="55"/>
      <c r="T93" s="32"/>
      <c r="U93" s="32"/>
      <c r="V93" s="55"/>
      <c r="W93" s="32"/>
      <c r="X93" s="54"/>
      <c r="Y93" s="21" t="str">
        <f>IFERROR(VLOOKUP(April[[#This Row],[Drug Name2]],'Data Options'!$R$1:$S$100,2,FALSE), " ")</f>
        <v xml:space="preserve"> </v>
      </c>
      <c r="Z93" s="55"/>
      <c r="AA93" s="32"/>
      <c r="AB93" s="32"/>
      <c r="AC93" s="55"/>
      <c r="AD93" s="32"/>
      <c r="AE93" s="54"/>
      <c r="AF93" s="21" t="str">
        <f>IFERROR(VLOOKUP(April[[#This Row],[Drug Name3]],'Data Options'!$R$1:$S$100,2,FALSE), " ")</f>
        <v xml:space="preserve"> </v>
      </c>
      <c r="AG93" s="55"/>
      <c r="AH93" s="32"/>
      <c r="AI93" s="32"/>
      <c r="AJ93" s="55"/>
      <c r="AK93" s="32"/>
      <c r="AL93" s="32"/>
      <c r="AM93" s="32"/>
      <c r="AN93" s="32"/>
      <c r="AO93" s="32"/>
      <c r="AP93" s="31"/>
      <c r="AQ93" s="31"/>
      <c r="AR93" s="54"/>
      <c r="AS93" s="21" t="str">
        <f>IFERROR(VLOOKUP(April[[#This Row],[Drug Name4]],'Data Options'!$R$1:$S$100,2,FALSE), " ")</f>
        <v xml:space="preserve"> </v>
      </c>
      <c r="AT93" s="55"/>
      <c r="AU93" s="32"/>
      <c r="AV93" s="32"/>
      <c r="AW93" s="55"/>
      <c r="AX93" s="32"/>
      <c r="AY93" s="54"/>
      <c r="AZ93" s="21" t="str">
        <f>IFERROR(VLOOKUP(April[[#This Row],[Drug Name5]],'Data Options'!$R$1:$S$100,2,FALSE), " ")</f>
        <v xml:space="preserve"> </v>
      </c>
      <c r="BA93" s="55"/>
      <c r="BB93" s="32"/>
      <c r="BC93" s="32"/>
      <c r="BD93" s="55"/>
      <c r="BE93" s="32"/>
      <c r="BF93" s="54"/>
      <c r="BG93" s="21" t="str">
        <f>IFERROR(VLOOKUP(April[[#This Row],[Drug Name6]],'Data Options'!$R$1:$S$100,2,FALSE), " ")</f>
        <v xml:space="preserve"> </v>
      </c>
      <c r="BH93" s="55"/>
      <c r="BI93" s="32"/>
      <c r="BJ93" s="32"/>
      <c r="BK93" s="55"/>
      <c r="BL93" s="32"/>
      <c r="BM93" s="32"/>
      <c r="BN93" s="32"/>
      <c r="BO93" s="32"/>
      <c r="BP93" s="32"/>
      <c r="BQ93" s="31"/>
      <c r="BR93" s="31"/>
      <c r="BS93" s="54"/>
      <c r="BT93" s="21" t="str">
        <f>IFERROR(VLOOKUP(April[[#This Row],[Drug Name7]],'Data Options'!$R$1:$S$100,2,FALSE), " ")</f>
        <v xml:space="preserve"> </v>
      </c>
      <c r="BU93" s="55"/>
      <c r="BV93" s="32"/>
      <c r="BW93" s="32"/>
      <c r="BX93" s="55"/>
      <c r="BY93" s="32"/>
      <c r="BZ93" s="54"/>
      <c r="CA93" s="21" t="str">
        <f>IFERROR(VLOOKUP(April[[#This Row],[Drug Name8]],'Data Options'!$R$1:$S$100,2,FALSE), " ")</f>
        <v xml:space="preserve"> </v>
      </c>
      <c r="CB93" s="55"/>
      <c r="CC93" s="32"/>
      <c r="CD93" s="32"/>
      <c r="CE93" s="55"/>
      <c r="CF93" s="32"/>
      <c r="CG93" s="54"/>
      <c r="CH93" s="21" t="str">
        <f>IFERROR(VLOOKUP(April[[#This Row],[Drug Name9]],'Data Options'!$R$1:$S$100,2,FALSE), " ")</f>
        <v xml:space="preserve"> </v>
      </c>
      <c r="CI93" s="55"/>
      <c r="CJ93" s="32"/>
      <c r="CK93" s="32"/>
      <c r="CL93" s="55"/>
      <c r="CM93" s="32"/>
    </row>
    <row r="94" spans="1:91">
      <c r="A94" s="5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1"/>
      <c r="Q94" s="54"/>
      <c r="R94" s="21" t="str">
        <f>IFERROR(VLOOKUP(April[[#This Row],[Drug Name]],'Data Options'!$R$1:$S$100,2,FALSE), " ")</f>
        <v xml:space="preserve"> </v>
      </c>
      <c r="S94" s="55"/>
      <c r="T94" s="32"/>
      <c r="U94" s="32"/>
      <c r="V94" s="55"/>
      <c r="W94" s="32"/>
      <c r="X94" s="54"/>
      <c r="Y94" s="21" t="str">
        <f>IFERROR(VLOOKUP(April[[#This Row],[Drug Name2]],'Data Options'!$R$1:$S$100,2,FALSE), " ")</f>
        <v xml:space="preserve"> </v>
      </c>
      <c r="Z94" s="55"/>
      <c r="AA94" s="32"/>
      <c r="AB94" s="32"/>
      <c r="AC94" s="55"/>
      <c r="AD94" s="32"/>
      <c r="AE94" s="54"/>
      <c r="AF94" s="21" t="str">
        <f>IFERROR(VLOOKUP(April[[#This Row],[Drug Name3]],'Data Options'!$R$1:$S$100,2,FALSE), " ")</f>
        <v xml:space="preserve"> </v>
      </c>
      <c r="AG94" s="55"/>
      <c r="AH94" s="32"/>
      <c r="AI94" s="32"/>
      <c r="AJ94" s="55"/>
      <c r="AK94" s="32"/>
      <c r="AL94" s="32"/>
      <c r="AM94" s="32"/>
      <c r="AN94" s="32"/>
      <c r="AO94" s="32"/>
      <c r="AP94" s="31"/>
      <c r="AQ94" s="31"/>
      <c r="AR94" s="54"/>
      <c r="AS94" s="21" t="str">
        <f>IFERROR(VLOOKUP(April[[#This Row],[Drug Name4]],'Data Options'!$R$1:$S$100,2,FALSE), " ")</f>
        <v xml:space="preserve"> </v>
      </c>
      <c r="AT94" s="55"/>
      <c r="AU94" s="32"/>
      <c r="AV94" s="32"/>
      <c r="AW94" s="55"/>
      <c r="AX94" s="32"/>
      <c r="AY94" s="54"/>
      <c r="AZ94" s="21" t="str">
        <f>IFERROR(VLOOKUP(April[[#This Row],[Drug Name5]],'Data Options'!$R$1:$S$100,2,FALSE), " ")</f>
        <v xml:space="preserve"> </v>
      </c>
      <c r="BA94" s="55"/>
      <c r="BB94" s="32"/>
      <c r="BC94" s="32"/>
      <c r="BD94" s="55"/>
      <c r="BE94" s="32"/>
      <c r="BF94" s="54"/>
      <c r="BG94" s="21" t="str">
        <f>IFERROR(VLOOKUP(April[[#This Row],[Drug Name6]],'Data Options'!$R$1:$S$100,2,FALSE), " ")</f>
        <v xml:space="preserve"> </v>
      </c>
      <c r="BH94" s="55"/>
      <c r="BI94" s="32"/>
      <c r="BJ94" s="32"/>
      <c r="BK94" s="55"/>
      <c r="BL94" s="32"/>
      <c r="BM94" s="32"/>
      <c r="BN94" s="32"/>
      <c r="BO94" s="32"/>
      <c r="BP94" s="32"/>
      <c r="BQ94" s="31"/>
      <c r="BR94" s="31"/>
      <c r="BS94" s="54"/>
      <c r="BT94" s="21" t="str">
        <f>IFERROR(VLOOKUP(April[[#This Row],[Drug Name7]],'Data Options'!$R$1:$S$100,2,FALSE), " ")</f>
        <v xml:space="preserve"> </v>
      </c>
      <c r="BU94" s="55"/>
      <c r="BV94" s="32"/>
      <c r="BW94" s="32"/>
      <c r="BX94" s="55"/>
      <c r="BY94" s="32"/>
      <c r="BZ94" s="54"/>
      <c r="CA94" s="21" t="str">
        <f>IFERROR(VLOOKUP(April[[#This Row],[Drug Name8]],'Data Options'!$R$1:$S$100,2,FALSE), " ")</f>
        <v xml:space="preserve"> </v>
      </c>
      <c r="CB94" s="55"/>
      <c r="CC94" s="32"/>
      <c r="CD94" s="32"/>
      <c r="CE94" s="55"/>
      <c r="CF94" s="32"/>
      <c r="CG94" s="54"/>
      <c r="CH94" s="21" t="str">
        <f>IFERROR(VLOOKUP(April[[#This Row],[Drug Name9]],'Data Options'!$R$1:$S$100,2,FALSE), " ")</f>
        <v xml:space="preserve"> </v>
      </c>
      <c r="CI94" s="55"/>
      <c r="CJ94" s="32"/>
      <c r="CK94" s="32"/>
      <c r="CL94" s="55"/>
      <c r="CM94" s="32"/>
    </row>
    <row r="95" spans="1:91">
      <c r="A95" s="5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1"/>
      <c r="P95" s="31"/>
      <c r="Q95" s="54"/>
      <c r="R95" s="21" t="str">
        <f>IFERROR(VLOOKUP(April[[#This Row],[Drug Name]],'Data Options'!$R$1:$S$100,2,FALSE), " ")</f>
        <v xml:space="preserve"> </v>
      </c>
      <c r="S95" s="55"/>
      <c r="T95" s="32"/>
      <c r="U95" s="32"/>
      <c r="V95" s="55"/>
      <c r="W95" s="32"/>
      <c r="X95" s="54"/>
      <c r="Y95" s="21" t="str">
        <f>IFERROR(VLOOKUP(April[[#This Row],[Drug Name2]],'Data Options'!$R$1:$S$100,2,FALSE), " ")</f>
        <v xml:space="preserve"> </v>
      </c>
      <c r="Z95" s="55"/>
      <c r="AA95" s="32"/>
      <c r="AB95" s="32"/>
      <c r="AC95" s="55"/>
      <c r="AD95" s="32"/>
      <c r="AE95" s="54"/>
      <c r="AF95" s="21" t="str">
        <f>IFERROR(VLOOKUP(April[[#This Row],[Drug Name3]],'Data Options'!$R$1:$S$100,2,FALSE), " ")</f>
        <v xml:space="preserve"> </v>
      </c>
      <c r="AG95" s="55"/>
      <c r="AH95" s="32"/>
      <c r="AI95" s="32"/>
      <c r="AJ95" s="55"/>
      <c r="AK95" s="32"/>
      <c r="AL95" s="32"/>
      <c r="AM95" s="32"/>
      <c r="AN95" s="32"/>
      <c r="AO95" s="32"/>
      <c r="AP95" s="31"/>
      <c r="AQ95" s="31"/>
      <c r="AR95" s="54"/>
      <c r="AS95" s="21" t="str">
        <f>IFERROR(VLOOKUP(April[[#This Row],[Drug Name4]],'Data Options'!$R$1:$S$100,2,FALSE), " ")</f>
        <v xml:space="preserve"> </v>
      </c>
      <c r="AT95" s="55"/>
      <c r="AU95" s="32"/>
      <c r="AV95" s="32"/>
      <c r="AW95" s="55"/>
      <c r="AX95" s="32"/>
      <c r="AY95" s="54"/>
      <c r="AZ95" s="21" t="str">
        <f>IFERROR(VLOOKUP(April[[#This Row],[Drug Name5]],'Data Options'!$R$1:$S$100,2,FALSE), " ")</f>
        <v xml:space="preserve"> </v>
      </c>
      <c r="BA95" s="55"/>
      <c r="BB95" s="32"/>
      <c r="BC95" s="32"/>
      <c r="BD95" s="55"/>
      <c r="BE95" s="32"/>
      <c r="BF95" s="54"/>
      <c r="BG95" s="21" t="str">
        <f>IFERROR(VLOOKUP(April[[#This Row],[Drug Name6]],'Data Options'!$R$1:$S$100,2,FALSE), " ")</f>
        <v xml:space="preserve"> </v>
      </c>
      <c r="BH95" s="55"/>
      <c r="BI95" s="32"/>
      <c r="BJ95" s="32"/>
      <c r="BK95" s="55"/>
      <c r="BL95" s="32"/>
      <c r="BM95" s="32"/>
      <c r="BN95" s="32"/>
      <c r="BO95" s="32"/>
      <c r="BP95" s="32"/>
      <c r="BQ95" s="31"/>
      <c r="BR95" s="31"/>
      <c r="BS95" s="54"/>
      <c r="BT95" s="21" t="str">
        <f>IFERROR(VLOOKUP(April[[#This Row],[Drug Name7]],'Data Options'!$R$1:$S$100,2,FALSE), " ")</f>
        <v xml:space="preserve"> </v>
      </c>
      <c r="BU95" s="55"/>
      <c r="BV95" s="32"/>
      <c r="BW95" s="32"/>
      <c r="BX95" s="55"/>
      <c r="BY95" s="32"/>
      <c r="BZ95" s="54"/>
      <c r="CA95" s="21" t="str">
        <f>IFERROR(VLOOKUP(April[[#This Row],[Drug Name8]],'Data Options'!$R$1:$S$100,2,FALSE), " ")</f>
        <v xml:space="preserve"> </v>
      </c>
      <c r="CB95" s="55"/>
      <c r="CC95" s="32"/>
      <c r="CD95" s="32"/>
      <c r="CE95" s="55"/>
      <c r="CF95" s="32"/>
      <c r="CG95" s="54"/>
      <c r="CH95" s="21" t="str">
        <f>IFERROR(VLOOKUP(April[[#This Row],[Drug Name9]],'Data Options'!$R$1:$S$100,2,FALSE), " ")</f>
        <v xml:space="preserve"> </v>
      </c>
      <c r="CI95" s="55"/>
      <c r="CJ95" s="32"/>
      <c r="CK95" s="32"/>
      <c r="CL95" s="55"/>
      <c r="CM95" s="32"/>
    </row>
    <row r="96" spans="1:91">
      <c r="A96" s="5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1"/>
      <c r="P96" s="31"/>
      <c r="Q96" s="54"/>
      <c r="R96" s="21" t="str">
        <f>IFERROR(VLOOKUP(April[[#This Row],[Drug Name]],'Data Options'!$R$1:$S$100,2,FALSE), " ")</f>
        <v xml:space="preserve"> </v>
      </c>
      <c r="S96" s="55"/>
      <c r="T96" s="32"/>
      <c r="U96" s="32"/>
      <c r="V96" s="55"/>
      <c r="W96" s="32"/>
      <c r="X96" s="54"/>
      <c r="Y96" s="21" t="str">
        <f>IFERROR(VLOOKUP(April[[#This Row],[Drug Name2]],'Data Options'!$R$1:$S$100,2,FALSE), " ")</f>
        <v xml:space="preserve"> </v>
      </c>
      <c r="Z96" s="55"/>
      <c r="AA96" s="32"/>
      <c r="AB96" s="32"/>
      <c r="AC96" s="55"/>
      <c r="AD96" s="32"/>
      <c r="AE96" s="54"/>
      <c r="AF96" s="21" t="str">
        <f>IFERROR(VLOOKUP(April[[#This Row],[Drug Name3]],'Data Options'!$R$1:$S$100,2,FALSE), " ")</f>
        <v xml:space="preserve"> </v>
      </c>
      <c r="AG96" s="55"/>
      <c r="AH96" s="32"/>
      <c r="AI96" s="32"/>
      <c r="AJ96" s="55"/>
      <c r="AK96" s="32"/>
      <c r="AL96" s="32"/>
      <c r="AM96" s="32"/>
      <c r="AN96" s="32"/>
      <c r="AO96" s="32"/>
      <c r="AP96" s="31"/>
      <c r="AQ96" s="31"/>
      <c r="AR96" s="54"/>
      <c r="AS96" s="21" t="str">
        <f>IFERROR(VLOOKUP(April[[#This Row],[Drug Name4]],'Data Options'!$R$1:$S$100,2,FALSE), " ")</f>
        <v xml:space="preserve"> </v>
      </c>
      <c r="AT96" s="55"/>
      <c r="AU96" s="32"/>
      <c r="AV96" s="32"/>
      <c r="AW96" s="55"/>
      <c r="AX96" s="32"/>
      <c r="AY96" s="54"/>
      <c r="AZ96" s="21" t="str">
        <f>IFERROR(VLOOKUP(April[[#This Row],[Drug Name5]],'Data Options'!$R$1:$S$100,2,FALSE), " ")</f>
        <v xml:space="preserve"> </v>
      </c>
      <c r="BA96" s="55"/>
      <c r="BB96" s="32"/>
      <c r="BC96" s="32"/>
      <c r="BD96" s="55"/>
      <c r="BE96" s="32"/>
      <c r="BF96" s="54"/>
      <c r="BG96" s="21" t="str">
        <f>IFERROR(VLOOKUP(April[[#This Row],[Drug Name6]],'Data Options'!$R$1:$S$100,2,FALSE), " ")</f>
        <v xml:space="preserve"> </v>
      </c>
      <c r="BH96" s="55"/>
      <c r="BI96" s="32"/>
      <c r="BJ96" s="32"/>
      <c r="BK96" s="55"/>
      <c r="BL96" s="32"/>
      <c r="BM96" s="32"/>
      <c r="BN96" s="32"/>
      <c r="BO96" s="32"/>
      <c r="BP96" s="32"/>
      <c r="BQ96" s="31"/>
      <c r="BR96" s="31"/>
      <c r="BS96" s="54"/>
      <c r="BT96" s="21" t="str">
        <f>IFERROR(VLOOKUP(April[[#This Row],[Drug Name7]],'Data Options'!$R$1:$S$100,2,FALSE), " ")</f>
        <v xml:space="preserve"> </v>
      </c>
      <c r="BU96" s="55"/>
      <c r="BV96" s="32"/>
      <c r="BW96" s="32"/>
      <c r="BX96" s="55"/>
      <c r="BY96" s="32"/>
      <c r="BZ96" s="54"/>
      <c r="CA96" s="21" t="str">
        <f>IFERROR(VLOOKUP(April[[#This Row],[Drug Name8]],'Data Options'!$R$1:$S$100,2,FALSE), " ")</f>
        <v xml:space="preserve"> </v>
      </c>
      <c r="CB96" s="55"/>
      <c r="CC96" s="32"/>
      <c r="CD96" s="32"/>
      <c r="CE96" s="55"/>
      <c r="CF96" s="32"/>
      <c r="CG96" s="54"/>
      <c r="CH96" s="21" t="str">
        <f>IFERROR(VLOOKUP(April[[#This Row],[Drug Name9]],'Data Options'!$R$1:$S$100,2,FALSE), " ")</f>
        <v xml:space="preserve"> </v>
      </c>
      <c r="CI96" s="55"/>
      <c r="CJ96" s="32"/>
      <c r="CK96" s="32"/>
      <c r="CL96" s="55"/>
      <c r="CM96" s="32"/>
    </row>
    <row r="97" spans="1:91">
      <c r="A97" s="5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1"/>
      <c r="P97" s="31"/>
      <c r="Q97" s="54"/>
      <c r="R97" s="21" t="str">
        <f>IFERROR(VLOOKUP(April[[#This Row],[Drug Name]],'Data Options'!$R$1:$S$100,2,FALSE), " ")</f>
        <v xml:space="preserve"> </v>
      </c>
      <c r="S97" s="55"/>
      <c r="T97" s="32"/>
      <c r="U97" s="32"/>
      <c r="V97" s="55"/>
      <c r="W97" s="32"/>
      <c r="X97" s="54"/>
      <c r="Y97" s="21" t="str">
        <f>IFERROR(VLOOKUP(April[[#This Row],[Drug Name2]],'Data Options'!$R$1:$S$100,2,FALSE), " ")</f>
        <v xml:space="preserve"> </v>
      </c>
      <c r="Z97" s="55"/>
      <c r="AA97" s="32"/>
      <c r="AB97" s="32"/>
      <c r="AC97" s="55"/>
      <c r="AD97" s="32"/>
      <c r="AE97" s="54"/>
      <c r="AF97" s="21" t="str">
        <f>IFERROR(VLOOKUP(April[[#This Row],[Drug Name3]],'Data Options'!$R$1:$S$100,2,FALSE), " ")</f>
        <v xml:space="preserve"> </v>
      </c>
      <c r="AG97" s="55"/>
      <c r="AH97" s="32"/>
      <c r="AI97" s="32"/>
      <c r="AJ97" s="55"/>
      <c r="AK97" s="32"/>
      <c r="AL97" s="32"/>
      <c r="AM97" s="32"/>
      <c r="AN97" s="32"/>
      <c r="AO97" s="32"/>
      <c r="AP97" s="31"/>
      <c r="AQ97" s="31"/>
      <c r="AR97" s="54"/>
      <c r="AS97" s="21" t="str">
        <f>IFERROR(VLOOKUP(April[[#This Row],[Drug Name4]],'Data Options'!$R$1:$S$100,2,FALSE), " ")</f>
        <v xml:space="preserve"> </v>
      </c>
      <c r="AT97" s="55"/>
      <c r="AU97" s="32"/>
      <c r="AV97" s="32"/>
      <c r="AW97" s="55"/>
      <c r="AX97" s="32"/>
      <c r="AY97" s="54"/>
      <c r="AZ97" s="21" t="str">
        <f>IFERROR(VLOOKUP(April[[#This Row],[Drug Name5]],'Data Options'!$R$1:$S$100,2,FALSE), " ")</f>
        <v xml:space="preserve"> </v>
      </c>
      <c r="BA97" s="55"/>
      <c r="BB97" s="32"/>
      <c r="BC97" s="32"/>
      <c r="BD97" s="55"/>
      <c r="BE97" s="32"/>
      <c r="BF97" s="54"/>
      <c r="BG97" s="21" t="str">
        <f>IFERROR(VLOOKUP(April[[#This Row],[Drug Name6]],'Data Options'!$R$1:$S$100,2,FALSE), " ")</f>
        <v xml:space="preserve"> </v>
      </c>
      <c r="BH97" s="55"/>
      <c r="BI97" s="32"/>
      <c r="BJ97" s="32"/>
      <c r="BK97" s="55"/>
      <c r="BL97" s="32"/>
      <c r="BM97" s="32"/>
      <c r="BN97" s="32"/>
      <c r="BO97" s="32"/>
      <c r="BP97" s="32"/>
      <c r="BQ97" s="31"/>
      <c r="BR97" s="31"/>
      <c r="BS97" s="54"/>
      <c r="BT97" s="21" t="str">
        <f>IFERROR(VLOOKUP(April[[#This Row],[Drug Name7]],'Data Options'!$R$1:$S$100,2,FALSE), " ")</f>
        <v xml:space="preserve"> </v>
      </c>
      <c r="BU97" s="55"/>
      <c r="BV97" s="32"/>
      <c r="BW97" s="32"/>
      <c r="BX97" s="55"/>
      <c r="BY97" s="32"/>
      <c r="BZ97" s="54"/>
      <c r="CA97" s="21" t="str">
        <f>IFERROR(VLOOKUP(April[[#This Row],[Drug Name8]],'Data Options'!$R$1:$S$100,2,FALSE), " ")</f>
        <v xml:space="preserve"> </v>
      </c>
      <c r="CB97" s="55"/>
      <c r="CC97" s="32"/>
      <c r="CD97" s="32"/>
      <c r="CE97" s="55"/>
      <c r="CF97" s="32"/>
      <c r="CG97" s="54"/>
      <c r="CH97" s="21" t="str">
        <f>IFERROR(VLOOKUP(April[[#This Row],[Drug Name9]],'Data Options'!$R$1:$S$100,2,FALSE), " ")</f>
        <v xml:space="preserve"> </v>
      </c>
      <c r="CI97" s="55"/>
      <c r="CJ97" s="32"/>
      <c r="CK97" s="32"/>
      <c r="CL97" s="55"/>
      <c r="CM97" s="32"/>
    </row>
    <row r="98" spans="1:91">
      <c r="A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1"/>
      <c r="P98" s="31"/>
      <c r="Q98" s="54"/>
      <c r="R98" s="21" t="str">
        <f>IFERROR(VLOOKUP(April[[#This Row],[Drug Name]],'Data Options'!$R$1:$S$100,2,FALSE), " ")</f>
        <v xml:space="preserve"> </v>
      </c>
      <c r="S98" s="55"/>
      <c r="T98" s="32"/>
      <c r="U98" s="32"/>
      <c r="V98" s="55"/>
      <c r="W98" s="32"/>
      <c r="X98" s="54"/>
      <c r="Y98" s="21" t="str">
        <f>IFERROR(VLOOKUP(April[[#This Row],[Drug Name2]],'Data Options'!$R$1:$S$100,2,FALSE), " ")</f>
        <v xml:space="preserve"> </v>
      </c>
      <c r="Z98" s="55"/>
      <c r="AA98" s="32"/>
      <c r="AB98" s="32"/>
      <c r="AC98" s="55"/>
      <c r="AD98" s="32"/>
      <c r="AE98" s="54"/>
      <c r="AF98" s="21" t="str">
        <f>IFERROR(VLOOKUP(April[[#This Row],[Drug Name3]],'Data Options'!$R$1:$S$100,2,FALSE), " ")</f>
        <v xml:space="preserve"> </v>
      </c>
      <c r="AG98" s="55"/>
      <c r="AH98" s="32"/>
      <c r="AI98" s="32"/>
      <c r="AJ98" s="55"/>
      <c r="AK98" s="32"/>
      <c r="AL98" s="32"/>
      <c r="AM98" s="32"/>
      <c r="AN98" s="32"/>
      <c r="AO98" s="32"/>
      <c r="AP98" s="31"/>
      <c r="AQ98" s="31"/>
      <c r="AR98" s="54"/>
      <c r="AS98" s="21" t="str">
        <f>IFERROR(VLOOKUP(April[[#This Row],[Drug Name4]],'Data Options'!$R$1:$S$100,2,FALSE), " ")</f>
        <v xml:space="preserve"> </v>
      </c>
      <c r="AT98" s="55"/>
      <c r="AU98" s="32"/>
      <c r="AV98" s="32"/>
      <c r="AW98" s="55"/>
      <c r="AX98" s="32"/>
      <c r="AY98" s="54"/>
      <c r="AZ98" s="21" t="str">
        <f>IFERROR(VLOOKUP(April[[#This Row],[Drug Name5]],'Data Options'!$R$1:$S$100,2,FALSE), " ")</f>
        <v xml:space="preserve"> </v>
      </c>
      <c r="BA98" s="55"/>
      <c r="BB98" s="32"/>
      <c r="BC98" s="32"/>
      <c r="BD98" s="55"/>
      <c r="BE98" s="32"/>
      <c r="BF98" s="54"/>
      <c r="BG98" s="21" t="str">
        <f>IFERROR(VLOOKUP(April[[#This Row],[Drug Name6]],'Data Options'!$R$1:$S$100,2,FALSE), " ")</f>
        <v xml:space="preserve"> </v>
      </c>
      <c r="BH98" s="55"/>
      <c r="BI98" s="32"/>
      <c r="BJ98" s="32"/>
      <c r="BK98" s="55"/>
      <c r="BL98" s="32"/>
      <c r="BM98" s="32"/>
      <c r="BN98" s="32"/>
      <c r="BO98" s="32"/>
      <c r="BP98" s="32"/>
      <c r="BQ98" s="31"/>
      <c r="BR98" s="31"/>
      <c r="BS98" s="54"/>
      <c r="BT98" s="21" t="str">
        <f>IFERROR(VLOOKUP(April[[#This Row],[Drug Name7]],'Data Options'!$R$1:$S$100,2,FALSE), " ")</f>
        <v xml:space="preserve"> </v>
      </c>
      <c r="BU98" s="55"/>
      <c r="BV98" s="32"/>
      <c r="BW98" s="32"/>
      <c r="BX98" s="55"/>
      <c r="BY98" s="32"/>
      <c r="BZ98" s="54"/>
      <c r="CA98" s="21" t="str">
        <f>IFERROR(VLOOKUP(April[[#This Row],[Drug Name8]],'Data Options'!$R$1:$S$100,2,FALSE), " ")</f>
        <v xml:space="preserve"> </v>
      </c>
      <c r="CB98" s="55"/>
      <c r="CC98" s="32"/>
      <c r="CD98" s="32"/>
      <c r="CE98" s="55"/>
      <c r="CF98" s="32"/>
      <c r="CG98" s="54"/>
      <c r="CH98" s="21" t="str">
        <f>IFERROR(VLOOKUP(April[[#This Row],[Drug Name9]],'Data Options'!$R$1:$S$100,2,FALSE), " ")</f>
        <v xml:space="preserve"> </v>
      </c>
      <c r="CI98" s="55"/>
      <c r="CJ98" s="32"/>
      <c r="CK98" s="32"/>
      <c r="CL98" s="55"/>
      <c r="CM98" s="32"/>
    </row>
    <row r="99" spans="1:91">
      <c r="A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1"/>
      <c r="P99" s="31"/>
      <c r="Q99" s="54"/>
      <c r="R99" s="21" t="str">
        <f>IFERROR(VLOOKUP(April[[#This Row],[Drug Name]],'Data Options'!$R$1:$S$100,2,FALSE), " ")</f>
        <v xml:space="preserve"> </v>
      </c>
      <c r="S99" s="55"/>
      <c r="T99" s="32"/>
      <c r="U99" s="32"/>
      <c r="V99" s="55"/>
      <c r="W99" s="32"/>
      <c r="X99" s="54"/>
      <c r="Y99" s="21" t="str">
        <f>IFERROR(VLOOKUP(April[[#This Row],[Drug Name2]],'Data Options'!$R$1:$S$100,2,FALSE), " ")</f>
        <v xml:space="preserve"> </v>
      </c>
      <c r="Z99" s="55"/>
      <c r="AA99" s="32"/>
      <c r="AB99" s="32"/>
      <c r="AC99" s="55"/>
      <c r="AD99" s="32"/>
      <c r="AE99" s="54"/>
      <c r="AF99" s="21" t="str">
        <f>IFERROR(VLOOKUP(April[[#This Row],[Drug Name3]],'Data Options'!$R$1:$S$100,2,FALSE), " ")</f>
        <v xml:space="preserve"> </v>
      </c>
      <c r="AG99" s="55"/>
      <c r="AH99" s="32"/>
      <c r="AI99" s="32"/>
      <c r="AJ99" s="55"/>
      <c r="AK99" s="32"/>
      <c r="AL99" s="32"/>
      <c r="AM99" s="32"/>
      <c r="AN99" s="32"/>
      <c r="AO99" s="32"/>
      <c r="AP99" s="31"/>
      <c r="AQ99" s="31"/>
      <c r="AR99" s="54"/>
      <c r="AS99" s="21" t="str">
        <f>IFERROR(VLOOKUP(April[[#This Row],[Drug Name4]],'Data Options'!$R$1:$S$100,2,FALSE), " ")</f>
        <v xml:space="preserve"> </v>
      </c>
      <c r="AT99" s="55"/>
      <c r="AU99" s="32"/>
      <c r="AV99" s="32"/>
      <c r="AW99" s="55"/>
      <c r="AX99" s="32"/>
      <c r="AY99" s="54"/>
      <c r="AZ99" s="21" t="str">
        <f>IFERROR(VLOOKUP(April[[#This Row],[Drug Name5]],'Data Options'!$R$1:$S$100,2,FALSE), " ")</f>
        <v xml:space="preserve"> </v>
      </c>
      <c r="BA99" s="55"/>
      <c r="BB99" s="32"/>
      <c r="BC99" s="32"/>
      <c r="BD99" s="55"/>
      <c r="BE99" s="32"/>
      <c r="BF99" s="54"/>
      <c r="BG99" s="21" t="str">
        <f>IFERROR(VLOOKUP(April[[#This Row],[Drug Name6]],'Data Options'!$R$1:$S$100,2,FALSE), " ")</f>
        <v xml:space="preserve"> </v>
      </c>
      <c r="BH99" s="55"/>
      <c r="BI99" s="32"/>
      <c r="BJ99" s="32"/>
      <c r="BK99" s="55"/>
      <c r="BL99" s="32"/>
      <c r="BM99" s="32"/>
      <c r="BN99" s="32"/>
      <c r="BO99" s="32"/>
      <c r="BP99" s="32"/>
      <c r="BQ99" s="31"/>
      <c r="BR99" s="31"/>
      <c r="BS99" s="54"/>
      <c r="BT99" s="21" t="str">
        <f>IFERROR(VLOOKUP(April[[#This Row],[Drug Name7]],'Data Options'!$R$1:$S$100,2,FALSE), " ")</f>
        <v xml:space="preserve"> </v>
      </c>
      <c r="BU99" s="55"/>
      <c r="BV99" s="32"/>
      <c r="BW99" s="32"/>
      <c r="BX99" s="55"/>
      <c r="BY99" s="32"/>
      <c r="BZ99" s="54"/>
      <c r="CA99" s="21" t="str">
        <f>IFERROR(VLOOKUP(April[[#This Row],[Drug Name8]],'Data Options'!$R$1:$S$100,2,FALSE), " ")</f>
        <v xml:space="preserve"> </v>
      </c>
      <c r="CB99" s="55"/>
      <c r="CC99" s="32"/>
      <c r="CD99" s="32"/>
      <c r="CE99" s="55"/>
      <c r="CF99" s="32"/>
      <c r="CG99" s="54"/>
      <c r="CH99" s="21" t="str">
        <f>IFERROR(VLOOKUP(April[[#This Row],[Drug Name9]],'Data Options'!$R$1:$S$100,2,FALSE), " ")</f>
        <v xml:space="preserve"> </v>
      </c>
      <c r="CI99" s="55"/>
      <c r="CJ99" s="32"/>
      <c r="CK99" s="32"/>
      <c r="CL99" s="55"/>
      <c r="CM99" s="32"/>
    </row>
    <row r="100" spans="1:91">
      <c r="A100" s="5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1"/>
      <c r="P100" s="31"/>
      <c r="Q100" s="54"/>
      <c r="R100" s="21" t="str">
        <f>IFERROR(VLOOKUP(April[[#This Row],[Drug Name]],'Data Options'!$R$1:$S$100,2,FALSE), " ")</f>
        <v xml:space="preserve"> </v>
      </c>
      <c r="S100" s="55"/>
      <c r="T100" s="32"/>
      <c r="U100" s="32"/>
      <c r="V100" s="55"/>
      <c r="W100" s="32"/>
      <c r="X100" s="54"/>
      <c r="Y100" s="21" t="str">
        <f>IFERROR(VLOOKUP(April[[#This Row],[Drug Name2]],'Data Options'!$R$1:$S$100,2,FALSE), " ")</f>
        <v xml:space="preserve"> </v>
      </c>
      <c r="Z100" s="55"/>
      <c r="AA100" s="32"/>
      <c r="AB100" s="32"/>
      <c r="AC100" s="55"/>
      <c r="AD100" s="32"/>
      <c r="AE100" s="54"/>
      <c r="AF100" s="21" t="str">
        <f>IFERROR(VLOOKUP(April[[#This Row],[Drug Name3]],'Data Options'!$R$1:$S$100,2,FALSE), " ")</f>
        <v xml:space="preserve"> </v>
      </c>
      <c r="AG100" s="55"/>
      <c r="AH100" s="32"/>
      <c r="AI100" s="32"/>
      <c r="AJ100" s="55"/>
      <c r="AK100" s="32"/>
      <c r="AL100" s="32"/>
      <c r="AM100" s="32"/>
      <c r="AN100" s="32"/>
      <c r="AO100" s="32"/>
      <c r="AP100" s="31"/>
      <c r="AQ100" s="31"/>
      <c r="AR100" s="54"/>
      <c r="AS100" s="21" t="str">
        <f>IFERROR(VLOOKUP(April[[#This Row],[Drug Name4]],'Data Options'!$R$1:$S$100,2,FALSE), " ")</f>
        <v xml:space="preserve"> </v>
      </c>
      <c r="AT100" s="55"/>
      <c r="AU100" s="32"/>
      <c r="AV100" s="32"/>
      <c r="AW100" s="55"/>
      <c r="AX100" s="32"/>
      <c r="AY100" s="54"/>
      <c r="AZ100" s="21" t="str">
        <f>IFERROR(VLOOKUP(April[[#This Row],[Drug Name5]],'Data Options'!$R$1:$S$100,2,FALSE), " ")</f>
        <v xml:space="preserve"> </v>
      </c>
      <c r="BA100" s="55"/>
      <c r="BB100" s="32"/>
      <c r="BC100" s="32"/>
      <c r="BD100" s="55"/>
      <c r="BE100" s="32"/>
      <c r="BF100" s="54"/>
      <c r="BG100" s="21" t="str">
        <f>IFERROR(VLOOKUP(April[[#This Row],[Drug Name6]],'Data Options'!$R$1:$S$100,2,FALSE), " ")</f>
        <v xml:space="preserve"> </v>
      </c>
      <c r="BH100" s="55"/>
      <c r="BI100" s="32"/>
      <c r="BJ100" s="32"/>
      <c r="BK100" s="55"/>
      <c r="BL100" s="32"/>
      <c r="BM100" s="32"/>
      <c r="BN100" s="32"/>
      <c r="BO100" s="32"/>
      <c r="BP100" s="32"/>
      <c r="BQ100" s="31"/>
      <c r="BR100" s="31"/>
      <c r="BS100" s="54"/>
      <c r="BT100" s="21" t="str">
        <f>IFERROR(VLOOKUP(April[[#This Row],[Drug Name7]],'Data Options'!$R$1:$S$100,2,FALSE), " ")</f>
        <v xml:space="preserve"> </v>
      </c>
      <c r="BU100" s="55"/>
      <c r="BV100" s="32"/>
      <c r="BW100" s="32"/>
      <c r="BX100" s="55"/>
      <c r="BY100" s="32"/>
      <c r="BZ100" s="54"/>
      <c r="CA100" s="21" t="str">
        <f>IFERROR(VLOOKUP(April[[#This Row],[Drug Name8]],'Data Options'!$R$1:$S$100,2,FALSE), " ")</f>
        <v xml:space="preserve"> </v>
      </c>
      <c r="CB100" s="55"/>
      <c r="CC100" s="32"/>
      <c r="CD100" s="32"/>
      <c r="CE100" s="55"/>
      <c r="CF100" s="32"/>
      <c r="CG100" s="54"/>
      <c r="CH100" s="21" t="str">
        <f>IFERROR(VLOOKUP(April[[#This Row],[Drug Name9]],'Data Options'!$R$1:$S$100,2,FALSE), " ")</f>
        <v xml:space="preserve"> </v>
      </c>
      <c r="CI100" s="55"/>
      <c r="CJ100" s="32"/>
      <c r="CK100" s="32"/>
      <c r="CL100" s="55"/>
      <c r="CM100" s="32"/>
    </row>
    <row r="101" spans="1:91">
      <c r="A101" s="5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1"/>
      <c r="P101" s="31"/>
      <c r="Q101" s="54"/>
      <c r="R101" s="21" t="str">
        <f>IFERROR(VLOOKUP(April[[#This Row],[Drug Name]],'Data Options'!$R$1:$S$100,2,FALSE), " ")</f>
        <v xml:space="preserve"> </v>
      </c>
      <c r="S101" s="55"/>
      <c r="T101" s="32"/>
      <c r="U101" s="32"/>
      <c r="V101" s="55"/>
      <c r="W101" s="32"/>
      <c r="X101" s="54"/>
      <c r="Y101" s="21" t="str">
        <f>IFERROR(VLOOKUP(April[[#This Row],[Drug Name2]],'Data Options'!$R$1:$S$100,2,FALSE), " ")</f>
        <v xml:space="preserve"> </v>
      </c>
      <c r="Z101" s="55"/>
      <c r="AA101" s="32"/>
      <c r="AB101" s="32"/>
      <c r="AC101" s="55"/>
      <c r="AD101" s="32"/>
      <c r="AE101" s="54"/>
      <c r="AF101" s="21" t="str">
        <f>IFERROR(VLOOKUP(April[[#This Row],[Drug Name3]],'Data Options'!$R$1:$S$100,2,FALSE), " ")</f>
        <v xml:space="preserve"> </v>
      </c>
      <c r="AG101" s="55"/>
      <c r="AH101" s="32"/>
      <c r="AI101" s="32"/>
      <c r="AJ101" s="55"/>
      <c r="AK101" s="32"/>
      <c r="AL101" s="32"/>
      <c r="AM101" s="32"/>
      <c r="AN101" s="32"/>
      <c r="AO101" s="32"/>
      <c r="AP101" s="31"/>
      <c r="AQ101" s="31"/>
      <c r="AR101" s="54"/>
      <c r="AS101" s="21" t="str">
        <f>IFERROR(VLOOKUP(April[[#This Row],[Drug Name4]],'Data Options'!$R$1:$S$100,2,FALSE), " ")</f>
        <v xml:space="preserve"> </v>
      </c>
      <c r="AT101" s="55"/>
      <c r="AU101" s="32"/>
      <c r="AV101" s="32"/>
      <c r="AW101" s="55"/>
      <c r="AX101" s="32"/>
      <c r="AY101" s="54"/>
      <c r="AZ101" s="21" t="str">
        <f>IFERROR(VLOOKUP(April[[#This Row],[Drug Name5]],'Data Options'!$R$1:$S$100,2,FALSE), " ")</f>
        <v xml:space="preserve"> </v>
      </c>
      <c r="BA101" s="55"/>
      <c r="BB101" s="32"/>
      <c r="BC101" s="32"/>
      <c r="BD101" s="55"/>
      <c r="BE101" s="32"/>
      <c r="BF101" s="54"/>
      <c r="BG101" s="21" t="str">
        <f>IFERROR(VLOOKUP(April[[#This Row],[Drug Name6]],'Data Options'!$R$1:$S$100,2,FALSE), " ")</f>
        <v xml:space="preserve"> </v>
      </c>
      <c r="BH101" s="55"/>
      <c r="BI101" s="32"/>
      <c r="BJ101" s="32"/>
      <c r="BK101" s="55"/>
      <c r="BL101" s="32"/>
      <c r="BM101" s="32"/>
      <c r="BN101" s="32"/>
      <c r="BO101" s="32"/>
      <c r="BP101" s="32"/>
      <c r="BQ101" s="31"/>
      <c r="BR101" s="31"/>
      <c r="BS101" s="54"/>
      <c r="BT101" s="21" t="str">
        <f>IFERROR(VLOOKUP(April[[#This Row],[Drug Name7]],'Data Options'!$R$1:$S$100,2,FALSE), " ")</f>
        <v xml:space="preserve"> </v>
      </c>
      <c r="BU101" s="55"/>
      <c r="BV101" s="32"/>
      <c r="BW101" s="32"/>
      <c r="BX101" s="55"/>
      <c r="BY101" s="32"/>
      <c r="BZ101" s="54"/>
      <c r="CA101" s="21" t="str">
        <f>IFERROR(VLOOKUP(April[[#This Row],[Drug Name8]],'Data Options'!$R$1:$S$100,2,FALSE), " ")</f>
        <v xml:space="preserve"> </v>
      </c>
      <c r="CB101" s="55"/>
      <c r="CC101" s="32"/>
      <c r="CD101" s="32"/>
      <c r="CE101" s="55"/>
      <c r="CF101" s="32"/>
      <c r="CG101" s="54"/>
      <c r="CH101" s="21" t="str">
        <f>IFERROR(VLOOKUP(April[[#This Row],[Drug Name9]],'Data Options'!$R$1:$S$100,2,FALSE), " ")</f>
        <v xml:space="preserve"> </v>
      </c>
      <c r="CI101" s="55"/>
      <c r="CJ101" s="32"/>
      <c r="CK101" s="32"/>
      <c r="CL101" s="55"/>
      <c r="CM101" s="32"/>
    </row>
    <row r="102" spans="1:91">
      <c r="A102" s="5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1"/>
      <c r="P102" s="31"/>
      <c r="Q102" s="54"/>
      <c r="R102" s="21" t="str">
        <f>IFERROR(VLOOKUP(April[[#This Row],[Drug Name]],'Data Options'!$R$1:$S$100,2,FALSE), " ")</f>
        <v xml:space="preserve"> </v>
      </c>
      <c r="S102" s="55"/>
      <c r="T102" s="32"/>
      <c r="U102" s="32"/>
      <c r="V102" s="55"/>
      <c r="W102" s="32"/>
      <c r="X102" s="54"/>
      <c r="Y102" s="21" t="str">
        <f>IFERROR(VLOOKUP(April[[#This Row],[Drug Name2]],'Data Options'!$R$1:$S$100,2,FALSE), " ")</f>
        <v xml:space="preserve"> </v>
      </c>
      <c r="Z102" s="55"/>
      <c r="AA102" s="32"/>
      <c r="AB102" s="32"/>
      <c r="AC102" s="55"/>
      <c r="AD102" s="32"/>
      <c r="AE102" s="54"/>
      <c r="AF102" s="21" t="str">
        <f>IFERROR(VLOOKUP(April[[#This Row],[Drug Name3]],'Data Options'!$R$1:$S$100,2,FALSE), " ")</f>
        <v xml:space="preserve"> </v>
      </c>
      <c r="AG102" s="55"/>
      <c r="AH102" s="32"/>
      <c r="AI102" s="32"/>
      <c r="AJ102" s="55"/>
      <c r="AK102" s="32"/>
      <c r="AL102" s="32"/>
      <c r="AM102" s="32"/>
      <c r="AN102" s="32"/>
      <c r="AO102" s="32"/>
      <c r="AP102" s="31"/>
      <c r="AQ102" s="31"/>
      <c r="AR102" s="54"/>
      <c r="AS102" s="21" t="str">
        <f>IFERROR(VLOOKUP(April[[#This Row],[Drug Name4]],'Data Options'!$R$1:$S$100,2,FALSE), " ")</f>
        <v xml:space="preserve"> </v>
      </c>
      <c r="AT102" s="55"/>
      <c r="AU102" s="32"/>
      <c r="AV102" s="32"/>
      <c r="AW102" s="55"/>
      <c r="AX102" s="32"/>
      <c r="AY102" s="54"/>
      <c r="AZ102" s="21" t="str">
        <f>IFERROR(VLOOKUP(April[[#This Row],[Drug Name5]],'Data Options'!$R$1:$S$100,2,FALSE), " ")</f>
        <v xml:space="preserve"> </v>
      </c>
      <c r="BA102" s="55"/>
      <c r="BB102" s="32"/>
      <c r="BC102" s="32"/>
      <c r="BD102" s="55"/>
      <c r="BE102" s="32"/>
      <c r="BF102" s="54"/>
      <c r="BG102" s="21" t="str">
        <f>IFERROR(VLOOKUP(April[[#This Row],[Drug Name6]],'Data Options'!$R$1:$S$100,2,FALSE), " ")</f>
        <v xml:space="preserve"> </v>
      </c>
      <c r="BH102" s="55"/>
      <c r="BI102" s="32"/>
      <c r="BJ102" s="32"/>
      <c r="BK102" s="55"/>
      <c r="BL102" s="32"/>
      <c r="BM102" s="32"/>
      <c r="BN102" s="32"/>
      <c r="BO102" s="32"/>
      <c r="BP102" s="32"/>
      <c r="BQ102" s="31"/>
      <c r="BR102" s="31"/>
      <c r="BS102" s="54"/>
      <c r="BT102" s="21" t="str">
        <f>IFERROR(VLOOKUP(April[[#This Row],[Drug Name7]],'Data Options'!$R$1:$S$100,2,FALSE), " ")</f>
        <v xml:space="preserve"> </v>
      </c>
      <c r="BU102" s="55"/>
      <c r="BV102" s="32"/>
      <c r="BW102" s="32"/>
      <c r="BX102" s="55"/>
      <c r="BY102" s="32"/>
      <c r="BZ102" s="54"/>
      <c r="CA102" s="21" t="str">
        <f>IFERROR(VLOOKUP(April[[#This Row],[Drug Name8]],'Data Options'!$R$1:$S$100,2,FALSE), " ")</f>
        <v xml:space="preserve"> </v>
      </c>
      <c r="CB102" s="55"/>
      <c r="CC102" s="32"/>
      <c r="CD102" s="32"/>
      <c r="CE102" s="55"/>
      <c r="CF102" s="32"/>
      <c r="CG102" s="54"/>
      <c r="CH102" s="21" t="str">
        <f>IFERROR(VLOOKUP(April[[#This Row],[Drug Name9]],'Data Options'!$R$1:$S$100,2,FALSE), " ")</f>
        <v xml:space="preserve"> </v>
      </c>
      <c r="CI102" s="55"/>
      <c r="CJ102" s="32"/>
      <c r="CK102" s="32"/>
      <c r="CL102" s="55"/>
      <c r="CM102" s="32"/>
    </row>
    <row r="103" spans="1:91">
      <c r="A103" s="5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1"/>
      <c r="Q103" s="54"/>
      <c r="R103" s="21" t="str">
        <f>IFERROR(VLOOKUP(April[[#This Row],[Drug Name]],'Data Options'!$R$1:$S$100,2,FALSE), " ")</f>
        <v xml:space="preserve"> </v>
      </c>
      <c r="S103" s="55"/>
      <c r="T103" s="32"/>
      <c r="U103" s="32"/>
      <c r="V103" s="55"/>
      <c r="W103" s="32"/>
      <c r="X103" s="54"/>
      <c r="Y103" s="21" t="str">
        <f>IFERROR(VLOOKUP(April[[#This Row],[Drug Name2]],'Data Options'!$R$1:$S$100,2,FALSE), " ")</f>
        <v xml:space="preserve"> </v>
      </c>
      <c r="Z103" s="55"/>
      <c r="AA103" s="32"/>
      <c r="AB103" s="32"/>
      <c r="AC103" s="55"/>
      <c r="AD103" s="32"/>
      <c r="AE103" s="54"/>
      <c r="AF103" s="21" t="str">
        <f>IFERROR(VLOOKUP(April[[#This Row],[Drug Name3]],'Data Options'!$R$1:$S$100,2,FALSE), " ")</f>
        <v xml:space="preserve"> </v>
      </c>
      <c r="AG103" s="55"/>
      <c r="AH103" s="32"/>
      <c r="AI103" s="32"/>
      <c r="AJ103" s="55"/>
      <c r="AK103" s="32"/>
      <c r="AL103" s="32"/>
      <c r="AM103" s="32"/>
      <c r="AN103" s="32"/>
      <c r="AO103" s="32"/>
      <c r="AP103" s="31"/>
      <c r="AQ103" s="31"/>
      <c r="AR103" s="54"/>
      <c r="AS103" s="21" t="str">
        <f>IFERROR(VLOOKUP(April[[#This Row],[Drug Name4]],'Data Options'!$R$1:$S$100,2,FALSE), " ")</f>
        <v xml:space="preserve"> </v>
      </c>
      <c r="AT103" s="55"/>
      <c r="AU103" s="32"/>
      <c r="AV103" s="32"/>
      <c r="AW103" s="55"/>
      <c r="AX103" s="32"/>
      <c r="AY103" s="54"/>
      <c r="AZ103" s="21" t="str">
        <f>IFERROR(VLOOKUP(April[[#This Row],[Drug Name5]],'Data Options'!$R$1:$S$100,2,FALSE), " ")</f>
        <v xml:space="preserve"> </v>
      </c>
      <c r="BA103" s="55"/>
      <c r="BB103" s="32"/>
      <c r="BC103" s="32"/>
      <c r="BD103" s="55"/>
      <c r="BE103" s="32"/>
      <c r="BF103" s="54"/>
      <c r="BG103" s="21" t="str">
        <f>IFERROR(VLOOKUP(April[[#This Row],[Drug Name6]],'Data Options'!$R$1:$S$100,2,FALSE), " ")</f>
        <v xml:space="preserve"> </v>
      </c>
      <c r="BH103" s="55"/>
      <c r="BI103" s="32"/>
      <c r="BJ103" s="32"/>
      <c r="BK103" s="55"/>
      <c r="BL103" s="32"/>
      <c r="BM103" s="32"/>
      <c r="BN103" s="32"/>
      <c r="BO103" s="32"/>
      <c r="BP103" s="32"/>
      <c r="BQ103" s="31"/>
      <c r="BR103" s="31"/>
      <c r="BS103" s="54"/>
      <c r="BT103" s="21" t="str">
        <f>IFERROR(VLOOKUP(April[[#This Row],[Drug Name7]],'Data Options'!$R$1:$S$100,2,FALSE), " ")</f>
        <v xml:space="preserve"> </v>
      </c>
      <c r="BU103" s="55"/>
      <c r="BV103" s="32"/>
      <c r="BW103" s="32"/>
      <c r="BX103" s="55"/>
      <c r="BY103" s="32"/>
      <c r="BZ103" s="54"/>
      <c r="CA103" s="21" t="str">
        <f>IFERROR(VLOOKUP(April[[#This Row],[Drug Name8]],'Data Options'!$R$1:$S$100,2,FALSE), " ")</f>
        <v xml:space="preserve"> </v>
      </c>
      <c r="CB103" s="55"/>
      <c r="CC103" s="32"/>
      <c r="CD103" s="32"/>
      <c r="CE103" s="55"/>
      <c r="CF103" s="32"/>
      <c r="CG103" s="54"/>
      <c r="CH103" s="21" t="str">
        <f>IFERROR(VLOOKUP(April[[#This Row],[Drug Name9]],'Data Options'!$R$1:$S$100,2,FALSE), " ")</f>
        <v xml:space="preserve"> </v>
      </c>
      <c r="CI103" s="55"/>
      <c r="CJ103" s="32"/>
      <c r="CK103" s="32"/>
      <c r="CL103" s="55"/>
      <c r="CM103" s="32"/>
    </row>
    <row r="104" spans="1:91">
      <c r="A104" s="5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Q104" s="54"/>
      <c r="R104" s="21" t="str">
        <f>IFERROR(VLOOKUP(April[[#This Row],[Drug Name]],'Data Options'!$R$1:$S$100,2,FALSE), " ")</f>
        <v xml:space="preserve"> </v>
      </c>
      <c r="S104" s="55"/>
      <c r="T104" s="32"/>
      <c r="U104" s="32"/>
      <c r="V104" s="55"/>
      <c r="W104" s="32"/>
      <c r="X104" s="54"/>
      <c r="Y104" s="21" t="str">
        <f>IFERROR(VLOOKUP(April[[#This Row],[Drug Name2]],'Data Options'!$R$1:$S$100,2,FALSE), " ")</f>
        <v xml:space="preserve"> </v>
      </c>
      <c r="Z104" s="55"/>
      <c r="AA104" s="32"/>
      <c r="AB104" s="32"/>
      <c r="AC104" s="55"/>
      <c r="AD104" s="32"/>
      <c r="AE104" s="54"/>
      <c r="AF104" s="21" t="str">
        <f>IFERROR(VLOOKUP(April[[#This Row],[Drug Name3]],'Data Options'!$R$1:$S$100,2,FALSE), " ")</f>
        <v xml:space="preserve"> </v>
      </c>
      <c r="AG104" s="55"/>
      <c r="AH104" s="32"/>
      <c r="AI104" s="32"/>
      <c r="AJ104" s="55"/>
      <c r="AK104" s="32"/>
      <c r="AL104" s="32"/>
      <c r="AM104" s="32"/>
      <c r="AN104" s="32"/>
      <c r="AO104" s="32"/>
      <c r="AP104" s="31"/>
      <c r="AQ104" s="31"/>
      <c r="AR104" s="54"/>
      <c r="AS104" s="21" t="str">
        <f>IFERROR(VLOOKUP(April[[#This Row],[Drug Name4]],'Data Options'!$R$1:$S$100,2,FALSE), " ")</f>
        <v xml:space="preserve"> </v>
      </c>
      <c r="AT104" s="55"/>
      <c r="AU104" s="32"/>
      <c r="AV104" s="32"/>
      <c r="AW104" s="55"/>
      <c r="AX104" s="32"/>
      <c r="AY104" s="54"/>
      <c r="AZ104" s="21" t="str">
        <f>IFERROR(VLOOKUP(April[[#This Row],[Drug Name5]],'Data Options'!$R$1:$S$100,2,FALSE), " ")</f>
        <v xml:space="preserve"> </v>
      </c>
      <c r="BA104" s="55"/>
      <c r="BB104" s="32"/>
      <c r="BC104" s="32"/>
      <c r="BD104" s="55"/>
      <c r="BE104" s="32"/>
      <c r="BF104" s="54"/>
      <c r="BG104" s="21" t="str">
        <f>IFERROR(VLOOKUP(April[[#This Row],[Drug Name6]],'Data Options'!$R$1:$S$100,2,FALSE), " ")</f>
        <v xml:space="preserve"> </v>
      </c>
      <c r="BH104" s="55"/>
      <c r="BI104" s="32"/>
      <c r="BJ104" s="32"/>
      <c r="BK104" s="55"/>
      <c r="BL104" s="32"/>
      <c r="BM104" s="32"/>
      <c r="BN104" s="32"/>
      <c r="BO104" s="32"/>
      <c r="BP104" s="32"/>
      <c r="BQ104" s="31"/>
      <c r="BR104" s="31"/>
      <c r="BS104" s="54"/>
      <c r="BT104" s="21" t="str">
        <f>IFERROR(VLOOKUP(April[[#This Row],[Drug Name7]],'Data Options'!$R$1:$S$100,2,FALSE), " ")</f>
        <v xml:space="preserve"> </v>
      </c>
      <c r="BU104" s="55"/>
      <c r="BV104" s="32"/>
      <c r="BW104" s="32"/>
      <c r="BX104" s="55"/>
      <c r="BY104" s="32"/>
      <c r="BZ104" s="54"/>
      <c r="CA104" s="21" t="str">
        <f>IFERROR(VLOOKUP(April[[#This Row],[Drug Name8]],'Data Options'!$R$1:$S$100,2,FALSE), " ")</f>
        <v xml:space="preserve"> </v>
      </c>
      <c r="CB104" s="55"/>
      <c r="CC104" s="32"/>
      <c r="CD104" s="32"/>
      <c r="CE104" s="55"/>
      <c r="CF104" s="32"/>
      <c r="CG104" s="54"/>
      <c r="CH104" s="21" t="str">
        <f>IFERROR(VLOOKUP(April[[#This Row],[Drug Name9]],'Data Options'!$R$1:$S$100,2,FALSE), " ")</f>
        <v xml:space="preserve"> </v>
      </c>
      <c r="CI104" s="55"/>
      <c r="CJ104" s="32"/>
      <c r="CK104" s="32"/>
      <c r="CL104" s="55"/>
      <c r="CM104" s="32"/>
    </row>
    <row r="105" spans="1:91">
      <c r="A105" s="5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1"/>
      <c r="Q105" s="54"/>
      <c r="R105" s="21" t="str">
        <f>IFERROR(VLOOKUP(April[[#This Row],[Drug Name]],'Data Options'!$R$1:$S$100,2,FALSE), " ")</f>
        <v xml:space="preserve"> </v>
      </c>
      <c r="S105" s="55"/>
      <c r="T105" s="32"/>
      <c r="U105" s="32"/>
      <c r="V105" s="55"/>
      <c r="W105" s="32"/>
      <c r="X105" s="54"/>
      <c r="Y105" s="21" t="str">
        <f>IFERROR(VLOOKUP(April[[#This Row],[Drug Name2]],'Data Options'!$R$1:$S$100,2,FALSE), " ")</f>
        <v xml:space="preserve"> </v>
      </c>
      <c r="Z105" s="55"/>
      <c r="AA105" s="32"/>
      <c r="AB105" s="32"/>
      <c r="AC105" s="55"/>
      <c r="AD105" s="32"/>
      <c r="AE105" s="54"/>
      <c r="AF105" s="21" t="str">
        <f>IFERROR(VLOOKUP(April[[#This Row],[Drug Name3]],'Data Options'!$R$1:$S$100,2,FALSE), " ")</f>
        <v xml:space="preserve"> </v>
      </c>
      <c r="AG105" s="55"/>
      <c r="AH105" s="32"/>
      <c r="AI105" s="32"/>
      <c r="AJ105" s="55"/>
      <c r="AK105" s="32"/>
      <c r="AL105" s="32"/>
      <c r="AM105" s="32"/>
      <c r="AN105" s="32"/>
      <c r="AO105" s="32"/>
      <c r="AP105" s="31"/>
      <c r="AQ105" s="31"/>
      <c r="AR105" s="54"/>
      <c r="AS105" s="21" t="str">
        <f>IFERROR(VLOOKUP(April[[#This Row],[Drug Name4]],'Data Options'!$R$1:$S$100,2,FALSE), " ")</f>
        <v xml:space="preserve"> </v>
      </c>
      <c r="AT105" s="55"/>
      <c r="AU105" s="32"/>
      <c r="AV105" s="32"/>
      <c r="AW105" s="55"/>
      <c r="AX105" s="32"/>
      <c r="AY105" s="54"/>
      <c r="AZ105" s="21" t="str">
        <f>IFERROR(VLOOKUP(April[[#This Row],[Drug Name5]],'Data Options'!$R$1:$S$100,2,FALSE), " ")</f>
        <v xml:space="preserve"> </v>
      </c>
      <c r="BA105" s="55"/>
      <c r="BB105" s="32"/>
      <c r="BC105" s="32"/>
      <c r="BD105" s="55"/>
      <c r="BE105" s="32"/>
      <c r="BF105" s="54"/>
      <c r="BG105" s="21" t="str">
        <f>IFERROR(VLOOKUP(April[[#This Row],[Drug Name6]],'Data Options'!$R$1:$S$100,2,FALSE), " ")</f>
        <v xml:space="preserve"> </v>
      </c>
      <c r="BH105" s="55"/>
      <c r="BI105" s="32"/>
      <c r="BJ105" s="32"/>
      <c r="BK105" s="55"/>
      <c r="BL105" s="32"/>
      <c r="BM105" s="32"/>
      <c r="BN105" s="32"/>
      <c r="BO105" s="32"/>
      <c r="BP105" s="32"/>
      <c r="BQ105" s="31"/>
      <c r="BR105" s="31"/>
      <c r="BS105" s="54"/>
      <c r="BT105" s="21" t="str">
        <f>IFERROR(VLOOKUP(April[[#This Row],[Drug Name7]],'Data Options'!$R$1:$S$100,2,FALSE), " ")</f>
        <v xml:space="preserve"> </v>
      </c>
      <c r="BU105" s="55"/>
      <c r="BV105" s="32"/>
      <c r="BW105" s="32"/>
      <c r="BX105" s="55"/>
      <c r="BY105" s="32"/>
      <c r="BZ105" s="54"/>
      <c r="CA105" s="21" t="str">
        <f>IFERROR(VLOOKUP(April[[#This Row],[Drug Name8]],'Data Options'!$R$1:$S$100,2,FALSE), " ")</f>
        <v xml:space="preserve"> </v>
      </c>
      <c r="CB105" s="55"/>
      <c r="CC105" s="32"/>
      <c r="CD105" s="32"/>
      <c r="CE105" s="55"/>
      <c r="CF105" s="32"/>
      <c r="CG105" s="54"/>
      <c r="CH105" s="21" t="str">
        <f>IFERROR(VLOOKUP(April[[#This Row],[Drug Name9]],'Data Options'!$R$1:$S$100,2,FALSE), " ")</f>
        <v xml:space="preserve"> </v>
      </c>
      <c r="CI105" s="55"/>
      <c r="CJ105" s="32"/>
      <c r="CK105" s="32"/>
      <c r="CL105" s="55"/>
      <c r="CM105" s="32"/>
    </row>
    <row r="106" spans="1:91">
      <c r="A106" s="5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1"/>
      <c r="P106" s="31"/>
      <c r="Q106" s="54"/>
      <c r="R106" s="21" t="str">
        <f>IFERROR(VLOOKUP(April[[#This Row],[Drug Name]],'Data Options'!$R$1:$S$100,2,FALSE), " ")</f>
        <v xml:space="preserve"> </v>
      </c>
      <c r="S106" s="55"/>
      <c r="T106" s="32"/>
      <c r="U106" s="32"/>
      <c r="V106" s="55"/>
      <c r="W106" s="32"/>
      <c r="X106" s="54"/>
      <c r="Y106" s="21" t="str">
        <f>IFERROR(VLOOKUP(April[[#This Row],[Drug Name2]],'Data Options'!$R$1:$S$100,2,FALSE), " ")</f>
        <v xml:space="preserve"> </v>
      </c>
      <c r="Z106" s="55"/>
      <c r="AA106" s="32"/>
      <c r="AB106" s="32"/>
      <c r="AC106" s="55"/>
      <c r="AD106" s="32"/>
      <c r="AE106" s="54"/>
      <c r="AF106" s="21" t="str">
        <f>IFERROR(VLOOKUP(April[[#This Row],[Drug Name3]],'Data Options'!$R$1:$S$100,2,FALSE), " ")</f>
        <v xml:space="preserve"> </v>
      </c>
      <c r="AG106" s="55"/>
      <c r="AH106" s="32"/>
      <c r="AI106" s="32"/>
      <c r="AJ106" s="55"/>
      <c r="AK106" s="32"/>
      <c r="AL106" s="32"/>
      <c r="AM106" s="32"/>
      <c r="AN106" s="32"/>
      <c r="AO106" s="32"/>
      <c r="AP106" s="31"/>
      <c r="AQ106" s="31"/>
      <c r="AR106" s="54"/>
      <c r="AS106" s="21" t="str">
        <f>IFERROR(VLOOKUP(April[[#This Row],[Drug Name4]],'Data Options'!$R$1:$S$100,2,FALSE), " ")</f>
        <v xml:space="preserve"> </v>
      </c>
      <c r="AT106" s="55"/>
      <c r="AU106" s="32"/>
      <c r="AV106" s="32"/>
      <c r="AW106" s="55"/>
      <c r="AX106" s="32"/>
      <c r="AY106" s="54"/>
      <c r="AZ106" s="21" t="str">
        <f>IFERROR(VLOOKUP(April[[#This Row],[Drug Name5]],'Data Options'!$R$1:$S$100,2,FALSE), " ")</f>
        <v xml:space="preserve"> </v>
      </c>
      <c r="BA106" s="55"/>
      <c r="BB106" s="32"/>
      <c r="BC106" s="32"/>
      <c r="BD106" s="55"/>
      <c r="BE106" s="32"/>
      <c r="BF106" s="54"/>
      <c r="BG106" s="21" t="str">
        <f>IFERROR(VLOOKUP(April[[#This Row],[Drug Name6]],'Data Options'!$R$1:$S$100,2,FALSE), " ")</f>
        <v xml:space="preserve"> </v>
      </c>
      <c r="BH106" s="55"/>
      <c r="BI106" s="32"/>
      <c r="BJ106" s="32"/>
      <c r="BK106" s="55"/>
      <c r="BL106" s="32"/>
      <c r="BM106" s="32"/>
      <c r="BN106" s="32"/>
      <c r="BO106" s="32"/>
      <c r="BP106" s="32"/>
      <c r="BQ106" s="31"/>
      <c r="BR106" s="31"/>
      <c r="BS106" s="54"/>
      <c r="BT106" s="21" t="str">
        <f>IFERROR(VLOOKUP(April[[#This Row],[Drug Name7]],'Data Options'!$R$1:$S$100,2,FALSE), " ")</f>
        <v xml:space="preserve"> </v>
      </c>
      <c r="BU106" s="55"/>
      <c r="BV106" s="32"/>
      <c r="BW106" s="32"/>
      <c r="BX106" s="55"/>
      <c r="BY106" s="32"/>
      <c r="BZ106" s="54"/>
      <c r="CA106" s="21" t="str">
        <f>IFERROR(VLOOKUP(April[[#This Row],[Drug Name8]],'Data Options'!$R$1:$S$100,2,FALSE), " ")</f>
        <v xml:space="preserve"> </v>
      </c>
      <c r="CB106" s="55"/>
      <c r="CC106" s="32"/>
      <c r="CD106" s="32"/>
      <c r="CE106" s="55"/>
      <c r="CF106" s="32"/>
      <c r="CG106" s="54"/>
      <c r="CH106" s="21" t="str">
        <f>IFERROR(VLOOKUP(April[[#This Row],[Drug Name9]],'Data Options'!$R$1:$S$100,2,FALSE), " ")</f>
        <v xml:space="preserve"> </v>
      </c>
      <c r="CI106" s="55"/>
      <c r="CJ106" s="32"/>
      <c r="CK106" s="32"/>
      <c r="CL106" s="55"/>
      <c r="CM106" s="32"/>
    </row>
    <row r="107" spans="1:91">
      <c r="A107" s="5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1"/>
      <c r="P107" s="31"/>
      <c r="Q107" s="54"/>
      <c r="R107" s="21" t="str">
        <f>IFERROR(VLOOKUP(April[[#This Row],[Drug Name]],'Data Options'!$R$1:$S$100,2,FALSE), " ")</f>
        <v xml:space="preserve"> </v>
      </c>
      <c r="S107" s="55"/>
      <c r="T107" s="32"/>
      <c r="U107" s="32"/>
      <c r="V107" s="55"/>
      <c r="W107" s="32"/>
      <c r="X107" s="54"/>
      <c r="Y107" s="21" t="str">
        <f>IFERROR(VLOOKUP(April[[#This Row],[Drug Name2]],'Data Options'!$R$1:$S$100,2,FALSE), " ")</f>
        <v xml:space="preserve"> </v>
      </c>
      <c r="Z107" s="55"/>
      <c r="AA107" s="32"/>
      <c r="AB107" s="32"/>
      <c r="AC107" s="55"/>
      <c r="AD107" s="32"/>
      <c r="AE107" s="54"/>
      <c r="AF107" s="21" t="str">
        <f>IFERROR(VLOOKUP(April[[#This Row],[Drug Name3]],'Data Options'!$R$1:$S$100,2,FALSE), " ")</f>
        <v xml:space="preserve"> </v>
      </c>
      <c r="AG107" s="55"/>
      <c r="AH107" s="32"/>
      <c r="AI107" s="32"/>
      <c r="AJ107" s="55"/>
      <c r="AK107" s="32"/>
      <c r="AL107" s="32"/>
      <c r="AM107" s="32"/>
      <c r="AN107" s="32"/>
      <c r="AO107" s="32"/>
      <c r="AP107" s="31"/>
      <c r="AQ107" s="31"/>
      <c r="AR107" s="54"/>
      <c r="AS107" s="21" t="str">
        <f>IFERROR(VLOOKUP(April[[#This Row],[Drug Name4]],'Data Options'!$R$1:$S$100,2,FALSE), " ")</f>
        <v xml:space="preserve"> </v>
      </c>
      <c r="AT107" s="55"/>
      <c r="AU107" s="32"/>
      <c r="AV107" s="32"/>
      <c r="AW107" s="55"/>
      <c r="AX107" s="32"/>
      <c r="AY107" s="54"/>
      <c r="AZ107" s="21" t="str">
        <f>IFERROR(VLOOKUP(April[[#This Row],[Drug Name5]],'Data Options'!$R$1:$S$100,2,FALSE), " ")</f>
        <v xml:space="preserve"> </v>
      </c>
      <c r="BA107" s="55"/>
      <c r="BB107" s="32"/>
      <c r="BC107" s="32"/>
      <c r="BD107" s="55"/>
      <c r="BE107" s="32"/>
      <c r="BF107" s="54"/>
      <c r="BG107" s="21" t="str">
        <f>IFERROR(VLOOKUP(April[[#This Row],[Drug Name6]],'Data Options'!$R$1:$S$100,2,FALSE), " ")</f>
        <v xml:space="preserve"> </v>
      </c>
      <c r="BH107" s="55"/>
      <c r="BI107" s="32"/>
      <c r="BJ107" s="32"/>
      <c r="BK107" s="55"/>
      <c r="BL107" s="32"/>
      <c r="BM107" s="32"/>
      <c r="BN107" s="32"/>
      <c r="BO107" s="32"/>
      <c r="BP107" s="32"/>
      <c r="BQ107" s="31"/>
      <c r="BR107" s="31"/>
      <c r="BS107" s="54"/>
      <c r="BT107" s="21" t="str">
        <f>IFERROR(VLOOKUP(April[[#This Row],[Drug Name7]],'Data Options'!$R$1:$S$100,2,FALSE), " ")</f>
        <v xml:space="preserve"> </v>
      </c>
      <c r="BU107" s="55"/>
      <c r="BV107" s="32"/>
      <c r="BW107" s="32"/>
      <c r="BX107" s="55"/>
      <c r="BY107" s="32"/>
      <c r="BZ107" s="54"/>
      <c r="CA107" s="21" t="str">
        <f>IFERROR(VLOOKUP(April[[#This Row],[Drug Name8]],'Data Options'!$R$1:$S$100,2,FALSE), " ")</f>
        <v xml:space="preserve"> </v>
      </c>
      <c r="CB107" s="55"/>
      <c r="CC107" s="32"/>
      <c r="CD107" s="32"/>
      <c r="CE107" s="55"/>
      <c r="CF107" s="32"/>
      <c r="CG107" s="54"/>
      <c r="CH107" s="21" t="str">
        <f>IFERROR(VLOOKUP(April[[#This Row],[Drug Name9]],'Data Options'!$R$1:$S$100,2,FALSE), " ")</f>
        <v xml:space="preserve"> </v>
      </c>
      <c r="CI107" s="55"/>
      <c r="CJ107" s="32"/>
      <c r="CK107" s="32"/>
      <c r="CL107" s="55"/>
      <c r="CM107" s="32"/>
    </row>
    <row r="108" spans="1:91">
      <c r="A108" s="5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1"/>
      <c r="P108" s="31"/>
      <c r="Q108" s="54"/>
      <c r="R108" s="21" t="str">
        <f>IFERROR(VLOOKUP(April[[#This Row],[Drug Name]],'Data Options'!$R$1:$S$100,2,FALSE), " ")</f>
        <v xml:space="preserve"> </v>
      </c>
      <c r="S108" s="55"/>
      <c r="T108" s="32"/>
      <c r="U108" s="32"/>
      <c r="V108" s="55"/>
      <c r="W108" s="32"/>
      <c r="X108" s="54"/>
      <c r="Y108" s="21" t="str">
        <f>IFERROR(VLOOKUP(April[[#This Row],[Drug Name2]],'Data Options'!$R$1:$S$100,2,FALSE), " ")</f>
        <v xml:space="preserve"> </v>
      </c>
      <c r="Z108" s="55"/>
      <c r="AA108" s="32"/>
      <c r="AB108" s="32"/>
      <c r="AC108" s="55"/>
      <c r="AD108" s="32"/>
      <c r="AE108" s="54"/>
      <c r="AF108" s="21" t="str">
        <f>IFERROR(VLOOKUP(April[[#This Row],[Drug Name3]],'Data Options'!$R$1:$S$100,2,FALSE), " ")</f>
        <v xml:space="preserve"> </v>
      </c>
      <c r="AG108" s="55"/>
      <c r="AH108" s="32"/>
      <c r="AI108" s="32"/>
      <c r="AJ108" s="55"/>
      <c r="AK108" s="32"/>
      <c r="AL108" s="32"/>
      <c r="AM108" s="32"/>
      <c r="AN108" s="32"/>
      <c r="AO108" s="32"/>
      <c r="AP108" s="31"/>
      <c r="AQ108" s="31"/>
      <c r="AR108" s="54"/>
      <c r="AS108" s="21" t="str">
        <f>IFERROR(VLOOKUP(April[[#This Row],[Drug Name4]],'Data Options'!$R$1:$S$100,2,FALSE), " ")</f>
        <v xml:space="preserve"> </v>
      </c>
      <c r="AT108" s="55"/>
      <c r="AU108" s="32"/>
      <c r="AV108" s="32"/>
      <c r="AW108" s="55"/>
      <c r="AX108" s="32"/>
      <c r="AY108" s="54"/>
      <c r="AZ108" s="21" t="str">
        <f>IFERROR(VLOOKUP(April[[#This Row],[Drug Name5]],'Data Options'!$R$1:$S$100,2,FALSE), " ")</f>
        <v xml:space="preserve"> </v>
      </c>
      <c r="BA108" s="55"/>
      <c r="BB108" s="32"/>
      <c r="BC108" s="32"/>
      <c r="BD108" s="55"/>
      <c r="BE108" s="32"/>
      <c r="BF108" s="54"/>
      <c r="BG108" s="21" t="str">
        <f>IFERROR(VLOOKUP(April[[#This Row],[Drug Name6]],'Data Options'!$R$1:$S$100,2,FALSE), " ")</f>
        <v xml:space="preserve"> </v>
      </c>
      <c r="BH108" s="55"/>
      <c r="BI108" s="32"/>
      <c r="BJ108" s="32"/>
      <c r="BK108" s="55"/>
      <c r="BL108" s="32"/>
      <c r="BM108" s="32"/>
      <c r="BN108" s="32"/>
      <c r="BO108" s="32"/>
      <c r="BP108" s="32"/>
      <c r="BQ108" s="31"/>
      <c r="BR108" s="31"/>
      <c r="BS108" s="54"/>
      <c r="BT108" s="21" t="str">
        <f>IFERROR(VLOOKUP(April[[#This Row],[Drug Name7]],'Data Options'!$R$1:$S$100,2,FALSE), " ")</f>
        <v xml:space="preserve"> </v>
      </c>
      <c r="BU108" s="55"/>
      <c r="BV108" s="32"/>
      <c r="BW108" s="32"/>
      <c r="BX108" s="55"/>
      <c r="BY108" s="32"/>
      <c r="BZ108" s="54"/>
      <c r="CA108" s="21" t="str">
        <f>IFERROR(VLOOKUP(April[[#This Row],[Drug Name8]],'Data Options'!$R$1:$S$100,2,FALSE), " ")</f>
        <v xml:space="preserve"> </v>
      </c>
      <c r="CB108" s="55"/>
      <c r="CC108" s="32"/>
      <c r="CD108" s="32"/>
      <c r="CE108" s="55"/>
      <c r="CF108" s="32"/>
      <c r="CG108" s="54"/>
      <c r="CH108" s="21" t="str">
        <f>IFERROR(VLOOKUP(April[[#This Row],[Drug Name9]],'Data Options'!$R$1:$S$100,2,FALSE), " ")</f>
        <v xml:space="preserve"> </v>
      </c>
      <c r="CI108" s="55"/>
      <c r="CJ108" s="32"/>
      <c r="CK108" s="32"/>
      <c r="CL108" s="55"/>
      <c r="CM108" s="32"/>
    </row>
    <row r="109" spans="1:91">
      <c r="A109" s="5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1"/>
      <c r="P109" s="31"/>
      <c r="Q109" s="54"/>
      <c r="R109" s="21" t="str">
        <f>IFERROR(VLOOKUP(April[[#This Row],[Drug Name]],'Data Options'!$R$1:$S$100,2,FALSE), " ")</f>
        <v xml:space="preserve"> </v>
      </c>
      <c r="S109" s="55"/>
      <c r="T109" s="32"/>
      <c r="U109" s="32"/>
      <c r="V109" s="55"/>
      <c r="W109" s="32"/>
      <c r="X109" s="54"/>
      <c r="Y109" s="21" t="str">
        <f>IFERROR(VLOOKUP(April[[#This Row],[Drug Name2]],'Data Options'!$R$1:$S$100,2,FALSE), " ")</f>
        <v xml:space="preserve"> </v>
      </c>
      <c r="Z109" s="55"/>
      <c r="AA109" s="32"/>
      <c r="AB109" s="32"/>
      <c r="AC109" s="55"/>
      <c r="AD109" s="32"/>
      <c r="AE109" s="54"/>
      <c r="AF109" s="21" t="str">
        <f>IFERROR(VLOOKUP(April[[#This Row],[Drug Name3]],'Data Options'!$R$1:$S$100,2,FALSE), " ")</f>
        <v xml:space="preserve"> </v>
      </c>
      <c r="AG109" s="55"/>
      <c r="AH109" s="32"/>
      <c r="AI109" s="32"/>
      <c r="AJ109" s="55"/>
      <c r="AK109" s="32"/>
      <c r="AL109" s="32"/>
      <c r="AM109" s="32"/>
      <c r="AN109" s="32"/>
      <c r="AO109" s="32"/>
      <c r="AP109" s="31"/>
      <c r="AQ109" s="31"/>
      <c r="AR109" s="54"/>
      <c r="AS109" s="21" t="str">
        <f>IFERROR(VLOOKUP(April[[#This Row],[Drug Name4]],'Data Options'!$R$1:$S$100,2,FALSE), " ")</f>
        <v xml:space="preserve"> </v>
      </c>
      <c r="AT109" s="55"/>
      <c r="AU109" s="32"/>
      <c r="AV109" s="32"/>
      <c r="AW109" s="55"/>
      <c r="AX109" s="32"/>
      <c r="AY109" s="54"/>
      <c r="AZ109" s="21" t="str">
        <f>IFERROR(VLOOKUP(April[[#This Row],[Drug Name5]],'Data Options'!$R$1:$S$100,2,FALSE), " ")</f>
        <v xml:space="preserve"> </v>
      </c>
      <c r="BA109" s="55"/>
      <c r="BB109" s="32"/>
      <c r="BC109" s="32"/>
      <c r="BD109" s="55"/>
      <c r="BE109" s="32"/>
      <c r="BF109" s="54"/>
      <c r="BG109" s="21" t="str">
        <f>IFERROR(VLOOKUP(April[[#This Row],[Drug Name6]],'Data Options'!$R$1:$S$100,2,FALSE), " ")</f>
        <v xml:space="preserve"> </v>
      </c>
      <c r="BH109" s="55"/>
      <c r="BI109" s="32"/>
      <c r="BJ109" s="32"/>
      <c r="BK109" s="55"/>
      <c r="BL109" s="32"/>
      <c r="BM109" s="32"/>
      <c r="BN109" s="32"/>
      <c r="BO109" s="32"/>
      <c r="BP109" s="32"/>
      <c r="BQ109" s="31"/>
      <c r="BR109" s="31"/>
      <c r="BS109" s="54"/>
      <c r="BT109" s="21" t="str">
        <f>IFERROR(VLOOKUP(April[[#This Row],[Drug Name7]],'Data Options'!$R$1:$S$100,2,FALSE), " ")</f>
        <v xml:space="preserve"> </v>
      </c>
      <c r="BU109" s="55"/>
      <c r="BV109" s="32"/>
      <c r="BW109" s="32"/>
      <c r="BX109" s="55"/>
      <c r="BY109" s="32"/>
      <c r="BZ109" s="54"/>
      <c r="CA109" s="21" t="str">
        <f>IFERROR(VLOOKUP(April[[#This Row],[Drug Name8]],'Data Options'!$R$1:$S$100,2,FALSE), " ")</f>
        <v xml:space="preserve"> </v>
      </c>
      <c r="CB109" s="55"/>
      <c r="CC109" s="32"/>
      <c r="CD109" s="32"/>
      <c r="CE109" s="55"/>
      <c r="CF109" s="32"/>
      <c r="CG109" s="54"/>
      <c r="CH109" s="21" t="str">
        <f>IFERROR(VLOOKUP(April[[#This Row],[Drug Name9]],'Data Options'!$R$1:$S$100,2,FALSE), " ")</f>
        <v xml:space="preserve"> </v>
      </c>
      <c r="CI109" s="55"/>
      <c r="CJ109" s="32"/>
      <c r="CK109" s="32"/>
      <c r="CL109" s="55"/>
      <c r="CM109" s="32"/>
    </row>
    <row r="110" spans="1:91">
      <c r="A110" s="5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54"/>
      <c r="R110" s="21" t="str">
        <f>IFERROR(VLOOKUP(April[[#This Row],[Drug Name]],'Data Options'!$R$1:$S$100,2,FALSE), " ")</f>
        <v xml:space="preserve"> </v>
      </c>
      <c r="S110" s="55"/>
      <c r="T110" s="32"/>
      <c r="U110" s="32"/>
      <c r="V110" s="55"/>
      <c r="W110" s="32"/>
      <c r="X110" s="54"/>
      <c r="Y110" s="21" t="str">
        <f>IFERROR(VLOOKUP(April[[#This Row],[Drug Name2]],'Data Options'!$R$1:$S$100,2,FALSE), " ")</f>
        <v xml:space="preserve"> </v>
      </c>
      <c r="Z110" s="55"/>
      <c r="AA110" s="32"/>
      <c r="AB110" s="32"/>
      <c r="AC110" s="55"/>
      <c r="AD110" s="32"/>
      <c r="AE110" s="54"/>
      <c r="AF110" s="21" t="str">
        <f>IFERROR(VLOOKUP(April[[#This Row],[Drug Name3]],'Data Options'!$R$1:$S$100,2,FALSE), " ")</f>
        <v xml:space="preserve"> </v>
      </c>
      <c r="AG110" s="55"/>
      <c r="AH110" s="32"/>
      <c r="AI110" s="32"/>
      <c r="AJ110" s="55"/>
      <c r="AK110" s="32"/>
      <c r="AL110" s="32"/>
      <c r="AM110" s="32"/>
      <c r="AN110" s="32"/>
      <c r="AO110" s="32"/>
      <c r="AP110" s="31"/>
      <c r="AQ110" s="31"/>
      <c r="AR110" s="54"/>
      <c r="AS110" s="21" t="str">
        <f>IFERROR(VLOOKUP(April[[#This Row],[Drug Name4]],'Data Options'!$R$1:$S$100,2,FALSE), " ")</f>
        <v xml:space="preserve"> </v>
      </c>
      <c r="AT110" s="55"/>
      <c r="AU110" s="32"/>
      <c r="AV110" s="32"/>
      <c r="AW110" s="55"/>
      <c r="AX110" s="32"/>
      <c r="AY110" s="54"/>
      <c r="AZ110" s="21" t="str">
        <f>IFERROR(VLOOKUP(April[[#This Row],[Drug Name5]],'Data Options'!$R$1:$S$100,2,FALSE), " ")</f>
        <v xml:space="preserve"> </v>
      </c>
      <c r="BA110" s="55"/>
      <c r="BB110" s="32"/>
      <c r="BC110" s="32"/>
      <c r="BD110" s="55"/>
      <c r="BE110" s="32"/>
      <c r="BF110" s="54"/>
      <c r="BG110" s="21" t="str">
        <f>IFERROR(VLOOKUP(April[[#This Row],[Drug Name6]],'Data Options'!$R$1:$S$100,2,FALSE), " ")</f>
        <v xml:space="preserve"> </v>
      </c>
      <c r="BH110" s="55"/>
      <c r="BI110" s="32"/>
      <c r="BJ110" s="32"/>
      <c r="BK110" s="55"/>
      <c r="BL110" s="32"/>
      <c r="BM110" s="32"/>
      <c r="BN110" s="32"/>
      <c r="BO110" s="32"/>
      <c r="BP110" s="32"/>
      <c r="BQ110" s="31"/>
      <c r="BR110" s="31"/>
      <c r="BS110" s="54"/>
      <c r="BT110" s="21" t="str">
        <f>IFERROR(VLOOKUP(April[[#This Row],[Drug Name7]],'Data Options'!$R$1:$S$100,2,FALSE), " ")</f>
        <v xml:space="preserve"> </v>
      </c>
      <c r="BU110" s="55"/>
      <c r="BV110" s="32"/>
      <c r="BW110" s="32"/>
      <c r="BX110" s="55"/>
      <c r="BY110" s="32"/>
      <c r="BZ110" s="54"/>
      <c r="CA110" s="21" t="str">
        <f>IFERROR(VLOOKUP(April[[#This Row],[Drug Name8]],'Data Options'!$R$1:$S$100,2,FALSE), " ")</f>
        <v xml:space="preserve"> </v>
      </c>
      <c r="CB110" s="55"/>
      <c r="CC110" s="32"/>
      <c r="CD110" s="32"/>
      <c r="CE110" s="55"/>
      <c r="CF110" s="32"/>
      <c r="CG110" s="54"/>
      <c r="CH110" s="21" t="str">
        <f>IFERROR(VLOOKUP(April[[#This Row],[Drug Name9]],'Data Options'!$R$1:$S$100,2,FALSE), " ")</f>
        <v xml:space="preserve"> </v>
      </c>
      <c r="CI110" s="55"/>
      <c r="CJ110" s="32"/>
      <c r="CK110" s="32"/>
      <c r="CL110" s="55"/>
      <c r="CM110" s="32"/>
    </row>
    <row r="111" spans="1:91">
      <c r="A111" s="5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1"/>
      <c r="P111" s="31"/>
      <c r="Q111" s="54"/>
      <c r="R111" s="21" t="str">
        <f>IFERROR(VLOOKUP(April[[#This Row],[Drug Name]],'Data Options'!$R$1:$S$100,2,FALSE), " ")</f>
        <v xml:space="preserve"> </v>
      </c>
      <c r="S111" s="55"/>
      <c r="T111" s="32"/>
      <c r="U111" s="32"/>
      <c r="V111" s="55"/>
      <c r="W111" s="32"/>
      <c r="X111" s="54"/>
      <c r="Y111" s="21" t="str">
        <f>IFERROR(VLOOKUP(April[[#This Row],[Drug Name2]],'Data Options'!$R$1:$S$100,2,FALSE), " ")</f>
        <v xml:space="preserve"> </v>
      </c>
      <c r="Z111" s="55"/>
      <c r="AA111" s="32"/>
      <c r="AB111" s="32"/>
      <c r="AC111" s="55"/>
      <c r="AD111" s="32"/>
      <c r="AE111" s="54"/>
      <c r="AF111" s="21" t="str">
        <f>IFERROR(VLOOKUP(April[[#This Row],[Drug Name3]],'Data Options'!$R$1:$S$100,2,FALSE), " ")</f>
        <v xml:space="preserve"> </v>
      </c>
      <c r="AG111" s="55"/>
      <c r="AH111" s="32"/>
      <c r="AI111" s="32"/>
      <c r="AJ111" s="55"/>
      <c r="AK111" s="32"/>
      <c r="AL111" s="32"/>
      <c r="AM111" s="32"/>
      <c r="AN111" s="32"/>
      <c r="AO111" s="32"/>
      <c r="AP111" s="31"/>
      <c r="AQ111" s="31"/>
      <c r="AR111" s="54"/>
      <c r="AS111" s="21" t="str">
        <f>IFERROR(VLOOKUP(April[[#This Row],[Drug Name4]],'Data Options'!$R$1:$S$100,2,FALSE), " ")</f>
        <v xml:space="preserve"> </v>
      </c>
      <c r="AT111" s="55"/>
      <c r="AU111" s="32"/>
      <c r="AV111" s="32"/>
      <c r="AW111" s="55"/>
      <c r="AX111" s="32"/>
      <c r="AY111" s="54"/>
      <c r="AZ111" s="21" t="str">
        <f>IFERROR(VLOOKUP(April[[#This Row],[Drug Name5]],'Data Options'!$R$1:$S$100,2,FALSE), " ")</f>
        <v xml:space="preserve"> </v>
      </c>
      <c r="BA111" s="55"/>
      <c r="BB111" s="32"/>
      <c r="BC111" s="32"/>
      <c r="BD111" s="55"/>
      <c r="BE111" s="32"/>
      <c r="BF111" s="54"/>
      <c r="BG111" s="21" t="str">
        <f>IFERROR(VLOOKUP(April[[#This Row],[Drug Name6]],'Data Options'!$R$1:$S$100,2,FALSE), " ")</f>
        <v xml:space="preserve"> </v>
      </c>
      <c r="BH111" s="55"/>
      <c r="BI111" s="32"/>
      <c r="BJ111" s="32"/>
      <c r="BK111" s="55"/>
      <c r="BL111" s="32"/>
      <c r="BM111" s="32"/>
      <c r="BN111" s="32"/>
      <c r="BO111" s="32"/>
      <c r="BP111" s="32"/>
      <c r="BQ111" s="31"/>
      <c r="BR111" s="31"/>
      <c r="BS111" s="54"/>
      <c r="BT111" s="21" t="str">
        <f>IFERROR(VLOOKUP(April[[#This Row],[Drug Name7]],'Data Options'!$R$1:$S$100,2,FALSE), " ")</f>
        <v xml:space="preserve"> </v>
      </c>
      <c r="BU111" s="55"/>
      <c r="BV111" s="32"/>
      <c r="BW111" s="32"/>
      <c r="BX111" s="55"/>
      <c r="BY111" s="32"/>
      <c r="BZ111" s="54"/>
      <c r="CA111" s="21" t="str">
        <f>IFERROR(VLOOKUP(April[[#This Row],[Drug Name8]],'Data Options'!$R$1:$S$100,2,FALSE), " ")</f>
        <v xml:space="preserve"> </v>
      </c>
      <c r="CB111" s="55"/>
      <c r="CC111" s="32"/>
      <c r="CD111" s="32"/>
      <c r="CE111" s="55"/>
      <c r="CF111" s="32"/>
      <c r="CG111" s="54"/>
      <c r="CH111" s="21" t="str">
        <f>IFERROR(VLOOKUP(April[[#This Row],[Drug Name9]],'Data Options'!$R$1:$S$100,2,FALSE), " ")</f>
        <v xml:space="preserve"> </v>
      </c>
      <c r="CI111" s="55"/>
      <c r="CJ111" s="32"/>
      <c r="CK111" s="32"/>
      <c r="CL111" s="55"/>
      <c r="CM111" s="32"/>
    </row>
    <row r="112" spans="1:91">
      <c r="A112" s="5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1"/>
      <c r="P112" s="31"/>
      <c r="Q112" s="54"/>
      <c r="R112" s="21" t="str">
        <f>IFERROR(VLOOKUP(April[[#This Row],[Drug Name]],'Data Options'!$R$1:$S$100,2,FALSE), " ")</f>
        <v xml:space="preserve"> </v>
      </c>
      <c r="S112" s="55"/>
      <c r="T112" s="32"/>
      <c r="U112" s="32"/>
      <c r="V112" s="55"/>
      <c r="W112" s="32"/>
      <c r="X112" s="54"/>
      <c r="Y112" s="21" t="str">
        <f>IFERROR(VLOOKUP(April[[#This Row],[Drug Name2]],'Data Options'!$R$1:$S$100,2,FALSE), " ")</f>
        <v xml:space="preserve"> </v>
      </c>
      <c r="Z112" s="55"/>
      <c r="AA112" s="32"/>
      <c r="AB112" s="32"/>
      <c r="AC112" s="55"/>
      <c r="AD112" s="32"/>
      <c r="AE112" s="54"/>
      <c r="AF112" s="21" t="str">
        <f>IFERROR(VLOOKUP(April[[#This Row],[Drug Name3]],'Data Options'!$R$1:$S$100,2,FALSE), " ")</f>
        <v xml:space="preserve"> </v>
      </c>
      <c r="AG112" s="55"/>
      <c r="AH112" s="32"/>
      <c r="AI112" s="32"/>
      <c r="AJ112" s="55"/>
      <c r="AK112" s="32"/>
      <c r="AL112" s="32"/>
      <c r="AM112" s="32"/>
      <c r="AN112" s="32"/>
      <c r="AO112" s="32"/>
      <c r="AP112" s="31"/>
      <c r="AQ112" s="31"/>
      <c r="AR112" s="54"/>
      <c r="AS112" s="21" t="str">
        <f>IFERROR(VLOOKUP(April[[#This Row],[Drug Name4]],'Data Options'!$R$1:$S$100,2,FALSE), " ")</f>
        <v xml:space="preserve"> </v>
      </c>
      <c r="AT112" s="55"/>
      <c r="AU112" s="32"/>
      <c r="AV112" s="32"/>
      <c r="AW112" s="55"/>
      <c r="AX112" s="32"/>
      <c r="AY112" s="54"/>
      <c r="AZ112" s="21" t="str">
        <f>IFERROR(VLOOKUP(April[[#This Row],[Drug Name5]],'Data Options'!$R$1:$S$100,2,FALSE), " ")</f>
        <v xml:space="preserve"> </v>
      </c>
      <c r="BA112" s="55"/>
      <c r="BB112" s="32"/>
      <c r="BC112" s="32"/>
      <c r="BD112" s="55"/>
      <c r="BE112" s="32"/>
      <c r="BF112" s="54"/>
      <c r="BG112" s="21" t="str">
        <f>IFERROR(VLOOKUP(April[[#This Row],[Drug Name6]],'Data Options'!$R$1:$S$100,2,FALSE), " ")</f>
        <v xml:space="preserve"> </v>
      </c>
      <c r="BH112" s="55"/>
      <c r="BI112" s="32"/>
      <c r="BJ112" s="32"/>
      <c r="BK112" s="55"/>
      <c r="BL112" s="32"/>
      <c r="BM112" s="32"/>
      <c r="BN112" s="32"/>
      <c r="BO112" s="32"/>
      <c r="BP112" s="32"/>
      <c r="BQ112" s="31"/>
      <c r="BR112" s="31"/>
      <c r="BS112" s="54"/>
      <c r="BT112" s="21" t="str">
        <f>IFERROR(VLOOKUP(April[[#This Row],[Drug Name7]],'Data Options'!$R$1:$S$100,2,FALSE), " ")</f>
        <v xml:space="preserve"> </v>
      </c>
      <c r="BU112" s="55"/>
      <c r="BV112" s="32"/>
      <c r="BW112" s="32"/>
      <c r="BX112" s="55"/>
      <c r="BY112" s="32"/>
      <c r="BZ112" s="54"/>
      <c r="CA112" s="21" t="str">
        <f>IFERROR(VLOOKUP(April[[#This Row],[Drug Name8]],'Data Options'!$R$1:$S$100,2,FALSE), " ")</f>
        <v xml:space="preserve"> </v>
      </c>
      <c r="CB112" s="55"/>
      <c r="CC112" s="32"/>
      <c r="CD112" s="32"/>
      <c r="CE112" s="55"/>
      <c r="CF112" s="32"/>
      <c r="CG112" s="54"/>
      <c r="CH112" s="21" t="str">
        <f>IFERROR(VLOOKUP(April[[#This Row],[Drug Name9]],'Data Options'!$R$1:$S$100,2,FALSE), " ")</f>
        <v xml:space="preserve"> </v>
      </c>
      <c r="CI112" s="55"/>
      <c r="CJ112" s="32"/>
      <c r="CK112" s="32"/>
      <c r="CL112" s="55"/>
      <c r="CM112" s="32"/>
    </row>
    <row r="113" spans="1:91">
      <c r="A113" s="5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1"/>
      <c r="P113" s="31"/>
      <c r="Q113" s="54"/>
      <c r="R113" s="21" t="str">
        <f>IFERROR(VLOOKUP(April[[#This Row],[Drug Name]],'Data Options'!$R$1:$S$100,2,FALSE), " ")</f>
        <v xml:space="preserve"> </v>
      </c>
      <c r="S113" s="55"/>
      <c r="T113" s="32"/>
      <c r="U113" s="32"/>
      <c r="V113" s="55"/>
      <c r="W113" s="32"/>
      <c r="X113" s="54"/>
      <c r="Y113" s="21" t="str">
        <f>IFERROR(VLOOKUP(April[[#This Row],[Drug Name2]],'Data Options'!$R$1:$S$100,2,FALSE), " ")</f>
        <v xml:space="preserve"> </v>
      </c>
      <c r="Z113" s="55"/>
      <c r="AA113" s="32"/>
      <c r="AB113" s="32"/>
      <c r="AC113" s="55"/>
      <c r="AD113" s="32"/>
      <c r="AE113" s="54"/>
      <c r="AF113" s="21" t="str">
        <f>IFERROR(VLOOKUP(April[[#This Row],[Drug Name3]],'Data Options'!$R$1:$S$100,2,FALSE), " ")</f>
        <v xml:space="preserve"> </v>
      </c>
      <c r="AG113" s="55"/>
      <c r="AH113" s="32"/>
      <c r="AI113" s="32"/>
      <c r="AJ113" s="55"/>
      <c r="AK113" s="32"/>
      <c r="AL113" s="32"/>
      <c r="AM113" s="32"/>
      <c r="AN113" s="32"/>
      <c r="AO113" s="32"/>
      <c r="AP113" s="31"/>
      <c r="AQ113" s="31"/>
      <c r="AR113" s="54"/>
      <c r="AS113" s="21" t="str">
        <f>IFERROR(VLOOKUP(April[[#This Row],[Drug Name4]],'Data Options'!$R$1:$S$100,2,FALSE), " ")</f>
        <v xml:space="preserve"> </v>
      </c>
      <c r="AT113" s="55"/>
      <c r="AU113" s="32"/>
      <c r="AV113" s="32"/>
      <c r="AW113" s="55"/>
      <c r="AX113" s="32"/>
      <c r="AY113" s="54"/>
      <c r="AZ113" s="21" t="str">
        <f>IFERROR(VLOOKUP(April[[#This Row],[Drug Name5]],'Data Options'!$R$1:$S$100,2,FALSE), " ")</f>
        <v xml:space="preserve"> </v>
      </c>
      <c r="BA113" s="55"/>
      <c r="BB113" s="32"/>
      <c r="BC113" s="32"/>
      <c r="BD113" s="55"/>
      <c r="BE113" s="32"/>
      <c r="BF113" s="54"/>
      <c r="BG113" s="21" t="str">
        <f>IFERROR(VLOOKUP(April[[#This Row],[Drug Name6]],'Data Options'!$R$1:$S$100,2,FALSE), " ")</f>
        <v xml:space="preserve"> </v>
      </c>
      <c r="BH113" s="55"/>
      <c r="BI113" s="32"/>
      <c r="BJ113" s="32"/>
      <c r="BK113" s="55"/>
      <c r="BL113" s="32"/>
      <c r="BM113" s="32"/>
      <c r="BN113" s="32"/>
      <c r="BO113" s="32"/>
      <c r="BP113" s="32"/>
      <c r="BQ113" s="31"/>
      <c r="BR113" s="31"/>
      <c r="BS113" s="54"/>
      <c r="BT113" s="21" t="str">
        <f>IFERROR(VLOOKUP(April[[#This Row],[Drug Name7]],'Data Options'!$R$1:$S$100,2,FALSE), " ")</f>
        <v xml:space="preserve"> </v>
      </c>
      <c r="BU113" s="55"/>
      <c r="BV113" s="32"/>
      <c r="BW113" s="32"/>
      <c r="BX113" s="55"/>
      <c r="BY113" s="32"/>
      <c r="BZ113" s="54"/>
      <c r="CA113" s="21" t="str">
        <f>IFERROR(VLOOKUP(April[[#This Row],[Drug Name8]],'Data Options'!$R$1:$S$100,2,FALSE), " ")</f>
        <v xml:space="preserve"> </v>
      </c>
      <c r="CB113" s="55"/>
      <c r="CC113" s="32"/>
      <c r="CD113" s="32"/>
      <c r="CE113" s="55"/>
      <c r="CF113" s="32"/>
      <c r="CG113" s="54"/>
      <c r="CH113" s="21" t="str">
        <f>IFERROR(VLOOKUP(April[[#This Row],[Drug Name9]],'Data Options'!$R$1:$S$100,2,FALSE), " ")</f>
        <v xml:space="preserve"> </v>
      </c>
      <c r="CI113" s="55"/>
      <c r="CJ113" s="32"/>
      <c r="CK113" s="32"/>
      <c r="CL113" s="55"/>
      <c r="CM113" s="32"/>
    </row>
    <row r="114" spans="1:91">
      <c r="A114" s="5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1"/>
      <c r="P114" s="31"/>
      <c r="Q114" s="54"/>
      <c r="R114" s="21" t="str">
        <f>IFERROR(VLOOKUP(April[[#This Row],[Drug Name]],'Data Options'!$R$1:$S$100,2,FALSE), " ")</f>
        <v xml:space="preserve"> </v>
      </c>
      <c r="S114" s="55"/>
      <c r="T114" s="32"/>
      <c r="U114" s="32"/>
      <c r="V114" s="55"/>
      <c r="W114" s="32"/>
      <c r="X114" s="54"/>
      <c r="Y114" s="21" t="str">
        <f>IFERROR(VLOOKUP(April[[#This Row],[Drug Name2]],'Data Options'!$R$1:$S$100,2,FALSE), " ")</f>
        <v xml:space="preserve"> </v>
      </c>
      <c r="Z114" s="55"/>
      <c r="AA114" s="32"/>
      <c r="AB114" s="32"/>
      <c r="AC114" s="55"/>
      <c r="AD114" s="32"/>
      <c r="AE114" s="54"/>
      <c r="AF114" s="21" t="str">
        <f>IFERROR(VLOOKUP(April[[#This Row],[Drug Name3]],'Data Options'!$R$1:$S$100,2,FALSE), " ")</f>
        <v xml:space="preserve"> </v>
      </c>
      <c r="AG114" s="55"/>
      <c r="AH114" s="32"/>
      <c r="AI114" s="32"/>
      <c r="AJ114" s="55"/>
      <c r="AK114" s="32"/>
      <c r="AL114" s="32"/>
      <c r="AM114" s="32"/>
      <c r="AN114" s="32"/>
      <c r="AO114" s="32"/>
      <c r="AP114" s="31"/>
      <c r="AQ114" s="31"/>
      <c r="AR114" s="54"/>
      <c r="AS114" s="21" t="str">
        <f>IFERROR(VLOOKUP(April[[#This Row],[Drug Name4]],'Data Options'!$R$1:$S$100,2,FALSE), " ")</f>
        <v xml:space="preserve"> </v>
      </c>
      <c r="AT114" s="55"/>
      <c r="AU114" s="32"/>
      <c r="AV114" s="32"/>
      <c r="AW114" s="55"/>
      <c r="AX114" s="32"/>
      <c r="AY114" s="54"/>
      <c r="AZ114" s="21" t="str">
        <f>IFERROR(VLOOKUP(April[[#This Row],[Drug Name5]],'Data Options'!$R$1:$S$100,2,FALSE), " ")</f>
        <v xml:space="preserve"> </v>
      </c>
      <c r="BA114" s="55"/>
      <c r="BB114" s="32"/>
      <c r="BC114" s="32"/>
      <c r="BD114" s="55"/>
      <c r="BE114" s="32"/>
      <c r="BF114" s="54"/>
      <c r="BG114" s="21" t="str">
        <f>IFERROR(VLOOKUP(April[[#This Row],[Drug Name6]],'Data Options'!$R$1:$S$100,2,FALSE), " ")</f>
        <v xml:space="preserve"> </v>
      </c>
      <c r="BH114" s="55"/>
      <c r="BI114" s="32"/>
      <c r="BJ114" s="32"/>
      <c r="BK114" s="55"/>
      <c r="BL114" s="32"/>
      <c r="BM114" s="32"/>
      <c r="BN114" s="32"/>
      <c r="BO114" s="32"/>
      <c r="BP114" s="32"/>
      <c r="BQ114" s="31"/>
      <c r="BR114" s="31"/>
      <c r="BS114" s="54"/>
      <c r="BT114" s="21" t="str">
        <f>IFERROR(VLOOKUP(April[[#This Row],[Drug Name7]],'Data Options'!$R$1:$S$100,2,FALSE), " ")</f>
        <v xml:space="preserve"> </v>
      </c>
      <c r="BU114" s="55"/>
      <c r="BV114" s="32"/>
      <c r="BW114" s="32"/>
      <c r="BX114" s="55"/>
      <c r="BY114" s="32"/>
      <c r="BZ114" s="54"/>
      <c r="CA114" s="21" t="str">
        <f>IFERROR(VLOOKUP(April[[#This Row],[Drug Name8]],'Data Options'!$R$1:$S$100,2,FALSE), " ")</f>
        <v xml:space="preserve"> </v>
      </c>
      <c r="CB114" s="55"/>
      <c r="CC114" s="32"/>
      <c r="CD114" s="32"/>
      <c r="CE114" s="55"/>
      <c r="CF114" s="32"/>
      <c r="CG114" s="54"/>
      <c r="CH114" s="21" t="str">
        <f>IFERROR(VLOOKUP(April[[#This Row],[Drug Name9]],'Data Options'!$R$1:$S$100,2,FALSE), " ")</f>
        <v xml:space="preserve"> </v>
      </c>
      <c r="CI114" s="55"/>
      <c r="CJ114" s="32"/>
      <c r="CK114" s="32"/>
      <c r="CL114" s="55"/>
      <c r="CM114" s="32"/>
    </row>
    <row r="115" spans="1:91">
      <c r="A115" s="5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1"/>
      <c r="P115" s="31"/>
      <c r="Q115" s="54"/>
      <c r="R115" s="21" t="str">
        <f>IFERROR(VLOOKUP(April[[#This Row],[Drug Name]],'Data Options'!$R$1:$S$100,2,FALSE), " ")</f>
        <v xml:space="preserve"> </v>
      </c>
      <c r="S115" s="55"/>
      <c r="T115" s="32"/>
      <c r="U115" s="32"/>
      <c r="V115" s="55"/>
      <c r="W115" s="32"/>
      <c r="X115" s="54"/>
      <c r="Y115" s="21" t="str">
        <f>IFERROR(VLOOKUP(April[[#This Row],[Drug Name2]],'Data Options'!$R$1:$S$100,2,FALSE), " ")</f>
        <v xml:space="preserve"> </v>
      </c>
      <c r="Z115" s="55"/>
      <c r="AA115" s="32"/>
      <c r="AB115" s="32"/>
      <c r="AC115" s="55"/>
      <c r="AD115" s="32"/>
      <c r="AE115" s="54"/>
      <c r="AF115" s="21" t="str">
        <f>IFERROR(VLOOKUP(April[[#This Row],[Drug Name3]],'Data Options'!$R$1:$S$100,2,FALSE), " ")</f>
        <v xml:space="preserve"> </v>
      </c>
      <c r="AG115" s="55"/>
      <c r="AH115" s="32"/>
      <c r="AI115" s="32"/>
      <c r="AJ115" s="55"/>
      <c r="AK115" s="32"/>
      <c r="AL115" s="32"/>
      <c r="AM115" s="32"/>
      <c r="AN115" s="32"/>
      <c r="AO115" s="32"/>
      <c r="AP115" s="31"/>
      <c r="AQ115" s="31"/>
      <c r="AR115" s="54"/>
      <c r="AS115" s="21" t="str">
        <f>IFERROR(VLOOKUP(April[[#This Row],[Drug Name4]],'Data Options'!$R$1:$S$100,2,FALSE), " ")</f>
        <v xml:space="preserve"> </v>
      </c>
      <c r="AT115" s="55"/>
      <c r="AU115" s="32"/>
      <c r="AV115" s="32"/>
      <c r="AW115" s="55"/>
      <c r="AX115" s="32"/>
      <c r="AY115" s="54"/>
      <c r="AZ115" s="21" t="str">
        <f>IFERROR(VLOOKUP(April[[#This Row],[Drug Name5]],'Data Options'!$R$1:$S$100,2,FALSE), " ")</f>
        <v xml:space="preserve"> </v>
      </c>
      <c r="BA115" s="55"/>
      <c r="BB115" s="32"/>
      <c r="BC115" s="32"/>
      <c r="BD115" s="55"/>
      <c r="BE115" s="32"/>
      <c r="BF115" s="54"/>
      <c r="BG115" s="21" t="str">
        <f>IFERROR(VLOOKUP(April[[#This Row],[Drug Name6]],'Data Options'!$R$1:$S$100,2,FALSE), " ")</f>
        <v xml:space="preserve"> </v>
      </c>
      <c r="BH115" s="55"/>
      <c r="BI115" s="32"/>
      <c r="BJ115" s="32"/>
      <c r="BK115" s="55"/>
      <c r="BL115" s="32"/>
      <c r="BM115" s="32"/>
      <c r="BN115" s="32"/>
      <c r="BO115" s="32"/>
      <c r="BP115" s="32"/>
      <c r="BQ115" s="31"/>
      <c r="BR115" s="31"/>
      <c r="BS115" s="54"/>
      <c r="BT115" s="21" t="str">
        <f>IFERROR(VLOOKUP(April[[#This Row],[Drug Name7]],'Data Options'!$R$1:$S$100,2,FALSE), " ")</f>
        <v xml:space="preserve"> </v>
      </c>
      <c r="BU115" s="55"/>
      <c r="BV115" s="32"/>
      <c r="BW115" s="32"/>
      <c r="BX115" s="55"/>
      <c r="BY115" s="32"/>
      <c r="BZ115" s="54"/>
      <c r="CA115" s="21" t="str">
        <f>IFERROR(VLOOKUP(April[[#This Row],[Drug Name8]],'Data Options'!$R$1:$S$100,2,FALSE), " ")</f>
        <v xml:space="preserve"> </v>
      </c>
      <c r="CB115" s="55"/>
      <c r="CC115" s="32"/>
      <c r="CD115" s="32"/>
      <c r="CE115" s="55"/>
      <c r="CF115" s="32"/>
      <c r="CG115" s="54"/>
      <c r="CH115" s="21" t="str">
        <f>IFERROR(VLOOKUP(April[[#This Row],[Drug Name9]],'Data Options'!$R$1:$S$100,2,FALSE), " ")</f>
        <v xml:space="preserve"> </v>
      </c>
      <c r="CI115" s="55"/>
      <c r="CJ115" s="32"/>
      <c r="CK115" s="32"/>
      <c r="CL115" s="55"/>
      <c r="CM115" s="32"/>
    </row>
    <row r="116" spans="1:91">
      <c r="A116" s="5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1"/>
      <c r="P116" s="31"/>
      <c r="Q116" s="54"/>
      <c r="R116" s="21" t="str">
        <f>IFERROR(VLOOKUP(April[[#This Row],[Drug Name]],'Data Options'!$R$1:$S$100,2,FALSE), " ")</f>
        <v xml:space="preserve"> </v>
      </c>
      <c r="S116" s="55"/>
      <c r="T116" s="32"/>
      <c r="U116" s="32"/>
      <c r="V116" s="55"/>
      <c r="W116" s="32"/>
      <c r="X116" s="54"/>
      <c r="Y116" s="21" t="str">
        <f>IFERROR(VLOOKUP(April[[#This Row],[Drug Name2]],'Data Options'!$R$1:$S$100,2,FALSE), " ")</f>
        <v xml:space="preserve"> </v>
      </c>
      <c r="Z116" s="55"/>
      <c r="AA116" s="32"/>
      <c r="AB116" s="32"/>
      <c r="AC116" s="55"/>
      <c r="AD116" s="32"/>
      <c r="AE116" s="54"/>
      <c r="AF116" s="21" t="str">
        <f>IFERROR(VLOOKUP(April[[#This Row],[Drug Name3]],'Data Options'!$R$1:$S$100,2,FALSE), " ")</f>
        <v xml:space="preserve"> </v>
      </c>
      <c r="AG116" s="55"/>
      <c r="AH116" s="32"/>
      <c r="AI116" s="32"/>
      <c r="AJ116" s="55"/>
      <c r="AK116" s="32"/>
      <c r="AL116" s="32"/>
      <c r="AM116" s="32"/>
      <c r="AN116" s="32"/>
      <c r="AO116" s="32"/>
      <c r="AP116" s="31"/>
      <c r="AQ116" s="31"/>
      <c r="AR116" s="54"/>
      <c r="AS116" s="21" t="str">
        <f>IFERROR(VLOOKUP(April[[#This Row],[Drug Name4]],'Data Options'!$R$1:$S$100,2,FALSE), " ")</f>
        <v xml:space="preserve"> </v>
      </c>
      <c r="AT116" s="55"/>
      <c r="AU116" s="32"/>
      <c r="AV116" s="32"/>
      <c r="AW116" s="55"/>
      <c r="AX116" s="32"/>
      <c r="AY116" s="54"/>
      <c r="AZ116" s="21" t="str">
        <f>IFERROR(VLOOKUP(April[[#This Row],[Drug Name5]],'Data Options'!$R$1:$S$100,2,FALSE), " ")</f>
        <v xml:space="preserve"> </v>
      </c>
      <c r="BA116" s="55"/>
      <c r="BB116" s="32"/>
      <c r="BC116" s="32"/>
      <c r="BD116" s="55"/>
      <c r="BE116" s="32"/>
      <c r="BF116" s="54"/>
      <c r="BG116" s="21" t="str">
        <f>IFERROR(VLOOKUP(April[[#This Row],[Drug Name6]],'Data Options'!$R$1:$S$100,2,FALSE), " ")</f>
        <v xml:space="preserve"> </v>
      </c>
      <c r="BH116" s="55"/>
      <c r="BI116" s="32"/>
      <c r="BJ116" s="32"/>
      <c r="BK116" s="55"/>
      <c r="BL116" s="32"/>
      <c r="BM116" s="32"/>
      <c r="BN116" s="32"/>
      <c r="BO116" s="32"/>
      <c r="BP116" s="32"/>
      <c r="BQ116" s="31"/>
      <c r="BR116" s="31"/>
      <c r="BS116" s="54"/>
      <c r="BT116" s="21" t="str">
        <f>IFERROR(VLOOKUP(April[[#This Row],[Drug Name7]],'Data Options'!$R$1:$S$100,2,FALSE), " ")</f>
        <v xml:space="preserve"> </v>
      </c>
      <c r="BU116" s="55"/>
      <c r="BV116" s="32"/>
      <c r="BW116" s="32"/>
      <c r="BX116" s="55"/>
      <c r="BY116" s="32"/>
      <c r="BZ116" s="54"/>
      <c r="CA116" s="21" t="str">
        <f>IFERROR(VLOOKUP(April[[#This Row],[Drug Name8]],'Data Options'!$R$1:$S$100,2,FALSE), " ")</f>
        <v xml:space="preserve"> </v>
      </c>
      <c r="CB116" s="55"/>
      <c r="CC116" s="32"/>
      <c r="CD116" s="32"/>
      <c r="CE116" s="55"/>
      <c r="CF116" s="32"/>
      <c r="CG116" s="54"/>
      <c r="CH116" s="21" t="str">
        <f>IFERROR(VLOOKUP(April[[#This Row],[Drug Name9]],'Data Options'!$R$1:$S$100,2,FALSE), " ")</f>
        <v xml:space="preserve"> </v>
      </c>
      <c r="CI116" s="55"/>
      <c r="CJ116" s="32"/>
      <c r="CK116" s="32"/>
      <c r="CL116" s="55"/>
      <c r="CM116" s="32"/>
    </row>
    <row r="117" spans="1:91">
      <c r="A117" s="5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1"/>
      <c r="P117" s="31"/>
      <c r="Q117" s="54"/>
      <c r="R117" s="21" t="str">
        <f>IFERROR(VLOOKUP(April[[#This Row],[Drug Name]],'Data Options'!$R$1:$S$100,2,FALSE), " ")</f>
        <v xml:space="preserve"> </v>
      </c>
      <c r="S117" s="55"/>
      <c r="T117" s="32"/>
      <c r="U117" s="32"/>
      <c r="V117" s="55"/>
      <c r="W117" s="32"/>
      <c r="X117" s="54"/>
      <c r="Y117" s="21" t="str">
        <f>IFERROR(VLOOKUP(April[[#This Row],[Drug Name2]],'Data Options'!$R$1:$S$100,2,FALSE), " ")</f>
        <v xml:space="preserve"> </v>
      </c>
      <c r="Z117" s="55"/>
      <c r="AA117" s="32"/>
      <c r="AB117" s="32"/>
      <c r="AC117" s="55"/>
      <c r="AD117" s="32"/>
      <c r="AE117" s="54"/>
      <c r="AF117" s="21" t="str">
        <f>IFERROR(VLOOKUP(April[[#This Row],[Drug Name3]],'Data Options'!$R$1:$S$100,2,FALSE), " ")</f>
        <v xml:space="preserve"> </v>
      </c>
      <c r="AG117" s="55"/>
      <c r="AH117" s="32"/>
      <c r="AI117" s="32"/>
      <c r="AJ117" s="55"/>
      <c r="AK117" s="32"/>
      <c r="AL117" s="32"/>
      <c r="AM117" s="32"/>
      <c r="AN117" s="32"/>
      <c r="AO117" s="32"/>
      <c r="AP117" s="31"/>
      <c r="AQ117" s="31"/>
      <c r="AR117" s="54"/>
      <c r="AS117" s="21" t="str">
        <f>IFERROR(VLOOKUP(April[[#This Row],[Drug Name4]],'Data Options'!$R$1:$S$100,2,FALSE), " ")</f>
        <v xml:space="preserve"> </v>
      </c>
      <c r="AT117" s="55"/>
      <c r="AU117" s="32"/>
      <c r="AV117" s="32"/>
      <c r="AW117" s="55"/>
      <c r="AX117" s="32"/>
      <c r="AY117" s="54"/>
      <c r="AZ117" s="21" t="str">
        <f>IFERROR(VLOOKUP(April[[#This Row],[Drug Name5]],'Data Options'!$R$1:$S$100,2,FALSE), " ")</f>
        <v xml:space="preserve"> </v>
      </c>
      <c r="BA117" s="55"/>
      <c r="BB117" s="32"/>
      <c r="BC117" s="32"/>
      <c r="BD117" s="55"/>
      <c r="BE117" s="32"/>
      <c r="BF117" s="54"/>
      <c r="BG117" s="21" t="str">
        <f>IFERROR(VLOOKUP(April[[#This Row],[Drug Name6]],'Data Options'!$R$1:$S$100,2,FALSE), " ")</f>
        <v xml:space="preserve"> </v>
      </c>
      <c r="BH117" s="55"/>
      <c r="BI117" s="32"/>
      <c r="BJ117" s="32"/>
      <c r="BK117" s="55"/>
      <c r="BL117" s="32"/>
      <c r="BM117" s="32"/>
      <c r="BN117" s="32"/>
      <c r="BO117" s="32"/>
      <c r="BP117" s="32"/>
      <c r="BQ117" s="31"/>
      <c r="BR117" s="31"/>
      <c r="BS117" s="54"/>
      <c r="BT117" s="21" t="str">
        <f>IFERROR(VLOOKUP(April[[#This Row],[Drug Name7]],'Data Options'!$R$1:$S$100,2,FALSE), " ")</f>
        <v xml:space="preserve"> </v>
      </c>
      <c r="BU117" s="55"/>
      <c r="BV117" s="32"/>
      <c r="BW117" s="32"/>
      <c r="BX117" s="55"/>
      <c r="BY117" s="32"/>
      <c r="BZ117" s="54"/>
      <c r="CA117" s="21" t="str">
        <f>IFERROR(VLOOKUP(April[[#This Row],[Drug Name8]],'Data Options'!$R$1:$S$100,2,FALSE), " ")</f>
        <v xml:space="preserve"> </v>
      </c>
      <c r="CB117" s="55"/>
      <c r="CC117" s="32"/>
      <c r="CD117" s="32"/>
      <c r="CE117" s="55"/>
      <c r="CF117" s="32"/>
      <c r="CG117" s="54"/>
      <c r="CH117" s="21" t="str">
        <f>IFERROR(VLOOKUP(April[[#This Row],[Drug Name9]],'Data Options'!$R$1:$S$100,2,FALSE), " ")</f>
        <v xml:space="preserve"> </v>
      </c>
      <c r="CI117" s="55"/>
      <c r="CJ117" s="32"/>
      <c r="CK117" s="32"/>
      <c r="CL117" s="55"/>
      <c r="CM117" s="32"/>
    </row>
    <row r="118" spans="1:91">
      <c r="A118" s="5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/>
      <c r="P118" s="31"/>
      <c r="Q118" s="54"/>
      <c r="R118" s="21" t="str">
        <f>IFERROR(VLOOKUP(April[[#This Row],[Drug Name]],'Data Options'!$R$1:$S$100,2,FALSE), " ")</f>
        <v xml:space="preserve"> </v>
      </c>
      <c r="S118" s="55"/>
      <c r="T118" s="32"/>
      <c r="U118" s="32"/>
      <c r="V118" s="55"/>
      <c r="W118" s="32"/>
      <c r="X118" s="54"/>
      <c r="Y118" s="21" t="str">
        <f>IFERROR(VLOOKUP(April[[#This Row],[Drug Name2]],'Data Options'!$R$1:$S$100,2,FALSE), " ")</f>
        <v xml:space="preserve"> </v>
      </c>
      <c r="Z118" s="55"/>
      <c r="AA118" s="32"/>
      <c r="AB118" s="32"/>
      <c r="AC118" s="55"/>
      <c r="AD118" s="32"/>
      <c r="AE118" s="54"/>
      <c r="AF118" s="21" t="str">
        <f>IFERROR(VLOOKUP(April[[#This Row],[Drug Name3]],'Data Options'!$R$1:$S$100,2,FALSE), " ")</f>
        <v xml:space="preserve"> </v>
      </c>
      <c r="AG118" s="55"/>
      <c r="AH118" s="32"/>
      <c r="AI118" s="32"/>
      <c r="AJ118" s="55"/>
      <c r="AK118" s="32"/>
      <c r="AL118" s="32"/>
      <c r="AM118" s="32"/>
      <c r="AN118" s="32"/>
      <c r="AO118" s="32"/>
      <c r="AP118" s="31"/>
      <c r="AQ118" s="31"/>
      <c r="AR118" s="54"/>
      <c r="AS118" s="21" t="str">
        <f>IFERROR(VLOOKUP(April[[#This Row],[Drug Name4]],'Data Options'!$R$1:$S$100,2,FALSE), " ")</f>
        <v xml:space="preserve"> </v>
      </c>
      <c r="AT118" s="55"/>
      <c r="AU118" s="32"/>
      <c r="AV118" s="32"/>
      <c r="AW118" s="55"/>
      <c r="AX118" s="32"/>
      <c r="AY118" s="54"/>
      <c r="AZ118" s="21" t="str">
        <f>IFERROR(VLOOKUP(April[[#This Row],[Drug Name5]],'Data Options'!$R$1:$S$100,2,FALSE), " ")</f>
        <v xml:space="preserve"> </v>
      </c>
      <c r="BA118" s="55"/>
      <c r="BB118" s="32"/>
      <c r="BC118" s="32"/>
      <c r="BD118" s="55"/>
      <c r="BE118" s="32"/>
      <c r="BF118" s="54"/>
      <c r="BG118" s="21" t="str">
        <f>IFERROR(VLOOKUP(April[[#This Row],[Drug Name6]],'Data Options'!$R$1:$S$100,2,FALSE), " ")</f>
        <v xml:space="preserve"> </v>
      </c>
      <c r="BH118" s="55"/>
      <c r="BI118" s="32"/>
      <c r="BJ118" s="32"/>
      <c r="BK118" s="55"/>
      <c r="BL118" s="32"/>
      <c r="BM118" s="32"/>
      <c r="BN118" s="32"/>
      <c r="BO118" s="32"/>
      <c r="BP118" s="32"/>
      <c r="BQ118" s="31"/>
      <c r="BR118" s="31"/>
      <c r="BS118" s="54"/>
      <c r="BT118" s="21" t="str">
        <f>IFERROR(VLOOKUP(April[[#This Row],[Drug Name7]],'Data Options'!$R$1:$S$100,2,FALSE), " ")</f>
        <v xml:space="preserve"> </v>
      </c>
      <c r="BU118" s="55"/>
      <c r="BV118" s="32"/>
      <c r="BW118" s="32"/>
      <c r="BX118" s="55"/>
      <c r="BY118" s="32"/>
      <c r="BZ118" s="54"/>
      <c r="CA118" s="21" t="str">
        <f>IFERROR(VLOOKUP(April[[#This Row],[Drug Name8]],'Data Options'!$R$1:$S$100,2,FALSE), " ")</f>
        <v xml:space="preserve"> </v>
      </c>
      <c r="CB118" s="55"/>
      <c r="CC118" s="32"/>
      <c r="CD118" s="32"/>
      <c r="CE118" s="55"/>
      <c r="CF118" s="32"/>
      <c r="CG118" s="54"/>
      <c r="CH118" s="21" t="str">
        <f>IFERROR(VLOOKUP(April[[#This Row],[Drug Name9]],'Data Options'!$R$1:$S$100,2,FALSE), " ")</f>
        <v xml:space="preserve"> </v>
      </c>
      <c r="CI118" s="55"/>
      <c r="CJ118" s="32"/>
      <c r="CK118" s="32"/>
      <c r="CL118" s="55"/>
      <c r="CM118" s="32"/>
    </row>
    <row r="119" spans="1:91">
      <c r="A119" s="5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1"/>
      <c r="P119" s="31"/>
      <c r="Q119" s="54"/>
      <c r="R119" s="21" t="str">
        <f>IFERROR(VLOOKUP(April[[#This Row],[Drug Name]],'Data Options'!$R$1:$S$100,2,FALSE), " ")</f>
        <v xml:space="preserve"> </v>
      </c>
      <c r="S119" s="55"/>
      <c r="T119" s="32"/>
      <c r="U119" s="32"/>
      <c r="V119" s="55"/>
      <c r="W119" s="32"/>
      <c r="X119" s="54"/>
      <c r="Y119" s="21" t="str">
        <f>IFERROR(VLOOKUP(April[[#This Row],[Drug Name2]],'Data Options'!$R$1:$S$100,2,FALSE), " ")</f>
        <v xml:space="preserve"> </v>
      </c>
      <c r="Z119" s="55"/>
      <c r="AA119" s="32"/>
      <c r="AB119" s="32"/>
      <c r="AC119" s="55"/>
      <c r="AD119" s="32"/>
      <c r="AE119" s="54"/>
      <c r="AF119" s="21" t="str">
        <f>IFERROR(VLOOKUP(April[[#This Row],[Drug Name3]],'Data Options'!$R$1:$S$100,2,FALSE), " ")</f>
        <v xml:space="preserve"> </v>
      </c>
      <c r="AG119" s="55"/>
      <c r="AH119" s="32"/>
      <c r="AI119" s="32"/>
      <c r="AJ119" s="55"/>
      <c r="AK119" s="32"/>
      <c r="AL119" s="32"/>
      <c r="AM119" s="32"/>
      <c r="AN119" s="32"/>
      <c r="AO119" s="32"/>
      <c r="AP119" s="31"/>
      <c r="AQ119" s="31"/>
      <c r="AR119" s="54"/>
      <c r="AS119" s="21" t="str">
        <f>IFERROR(VLOOKUP(April[[#This Row],[Drug Name4]],'Data Options'!$R$1:$S$100,2,FALSE), " ")</f>
        <v xml:space="preserve"> </v>
      </c>
      <c r="AT119" s="55"/>
      <c r="AU119" s="32"/>
      <c r="AV119" s="32"/>
      <c r="AW119" s="55"/>
      <c r="AX119" s="32"/>
      <c r="AY119" s="54"/>
      <c r="AZ119" s="21" t="str">
        <f>IFERROR(VLOOKUP(April[[#This Row],[Drug Name5]],'Data Options'!$R$1:$S$100,2,FALSE), " ")</f>
        <v xml:space="preserve"> </v>
      </c>
      <c r="BA119" s="55"/>
      <c r="BB119" s="32"/>
      <c r="BC119" s="32"/>
      <c r="BD119" s="55"/>
      <c r="BE119" s="32"/>
      <c r="BF119" s="54"/>
      <c r="BG119" s="21" t="str">
        <f>IFERROR(VLOOKUP(April[[#This Row],[Drug Name6]],'Data Options'!$R$1:$S$100,2,FALSE), " ")</f>
        <v xml:space="preserve"> </v>
      </c>
      <c r="BH119" s="55"/>
      <c r="BI119" s="32"/>
      <c r="BJ119" s="32"/>
      <c r="BK119" s="55"/>
      <c r="BL119" s="32"/>
      <c r="BM119" s="32"/>
      <c r="BN119" s="32"/>
      <c r="BO119" s="32"/>
      <c r="BP119" s="32"/>
      <c r="BQ119" s="31"/>
      <c r="BR119" s="31"/>
      <c r="BS119" s="54"/>
      <c r="BT119" s="21" t="str">
        <f>IFERROR(VLOOKUP(April[[#This Row],[Drug Name7]],'Data Options'!$R$1:$S$100,2,FALSE), " ")</f>
        <v xml:space="preserve"> </v>
      </c>
      <c r="BU119" s="55"/>
      <c r="BV119" s="32"/>
      <c r="BW119" s="32"/>
      <c r="BX119" s="55"/>
      <c r="BY119" s="32"/>
      <c r="BZ119" s="54"/>
      <c r="CA119" s="21" t="str">
        <f>IFERROR(VLOOKUP(April[[#This Row],[Drug Name8]],'Data Options'!$R$1:$S$100,2,FALSE), " ")</f>
        <v xml:space="preserve"> </v>
      </c>
      <c r="CB119" s="55"/>
      <c r="CC119" s="32"/>
      <c r="CD119" s="32"/>
      <c r="CE119" s="55"/>
      <c r="CF119" s="32"/>
      <c r="CG119" s="54"/>
      <c r="CH119" s="21" t="str">
        <f>IFERROR(VLOOKUP(April[[#This Row],[Drug Name9]],'Data Options'!$R$1:$S$100,2,FALSE), " ")</f>
        <v xml:space="preserve"> </v>
      </c>
      <c r="CI119" s="55"/>
      <c r="CJ119" s="32"/>
      <c r="CK119" s="32"/>
      <c r="CL119" s="55"/>
      <c r="CM119" s="32"/>
    </row>
    <row r="120" spans="1:91">
      <c r="A120" s="5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/>
      <c r="P120" s="31"/>
      <c r="Q120" s="54"/>
      <c r="R120" s="21" t="str">
        <f>IFERROR(VLOOKUP(April[[#This Row],[Drug Name]],'Data Options'!$R$1:$S$100,2,FALSE), " ")</f>
        <v xml:space="preserve"> </v>
      </c>
      <c r="S120" s="55"/>
      <c r="T120" s="32"/>
      <c r="U120" s="32"/>
      <c r="V120" s="55"/>
      <c r="W120" s="32"/>
      <c r="X120" s="54"/>
      <c r="Y120" s="21" t="str">
        <f>IFERROR(VLOOKUP(April[[#This Row],[Drug Name2]],'Data Options'!$R$1:$S$100,2,FALSE), " ")</f>
        <v xml:space="preserve"> </v>
      </c>
      <c r="Z120" s="55"/>
      <c r="AA120" s="32"/>
      <c r="AB120" s="32"/>
      <c r="AC120" s="55"/>
      <c r="AD120" s="32"/>
      <c r="AE120" s="54"/>
      <c r="AF120" s="21" t="str">
        <f>IFERROR(VLOOKUP(April[[#This Row],[Drug Name3]],'Data Options'!$R$1:$S$100,2,FALSE), " ")</f>
        <v xml:space="preserve"> </v>
      </c>
      <c r="AG120" s="55"/>
      <c r="AH120" s="32"/>
      <c r="AI120" s="32"/>
      <c r="AJ120" s="55"/>
      <c r="AK120" s="32"/>
      <c r="AL120" s="32"/>
      <c r="AM120" s="32"/>
      <c r="AN120" s="32"/>
      <c r="AO120" s="32"/>
      <c r="AP120" s="31"/>
      <c r="AQ120" s="31"/>
      <c r="AR120" s="54"/>
      <c r="AS120" s="21" t="str">
        <f>IFERROR(VLOOKUP(April[[#This Row],[Drug Name4]],'Data Options'!$R$1:$S$100,2,FALSE), " ")</f>
        <v xml:space="preserve"> </v>
      </c>
      <c r="AT120" s="55"/>
      <c r="AU120" s="32"/>
      <c r="AV120" s="32"/>
      <c r="AW120" s="55"/>
      <c r="AX120" s="32"/>
      <c r="AY120" s="54"/>
      <c r="AZ120" s="21" t="str">
        <f>IFERROR(VLOOKUP(April[[#This Row],[Drug Name5]],'Data Options'!$R$1:$S$100,2,FALSE), " ")</f>
        <v xml:space="preserve"> </v>
      </c>
      <c r="BA120" s="55"/>
      <c r="BB120" s="32"/>
      <c r="BC120" s="32"/>
      <c r="BD120" s="55"/>
      <c r="BE120" s="32"/>
      <c r="BF120" s="54"/>
      <c r="BG120" s="21" t="str">
        <f>IFERROR(VLOOKUP(April[[#This Row],[Drug Name6]],'Data Options'!$R$1:$S$100,2,FALSE), " ")</f>
        <v xml:space="preserve"> </v>
      </c>
      <c r="BH120" s="55"/>
      <c r="BI120" s="32"/>
      <c r="BJ120" s="32"/>
      <c r="BK120" s="55"/>
      <c r="BL120" s="32"/>
      <c r="BM120" s="32"/>
      <c r="BN120" s="32"/>
      <c r="BO120" s="32"/>
      <c r="BP120" s="32"/>
      <c r="BQ120" s="31"/>
      <c r="BR120" s="31"/>
      <c r="BS120" s="54"/>
      <c r="BT120" s="21" t="str">
        <f>IFERROR(VLOOKUP(April[[#This Row],[Drug Name7]],'Data Options'!$R$1:$S$100,2,FALSE), " ")</f>
        <v xml:space="preserve"> </v>
      </c>
      <c r="BU120" s="55"/>
      <c r="BV120" s="32"/>
      <c r="BW120" s="32"/>
      <c r="BX120" s="55"/>
      <c r="BY120" s="32"/>
      <c r="BZ120" s="54"/>
      <c r="CA120" s="21" t="str">
        <f>IFERROR(VLOOKUP(April[[#This Row],[Drug Name8]],'Data Options'!$R$1:$S$100,2,FALSE), " ")</f>
        <v xml:space="preserve"> </v>
      </c>
      <c r="CB120" s="55"/>
      <c r="CC120" s="32"/>
      <c r="CD120" s="32"/>
      <c r="CE120" s="55"/>
      <c r="CF120" s="32"/>
      <c r="CG120" s="54"/>
      <c r="CH120" s="21" t="str">
        <f>IFERROR(VLOOKUP(April[[#This Row],[Drug Name9]],'Data Options'!$R$1:$S$100,2,FALSE), " ")</f>
        <v xml:space="preserve"> </v>
      </c>
      <c r="CI120" s="55"/>
      <c r="CJ120" s="32"/>
      <c r="CK120" s="32"/>
      <c r="CL120" s="55"/>
      <c r="CM120" s="32"/>
    </row>
    <row r="121" spans="1:91">
      <c r="A121" s="5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1"/>
      <c r="P121" s="31"/>
      <c r="Q121" s="54"/>
      <c r="R121" s="21" t="str">
        <f>IFERROR(VLOOKUP(April[[#This Row],[Drug Name]],'Data Options'!$R$1:$S$100,2,FALSE), " ")</f>
        <v xml:space="preserve"> </v>
      </c>
      <c r="S121" s="55"/>
      <c r="T121" s="32"/>
      <c r="U121" s="32"/>
      <c r="V121" s="55"/>
      <c r="W121" s="32"/>
      <c r="X121" s="54"/>
      <c r="Y121" s="21" t="str">
        <f>IFERROR(VLOOKUP(April[[#This Row],[Drug Name2]],'Data Options'!$R$1:$S$100,2,FALSE), " ")</f>
        <v xml:space="preserve"> </v>
      </c>
      <c r="Z121" s="55"/>
      <c r="AA121" s="32"/>
      <c r="AB121" s="32"/>
      <c r="AC121" s="55"/>
      <c r="AD121" s="32"/>
      <c r="AE121" s="54"/>
      <c r="AF121" s="21" t="str">
        <f>IFERROR(VLOOKUP(April[[#This Row],[Drug Name3]],'Data Options'!$R$1:$S$100,2,FALSE), " ")</f>
        <v xml:space="preserve"> </v>
      </c>
      <c r="AG121" s="55"/>
      <c r="AH121" s="32"/>
      <c r="AI121" s="32"/>
      <c r="AJ121" s="55"/>
      <c r="AK121" s="32"/>
      <c r="AL121" s="32"/>
      <c r="AM121" s="32"/>
      <c r="AN121" s="32"/>
      <c r="AO121" s="32"/>
      <c r="AP121" s="31"/>
      <c r="AQ121" s="31"/>
      <c r="AR121" s="54"/>
      <c r="AS121" s="21" t="str">
        <f>IFERROR(VLOOKUP(April[[#This Row],[Drug Name4]],'Data Options'!$R$1:$S$100,2,FALSE), " ")</f>
        <v xml:space="preserve"> </v>
      </c>
      <c r="AT121" s="55"/>
      <c r="AU121" s="32"/>
      <c r="AV121" s="32"/>
      <c r="AW121" s="55"/>
      <c r="AX121" s="32"/>
      <c r="AY121" s="54"/>
      <c r="AZ121" s="21" t="str">
        <f>IFERROR(VLOOKUP(April[[#This Row],[Drug Name5]],'Data Options'!$R$1:$S$100,2,FALSE), " ")</f>
        <v xml:space="preserve"> </v>
      </c>
      <c r="BA121" s="55"/>
      <c r="BB121" s="32"/>
      <c r="BC121" s="32"/>
      <c r="BD121" s="55"/>
      <c r="BE121" s="32"/>
      <c r="BF121" s="54"/>
      <c r="BG121" s="21" t="str">
        <f>IFERROR(VLOOKUP(April[[#This Row],[Drug Name6]],'Data Options'!$R$1:$S$100,2,FALSE), " ")</f>
        <v xml:space="preserve"> </v>
      </c>
      <c r="BH121" s="55"/>
      <c r="BI121" s="32"/>
      <c r="BJ121" s="32"/>
      <c r="BK121" s="55"/>
      <c r="BL121" s="32"/>
      <c r="BM121" s="32"/>
      <c r="BN121" s="32"/>
      <c r="BO121" s="32"/>
      <c r="BP121" s="32"/>
      <c r="BQ121" s="31"/>
      <c r="BR121" s="31"/>
      <c r="BS121" s="54"/>
      <c r="BT121" s="21" t="str">
        <f>IFERROR(VLOOKUP(April[[#This Row],[Drug Name7]],'Data Options'!$R$1:$S$100,2,FALSE), " ")</f>
        <v xml:space="preserve"> </v>
      </c>
      <c r="BU121" s="55"/>
      <c r="BV121" s="32"/>
      <c r="BW121" s="32"/>
      <c r="BX121" s="55"/>
      <c r="BY121" s="32"/>
      <c r="BZ121" s="54"/>
      <c r="CA121" s="21" t="str">
        <f>IFERROR(VLOOKUP(April[[#This Row],[Drug Name8]],'Data Options'!$R$1:$S$100,2,FALSE), " ")</f>
        <v xml:space="preserve"> </v>
      </c>
      <c r="CB121" s="55"/>
      <c r="CC121" s="32"/>
      <c r="CD121" s="32"/>
      <c r="CE121" s="55"/>
      <c r="CF121" s="32"/>
      <c r="CG121" s="54"/>
      <c r="CH121" s="21" t="str">
        <f>IFERROR(VLOOKUP(April[[#This Row],[Drug Name9]],'Data Options'!$R$1:$S$100,2,FALSE), " ")</f>
        <v xml:space="preserve"> </v>
      </c>
      <c r="CI121" s="55"/>
      <c r="CJ121" s="32"/>
      <c r="CK121" s="32"/>
      <c r="CL121" s="55"/>
      <c r="CM121" s="32"/>
    </row>
    <row r="122" spans="1:91">
      <c r="A122" s="5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1"/>
      <c r="P122" s="31"/>
      <c r="Q122" s="54"/>
      <c r="R122" s="21" t="str">
        <f>IFERROR(VLOOKUP(April[[#This Row],[Drug Name]],'Data Options'!$R$1:$S$100,2,FALSE), " ")</f>
        <v xml:space="preserve"> </v>
      </c>
      <c r="S122" s="55"/>
      <c r="T122" s="32"/>
      <c r="U122" s="32"/>
      <c r="V122" s="55"/>
      <c r="W122" s="32"/>
      <c r="X122" s="54"/>
      <c r="Y122" s="21" t="str">
        <f>IFERROR(VLOOKUP(April[[#This Row],[Drug Name2]],'Data Options'!$R$1:$S$100,2,FALSE), " ")</f>
        <v xml:space="preserve"> </v>
      </c>
      <c r="Z122" s="55"/>
      <c r="AA122" s="32"/>
      <c r="AB122" s="32"/>
      <c r="AC122" s="55"/>
      <c r="AD122" s="32"/>
      <c r="AE122" s="54"/>
      <c r="AF122" s="21" t="str">
        <f>IFERROR(VLOOKUP(April[[#This Row],[Drug Name3]],'Data Options'!$R$1:$S$100,2,FALSE), " ")</f>
        <v xml:space="preserve"> </v>
      </c>
      <c r="AG122" s="55"/>
      <c r="AH122" s="32"/>
      <c r="AI122" s="32"/>
      <c r="AJ122" s="55"/>
      <c r="AK122" s="32"/>
      <c r="AL122" s="32"/>
      <c r="AM122" s="32"/>
      <c r="AN122" s="32"/>
      <c r="AO122" s="32"/>
      <c r="AP122" s="31"/>
      <c r="AQ122" s="31"/>
      <c r="AR122" s="54"/>
      <c r="AS122" s="21" t="str">
        <f>IFERROR(VLOOKUP(April[[#This Row],[Drug Name4]],'Data Options'!$R$1:$S$100,2,FALSE), " ")</f>
        <v xml:space="preserve"> </v>
      </c>
      <c r="AT122" s="55"/>
      <c r="AU122" s="32"/>
      <c r="AV122" s="32"/>
      <c r="AW122" s="55"/>
      <c r="AX122" s="32"/>
      <c r="AY122" s="54"/>
      <c r="AZ122" s="21" t="str">
        <f>IFERROR(VLOOKUP(April[[#This Row],[Drug Name5]],'Data Options'!$R$1:$S$100,2,FALSE), " ")</f>
        <v xml:space="preserve"> </v>
      </c>
      <c r="BA122" s="55"/>
      <c r="BB122" s="32"/>
      <c r="BC122" s="32"/>
      <c r="BD122" s="55"/>
      <c r="BE122" s="32"/>
      <c r="BF122" s="54"/>
      <c r="BG122" s="21" t="str">
        <f>IFERROR(VLOOKUP(April[[#This Row],[Drug Name6]],'Data Options'!$R$1:$S$100,2,FALSE), " ")</f>
        <v xml:space="preserve"> </v>
      </c>
      <c r="BH122" s="55"/>
      <c r="BI122" s="32"/>
      <c r="BJ122" s="32"/>
      <c r="BK122" s="55"/>
      <c r="BL122" s="32"/>
      <c r="BM122" s="32"/>
      <c r="BN122" s="32"/>
      <c r="BO122" s="32"/>
      <c r="BP122" s="32"/>
      <c r="BQ122" s="31"/>
      <c r="BR122" s="31"/>
      <c r="BS122" s="54"/>
      <c r="BT122" s="21" t="str">
        <f>IFERROR(VLOOKUP(April[[#This Row],[Drug Name7]],'Data Options'!$R$1:$S$100,2,FALSE), " ")</f>
        <v xml:space="preserve"> </v>
      </c>
      <c r="BU122" s="55"/>
      <c r="BV122" s="32"/>
      <c r="BW122" s="32"/>
      <c r="BX122" s="55"/>
      <c r="BY122" s="32"/>
      <c r="BZ122" s="54"/>
      <c r="CA122" s="21" t="str">
        <f>IFERROR(VLOOKUP(April[[#This Row],[Drug Name8]],'Data Options'!$R$1:$S$100,2,FALSE), " ")</f>
        <v xml:space="preserve"> </v>
      </c>
      <c r="CB122" s="55"/>
      <c r="CC122" s="32"/>
      <c r="CD122" s="32"/>
      <c r="CE122" s="55"/>
      <c r="CF122" s="32"/>
      <c r="CG122" s="54"/>
      <c r="CH122" s="21" t="str">
        <f>IFERROR(VLOOKUP(April[[#This Row],[Drug Name9]],'Data Options'!$R$1:$S$100,2,FALSE), " ")</f>
        <v xml:space="preserve"> </v>
      </c>
      <c r="CI122" s="55"/>
      <c r="CJ122" s="32"/>
      <c r="CK122" s="32"/>
      <c r="CL122" s="55"/>
      <c r="CM122" s="32"/>
    </row>
    <row r="123" spans="1:91">
      <c r="A123" s="5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1"/>
      <c r="P123" s="31"/>
      <c r="Q123" s="54"/>
      <c r="R123" s="21" t="str">
        <f>IFERROR(VLOOKUP(April[[#This Row],[Drug Name]],'Data Options'!$R$1:$S$100,2,FALSE), " ")</f>
        <v xml:space="preserve"> </v>
      </c>
      <c r="S123" s="55"/>
      <c r="T123" s="32"/>
      <c r="U123" s="32"/>
      <c r="V123" s="55"/>
      <c r="W123" s="32"/>
      <c r="X123" s="54"/>
      <c r="Y123" s="21" t="str">
        <f>IFERROR(VLOOKUP(April[[#This Row],[Drug Name2]],'Data Options'!$R$1:$S$100,2,FALSE), " ")</f>
        <v xml:space="preserve"> </v>
      </c>
      <c r="Z123" s="55"/>
      <c r="AA123" s="32"/>
      <c r="AB123" s="32"/>
      <c r="AC123" s="55"/>
      <c r="AD123" s="32"/>
      <c r="AE123" s="54"/>
      <c r="AF123" s="21" t="str">
        <f>IFERROR(VLOOKUP(April[[#This Row],[Drug Name3]],'Data Options'!$R$1:$S$100,2,FALSE), " ")</f>
        <v xml:space="preserve"> </v>
      </c>
      <c r="AG123" s="55"/>
      <c r="AH123" s="32"/>
      <c r="AI123" s="32"/>
      <c r="AJ123" s="55"/>
      <c r="AK123" s="32"/>
      <c r="AL123" s="32"/>
      <c r="AM123" s="32"/>
      <c r="AN123" s="32"/>
      <c r="AO123" s="32"/>
      <c r="AP123" s="31"/>
      <c r="AQ123" s="31"/>
      <c r="AR123" s="54"/>
      <c r="AS123" s="21" t="str">
        <f>IFERROR(VLOOKUP(April[[#This Row],[Drug Name4]],'Data Options'!$R$1:$S$100,2,FALSE), " ")</f>
        <v xml:space="preserve"> </v>
      </c>
      <c r="AT123" s="55"/>
      <c r="AU123" s="32"/>
      <c r="AV123" s="32"/>
      <c r="AW123" s="55"/>
      <c r="AX123" s="32"/>
      <c r="AY123" s="54"/>
      <c r="AZ123" s="21" t="str">
        <f>IFERROR(VLOOKUP(April[[#This Row],[Drug Name5]],'Data Options'!$R$1:$S$100,2,FALSE), " ")</f>
        <v xml:space="preserve"> </v>
      </c>
      <c r="BA123" s="55"/>
      <c r="BB123" s="32"/>
      <c r="BC123" s="32"/>
      <c r="BD123" s="55"/>
      <c r="BE123" s="32"/>
      <c r="BF123" s="54"/>
      <c r="BG123" s="21" t="str">
        <f>IFERROR(VLOOKUP(April[[#This Row],[Drug Name6]],'Data Options'!$R$1:$S$100,2,FALSE), " ")</f>
        <v xml:space="preserve"> </v>
      </c>
      <c r="BH123" s="55"/>
      <c r="BI123" s="32"/>
      <c r="BJ123" s="32"/>
      <c r="BK123" s="55"/>
      <c r="BL123" s="32"/>
      <c r="BM123" s="32"/>
      <c r="BN123" s="32"/>
      <c r="BO123" s="32"/>
      <c r="BP123" s="32"/>
      <c r="BQ123" s="31"/>
      <c r="BR123" s="31"/>
      <c r="BS123" s="54"/>
      <c r="BT123" s="21" t="str">
        <f>IFERROR(VLOOKUP(April[[#This Row],[Drug Name7]],'Data Options'!$R$1:$S$100,2,FALSE), " ")</f>
        <v xml:space="preserve"> </v>
      </c>
      <c r="BU123" s="55"/>
      <c r="BV123" s="32"/>
      <c r="BW123" s="32"/>
      <c r="BX123" s="55"/>
      <c r="BY123" s="32"/>
      <c r="BZ123" s="54"/>
      <c r="CA123" s="21" t="str">
        <f>IFERROR(VLOOKUP(April[[#This Row],[Drug Name8]],'Data Options'!$R$1:$S$100,2,FALSE), " ")</f>
        <v xml:space="preserve"> </v>
      </c>
      <c r="CB123" s="55"/>
      <c r="CC123" s="32"/>
      <c r="CD123" s="32"/>
      <c r="CE123" s="55"/>
      <c r="CF123" s="32"/>
      <c r="CG123" s="54"/>
      <c r="CH123" s="21" t="str">
        <f>IFERROR(VLOOKUP(April[[#This Row],[Drug Name9]],'Data Options'!$R$1:$S$100,2,FALSE), " ")</f>
        <v xml:space="preserve"> </v>
      </c>
      <c r="CI123" s="55"/>
      <c r="CJ123" s="32"/>
      <c r="CK123" s="32"/>
      <c r="CL123" s="55"/>
      <c r="CM123" s="32"/>
    </row>
    <row r="124" spans="1:91">
      <c r="A124" s="5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1"/>
      <c r="P124" s="31"/>
      <c r="Q124" s="54"/>
      <c r="R124" s="21" t="str">
        <f>IFERROR(VLOOKUP(April[[#This Row],[Drug Name]],'Data Options'!$R$1:$S$100,2,FALSE), " ")</f>
        <v xml:space="preserve"> </v>
      </c>
      <c r="S124" s="55"/>
      <c r="T124" s="32"/>
      <c r="U124" s="32"/>
      <c r="V124" s="55"/>
      <c r="W124" s="32"/>
      <c r="X124" s="54"/>
      <c r="Y124" s="21" t="str">
        <f>IFERROR(VLOOKUP(April[[#This Row],[Drug Name2]],'Data Options'!$R$1:$S$100,2,FALSE), " ")</f>
        <v xml:space="preserve"> </v>
      </c>
      <c r="Z124" s="55"/>
      <c r="AA124" s="32"/>
      <c r="AB124" s="32"/>
      <c r="AC124" s="55"/>
      <c r="AD124" s="32"/>
      <c r="AE124" s="54"/>
      <c r="AF124" s="21" t="str">
        <f>IFERROR(VLOOKUP(April[[#This Row],[Drug Name3]],'Data Options'!$R$1:$S$100,2,FALSE), " ")</f>
        <v xml:space="preserve"> </v>
      </c>
      <c r="AG124" s="55"/>
      <c r="AH124" s="32"/>
      <c r="AI124" s="32"/>
      <c r="AJ124" s="55"/>
      <c r="AK124" s="32"/>
      <c r="AL124" s="32"/>
      <c r="AM124" s="32"/>
      <c r="AN124" s="32"/>
      <c r="AO124" s="32"/>
      <c r="AP124" s="31"/>
      <c r="AQ124" s="31"/>
      <c r="AR124" s="54"/>
      <c r="AS124" s="21" t="str">
        <f>IFERROR(VLOOKUP(April[[#This Row],[Drug Name4]],'Data Options'!$R$1:$S$100,2,FALSE), " ")</f>
        <v xml:space="preserve"> </v>
      </c>
      <c r="AT124" s="55"/>
      <c r="AU124" s="32"/>
      <c r="AV124" s="32"/>
      <c r="AW124" s="55"/>
      <c r="AX124" s="32"/>
      <c r="AY124" s="54"/>
      <c r="AZ124" s="21" t="str">
        <f>IFERROR(VLOOKUP(April[[#This Row],[Drug Name5]],'Data Options'!$R$1:$S$100,2,FALSE), " ")</f>
        <v xml:space="preserve"> </v>
      </c>
      <c r="BA124" s="55"/>
      <c r="BB124" s="32"/>
      <c r="BC124" s="32"/>
      <c r="BD124" s="55"/>
      <c r="BE124" s="32"/>
      <c r="BF124" s="54"/>
      <c r="BG124" s="21" t="str">
        <f>IFERROR(VLOOKUP(April[[#This Row],[Drug Name6]],'Data Options'!$R$1:$S$100,2,FALSE), " ")</f>
        <v xml:space="preserve"> </v>
      </c>
      <c r="BH124" s="55"/>
      <c r="BI124" s="32"/>
      <c r="BJ124" s="32"/>
      <c r="BK124" s="55"/>
      <c r="BL124" s="32"/>
      <c r="BM124" s="32"/>
      <c r="BN124" s="32"/>
      <c r="BO124" s="32"/>
      <c r="BP124" s="32"/>
      <c r="BQ124" s="31"/>
      <c r="BR124" s="31"/>
      <c r="BS124" s="54"/>
      <c r="BT124" s="21" t="str">
        <f>IFERROR(VLOOKUP(April[[#This Row],[Drug Name7]],'Data Options'!$R$1:$S$100,2,FALSE), " ")</f>
        <v xml:space="preserve"> </v>
      </c>
      <c r="BU124" s="55"/>
      <c r="BV124" s="32"/>
      <c r="BW124" s="32"/>
      <c r="BX124" s="55"/>
      <c r="BY124" s="32"/>
      <c r="BZ124" s="54"/>
      <c r="CA124" s="21" t="str">
        <f>IFERROR(VLOOKUP(April[[#This Row],[Drug Name8]],'Data Options'!$R$1:$S$100,2,FALSE), " ")</f>
        <v xml:space="preserve"> </v>
      </c>
      <c r="CB124" s="55"/>
      <c r="CC124" s="32"/>
      <c r="CD124" s="32"/>
      <c r="CE124" s="55"/>
      <c r="CF124" s="32"/>
      <c r="CG124" s="54"/>
      <c r="CH124" s="21" t="str">
        <f>IFERROR(VLOOKUP(April[[#This Row],[Drug Name9]],'Data Options'!$R$1:$S$100,2,FALSE), " ")</f>
        <v xml:space="preserve"> </v>
      </c>
      <c r="CI124" s="55"/>
      <c r="CJ124" s="32"/>
      <c r="CK124" s="32"/>
      <c r="CL124" s="55"/>
      <c r="CM124" s="32"/>
    </row>
    <row r="125" spans="1:91">
      <c r="A125" s="5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1"/>
      <c r="P125" s="31"/>
      <c r="Q125" s="54"/>
      <c r="R125" s="21" t="str">
        <f>IFERROR(VLOOKUP(April[[#This Row],[Drug Name]],'Data Options'!$R$1:$S$100,2,FALSE), " ")</f>
        <v xml:space="preserve"> </v>
      </c>
      <c r="S125" s="55"/>
      <c r="T125" s="32"/>
      <c r="U125" s="32"/>
      <c r="V125" s="55"/>
      <c r="W125" s="32"/>
      <c r="X125" s="54"/>
      <c r="Y125" s="21" t="str">
        <f>IFERROR(VLOOKUP(April[[#This Row],[Drug Name2]],'Data Options'!$R$1:$S$100,2,FALSE), " ")</f>
        <v xml:space="preserve"> </v>
      </c>
      <c r="Z125" s="55"/>
      <c r="AA125" s="32"/>
      <c r="AB125" s="32"/>
      <c r="AC125" s="55"/>
      <c r="AD125" s="32"/>
      <c r="AE125" s="54"/>
      <c r="AF125" s="21" t="str">
        <f>IFERROR(VLOOKUP(April[[#This Row],[Drug Name3]],'Data Options'!$R$1:$S$100,2,FALSE), " ")</f>
        <v xml:space="preserve"> </v>
      </c>
      <c r="AG125" s="55"/>
      <c r="AH125" s="32"/>
      <c r="AI125" s="32"/>
      <c r="AJ125" s="55"/>
      <c r="AK125" s="32"/>
      <c r="AL125" s="32"/>
      <c r="AM125" s="32"/>
      <c r="AN125" s="32"/>
      <c r="AO125" s="32"/>
      <c r="AP125" s="31"/>
      <c r="AQ125" s="31"/>
      <c r="AR125" s="54"/>
      <c r="AS125" s="21" t="str">
        <f>IFERROR(VLOOKUP(April[[#This Row],[Drug Name4]],'Data Options'!$R$1:$S$100,2,FALSE), " ")</f>
        <v xml:space="preserve"> </v>
      </c>
      <c r="AT125" s="55"/>
      <c r="AU125" s="32"/>
      <c r="AV125" s="32"/>
      <c r="AW125" s="55"/>
      <c r="AX125" s="32"/>
      <c r="AY125" s="54"/>
      <c r="AZ125" s="21" t="str">
        <f>IFERROR(VLOOKUP(April[[#This Row],[Drug Name5]],'Data Options'!$R$1:$S$100,2,FALSE), " ")</f>
        <v xml:space="preserve"> </v>
      </c>
      <c r="BA125" s="55"/>
      <c r="BB125" s="32"/>
      <c r="BC125" s="32"/>
      <c r="BD125" s="55"/>
      <c r="BE125" s="32"/>
      <c r="BF125" s="54"/>
      <c r="BG125" s="21" t="str">
        <f>IFERROR(VLOOKUP(April[[#This Row],[Drug Name6]],'Data Options'!$R$1:$S$100,2,FALSE), " ")</f>
        <v xml:space="preserve"> </v>
      </c>
      <c r="BH125" s="55"/>
      <c r="BI125" s="32"/>
      <c r="BJ125" s="32"/>
      <c r="BK125" s="55"/>
      <c r="BL125" s="32"/>
      <c r="BM125" s="32"/>
      <c r="BN125" s="32"/>
      <c r="BO125" s="32"/>
      <c r="BP125" s="32"/>
      <c r="BQ125" s="31"/>
      <c r="BR125" s="31"/>
      <c r="BS125" s="54"/>
      <c r="BT125" s="21" t="str">
        <f>IFERROR(VLOOKUP(April[[#This Row],[Drug Name7]],'Data Options'!$R$1:$S$100,2,FALSE), " ")</f>
        <v xml:space="preserve"> </v>
      </c>
      <c r="BU125" s="55"/>
      <c r="BV125" s="32"/>
      <c r="BW125" s="32"/>
      <c r="BX125" s="55"/>
      <c r="BY125" s="32"/>
      <c r="BZ125" s="54"/>
      <c r="CA125" s="21" t="str">
        <f>IFERROR(VLOOKUP(April[[#This Row],[Drug Name8]],'Data Options'!$R$1:$S$100,2,FALSE), " ")</f>
        <v xml:space="preserve"> </v>
      </c>
      <c r="CB125" s="55"/>
      <c r="CC125" s="32"/>
      <c r="CD125" s="32"/>
      <c r="CE125" s="55"/>
      <c r="CF125" s="32"/>
      <c r="CG125" s="54"/>
      <c r="CH125" s="21" t="str">
        <f>IFERROR(VLOOKUP(April[[#This Row],[Drug Name9]],'Data Options'!$R$1:$S$100,2,FALSE), " ")</f>
        <v xml:space="preserve"> </v>
      </c>
      <c r="CI125" s="55"/>
      <c r="CJ125" s="32"/>
      <c r="CK125" s="32"/>
      <c r="CL125" s="55"/>
      <c r="CM125" s="32"/>
    </row>
    <row r="126" spans="1:91">
      <c r="A126" s="5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1"/>
      <c r="P126" s="31"/>
      <c r="Q126" s="54"/>
      <c r="R126" s="21" t="str">
        <f>IFERROR(VLOOKUP(April[[#This Row],[Drug Name]],'Data Options'!$R$1:$S$100,2,FALSE), " ")</f>
        <v xml:space="preserve"> </v>
      </c>
      <c r="S126" s="55"/>
      <c r="T126" s="32"/>
      <c r="U126" s="32"/>
      <c r="V126" s="55"/>
      <c r="W126" s="32"/>
      <c r="X126" s="54"/>
      <c r="Y126" s="21" t="str">
        <f>IFERROR(VLOOKUP(April[[#This Row],[Drug Name2]],'Data Options'!$R$1:$S$100,2,FALSE), " ")</f>
        <v xml:space="preserve"> </v>
      </c>
      <c r="Z126" s="55"/>
      <c r="AA126" s="32"/>
      <c r="AB126" s="32"/>
      <c r="AC126" s="55"/>
      <c r="AD126" s="32"/>
      <c r="AE126" s="54"/>
      <c r="AF126" s="21" t="str">
        <f>IFERROR(VLOOKUP(April[[#This Row],[Drug Name3]],'Data Options'!$R$1:$S$100,2,FALSE), " ")</f>
        <v xml:space="preserve"> </v>
      </c>
      <c r="AG126" s="55"/>
      <c r="AH126" s="32"/>
      <c r="AI126" s="32"/>
      <c r="AJ126" s="55"/>
      <c r="AK126" s="32"/>
      <c r="AL126" s="32"/>
      <c r="AM126" s="32"/>
      <c r="AN126" s="32"/>
      <c r="AO126" s="32"/>
      <c r="AP126" s="31"/>
      <c r="AQ126" s="31"/>
      <c r="AR126" s="54"/>
      <c r="AS126" s="21" t="str">
        <f>IFERROR(VLOOKUP(April[[#This Row],[Drug Name4]],'Data Options'!$R$1:$S$100,2,FALSE), " ")</f>
        <v xml:space="preserve"> </v>
      </c>
      <c r="AT126" s="55"/>
      <c r="AU126" s="32"/>
      <c r="AV126" s="32"/>
      <c r="AW126" s="55"/>
      <c r="AX126" s="32"/>
      <c r="AY126" s="54"/>
      <c r="AZ126" s="21" t="str">
        <f>IFERROR(VLOOKUP(April[[#This Row],[Drug Name5]],'Data Options'!$R$1:$S$100,2,FALSE), " ")</f>
        <v xml:space="preserve"> </v>
      </c>
      <c r="BA126" s="55"/>
      <c r="BB126" s="32"/>
      <c r="BC126" s="32"/>
      <c r="BD126" s="55"/>
      <c r="BE126" s="32"/>
      <c r="BF126" s="54"/>
      <c r="BG126" s="21" t="str">
        <f>IFERROR(VLOOKUP(April[[#This Row],[Drug Name6]],'Data Options'!$R$1:$S$100,2,FALSE), " ")</f>
        <v xml:space="preserve"> </v>
      </c>
      <c r="BH126" s="55"/>
      <c r="BI126" s="32"/>
      <c r="BJ126" s="32"/>
      <c r="BK126" s="55"/>
      <c r="BL126" s="32"/>
      <c r="BM126" s="32"/>
      <c r="BN126" s="32"/>
      <c r="BO126" s="32"/>
      <c r="BP126" s="32"/>
      <c r="BQ126" s="31"/>
      <c r="BR126" s="31"/>
      <c r="BS126" s="54"/>
      <c r="BT126" s="21" t="str">
        <f>IFERROR(VLOOKUP(April[[#This Row],[Drug Name7]],'Data Options'!$R$1:$S$100,2,FALSE), " ")</f>
        <v xml:space="preserve"> </v>
      </c>
      <c r="BU126" s="55"/>
      <c r="BV126" s="32"/>
      <c r="BW126" s="32"/>
      <c r="BX126" s="55"/>
      <c r="BY126" s="32"/>
      <c r="BZ126" s="54"/>
      <c r="CA126" s="21" t="str">
        <f>IFERROR(VLOOKUP(April[[#This Row],[Drug Name8]],'Data Options'!$R$1:$S$100,2,FALSE), " ")</f>
        <v xml:space="preserve"> </v>
      </c>
      <c r="CB126" s="55"/>
      <c r="CC126" s="32"/>
      <c r="CD126" s="32"/>
      <c r="CE126" s="55"/>
      <c r="CF126" s="32"/>
      <c r="CG126" s="54"/>
      <c r="CH126" s="21" t="str">
        <f>IFERROR(VLOOKUP(April[[#This Row],[Drug Name9]],'Data Options'!$R$1:$S$100,2,FALSE), " ")</f>
        <v xml:space="preserve"> </v>
      </c>
      <c r="CI126" s="55"/>
      <c r="CJ126" s="32"/>
      <c r="CK126" s="32"/>
      <c r="CL126" s="55"/>
      <c r="CM126" s="32"/>
    </row>
    <row r="127" spans="1:91">
      <c r="A127" s="5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1"/>
      <c r="P127" s="31"/>
      <c r="Q127" s="54"/>
      <c r="R127" s="21" t="str">
        <f>IFERROR(VLOOKUP(April[[#This Row],[Drug Name]],'Data Options'!$R$1:$S$100,2,FALSE), " ")</f>
        <v xml:space="preserve"> </v>
      </c>
      <c r="S127" s="55"/>
      <c r="T127" s="32"/>
      <c r="U127" s="32"/>
      <c r="V127" s="55"/>
      <c r="W127" s="32"/>
      <c r="X127" s="54"/>
      <c r="Y127" s="21" t="str">
        <f>IFERROR(VLOOKUP(April[[#This Row],[Drug Name2]],'Data Options'!$R$1:$S$100,2,FALSE), " ")</f>
        <v xml:space="preserve"> </v>
      </c>
      <c r="Z127" s="55"/>
      <c r="AA127" s="32"/>
      <c r="AB127" s="32"/>
      <c r="AC127" s="55"/>
      <c r="AD127" s="32"/>
      <c r="AE127" s="54"/>
      <c r="AF127" s="21" t="str">
        <f>IFERROR(VLOOKUP(April[[#This Row],[Drug Name3]],'Data Options'!$R$1:$S$100,2,FALSE), " ")</f>
        <v xml:space="preserve"> </v>
      </c>
      <c r="AG127" s="55"/>
      <c r="AH127" s="32"/>
      <c r="AI127" s="32"/>
      <c r="AJ127" s="55"/>
      <c r="AK127" s="32"/>
      <c r="AL127" s="32"/>
      <c r="AM127" s="32"/>
      <c r="AN127" s="32"/>
      <c r="AO127" s="32"/>
      <c r="AP127" s="31"/>
      <c r="AQ127" s="31"/>
      <c r="AR127" s="54"/>
      <c r="AS127" s="21" t="str">
        <f>IFERROR(VLOOKUP(April[[#This Row],[Drug Name4]],'Data Options'!$R$1:$S$100,2,FALSE), " ")</f>
        <v xml:space="preserve"> </v>
      </c>
      <c r="AT127" s="55"/>
      <c r="AU127" s="32"/>
      <c r="AV127" s="32"/>
      <c r="AW127" s="55"/>
      <c r="AX127" s="32"/>
      <c r="AY127" s="54"/>
      <c r="AZ127" s="21" t="str">
        <f>IFERROR(VLOOKUP(April[[#This Row],[Drug Name5]],'Data Options'!$R$1:$S$100,2,FALSE), " ")</f>
        <v xml:space="preserve"> </v>
      </c>
      <c r="BA127" s="55"/>
      <c r="BB127" s="32"/>
      <c r="BC127" s="32"/>
      <c r="BD127" s="55"/>
      <c r="BE127" s="32"/>
      <c r="BF127" s="54"/>
      <c r="BG127" s="21" t="str">
        <f>IFERROR(VLOOKUP(April[[#This Row],[Drug Name6]],'Data Options'!$R$1:$S$100,2,FALSE), " ")</f>
        <v xml:space="preserve"> </v>
      </c>
      <c r="BH127" s="55"/>
      <c r="BI127" s="32"/>
      <c r="BJ127" s="32"/>
      <c r="BK127" s="55"/>
      <c r="BL127" s="32"/>
      <c r="BM127" s="32"/>
      <c r="BN127" s="32"/>
      <c r="BO127" s="32"/>
      <c r="BP127" s="32"/>
      <c r="BQ127" s="31"/>
      <c r="BR127" s="31"/>
      <c r="BS127" s="54"/>
      <c r="BT127" s="21" t="str">
        <f>IFERROR(VLOOKUP(April[[#This Row],[Drug Name7]],'Data Options'!$R$1:$S$100,2,FALSE), " ")</f>
        <v xml:space="preserve"> </v>
      </c>
      <c r="BU127" s="55"/>
      <c r="BV127" s="32"/>
      <c r="BW127" s="32"/>
      <c r="BX127" s="55"/>
      <c r="BY127" s="32"/>
      <c r="BZ127" s="54"/>
      <c r="CA127" s="21" t="str">
        <f>IFERROR(VLOOKUP(April[[#This Row],[Drug Name8]],'Data Options'!$R$1:$S$100,2,FALSE), " ")</f>
        <v xml:space="preserve"> </v>
      </c>
      <c r="CB127" s="55"/>
      <c r="CC127" s="32"/>
      <c r="CD127" s="32"/>
      <c r="CE127" s="55"/>
      <c r="CF127" s="32"/>
      <c r="CG127" s="54"/>
      <c r="CH127" s="21" t="str">
        <f>IFERROR(VLOOKUP(April[[#This Row],[Drug Name9]],'Data Options'!$R$1:$S$100,2,FALSE), " ")</f>
        <v xml:space="preserve"> </v>
      </c>
      <c r="CI127" s="55"/>
      <c r="CJ127" s="32"/>
      <c r="CK127" s="32"/>
      <c r="CL127" s="55"/>
      <c r="CM127" s="32"/>
    </row>
    <row r="128" spans="1:91">
      <c r="A128" s="5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1"/>
      <c r="P128" s="31"/>
      <c r="Q128" s="54"/>
      <c r="R128" s="21" t="str">
        <f>IFERROR(VLOOKUP(April[[#This Row],[Drug Name]],'Data Options'!$R$1:$S$100,2,FALSE), " ")</f>
        <v xml:space="preserve"> </v>
      </c>
      <c r="S128" s="55"/>
      <c r="T128" s="32"/>
      <c r="U128" s="32"/>
      <c r="V128" s="55"/>
      <c r="W128" s="32"/>
      <c r="X128" s="54"/>
      <c r="Y128" s="21" t="str">
        <f>IFERROR(VLOOKUP(April[[#This Row],[Drug Name2]],'Data Options'!$R$1:$S$100,2,FALSE), " ")</f>
        <v xml:space="preserve"> </v>
      </c>
      <c r="Z128" s="55"/>
      <c r="AA128" s="32"/>
      <c r="AB128" s="32"/>
      <c r="AC128" s="55"/>
      <c r="AD128" s="32"/>
      <c r="AE128" s="54"/>
      <c r="AF128" s="21" t="str">
        <f>IFERROR(VLOOKUP(April[[#This Row],[Drug Name3]],'Data Options'!$R$1:$S$100,2,FALSE), " ")</f>
        <v xml:space="preserve"> </v>
      </c>
      <c r="AG128" s="55"/>
      <c r="AH128" s="32"/>
      <c r="AI128" s="32"/>
      <c r="AJ128" s="55"/>
      <c r="AK128" s="32"/>
      <c r="AL128" s="32"/>
      <c r="AM128" s="32"/>
      <c r="AN128" s="32"/>
      <c r="AO128" s="32"/>
      <c r="AP128" s="31"/>
      <c r="AQ128" s="31"/>
      <c r="AR128" s="54"/>
      <c r="AS128" s="21" t="str">
        <f>IFERROR(VLOOKUP(April[[#This Row],[Drug Name4]],'Data Options'!$R$1:$S$100,2,FALSE), " ")</f>
        <v xml:space="preserve"> </v>
      </c>
      <c r="AT128" s="55"/>
      <c r="AU128" s="32"/>
      <c r="AV128" s="32"/>
      <c r="AW128" s="55"/>
      <c r="AX128" s="32"/>
      <c r="AY128" s="54"/>
      <c r="AZ128" s="21" t="str">
        <f>IFERROR(VLOOKUP(April[[#This Row],[Drug Name5]],'Data Options'!$R$1:$S$100,2,FALSE), " ")</f>
        <v xml:space="preserve"> </v>
      </c>
      <c r="BA128" s="55"/>
      <c r="BB128" s="32"/>
      <c r="BC128" s="32"/>
      <c r="BD128" s="55"/>
      <c r="BE128" s="32"/>
      <c r="BF128" s="54"/>
      <c r="BG128" s="21" t="str">
        <f>IFERROR(VLOOKUP(April[[#This Row],[Drug Name6]],'Data Options'!$R$1:$S$100,2,FALSE), " ")</f>
        <v xml:space="preserve"> </v>
      </c>
      <c r="BH128" s="55"/>
      <c r="BI128" s="32"/>
      <c r="BJ128" s="32"/>
      <c r="BK128" s="55"/>
      <c r="BL128" s="32"/>
      <c r="BM128" s="32"/>
      <c r="BN128" s="32"/>
      <c r="BO128" s="32"/>
      <c r="BP128" s="32"/>
      <c r="BQ128" s="31"/>
      <c r="BR128" s="31"/>
      <c r="BS128" s="54"/>
      <c r="BT128" s="21" t="str">
        <f>IFERROR(VLOOKUP(April[[#This Row],[Drug Name7]],'Data Options'!$R$1:$S$100,2,FALSE), " ")</f>
        <v xml:space="preserve"> </v>
      </c>
      <c r="BU128" s="55"/>
      <c r="BV128" s="32"/>
      <c r="BW128" s="32"/>
      <c r="BX128" s="55"/>
      <c r="BY128" s="32"/>
      <c r="BZ128" s="54"/>
      <c r="CA128" s="21" t="str">
        <f>IFERROR(VLOOKUP(April[[#This Row],[Drug Name8]],'Data Options'!$R$1:$S$100,2,FALSE), " ")</f>
        <v xml:space="preserve"> </v>
      </c>
      <c r="CB128" s="55"/>
      <c r="CC128" s="32"/>
      <c r="CD128" s="32"/>
      <c r="CE128" s="55"/>
      <c r="CF128" s="32"/>
      <c r="CG128" s="54"/>
      <c r="CH128" s="21" t="str">
        <f>IFERROR(VLOOKUP(April[[#This Row],[Drug Name9]],'Data Options'!$R$1:$S$100,2,FALSE), " ")</f>
        <v xml:space="preserve"> </v>
      </c>
      <c r="CI128" s="55"/>
      <c r="CJ128" s="32"/>
      <c r="CK128" s="32"/>
      <c r="CL128" s="55"/>
      <c r="CM128" s="32"/>
    </row>
    <row r="129" spans="1:91">
      <c r="A129" s="5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1"/>
      <c r="P129" s="31"/>
      <c r="Q129" s="54"/>
      <c r="R129" s="21" t="str">
        <f>IFERROR(VLOOKUP(April[[#This Row],[Drug Name]],'Data Options'!$R$1:$S$100,2,FALSE), " ")</f>
        <v xml:space="preserve"> </v>
      </c>
      <c r="S129" s="55"/>
      <c r="T129" s="32"/>
      <c r="U129" s="32"/>
      <c r="V129" s="55"/>
      <c r="W129" s="32"/>
      <c r="X129" s="54"/>
      <c r="Y129" s="21" t="str">
        <f>IFERROR(VLOOKUP(April[[#This Row],[Drug Name2]],'Data Options'!$R$1:$S$100,2,FALSE), " ")</f>
        <v xml:space="preserve"> </v>
      </c>
      <c r="Z129" s="55"/>
      <c r="AA129" s="32"/>
      <c r="AB129" s="32"/>
      <c r="AC129" s="55"/>
      <c r="AD129" s="32"/>
      <c r="AE129" s="54"/>
      <c r="AF129" s="21" t="str">
        <f>IFERROR(VLOOKUP(April[[#This Row],[Drug Name3]],'Data Options'!$R$1:$S$100,2,FALSE), " ")</f>
        <v xml:space="preserve"> </v>
      </c>
      <c r="AG129" s="55"/>
      <c r="AH129" s="32"/>
      <c r="AI129" s="32"/>
      <c r="AJ129" s="55"/>
      <c r="AK129" s="32"/>
      <c r="AL129" s="32"/>
      <c r="AM129" s="32"/>
      <c r="AN129" s="32"/>
      <c r="AO129" s="32"/>
      <c r="AP129" s="31"/>
      <c r="AQ129" s="31"/>
      <c r="AR129" s="54"/>
      <c r="AS129" s="21" t="str">
        <f>IFERROR(VLOOKUP(April[[#This Row],[Drug Name4]],'Data Options'!$R$1:$S$100,2,FALSE), " ")</f>
        <v xml:space="preserve"> </v>
      </c>
      <c r="AT129" s="55"/>
      <c r="AU129" s="32"/>
      <c r="AV129" s="32"/>
      <c r="AW129" s="55"/>
      <c r="AX129" s="32"/>
      <c r="AY129" s="54"/>
      <c r="AZ129" s="21" t="str">
        <f>IFERROR(VLOOKUP(April[[#This Row],[Drug Name5]],'Data Options'!$R$1:$S$100,2,FALSE), " ")</f>
        <v xml:space="preserve"> </v>
      </c>
      <c r="BA129" s="55"/>
      <c r="BB129" s="32"/>
      <c r="BC129" s="32"/>
      <c r="BD129" s="55"/>
      <c r="BE129" s="32"/>
      <c r="BF129" s="54"/>
      <c r="BG129" s="21" t="str">
        <f>IFERROR(VLOOKUP(April[[#This Row],[Drug Name6]],'Data Options'!$R$1:$S$100,2,FALSE), " ")</f>
        <v xml:space="preserve"> </v>
      </c>
      <c r="BH129" s="55"/>
      <c r="BI129" s="32"/>
      <c r="BJ129" s="32"/>
      <c r="BK129" s="55"/>
      <c r="BL129" s="32"/>
      <c r="BM129" s="32"/>
      <c r="BN129" s="32"/>
      <c r="BO129" s="32"/>
      <c r="BP129" s="32"/>
      <c r="BQ129" s="31"/>
      <c r="BR129" s="31"/>
      <c r="BS129" s="54"/>
      <c r="BT129" s="21" t="str">
        <f>IFERROR(VLOOKUP(April[[#This Row],[Drug Name7]],'Data Options'!$R$1:$S$100,2,FALSE), " ")</f>
        <v xml:space="preserve"> </v>
      </c>
      <c r="BU129" s="55"/>
      <c r="BV129" s="32"/>
      <c r="BW129" s="32"/>
      <c r="BX129" s="55"/>
      <c r="BY129" s="32"/>
      <c r="BZ129" s="54"/>
      <c r="CA129" s="21" t="str">
        <f>IFERROR(VLOOKUP(April[[#This Row],[Drug Name8]],'Data Options'!$R$1:$S$100,2,FALSE), " ")</f>
        <v xml:space="preserve"> </v>
      </c>
      <c r="CB129" s="55"/>
      <c r="CC129" s="32"/>
      <c r="CD129" s="32"/>
      <c r="CE129" s="55"/>
      <c r="CF129" s="32"/>
      <c r="CG129" s="54"/>
      <c r="CH129" s="21" t="str">
        <f>IFERROR(VLOOKUP(April[[#This Row],[Drug Name9]],'Data Options'!$R$1:$S$100,2,FALSE), " ")</f>
        <v xml:space="preserve"> </v>
      </c>
      <c r="CI129" s="55"/>
      <c r="CJ129" s="32"/>
      <c r="CK129" s="32"/>
      <c r="CL129" s="55"/>
      <c r="CM129" s="32"/>
    </row>
    <row r="130" spans="1:91">
      <c r="A130" s="5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1"/>
      <c r="P130" s="31"/>
      <c r="Q130" s="54"/>
      <c r="R130" s="21" t="str">
        <f>IFERROR(VLOOKUP(April[[#This Row],[Drug Name]],'Data Options'!$R$1:$S$100,2,FALSE), " ")</f>
        <v xml:space="preserve"> </v>
      </c>
      <c r="S130" s="55"/>
      <c r="T130" s="32"/>
      <c r="U130" s="32"/>
      <c r="V130" s="55"/>
      <c r="W130" s="32"/>
      <c r="X130" s="54"/>
      <c r="Y130" s="21" t="str">
        <f>IFERROR(VLOOKUP(April[[#This Row],[Drug Name2]],'Data Options'!$R$1:$S$100,2,FALSE), " ")</f>
        <v xml:space="preserve"> </v>
      </c>
      <c r="Z130" s="55"/>
      <c r="AA130" s="32"/>
      <c r="AB130" s="32"/>
      <c r="AC130" s="55"/>
      <c r="AD130" s="32"/>
      <c r="AE130" s="54"/>
      <c r="AF130" s="21" t="str">
        <f>IFERROR(VLOOKUP(April[[#This Row],[Drug Name3]],'Data Options'!$R$1:$S$100,2,FALSE), " ")</f>
        <v xml:space="preserve"> </v>
      </c>
      <c r="AG130" s="55"/>
      <c r="AH130" s="32"/>
      <c r="AI130" s="32"/>
      <c r="AJ130" s="55"/>
      <c r="AK130" s="32"/>
      <c r="AL130" s="32"/>
      <c r="AM130" s="32"/>
      <c r="AN130" s="32"/>
      <c r="AO130" s="32"/>
      <c r="AP130" s="31"/>
      <c r="AQ130" s="31"/>
      <c r="AR130" s="54"/>
      <c r="AS130" s="21" t="str">
        <f>IFERROR(VLOOKUP(April[[#This Row],[Drug Name4]],'Data Options'!$R$1:$S$100,2,FALSE), " ")</f>
        <v xml:space="preserve"> </v>
      </c>
      <c r="AT130" s="55"/>
      <c r="AU130" s="32"/>
      <c r="AV130" s="32"/>
      <c r="AW130" s="55"/>
      <c r="AX130" s="32"/>
      <c r="AY130" s="54"/>
      <c r="AZ130" s="21" t="str">
        <f>IFERROR(VLOOKUP(April[[#This Row],[Drug Name5]],'Data Options'!$R$1:$S$100,2,FALSE), " ")</f>
        <v xml:space="preserve"> </v>
      </c>
      <c r="BA130" s="55"/>
      <c r="BB130" s="32"/>
      <c r="BC130" s="32"/>
      <c r="BD130" s="55"/>
      <c r="BE130" s="32"/>
      <c r="BF130" s="54"/>
      <c r="BG130" s="21" t="str">
        <f>IFERROR(VLOOKUP(April[[#This Row],[Drug Name6]],'Data Options'!$R$1:$S$100,2,FALSE), " ")</f>
        <v xml:space="preserve"> </v>
      </c>
      <c r="BH130" s="55"/>
      <c r="BI130" s="32"/>
      <c r="BJ130" s="32"/>
      <c r="BK130" s="55"/>
      <c r="BL130" s="32"/>
      <c r="BM130" s="32"/>
      <c r="BN130" s="32"/>
      <c r="BO130" s="32"/>
      <c r="BP130" s="32"/>
      <c r="BQ130" s="31"/>
      <c r="BR130" s="31"/>
      <c r="BS130" s="54"/>
      <c r="BT130" s="21" t="str">
        <f>IFERROR(VLOOKUP(April[[#This Row],[Drug Name7]],'Data Options'!$R$1:$S$100,2,FALSE), " ")</f>
        <v xml:space="preserve"> </v>
      </c>
      <c r="BU130" s="55"/>
      <c r="BV130" s="32"/>
      <c r="BW130" s="32"/>
      <c r="BX130" s="55"/>
      <c r="BY130" s="32"/>
      <c r="BZ130" s="54"/>
      <c r="CA130" s="21" t="str">
        <f>IFERROR(VLOOKUP(April[[#This Row],[Drug Name8]],'Data Options'!$R$1:$S$100,2,FALSE), " ")</f>
        <v xml:space="preserve"> </v>
      </c>
      <c r="CB130" s="55"/>
      <c r="CC130" s="32"/>
      <c r="CD130" s="32"/>
      <c r="CE130" s="55"/>
      <c r="CF130" s="32"/>
      <c r="CG130" s="54"/>
      <c r="CH130" s="21" t="str">
        <f>IFERROR(VLOOKUP(April[[#This Row],[Drug Name9]],'Data Options'!$R$1:$S$100,2,FALSE), " ")</f>
        <v xml:space="preserve"> </v>
      </c>
      <c r="CI130" s="55"/>
      <c r="CJ130" s="32"/>
      <c r="CK130" s="32"/>
      <c r="CL130" s="55"/>
      <c r="CM130" s="32"/>
    </row>
    <row r="131" spans="1:91">
      <c r="A131" s="5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1"/>
      <c r="P131" s="31"/>
      <c r="Q131" s="54"/>
      <c r="R131" s="21" t="str">
        <f>IFERROR(VLOOKUP(April[[#This Row],[Drug Name]],'Data Options'!$R$1:$S$100,2,FALSE), " ")</f>
        <v xml:space="preserve"> </v>
      </c>
      <c r="S131" s="55"/>
      <c r="T131" s="32"/>
      <c r="U131" s="32"/>
      <c r="V131" s="55"/>
      <c r="W131" s="32"/>
      <c r="X131" s="54"/>
      <c r="Y131" s="21" t="str">
        <f>IFERROR(VLOOKUP(April[[#This Row],[Drug Name2]],'Data Options'!$R$1:$S$100,2,FALSE), " ")</f>
        <v xml:space="preserve"> </v>
      </c>
      <c r="Z131" s="55"/>
      <c r="AA131" s="32"/>
      <c r="AB131" s="32"/>
      <c r="AC131" s="55"/>
      <c r="AD131" s="32"/>
      <c r="AE131" s="54"/>
      <c r="AF131" s="21" t="str">
        <f>IFERROR(VLOOKUP(April[[#This Row],[Drug Name3]],'Data Options'!$R$1:$S$100,2,FALSE), " ")</f>
        <v xml:space="preserve"> </v>
      </c>
      <c r="AG131" s="55"/>
      <c r="AH131" s="32"/>
      <c r="AI131" s="32"/>
      <c r="AJ131" s="55"/>
      <c r="AK131" s="32"/>
      <c r="AL131" s="32"/>
      <c r="AM131" s="32"/>
      <c r="AN131" s="32"/>
      <c r="AO131" s="32"/>
      <c r="AP131" s="31"/>
      <c r="AQ131" s="31"/>
      <c r="AR131" s="54"/>
      <c r="AS131" s="21" t="str">
        <f>IFERROR(VLOOKUP(April[[#This Row],[Drug Name4]],'Data Options'!$R$1:$S$100,2,FALSE), " ")</f>
        <v xml:space="preserve"> </v>
      </c>
      <c r="AT131" s="55"/>
      <c r="AU131" s="32"/>
      <c r="AV131" s="32"/>
      <c r="AW131" s="55"/>
      <c r="AX131" s="32"/>
      <c r="AY131" s="54"/>
      <c r="AZ131" s="21" t="str">
        <f>IFERROR(VLOOKUP(April[[#This Row],[Drug Name5]],'Data Options'!$R$1:$S$100,2,FALSE), " ")</f>
        <v xml:space="preserve"> </v>
      </c>
      <c r="BA131" s="55"/>
      <c r="BB131" s="32"/>
      <c r="BC131" s="32"/>
      <c r="BD131" s="55"/>
      <c r="BE131" s="32"/>
      <c r="BF131" s="54"/>
      <c r="BG131" s="21" t="str">
        <f>IFERROR(VLOOKUP(April[[#This Row],[Drug Name6]],'Data Options'!$R$1:$S$100,2,FALSE), " ")</f>
        <v xml:space="preserve"> </v>
      </c>
      <c r="BH131" s="55"/>
      <c r="BI131" s="32"/>
      <c r="BJ131" s="32"/>
      <c r="BK131" s="55"/>
      <c r="BL131" s="32"/>
      <c r="BM131" s="32"/>
      <c r="BN131" s="32"/>
      <c r="BO131" s="32"/>
      <c r="BP131" s="32"/>
      <c r="BQ131" s="31"/>
      <c r="BR131" s="31"/>
      <c r="BS131" s="54"/>
      <c r="BT131" s="21" t="str">
        <f>IFERROR(VLOOKUP(April[[#This Row],[Drug Name7]],'Data Options'!$R$1:$S$100,2,FALSE), " ")</f>
        <v xml:space="preserve"> </v>
      </c>
      <c r="BU131" s="55"/>
      <c r="BV131" s="32"/>
      <c r="BW131" s="32"/>
      <c r="BX131" s="55"/>
      <c r="BY131" s="32"/>
      <c r="BZ131" s="54"/>
      <c r="CA131" s="21" t="str">
        <f>IFERROR(VLOOKUP(April[[#This Row],[Drug Name8]],'Data Options'!$R$1:$S$100,2,FALSE), " ")</f>
        <v xml:space="preserve"> </v>
      </c>
      <c r="CB131" s="55"/>
      <c r="CC131" s="32"/>
      <c r="CD131" s="32"/>
      <c r="CE131" s="55"/>
      <c r="CF131" s="32"/>
      <c r="CG131" s="54"/>
      <c r="CH131" s="21" t="str">
        <f>IFERROR(VLOOKUP(April[[#This Row],[Drug Name9]],'Data Options'!$R$1:$S$100,2,FALSE), " ")</f>
        <v xml:space="preserve"> </v>
      </c>
      <c r="CI131" s="55"/>
      <c r="CJ131" s="32"/>
      <c r="CK131" s="32"/>
      <c r="CL131" s="55"/>
      <c r="CM131" s="32"/>
    </row>
    <row r="132" spans="1:91">
      <c r="A132" s="5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1"/>
      <c r="P132" s="31"/>
      <c r="Q132" s="54"/>
      <c r="R132" s="21" t="str">
        <f>IFERROR(VLOOKUP(April[[#This Row],[Drug Name]],'Data Options'!$R$1:$S$100,2,FALSE), " ")</f>
        <v xml:space="preserve"> </v>
      </c>
      <c r="S132" s="55"/>
      <c r="T132" s="32"/>
      <c r="U132" s="32"/>
      <c r="V132" s="55"/>
      <c r="W132" s="32"/>
      <c r="X132" s="54"/>
      <c r="Y132" s="21" t="str">
        <f>IFERROR(VLOOKUP(April[[#This Row],[Drug Name2]],'Data Options'!$R$1:$S$100,2,FALSE), " ")</f>
        <v xml:space="preserve"> </v>
      </c>
      <c r="Z132" s="55"/>
      <c r="AA132" s="32"/>
      <c r="AB132" s="32"/>
      <c r="AC132" s="55"/>
      <c r="AD132" s="32"/>
      <c r="AE132" s="54"/>
      <c r="AF132" s="21" t="str">
        <f>IFERROR(VLOOKUP(April[[#This Row],[Drug Name3]],'Data Options'!$R$1:$S$100,2,FALSE), " ")</f>
        <v xml:space="preserve"> </v>
      </c>
      <c r="AG132" s="55"/>
      <c r="AH132" s="32"/>
      <c r="AI132" s="32"/>
      <c r="AJ132" s="55"/>
      <c r="AK132" s="32"/>
      <c r="AL132" s="32"/>
      <c r="AM132" s="32"/>
      <c r="AN132" s="32"/>
      <c r="AO132" s="32"/>
      <c r="AP132" s="31"/>
      <c r="AQ132" s="31"/>
      <c r="AR132" s="54"/>
      <c r="AS132" s="21" t="str">
        <f>IFERROR(VLOOKUP(April[[#This Row],[Drug Name4]],'Data Options'!$R$1:$S$100,2,FALSE), " ")</f>
        <v xml:space="preserve"> </v>
      </c>
      <c r="AT132" s="55"/>
      <c r="AU132" s="32"/>
      <c r="AV132" s="32"/>
      <c r="AW132" s="55"/>
      <c r="AX132" s="32"/>
      <c r="AY132" s="54"/>
      <c r="AZ132" s="21" t="str">
        <f>IFERROR(VLOOKUP(April[[#This Row],[Drug Name5]],'Data Options'!$R$1:$S$100,2,FALSE), " ")</f>
        <v xml:space="preserve"> </v>
      </c>
      <c r="BA132" s="55"/>
      <c r="BB132" s="32"/>
      <c r="BC132" s="32"/>
      <c r="BD132" s="55"/>
      <c r="BE132" s="32"/>
      <c r="BF132" s="54"/>
      <c r="BG132" s="21" t="str">
        <f>IFERROR(VLOOKUP(April[[#This Row],[Drug Name6]],'Data Options'!$R$1:$S$100,2,FALSE), " ")</f>
        <v xml:space="preserve"> </v>
      </c>
      <c r="BH132" s="55"/>
      <c r="BI132" s="32"/>
      <c r="BJ132" s="32"/>
      <c r="BK132" s="55"/>
      <c r="BL132" s="32"/>
      <c r="BM132" s="32"/>
      <c r="BN132" s="32"/>
      <c r="BO132" s="32"/>
      <c r="BP132" s="32"/>
      <c r="BQ132" s="31"/>
      <c r="BR132" s="31"/>
      <c r="BS132" s="54"/>
      <c r="BT132" s="21" t="str">
        <f>IFERROR(VLOOKUP(April[[#This Row],[Drug Name7]],'Data Options'!$R$1:$S$100,2,FALSE), " ")</f>
        <v xml:space="preserve"> </v>
      </c>
      <c r="BU132" s="55"/>
      <c r="BV132" s="32"/>
      <c r="BW132" s="32"/>
      <c r="BX132" s="55"/>
      <c r="BY132" s="32"/>
      <c r="BZ132" s="54"/>
      <c r="CA132" s="21" t="str">
        <f>IFERROR(VLOOKUP(April[[#This Row],[Drug Name8]],'Data Options'!$R$1:$S$100,2,FALSE), " ")</f>
        <v xml:space="preserve"> </v>
      </c>
      <c r="CB132" s="55"/>
      <c r="CC132" s="32"/>
      <c r="CD132" s="32"/>
      <c r="CE132" s="55"/>
      <c r="CF132" s="32"/>
      <c r="CG132" s="54"/>
      <c r="CH132" s="21" t="str">
        <f>IFERROR(VLOOKUP(April[[#This Row],[Drug Name9]],'Data Options'!$R$1:$S$100,2,FALSE), " ")</f>
        <v xml:space="preserve"> </v>
      </c>
      <c r="CI132" s="55"/>
      <c r="CJ132" s="32"/>
      <c r="CK132" s="32"/>
      <c r="CL132" s="55"/>
      <c r="CM132" s="32"/>
    </row>
    <row r="133" spans="1:91">
      <c r="A133" s="5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54"/>
      <c r="R133" s="21" t="str">
        <f>IFERROR(VLOOKUP(April[[#This Row],[Drug Name]],'Data Options'!$R$1:$S$100,2,FALSE), " ")</f>
        <v xml:space="preserve"> </v>
      </c>
      <c r="S133" s="55"/>
      <c r="T133" s="32"/>
      <c r="U133" s="32"/>
      <c r="V133" s="55"/>
      <c r="W133" s="32"/>
      <c r="X133" s="54"/>
      <c r="Y133" s="21" t="str">
        <f>IFERROR(VLOOKUP(April[[#This Row],[Drug Name2]],'Data Options'!$R$1:$S$100,2,FALSE), " ")</f>
        <v xml:space="preserve"> </v>
      </c>
      <c r="Z133" s="55"/>
      <c r="AA133" s="32"/>
      <c r="AB133" s="32"/>
      <c r="AC133" s="55"/>
      <c r="AD133" s="32"/>
      <c r="AE133" s="54"/>
      <c r="AF133" s="21" t="str">
        <f>IFERROR(VLOOKUP(April[[#This Row],[Drug Name3]],'Data Options'!$R$1:$S$100,2,FALSE), " ")</f>
        <v xml:space="preserve"> </v>
      </c>
      <c r="AG133" s="55"/>
      <c r="AH133" s="32"/>
      <c r="AI133" s="32"/>
      <c r="AJ133" s="55"/>
      <c r="AK133" s="32"/>
      <c r="AL133" s="32"/>
      <c r="AM133" s="32"/>
      <c r="AN133" s="32"/>
      <c r="AO133" s="32"/>
      <c r="AP133" s="31"/>
      <c r="AQ133" s="31"/>
      <c r="AR133" s="54"/>
      <c r="AS133" s="21" t="str">
        <f>IFERROR(VLOOKUP(April[[#This Row],[Drug Name4]],'Data Options'!$R$1:$S$100,2,FALSE), " ")</f>
        <v xml:space="preserve"> </v>
      </c>
      <c r="AT133" s="55"/>
      <c r="AU133" s="32"/>
      <c r="AV133" s="32"/>
      <c r="AW133" s="55"/>
      <c r="AX133" s="32"/>
      <c r="AY133" s="54"/>
      <c r="AZ133" s="21" t="str">
        <f>IFERROR(VLOOKUP(April[[#This Row],[Drug Name5]],'Data Options'!$R$1:$S$100,2,FALSE), " ")</f>
        <v xml:space="preserve"> </v>
      </c>
      <c r="BA133" s="55"/>
      <c r="BB133" s="32"/>
      <c r="BC133" s="32"/>
      <c r="BD133" s="55"/>
      <c r="BE133" s="32"/>
      <c r="BF133" s="54"/>
      <c r="BG133" s="21" t="str">
        <f>IFERROR(VLOOKUP(April[[#This Row],[Drug Name6]],'Data Options'!$R$1:$S$100,2,FALSE), " ")</f>
        <v xml:space="preserve"> </v>
      </c>
      <c r="BH133" s="55"/>
      <c r="BI133" s="32"/>
      <c r="BJ133" s="32"/>
      <c r="BK133" s="55"/>
      <c r="BL133" s="32"/>
      <c r="BM133" s="32"/>
      <c r="BN133" s="32"/>
      <c r="BO133" s="32"/>
      <c r="BP133" s="32"/>
      <c r="BQ133" s="31"/>
      <c r="BR133" s="31"/>
      <c r="BS133" s="54"/>
      <c r="BT133" s="21" t="str">
        <f>IFERROR(VLOOKUP(April[[#This Row],[Drug Name7]],'Data Options'!$R$1:$S$100,2,FALSE), " ")</f>
        <v xml:space="preserve"> </v>
      </c>
      <c r="BU133" s="55"/>
      <c r="BV133" s="32"/>
      <c r="BW133" s="32"/>
      <c r="BX133" s="55"/>
      <c r="BY133" s="32"/>
      <c r="BZ133" s="54"/>
      <c r="CA133" s="21" t="str">
        <f>IFERROR(VLOOKUP(April[[#This Row],[Drug Name8]],'Data Options'!$R$1:$S$100,2,FALSE), " ")</f>
        <v xml:space="preserve"> </v>
      </c>
      <c r="CB133" s="55"/>
      <c r="CC133" s="32"/>
      <c r="CD133" s="32"/>
      <c r="CE133" s="55"/>
      <c r="CF133" s="32"/>
      <c r="CG133" s="54"/>
      <c r="CH133" s="21" t="str">
        <f>IFERROR(VLOOKUP(April[[#This Row],[Drug Name9]],'Data Options'!$R$1:$S$100,2,FALSE), " ")</f>
        <v xml:space="preserve"> </v>
      </c>
      <c r="CI133" s="55"/>
      <c r="CJ133" s="32"/>
      <c r="CK133" s="32"/>
      <c r="CL133" s="55"/>
      <c r="CM133" s="32"/>
    </row>
    <row r="134" spans="1:91">
      <c r="A134" s="5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54"/>
      <c r="R134" s="21" t="str">
        <f>IFERROR(VLOOKUP(April[[#This Row],[Drug Name]],'Data Options'!$R$1:$S$100,2,FALSE), " ")</f>
        <v xml:space="preserve"> </v>
      </c>
      <c r="S134" s="55"/>
      <c r="T134" s="32"/>
      <c r="U134" s="32"/>
      <c r="V134" s="55"/>
      <c r="W134" s="32"/>
      <c r="X134" s="54"/>
      <c r="Y134" s="21" t="str">
        <f>IFERROR(VLOOKUP(April[[#This Row],[Drug Name2]],'Data Options'!$R$1:$S$100,2,FALSE), " ")</f>
        <v xml:space="preserve"> </v>
      </c>
      <c r="Z134" s="55"/>
      <c r="AA134" s="32"/>
      <c r="AB134" s="32"/>
      <c r="AC134" s="55"/>
      <c r="AD134" s="32"/>
      <c r="AE134" s="54"/>
      <c r="AF134" s="21" t="str">
        <f>IFERROR(VLOOKUP(April[[#This Row],[Drug Name3]],'Data Options'!$R$1:$S$100,2,FALSE), " ")</f>
        <v xml:space="preserve"> </v>
      </c>
      <c r="AG134" s="55"/>
      <c r="AH134" s="32"/>
      <c r="AI134" s="32"/>
      <c r="AJ134" s="55"/>
      <c r="AK134" s="32"/>
      <c r="AL134" s="32"/>
      <c r="AM134" s="32"/>
      <c r="AN134" s="32"/>
      <c r="AO134" s="32"/>
      <c r="AP134" s="31"/>
      <c r="AQ134" s="31"/>
      <c r="AR134" s="54"/>
      <c r="AS134" s="21" t="str">
        <f>IFERROR(VLOOKUP(April[[#This Row],[Drug Name4]],'Data Options'!$R$1:$S$100,2,FALSE), " ")</f>
        <v xml:space="preserve"> </v>
      </c>
      <c r="AT134" s="55"/>
      <c r="AU134" s="32"/>
      <c r="AV134" s="32"/>
      <c r="AW134" s="55"/>
      <c r="AX134" s="32"/>
      <c r="AY134" s="54"/>
      <c r="AZ134" s="21" t="str">
        <f>IFERROR(VLOOKUP(April[[#This Row],[Drug Name5]],'Data Options'!$R$1:$S$100,2,FALSE), " ")</f>
        <v xml:space="preserve"> </v>
      </c>
      <c r="BA134" s="55"/>
      <c r="BB134" s="32"/>
      <c r="BC134" s="32"/>
      <c r="BD134" s="55"/>
      <c r="BE134" s="32"/>
      <c r="BF134" s="54"/>
      <c r="BG134" s="21" t="str">
        <f>IFERROR(VLOOKUP(April[[#This Row],[Drug Name6]],'Data Options'!$R$1:$S$100,2,FALSE), " ")</f>
        <v xml:space="preserve"> </v>
      </c>
      <c r="BH134" s="55"/>
      <c r="BI134" s="32"/>
      <c r="BJ134" s="32"/>
      <c r="BK134" s="55"/>
      <c r="BL134" s="32"/>
      <c r="BM134" s="32"/>
      <c r="BN134" s="32"/>
      <c r="BO134" s="32"/>
      <c r="BP134" s="32"/>
      <c r="BQ134" s="31"/>
      <c r="BR134" s="31"/>
      <c r="BS134" s="54"/>
      <c r="BT134" s="21" t="str">
        <f>IFERROR(VLOOKUP(April[[#This Row],[Drug Name7]],'Data Options'!$R$1:$S$100,2,FALSE), " ")</f>
        <v xml:space="preserve"> </v>
      </c>
      <c r="BU134" s="55"/>
      <c r="BV134" s="32"/>
      <c r="BW134" s="32"/>
      <c r="BX134" s="55"/>
      <c r="BY134" s="32"/>
      <c r="BZ134" s="54"/>
      <c r="CA134" s="21" t="str">
        <f>IFERROR(VLOOKUP(April[[#This Row],[Drug Name8]],'Data Options'!$R$1:$S$100,2,FALSE), " ")</f>
        <v xml:space="preserve"> </v>
      </c>
      <c r="CB134" s="55"/>
      <c r="CC134" s="32"/>
      <c r="CD134" s="32"/>
      <c r="CE134" s="55"/>
      <c r="CF134" s="32"/>
      <c r="CG134" s="54"/>
      <c r="CH134" s="21" t="str">
        <f>IFERROR(VLOOKUP(April[[#This Row],[Drug Name9]],'Data Options'!$R$1:$S$100,2,FALSE), " ")</f>
        <v xml:space="preserve"> </v>
      </c>
      <c r="CI134" s="55"/>
      <c r="CJ134" s="32"/>
      <c r="CK134" s="32"/>
      <c r="CL134" s="55"/>
      <c r="CM134" s="32"/>
    </row>
    <row r="135" spans="1:91">
      <c r="A135" s="5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1"/>
      <c r="P135" s="31"/>
      <c r="Q135" s="54"/>
      <c r="R135" s="21" t="str">
        <f>IFERROR(VLOOKUP(April[[#This Row],[Drug Name]],'Data Options'!$R$1:$S$100,2,FALSE), " ")</f>
        <v xml:space="preserve"> </v>
      </c>
      <c r="S135" s="55"/>
      <c r="T135" s="32"/>
      <c r="U135" s="32"/>
      <c r="V135" s="55"/>
      <c r="W135" s="32"/>
      <c r="X135" s="54"/>
      <c r="Y135" s="21" t="str">
        <f>IFERROR(VLOOKUP(April[[#This Row],[Drug Name2]],'Data Options'!$R$1:$S$100,2,FALSE), " ")</f>
        <v xml:space="preserve"> </v>
      </c>
      <c r="Z135" s="55"/>
      <c r="AA135" s="32"/>
      <c r="AB135" s="32"/>
      <c r="AC135" s="55"/>
      <c r="AD135" s="32"/>
      <c r="AE135" s="54"/>
      <c r="AF135" s="21" t="str">
        <f>IFERROR(VLOOKUP(April[[#This Row],[Drug Name3]],'Data Options'!$R$1:$S$100,2,FALSE), " ")</f>
        <v xml:space="preserve"> </v>
      </c>
      <c r="AG135" s="55"/>
      <c r="AH135" s="32"/>
      <c r="AI135" s="32"/>
      <c r="AJ135" s="55"/>
      <c r="AK135" s="32"/>
      <c r="AL135" s="32"/>
      <c r="AM135" s="32"/>
      <c r="AN135" s="32"/>
      <c r="AO135" s="32"/>
      <c r="AP135" s="31"/>
      <c r="AQ135" s="31"/>
      <c r="AR135" s="54"/>
      <c r="AS135" s="21" t="str">
        <f>IFERROR(VLOOKUP(April[[#This Row],[Drug Name4]],'Data Options'!$R$1:$S$100,2,FALSE), " ")</f>
        <v xml:space="preserve"> </v>
      </c>
      <c r="AT135" s="55"/>
      <c r="AU135" s="32"/>
      <c r="AV135" s="32"/>
      <c r="AW135" s="55"/>
      <c r="AX135" s="32"/>
      <c r="AY135" s="54"/>
      <c r="AZ135" s="21" t="str">
        <f>IFERROR(VLOOKUP(April[[#This Row],[Drug Name5]],'Data Options'!$R$1:$S$100,2,FALSE), " ")</f>
        <v xml:space="preserve"> </v>
      </c>
      <c r="BA135" s="55"/>
      <c r="BB135" s="32"/>
      <c r="BC135" s="32"/>
      <c r="BD135" s="55"/>
      <c r="BE135" s="32"/>
      <c r="BF135" s="54"/>
      <c r="BG135" s="21" t="str">
        <f>IFERROR(VLOOKUP(April[[#This Row],[Drug Name6]],'Data Options'!$R$1:$S$100,2,FALSE), " ")</f>
        <v xml:space="preserve"> </v>
      </c>
      <c r="BH135" s="55"/>
      <c r="BI135" s="32"/>
      <c r="BJ135" s="32"/>
      <c r="BK135" s="55"/>
      <c r="BL135" s="32"/>
      <c r="BM135" s="32"/>
      <c r="BN135" s="32"/>
      <c r="BO135" s="32"/>
      <c r="BP135" s="32"/>
      <c r="BQ135" s="31"/>
      <c r="BR135" s="31"/>
      <c r="BS135" s="54"/>
      <c r="BT135" s="21" t="str">
        <f>IFERROR(VLOOKUP(April[[#This Row],[Drug Name7]],'Data Options'!$R$1:$S$100,2,FALSE), " ")</f>
        <v xml:space="preserve"> </v>
      </c>
      <c r="BU135" s="55"/>
      <c r="BV135" s="32"/>
      <c r="BW135" s="32"/>
      <c r="BX135" s="55"/>
      <c r="BY135" s="32"/>
      <c r="BZ135" s="54"/>
      <c r="CA135" s="21" t="str">
        <f>IFERROR(VLOOKUP(April[[#This Row],[Drug Name8]],'Data Options'!$R$1:$S$100,2,FALSE), " ")</f>
        <v xml:space="preserve"> </v>
      </c>
      <c r="CB135" s="55"/>
      <c r="CC135" s="32"/>
      <c r="CD135" s="32"/>
      <c r="CE135" s="55"/>
      <c r="CF135" s="32"/>
      <c r="CG135" s="54"/>
      <c r="CH135" s="21" t="str">
        <f>IFERROR(VLOOKUP(April[[#This Row],[Drug Name9]],'Data Options'!$R$1:$S$100,2,FALSE), " ")</f>
        <v xml:space="preserve"> </v>
      </c>
      <c r="CI135" s="55"/>
      <c r="CJ135" s="32"/>
      <c r="CK135" s="32"/>
      <c r="CL135" s="55"/>
      <c r="CM135" s="32"/>
    </row>
    <row r="136" spans="1:91">
      <c r="A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1"/>
      <c r="P136" s="31"/>
      <c r="Q136" s="54"/>
      <c r="R136" s="21" t="str">
        <f>IFERROR(VLOOKUP(April[[#This Row],[Drug Name]],'Data Options'!$R$1:$S$100,2,FALSE), " ")</f>
        <v xml:space="preserve"> </v>
      </c>
      <c r="S136" s="55"/>
      <c r="T136" s="32"/>
      <c r="U136" s="32"/>
      <c r="V136" s="55"/>
      <c r="W136" s="32"/>
      <c r="X136" s="54"/>
      <c r="Y136" s="21" t="str">
        <f>IFERROR(VLOOKUP(April[[#This Row],[Drug Name2]],'Data Options'!$R$1:$S$100,2,FALSE), " ")</f>
        <v xml:space="preserve"> </v>
      </c>
      <c r="Z136" s="55"/>
      <c r="AA136" s="32"/>
      <c r="AB136" s="32"/>
      <c r="AC136" s="55"/>
      <c r="AD136" s="32"/>
      <c r="AE136" s="54"/>
      <c r="AF136" s="21" t="str">
        <f>IFERROR(VLOOKUP(April[[#This Row],[Drug Name3]],'Data Options'!$R$1:$S$100,2,FALSE), " ")</f>
        <v xml:space="preserve"> </v>
      </c>
      <c r="AG136" s="55"/>
      <c r="AH136" s="32"/>
      <c r="AI136" s="32"/>
      <c r="AJ136" s="55"/>
      <c r="AK136" s="32"/>
      <c r="AL136" s="32"/>
      <c r="AM136" s="32"/>
      <c r="AN136" s="32"/>
      <c r="AO136" s="32"/>
      <c r="AP136" s="31"/>
      <c r="AQ136" s="31"/>
      <c r="AR136" s="54"/>
      <c r="AS136" s="21" t="str">
        <f>IFERROR(VLOOKUP(April[[#This Row],[Drug Name4]],'Data Options'!$R$1:$S$100,2,FALSE), " ")</f>
        <v xml:space="preserve"> </v>
      </c>
      <c r="AT136" s="55"/>
      <c r="AU136" s="32"/>
      <c r="AV136" s="32"/>
      <c r="AW136" s="55"/>
      <c r="AX136" s="32"/>
      <c r="AY136" s="54"/>
      <c r="AZ136" s="21" t="str">
        <f>IFERROR(VLOOKUP(April[[#This Row],[Drug Name5]],'Data Options'!$R$1:$S$100,2,FALSE), " ")</f>
        <v xml:space="preserve"> </v>
      </c>
      <c r="BA136" s="55"/>
      <c r="BB136" s="32"/>
      <c r="BC136" s="32"/>
      <c r="BD136" s="55"/>
      <c r="BE136" s="32"/>
      <c r="BF136" s="54"/>
      <c r="BG136" s="21" t="str">
        <f>IFERROR(VLOOKUP(April[[#This Row],[Drug Name6]],'Data Options'!$R$1:$S$100,2,FALSE), " ")</f>
        <v xml:space="preserve"> </v>
      </c>
      <c r="BH136" s="55"/>
      <c r="BI136" s="32"/>
      <c r="BJ136" s="32"/>
      <c r="BK136" s="55"/>
      <c r="BL136" s="32"/>
      <c r="BM136" s="32"/>
      <c r="BN136" s="32"/>
      <c r="BO136" s="32"/>
      <c r="BP136" s="32"/>
      <c r="BQ136" s="31"/>
      <c r="BR136" s="31"/>
      <c r="BS136" s="54"/>
      <c r="BT136" s="21" t="str">
        <f>IFERROR(VLOOKUP(April[[#This Row],[Drug Name7]],'Data Options'!$R$1:$S$100,2,FALSE), " ")</f>
        <v xml:space="preserve"> </v>
      </c>
      <c r="BU136" s="55"/>
      <c r="BV136" s="32"/>
      <c r="BW136" s="32"/>
      <c r="BX136" s="55"/>
      <c r="BY136" s="32"/>
      <c r="BZ136" s="54"/>
      <c r="CA136" s="21" t="str">
        <f>IFERROR(VLOOKUP(April[[#This Row],[Drug Name8]],'Data Options'!$R$1:$S$100,2,FALSE), " ")</f>
        <v xml:space="preserve"> </v>
      </c>
      <c r="CB136" s="55"/>
      <c r="CC136" s="32"/>
      <c r="CD136" s="32"/>
      <c r="CE136" s="55"/>
      <c r="CF136" s="32"/>
      <c r="CG136" s="54"/>
      <c r="CH136" s="21" t="str">
        <f>IFERROR(VLOOKUP(April[[#This Row],[Drug Name9]],'Data Options'!$R$1:$S$100,2,FALSE), " ")</f>
        <v xml:space="preserve"> </v>
      </c>
      <c r="CI136" s="55"/>
      <c r="CJ136" s="32"/>
      <c r="CK136" s="32"/>
      <c r="CL136" s="55"/>
      <c r="CM136" s="32"/>
    </row>
    <row r="137" spans="1:91">
      <c r="A137" s="5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/>
      <c r="P137" s="31"/>
      <c r="Q137" s="54"/>
      <c r="R137" s="21" t="str">
        <f>IFERROR(VLOOKUP(April[[#This Row],[Drug Name]],'Data Options'!$R$1:$S$100,2,FALSE), " ")</f>
        <v xml:space="preserve"> </v>
      </c>
      <c r="S137" s="55"/>
      <c r="T137" s="32"/>
      <c r="U137" s="32"/>
      <c r="V137" s="55"/>
      <c r="W137" s="32"/>
      <c r="X137" s="54"/>
      <c r="Y137" s="21" t="str">
        <f>IFERROR(VLOOKUP(April[[#This Row],[Drug Name2]],'Data Options'!$R$1:$S$100,2,FALSE), " ")</f>
        <v xml:space="preserve"> </v>
      </c>
      <c r="Z137" s="55"/>
      <c r="AA137" s="32"/>
      <c r="AB137" s="32"/>
      <c r="AC137" s="55"/>
      <c r="AD137" s="32"/>
      <c r="AE137" s="54"/>
      <c r="AF137" s="21" t="str">
        <f>IFERROR(VLOOKUP(April[[#This Row],[Drug Name3]],'Data Options'!$R$1:$S$100,2,FALSE), " ")</f>
        <v xml:space="preserve"> </v>
      </c>
      <c r="AG137" s="55"/>
      <c r="AH137" s="32"/>
      <c r="AI137" s="32"/>
      <c r="AJ137" s="55"/>
      <c r="AK137" s="32"/>
      <c r="AL137" s="32"/>
      <c r="AM137" s="32"/>
      <c r="AN137" s="32"/>
      <c r="AO137" s="32"/>
      <c r="AP137" s="31"/>
      <c r="AQ137" s="31"/>
      <c r="AR137" s="54"/>
      <c r="AS137" s="21" t="str">
        <f>IFERROR(VLOOKUP(April[[#This Row],[Drug Name4]],'Data Options'!$R$1:$S$100,2,FALSE), " ")</f>
        <v xml:space="preserve"> </v>
      </c>
      <c r="AT137" s="55"/>
      <c r="AU137" s="32"/>
      <c r="AV137" s="32"/>
      <c r="AW137" s="55"/>
      <c r="AX137" s="32"/>
      <c r="AY137" s="54"/>
      <c r="AZ137" s="21" t="str">
        <f>IFERROR(VLOOKUP(April[[#This Row],[Drug Name5]],'Data Options'!$R$1:$S$100,2,FALSE), " ")</f>
        <v xml:space="preserve"> </v>
      </c>
      <c r="BA137" s="55"/>
      <c r="BB137" s="32"/>
      <c r="BC137" s="32"/>
      <c r="BD137" s="55"/>
      <c r="BE137" s="32"/>
      <c r="BF137" s="54"/>
      <c r="BG137" s="21" t="str">
        <f>IFERROR(VLOOKUP(April[[#This Row],[Drug Name6]],'Data Options'!$R$1:$S$100,2,FALSE), " ")</f>
        <v xml:space="preserve"> </v>
      </c>
      <c r="BH137" s="55"/>
      <c r="BI137" s="32"/>
      <c r="BJ137" s="32"/>
      <c r="BK137" s="55"/>
      <c r="BL137" s="32"/>
      <c r="BM137" s="32"/>
      <c r="BN137" s="32"/>
      <c r="BO137" s="32"/>
      <c r="BP137" s="32"/>
      <c r="BQ137" s="31"/>
      <c r="BR137" s="31"/>
      <c r="BS137" s="54"/>
      <c r="BT137" s="21" t="str">
        <f>IFERROR(VLOOKUP(April[[#This Row],[Drug Name7]],'Data Options'!$R$1:$S$100,2,FALSE), " ")</f>
        <v xml:space="preserve"> </v>
      </c>
      <c r="BU137" s="55"/>
      <c r="BV137" s="32"/>
      <c r="BW137" s="32"/>
      <c r="BX137" s="55"/>
      <c r="BY137" s="32"/>
      <c r="BZ137" s="54"/>
      <c r="CA137" s="21" t="str">
        <f>IFERROR(VLOOKUP(April[[#This Row],[Drug Name8]],'Data Options'!$R$1:$S$100,2,FALSE), " ")</f>
        <v xml:space="preserve"> </v>
      </c>
      <c r="CB137" s="55"/>
      <c r="CC137" s="32"/>
      <c r="CD137" s="32"/>
      <c r="CE137" s="55"/>
      <c r="CF137" s="32"/>
      <c r="CG137" s="54"/>
      <c r="CH137" s="21" t="str">
        <f>IFERROR(VLOOKUP(April[[#This Row],[Drug Name9]],'Data Options'!$R$1:$S$100,2,FALSE), " ")</f>
        <v xml:space="preserve"> </v>
      </c>
      <c r="CI137" s="55"/>
      <c r="CJ137" s="32"/>
      <c r="CK137" s="32"/>
      <c r="CL137" s="55"/>
      <c r="CM137" s="32"/>
    </row>
    <row r="138" spans="1:91">
      <c r="A138" s="5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1"/>
      <c r="P138" s="31"/>
      <c r="Q138" s="54"/>
      <c r="R138" s="21" t="str">
        <f>IFERROR(VLOOKUP(April[[#This Row],[Drug Name]],'Data Options'!$R$1:$S$100,2,FALSE), " ")</f>
        <v xml:space="preserve"> </v>
      </c>
      <c r="S138" s="55"/>
      <c r="T138" s="32"/>
      <c r="U138" s="32"/>
      <c r="V138" s="55"/>
      <c r="W138" s="32"/>
      <c r="X138" s="54"/>
      <c r="Y138" s="21" t="str">
        <f>IFERROR(VLOOKUP(April[[#This Row],[Drug Name2]],'Data Options'!$R$1:$S$100,2,FALSE), " ")</f>
        <v xml:space="preserve"> </v>
      </c>
      <c r="Z138" s="55"/>
      <c r="AA138" s="32"/>
      <c r="AB138" s="32"/>
      <c r="AC138" s="55"/>
      <c r="AD138" s="32"/>
      <c r="AE138" s="54"/>
      <c r="AF138" s="21" t="str">
        <f>IFERROR(VLOOKUP(April[[#This Row],[Drug Name3]],'Data Options'!$R$1:$S$100,2,FALSE), " ")</f>
        <v xml:space="preserve"> </v>
      </c>
      <c r="AG138" s="55"/>
      <c r="AH138" s="32"/>
      <c r="AI138" s="32"/>
      <c r="AJ138" s="55"/>
      <c r="AK138" s="32"/>
      <c r="AL138" s="32"/>
      <c r="AM138" s="32"/>
      <c r="AN138" s="32"/>
      <c r="AO138" s="32"/>
      <c r="AP138" s="31"/>
      <c r="AQ138" s="31"/>
      <c r="AR138" s="54"/>
      <c r="AS138" s="21" t="str">
        <f>IFERROR(VLOOKUP(April[[#This Row],[Drug Name4]],'Data Options'!$R$1:$S$100,2,FALSE), " ")</f>
        <v xml:space="preserve"> </v>
      </c>
      <c r="AT138" s="55"/>
      <c r="AU138" s="32"/>
      <c r="AV138" s="32"/>
      <c r="AW138" s="55"/>
      <c r="AX138" s="32"/>
      <c r="AY138" s="54"/>
      <c r="AZ138" s="21" t="str">
        <f>IFERROR(VLOOKUP(April[[#This Row],[Drug Name5]],'Data Options'!$R$1:$S$100,2,FALSE), " ")</f>
        <v xml:space="preserve"> </v>
      </c>
      <c r="BA138" s="55"/>
      <c r="BB138" s="32"/>
      <c r="BC138" s="32"/>
      <c r="BD138" s="55"/>
      <c r="BE138" s="32"/>
      <c r="BF138" s="54"/>
      <c r="BG138" s="21" t="str">
        <f>IFERROR(VLOOKUP(April[[#This Row],[Drug Name6]],'Data Options'!$R$1:$S$100,2,FALSE), " ")</f>
        <v xml:space="preserve"> </v>
      </c>
      <c r="BH138" s="55"/>
      <c r="BI138" s="32"/>
      <c r="BJ138" s="32"/>
      <c r="BK138" s="55"/>
      <c r="BL138" s="32"/>
      <c r="BM138" s="32"/>
      <c r="BN138" s="32"/>
      <c r="BO138" s="32"/>
      <c r="BP138" s="32"/>
      <c r="BQ138" s="31"/>
      <c r="BR138" s="31"/>
      <c r="BS138" s="54"/>
      <c r="BT138" s="21" t="str">
        <f>IFERROR(VLOOKUP(April[[#This Row],[Drug Name7]],'Data Options'!$R$1:$S$100,2,FALSE), " ")</f>
        <v xml:space="preserve"> </v>
      </c>
      <c r="BU138" s="55"/>
      <c r="BV138" s="32"/>
      <c r="BW138" s="32"/>
      <c r="BX138" s="55"/>
      <c r="BY138" s="32"/>
      <c r="BZ138" s="54"/>
      <c r="CA138" s="21" t="str">
        <f>IFERROR(VLOOKUP(April[[#This Row],[Drug Name8]],'Data Options'!$R$1:$S$100,2,FALSE), " ")</f>
        <v xml:space="preserve"> </v>
      </c>
      <c r="CB138" s="55"/>
      <c r="CC138" s="32"/>
      <c r="CD138" s="32"/>
      <c r="CE138" s="55"/>
      <c r="CF138" s="32"/>
      <c r="CG138" s="54"/>
      <c r="CH138" s="21" t="str">
        <f>IFERROR(VLOOKUP(April[[#This Row],[Drug Name9]],'Data Options'!$R$1:$S$100,2,FALSE), " ")</f>
        <v xml:space="preserve"> </v>
      </c>
      <c r="CI138" s="55"/>
      <c r="CJ138" s="32"/>
      <c r="CK138" s="32"/>
      <c r="CL138" s="55"/>
      <c r="CM138" s="32"/>
    </row>
    <row r="139" spans="1:91">
      <c r="A139" s="5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1"/>
      <c r="P139" s="31"/>
      <c r="Q139" s="54"/>
      <c r="R139" s="21" t="str">
        <f>IFERROR(VLOOKUP(April[[#This Row],[Drug Name]],'Data Options'!$R$1:$S$100,2,FALSE), " ")</f>
        <v xml:space="preserve"> </v>
      </c>
      <c r="S139" s="55"/>
      <c r="T139" s="32"/>
      <c r="U139" s="32"/>
      <c r="V139" s="55"/>
      <c r="W139" s="32"/>
      <c r="X139" s="54"/>
      <c r="Y139" s="21" t="str">
        <f>IFERROR(VLOOKUP(April[[#This Row],[Drug Name2]],'Data Options'!$R$1:$S$100,2,FALSE), " ")</f>
        <v xml:space="preserve"> </v>
      </c>
      <c r="Z139" s="55"/>
      <c r="AA139" s="32"/>
      <c r="AB139" s="32"/>
      <c r="AC139" s="55"/>
      <c r="AD139" s="32"/>
      <c r="AE139" s="54"/>
      <c r="AF139" s="21" t="str">
        <f>IFERROR(VLOOKUP(April[[#This Row],[Drug Name3]],'Data Options'!$R$1:$S$100,2,FALSE), " ")</f>
        <v xml:space="preserve"> </v>
      </c>
      <c r="AG139" s="55"/>
      <c r="AH139" s="32"/>
      <c r="AI139" s="32"/>
      <c r="AJ139" s="55"/>
      <c r="AK139" s="32"/>
      <c r="AL139" s="32"/>
      <c r="AM139" s="32"/>
      <c r="AN139" s="32"/>
      <c r="AO139" s="32"/>
      <c r="AP139" s="31"/>
      <c r="AQ139" s="31"/>
      <c r="AR139" s="54"/>
      <c r="AS139" s="21" t="str">
        <f>IFERROR(VLOOKUP(April[[#This Row],[Drug Name4]],'Data Options'!$R$1:$S$100,2,FALSE), " ")</f>
        <v xml:space="preserve"> </v>
      </c>
      <c r="AT139" s="55"/>
      <c r="AU139" s="32"/>
      <c r="AV139" s="32"/>
      <c r="AW139" s="55"/>
      <c r="AX139" s="32"/>
      <c r="AY139" s="54"/>
      <c r="AZ139" s="21" t="str">
        <f>IFERROR(VLOOKUP(April[[#This Row],[Drug Name5]],'Data Options'!$R$1:$S$100,2,FALSE), " ")</f>
        <v xml:space="preserve"> </v>
      </c>
      <c r="BA139" s="55"/>
      <c r="BB139" s="32"/>
      <c r="BC139" s="32"/>
      <c r="BD139" s="55"/>
      <c r="BE139" s="32"/>
      <c r="BF139" s="54"/>
      <c r="BG139" s="21" t="str">
        <f>IFERROR(VLOOKUP(April[[#This Row],[Drug Name6]],'Data Options'!$R$1:$S$100,2,FALSE), " ")</f>
        <v xml:space="preserve"> </v>
      </c>
      <c r="BH139" s="55"/>
      <c r="BI139" s="32"/>
      <c r="BJ139" s="32"/>
      <c r="BK139" s="55"/>
      <c r="BL139" s="32"/>
      <c r="BM139" s="32"/>
      <c r="BN139" s="32"/>
      <c r="BO139" s="32"/>
      <c r="BP139" s="32"/>
      <c r="BQ139" s="31"/>
      <c r="BR139" s="31"/>
      <c r="BS139" s="54"/>
      <c r="BT139" s="21" t="str">
        <f>IFERROR(VLOOKUP(April[[#This Row],[Drug Name7]],'Data Options'!$R$1:$S$100,2,FALSE), " ")</f>
        <v xml:space="preserve"> </v>
      </c>
      <c r="BU139" s="55"/>
      <c r="BV139" s="32"/>
      <c r="BW139" s="32"/>
      <c r="BX139" s="55"/>
      <c r="BY139" s="32"/>
      <c r="BZ139" s="54"/>
      <c r="CA139" s="21" t="str">
        <f>IFERROR(VLOOKUP(April[[#This Row],[Drug Name8]],'Data Options'!$R$1:$S$100,2,FALSE), " ")</f>
        <v xml:space="preserve"> </v>
      </c>
      <c r="CB139" s="55"/>
      <c r="CC139" s="32"/>
      <c r="CD139" s="32"/>
      <c r="CE139" s="55"/>
      <c r="CF139" s="32"/>
      <c r="CG139" s="54"/>
      <c r="CH139" s="21" t="str">
        <f>IFERROR(VLOOKUP(April[[#This Row],[Drug Name9]],'Data Options'!$R$1:$S$100,2,FALSE), " ")</f>
        <v xml:space="preserve"> </v>
      </c>
      <c r="CI139" s="55"/>
      <c r="CJ139" s="32"/>
      <c r="CK139" s="32"/>
      <c r="CL139" s="55"/>
      <c r="CM139" s="32"/>
    </row>
    <row r="140" spans="1:91">
      <c r="A140" s="5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1"/>
      <c r="P140" s="31"/>
      <c r="Q140" s="54"/>
      <c r="R140" s="21" t="str">
        <f>IFERROR(VLOOKUP(April[[#This Row],[Drug Name]],'Data Options'!$R$1:$S$100,2,FALSE), " ")</f>
        <v xml:space="preserve"> </v>
      </c>
      <c r="S140" s="55"/>
      <c r="T140" s="32"/>
      <c r="U140" s="32"/>
      <c r="V140" s="55"/>
      <c r="W140" s="32"/>
      <c r="X140" s="54"/>
      <c r="Y140" s="21" t="str">
        <f>IFERROR(VLOOKUP(April[[#This Row],[Drug Name2]],'Data Options'!$R$1:$S$100,2,FALSE), " ")</f>
        <v xml:space="preserve"> </v>
      </c>
      <c r="Z140" s="55"/>
      <c r="AA140" s="32"/>
      <c r="AB140" s="32"/>
      <c r="AC140" s="55"/>
      <c r="AD140" s="32"/>
      <c r="AE140" s="54"/>
      <c r="AF140" s="21" t="str">
        <f>IFERROR(VLOOKUP(April[[#This Row],[Drug Name3]],'Data Options'!$R$1:$S$100,2,FALSE), " ")</f>
        <v xml:space="preserve"> </v>
      </c>
      <c r="AG140" s="55"/>
      <c r="AH140" s="32"/>
      <c r="AI140" s="32"/>
      <c r="AJ140" s="55"/>
      <c r="AK140" s="32"/>
      <c r="AL140" s="32"/>
      <c r="AM140" s="32"/>
      <c r="AN140" s="32"/>
      <c r="AO140" s="32"/>
      <c r="AP140" s="31"/>
      <c r="AQ140" s="31"/>
      <c r="AR140" s="54"/>
      <c r="AS140" s="21" t="str">
        <f>IFERROR(VLOOKUP(April[[#This Row],[Drug Name4]],'Data Options'!$R$1:$S$100,2,FALSE), " ")</f>
        <v xml:space="preserve"> </v>
      </c>
      <c r="AT140" s="55"/>
      <c r="AU140" s="32"/>
      <c r="AV140" s="32"/>
      <c r="AW140" s="55"/>
      <c r="AX140" s="32"/>
      <c r="AY140" s="54"/>
      <c r="AZ140" s="21" t="str">
        <f>IFERROR(VLOOKUP(April[[#This Row],[Drug Name5]],'Data Options'!$R$1:$S$100,2,FALSE), " ")</f>
        <v xml:space="preserve"> </v>
      </c>
      <c r="BA140" s="55"/>
      <c r="BB140" s="32"/>
      <c r="BC140" s="32"/>
      <c r="BD140" s="55"/>
      <c r="BE140" s="32"/>
      <c r="BF140" s="54"/>
      <c r="BG140" s="21" t="str">
        <f>IFERROR(VLOOKUP(April[[#This Row],[Drug Name6]],'Data Options'!$R$1:$S$100,2,FALSE), " ")</f>
        <v xml:space="preserve"> </v>
      </c>
      <c r="BH140" s="55"/>
      <c r="BI140" s="32"/>
      <c r="BJ140" s="32"/>
      <c r="BK140" s="55"/>
      <c r="BL140" s="32"/>
      <c r="BM140" s="32"/>
      <c r="BN140" s="32"/>
      <c r="BO140" s="32"/>
      <c r="BP140" s="32"/>
      <c r="BQ140" s="31"/>
      <c r="BR140" s="31"/>
      <c r="BS140" s="54"/>
      <c r="BT140" s="21" t="str">
        <f>IFERROR(VLOOKUP(April[[#This Row],[Drug Name7]],'Data Options'!$R$1:$S$100,2,FALSE), " ")</f>
        <v xml:space="preserve"> </v>
      </c>
      <c r="BU140" s="55"/>
      <c r="BV140" s="32"/>
      <c r="BW140" s="32"/>
      <c r="BX140" s="55"/>
      <c r="BY140" s="32"/>
      <c r="BZ140" s="54"/>
      <c r="CA140" s="21" t="str">
        <f>IFERROR(VLOOKUP(April[[#This Row],[Drug Name8]],'Data Options'!$R$1:$S$100,2,FALSE), " ")</f>
        <v xml:space="preserve"> </v>
      </c>
      <c r="CB140" s="55"/>
      <c r="CC140" s="32"/>
      <c r="CD140" s="32"/>
      <c r="CE140" s="55"/>
      <c r="CF140" s="32"/>
      <c r="CG140" s="54"/>
      <c r="CH140" s="21" t="str">
        <f>IFERROR(VLOOKUP(April[[#This Row],[Drug Name9]],'Data Options'!$R$1:$S$100,2,FALSE), " ")</f>
        <v xml:space="preserve"> </v>
      </c>
      <c r="CI140" s="55"/>
      <c r="CJ140" s="32"/>
      <c r="CK140" s="32"/>
      <c r="CL140" s="55"/>
      <c r="CM140" s="32"/>
    </row>
    <row r="141" spans="1:91">
      <c r="A141" s="5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1"/>
      <c r="Q141" s="54"/>
      <c r="R141" s="21" t="str">
        <f>IFERROR(VLOOKUP(April[[#This Row],[Drug Name]],'Data Options'!$R$1:$S$100,2,FALSE), " ")</f>
        <v xml:space="preserve"> </v>
      </c>
      <c r="S141" s="55"/>
      <c r="T141" s="32"/>
      <c r="U141" s="32"/>
      <c r="V141" s="55"/>
      <c r="W141" s="32"/>
      <c r="X141" s="54"/>
      <c r="Y141" s="21" t="str">
        <f>IFERROR(VLOOKUP(April[[#This Row],[Drug Name2]],'Data Options'!$R$1:$S$100,2,FALSE), " ")</f>
        <v xml:space="preserve"> </v>
      </c>
      <c r="Z141" s="55"/>
      <c r="AA141" s="32"/>
      <c r="AB141" s="32"/>
      <c r="AC141" s="55"/>
      <c r="AD141" s="32"/>
      <c r="AE141" s="54"/>
      <c r="AF141" s="21" t="str">
        <f>IFERROR(VLOOKUP(April[[#This Row],[Drug Name3]],'Data Options'!$R$1:$S$100,2,FALSE), " ")</f>
        <v xml:space="preserve"> </v>
      </c>
      <c r="AG141" s="55"/>
      <c r="AH141" s="32"/>
      <c r="AI141" s="32"/>
      <c r="AJ141" s="55"/>
      <c r="AK141" s="32"/>
      <c r="AL141" s="32"/>
      <c r="AM141" s="32"/>
      <c r="AN141" s="32"/>
      <c r="AO141" s="32"/>
      <c r="AP141" s="31"/>
      <c r="AQ141" s="31"/>
      <c r="AR141" s="54"/>
      <c r="AS141" s="21" t="str">
        <f>IFERROR(VLOOKUP(April[[#This Row],[Drug Name4]],'Data Options'!$R$1:$S$100,2,FALSE), " ")</f>
        <v xml:space="preserve"> </v>
      </c>
      <c r="AT141" s="55"/>
      <c r="AU141" s="32"/>
      <c r="AV141" s="32"/>
      <c r="AW141" s="55"/>
      <c r="AX141" s="32"/>
      <c r="AY141" s="54"/>
      <c r="AZ141" s="21" t="str">
        <f>IFERROR(VLOOKUP(April[[#This Row],[Drug Name5]],'Data Options'!$R$1:$S$100,2,FALSE), " ")</f>
        <v xml:space="preserve"> </v>
      </c>
      <c r="BA141" s="55"/>
      <c r="BB141" s="32"/>
      <c r="BC141" s="32"/>
      <c r="BD141" s="55"/>
      <c r="BE141" s="32"/>
      <c r="BF141" s="54"/>
      <c r="BG141" s="21" t="str">
        <f>IFERROR(VLOOKUP(April[[#This Row],[Drug Name6]],'Data Options'!$R$1:$S$100,2,FALSE), " ")</f>
        <v xml:space="preserve"> </v>
      </c>
      <c r="BH141" s="55"/>
      <c r="BI141" s="32"/>
      <c r="BJ141" s="32"/>
      <c r="BK141" s="55"/>
      <c r="BL141" s="32"/>
      <c r="BM141" s="32"/>
      <c r="BN141" s="32"/>
      <c r="BO141" s="32"/>
      <c r="BP141" s="32"/>
      <c r="BQ141" s="31"/>
      <c r="BR141" s="31"/>
      <c r="BS141" s="54"/>
      <c r="BT141" s="21" t="str">
        <f>IFERROR(VLOOKUP(April[[#This Row],[Drug Name7]],'Data Options'!$R$1:$S$100,2,FALSE), " ")</f>
        <v xml:space="preserve"> </v>
      </c>
      <c r="BU141" s="55"/>
      <c r="BV141" s="32"/>
      <c r="BW141" s="32"/>
      <c r="BX141" s="55"/>
      <c r="BY141" s="32"/>
      <c r="BZ141" s="54"/>
      <c r="CA141" s="21" t="str">
        <f>IFERROR(VLOOKUP(April[[#This Row],[Drug Name8]],'Data Options'!$R$1:$S$100,2,FALSE), " ")</f>
        <v xml:space="preserve"> </v>
      </c>
      <c r="CB141" s="55"/>
      <c r="CC141" s="32"/>
      <c r="CD141" s="32"/>
      <c r="CE141" s="55"/>
      <c r="CF141" s="32"/>
      <c r="CG141" s="54"/>
      <c r="CH141" s="21" t="str">
        <f>IFERROR(VLOOKUP(April[[#This Row],[Drug Name9]],'Data Options'!$R$1:$S$100,2,FALSE), " ")</f>
        <v xml:space="preserve"> </v>
      </c>
      <c r="CI141" s="55"/>
      <c r="CJ141" s="32"/>
      <c r="CK141" s="32"/>
      <c r="CL141" s="55"/>
      <c r="CM141" s="32"/>
    </row>
    <row r="142" spans="1:91">
      <c r="A142" s="5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1"/>
      <c r="P142" s="31"/>
      <c r="Q142" s="54"/>
      <c r="R142" s="21" t="str">
        <f>IFERROR(VLOOKUP(April[[#This Row],[Drug Name]],'Data Options'!$R$1:$S$100,2,FALSE), " ")</f>
        <v xml:space="preserve"> </v>
      </c>
      <c r="S142" s="55"/>
      <c r="T142" s="32"/>
      <c r="U142" s="32"/>
      <c r="V142" s="55"/>
      <c r="W142" s="32"/>
      <c r="X142" s="54"/>
      <c r="Y142" s="21" t="str">
        <f>IFERROR(VLOOKUP(April[[#This Row],[Drug Name2]],'Data Options'!$R$1:$S$100,2,FALSE), " ")</f>
        <v xml:space="preserve"> </v>
      </c>
      <c r="Z142" s="55"/>
      <c r="AA142" s="32"/>
      <c r="AB142" s="32"/>
      <c r="AC142" s="55"/>
      <c r="AD142" s="32"/>
      <c r="AE142" s="54"/>
      <c r="AF142" s="21" t="str">
        <f>IFERROR(VLOOKUP(April[[#This Row],[Drug Name3]],'Data Options'!$R$1:$S$100,2,FALSE), " ")</f>
        <v xml:space="preserve"> </v>
      </c>
      <c r="AG142" s="55"/>
      <c r="AH142" s="32"/>
      <c r="AI142" s="32"/>
      <c r="AJ142" s="55"/>
      <c r="AK142" s="32"/>
      <c r="AL142" s="32"/>
      <c r="AM142" s="32"/>
      <c r="AN142" s="32"/>
      <c r="AO142" s="32"/>
      <c r="AP142" s="31"/>
      <c r="AQ142" s="31"/>
      <c r="AR142" s="54"/>
      <c r="AS142" s="21" t="str">
        <f>IFERROR(VLOOKUP(April[[#This Row],[Drug Name4]],'Data Options'!$R$1:$S$100,2,FALSE), " ")</f>
        <v xml:space="preserve"> </v>
      </c>
      <c r="AT142" s="55"/>
      <c r="AU142" s="32"/>
      <c r="AV142" s="32"/>
      <c r="AW142" s="55"/>
      <c r="AX142" s="32"/>
      <c r="AY142" s="54"/>
      <c r="AZ142" s="21" t="str">
        <f>IFERROR(VLOOKUP(April[[#This Row],[Drug Name5]],'Data Options'!$R$1:$S$100,2,FALSE), " ")</f>
        <v xml:space="preserve"> </v>
      </c>
      <c r="BA142" s="55"/>
      <c r="BB142" s="32"/>
      <c r="BC142" s="32"/>
      <c r="BD142" s="55"/>
      <c r="BE142" s="32"/>
      <c r="BF142" s="54"/>
      <c r="BG142" s="21" t="str">
        <f>IFERROR(VLOOKUP(April[[#This Row],[Drug Name6]],'Data Options'!$R$1:$S$100,2,FALSE), " ")</f>
        <v xml:space="preserve"> </v>
      </c>
      <c r="BH142" s="55"/>
      <c r="BI142" s="32"/>
      <c r="BJ142" s="32"/>
      <c r="BK142" s="55"/>
      <c r="BL142" s="32"/>
      <c r="BM142" s="32"/>
      <c r="BN142" s="32"/>
      <c r="BO142" s="32"/>
      <c r="BP142" s="32"/>
      <c r="BQ142" s="31"/>
      <c r="BR142" s="31"/>
      <c r="BS142" s="54"/>
      <c r="BT142" s="21" t="str">
        <f>IFERROR(VLOOKUP(April[[#This Row],[Drug Name7]],'Data Options'!$R$1:$S$100,2,FALSE), " ")</f>
        <v xml:space="preserve"> </v>
      </c>
      <c r="BU142" s="55"/>
      <c r="BV142" s="32"/>
      <c r="BW142" s="32"/>
      <c r="BX142" s="55"/>
      <c r="BY142" s="32"/>
      <c r="BZ142" s="54"/>
      <c r="CA142" s="21" t="str">
        <f>IFERROR(VLOOKUP(April[[#This Row],[Drug Name8]],'Data Options'!$R$1:$S$100,2,FALSE), " ")</f>
        <v xml:space="preserve"> </v>
      </c>
      <c r="CB142" s="55"/>
      <c r="CC142" s="32"/>
      <c r="CD142" s="32"/>
      <c r="CE142" s="55"/>
      <c r="CF142" s="32"/>
      <c r="CG142" s="54"/>
      <c r="CH142" s="21" t="str">
        <f>IFERROR(VLOOKUP(April[[#This Row],[Drug Name9]],'Data Options'!$R$1:$S$100,2,FALSE), " ")</f>
        <v xml:space="preserve"> </v>
      </c>
      <c r="CI142" s="55"/>
      <c r="CJ142" s="32"/>
      <c r="CK142" s="32"/>
      <c r="CL142" s="55"/>
      <c r="CM142" s="32"/>
    </row>
    <row r="143" spans="1:91">
      <c r="A143" s="5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1"/>
      <c r="P143" s="31"/>
      <c r="Q143" s="54"/>
      <c r="R143" s="21" t="str">
        <f>IFERROR(VLOOKUP(April[[#This Row],[Drug Name]],'Data Options'!$R$1:$S$100,2,FALSE), " ")</f>
        <v xml:space="preserve"> </v>
      </c>
      <c r="S143" s="55"/>
      <c r="T143" s="32"/>
      <c r="U143" s="32"/>
      <c r="V143" s="55"/>
      <c r="W143" s="32"/>
      <c r="X143" s="54"/>
      <c r="Y143" s="21" t="str">
        <f>IFERROR(VLOOKUP(April[[#This Row],[Drug Name2]],'Data Options'!$R$1:$S$100,2,FALSE), " ")</f>
        <v xml:space="preserve"> </v>
      </c>
      <c r="Z143" s="55"/>
      <c r="AA143" s="32"/>
      <c r="AB143" s="32"/>
      <c r="AC143" s="55"/>
      <c r="AD143" s="32"/>
      <c r="AE143" s="54"/>
      <c r="AF143" s="21" t="str">
        <f>IFERROR(VLOOKUP(April[[#This Row],[Drug Name3]],'Data Options'!$R$1:$S$100,2,FALSE), " ")</f>
        <v xml:space="preserve"> </v>
      </c>
      <c r="AG143" s="55"/>
      <c r="AH143" s="32"/>
      <c r="AI143" s="32"/>
      <c r="AJ143" s="55"/>
      <c r="AK143" s="32"/>
      <c r="AL143" s="32"/>
      <c r="AM143" s="32"/>
      <c r="AN143" s="32"/>
      <c r="AO143" s="32"/>
      <c r="AP143" s="31"/>
      <c r="AQ143" s="31"/>
      <c r="AR143" s="54"/>
      <c r="AS143" s="21" t="str">
        <f>IFERROR(VLOOKUP(April[[#This Row],[Drug Name4]],'Data Options'!$R$1:$S$100,2,FALSE), " ")</f>
        <v xml:space="preserve"> </v>
      </c>
      <c r="AT143" s="55"/>
      <c r="AU143" s="32"/>
      <c r="AV143" s="32"/>
      <c r="AW143" s="55"/>
      <c r="AX143" s="32"/>
      <c r="AY143" s="54"/>
      <c r="AZ143" s="21" t="str">
        <f>IFERROR(VLOOKUP(April[[#This Row],[Drug Name5]],'Data Options'!$R$1:$S$100,2,FALSE), " ")</f>
        <v xml:space="preserve"> </v>
      </c>
      <c r="BA143" s="55"/>
      <c r="BB143" s="32"/>
      <c r="BC143" s="32"/>
      <c r="BD143" s="55"/>
      <c r="BE143" s="32"/>
      <c r="BF143" s="54"/>
      <c r="BG143" s="21" t="str">
        <f>IFERROR(VLOOKUP(April[[#This Row],[Drug Name6]],'Data Options'!$R$1:$S$100,2,FALSE), " ")</f>
        <v xml:space="preserve"> </v>
      </c>
      <c r="BH143" s="55"/>
      <c r="BI143" s="32"/>
      <c r="BJ143" s="32"/>
      <c r="BK143" s="55"/>
      <c r="BL143" s="32"/>
      <c r="BM143" s="32"/>
      <c r="BN143" s="32"/>
      <c r="BO143" s="32"/>
      <c r="BP143" s="32"/>
      <c r="BQ143" s="31"/>
      <c r="BR143" s="31"/>
      <c r="BS143" s="54"/>
      <c r="BT143" s="21" t="str">
        <f>IFERROR(VLOOKUP(April[[#This Row],[Drug Name7]],'Data Options'!$R$1:$S$100,2,FALSE), " ")</f>
        <v xml:space="preserve"> </v>
      </c>
      <c r="BU143" s="55"/>
      <c r="BV143" s="32"/>
      <c r="BW143" s="32"/>
      <c r="BX143" s="55"/>
      <c r="BY143" s="32"/>
      <c r="BZ143" s="54"/>
      <c r="CA143" s="21" t="str">
        <f>IFERROR(VLOOKUP(April[[#This Row],[Drug Name8]],'Data Options'!$R$1:$S$100,2,FALSE), " ")</f>
        <v xml:space="preserve"> </v>
      </c>
      <c r="CB143" s="55"/>
      <c r="CC143" s="32"/>
      <c r="CD143" s="32"/>
      <c r="CE143" s="55"/>
      <c r="CF143" s="32"/>
      <c r="CG143" s="54"/>
      <c r="CH143" s="21" t="str">
        <f>IFERROR(VLOOKUP(April[[#This Row],[Drug Name9]],'Data Options'!$R$1:$S$100,2,FALSE), " ")</f>
        <v xml:space="preserve"> </v>
      </c>
      <c r="CI143" s="55"/>
      <c r="CJ143" s="32"/>
      <c r="CK143" s="32"/>
      <c r="CL143" s="55"/>
      <c r="CM143" s="32"/>
    </row>
    <row r="144" spans="1:91">
      <c r="A144" s="5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1"/>
      <c r="P144" s="31"/>
      <c r="Q144" s="54"/>
      <c r="R144" s="21" t="str">
        <f>IFERROR(VLOOKUP(April[[#This Row],[Drug Name]],'Data Options'!$R$1:$S$100,2,FALSE), " ")</f>
        <v xml:space="preserve"> </v>
      </c>
      <c r="S144" s="55"/>
      <c r="T144" s="32"/>
      <c r="U144" s="32"/>
      <c r="V144" s="55"/>
      <c r="W144" s="32"/>
      <c r="X144" s="54"/>
      <c r="Y144" s="21" t="str">
        <f>IFERROR(VLOOKUP(April[[#This Row],[Drug Name2]],'Data Options'!$R$1:$S$100,2,FALSE), " ")</f>
        <v xml:space="preserve"> </v>
      </c>
      <c r="Z144" s="55"/>
      <c r="AA144" s="32"/>
      <c r="AB144" s="32"/>
      <c r="AC144" s="55"/>
      <c r="AD144" s="32"/>
      <c r="AE144" s="54"/>
      <c r="AF144" s="21" t="str">
        <f>IFERROR(VLOOKUP(April[[#This Row],[Drug Name3]],'Data Options'!$R$1:$S$100,2,FALSE), " ")</f>
        <v xml:space="preserve"> </v>
      </c>
      <c r="AG144" s="55"/>
      <c r="AH144" s="32"/>
      <c r="AI144" s="32"/>
      <c r="AJ144" s="55"/>
      <c r="AK144" s="32"/>
      <c r="AL144" s="32"/>
      <c r="AM144" s="32"/>
      <c r="AN144" s="32"/>
      <c r="AO144" s="32"/>
      <c r="AP144" s="31"/>
      <c r="AQ144" s="31"/>
      <c r="AR144" s="54"/>
      <c r="AS144" s="21" t="str">
        <f>IFERROR(VLOOKUP(April[[#This Row],[Drug Name4]],'Data Options'!$R$1:$S$100,2,FALSE), " ")</f>
        <v xml:space="preserve"> </v>
      </c>
      <c r="AT144" s="55"/>
      <c r="AU144" s="32"/>
      <c r="AV144" s="32"/>
      <c r="AW144" s="55"/>
      <c r="AX144" s="32"/>
      <c r="AY144" s="54"/>
      <c r="AZ144" s="21" t="str">
        <f>IFERROR(VLOOKUP(April[[#This Row],[Drug Name5]],'Data Options'!$R$1:$S$100,2,FALSE), " ")</f>
        <v xml:space="preserve"> </v>
      </c>
      <c r="BA144" s="55"/>
      <c r="BB144" s="32"/>
      <c r="BC144" s="32"/>
      <c r="BD144" s="55"/>
      <c r="BE144" s="32"/>
      <c r="BF144" s="54"/>
      <c r="BG144" s="21" t="str">
        <f>IFERROR(VLOOKUP(April[[#This Row],[Drug Name6]],'Data Options'!$R$1:$S$100,2,FALSE), " ")</f>
        <v xml:space="preserve"> </v>
      </c>
      <c r="BH144" s="55"/>
      <c r="BI144" s="32"/>
      <c r="BJ144" s="32"/>
      <c r="BK144" s="55"/>
      <c r="BL144" s="32"/>
      <c r="BM144" s="32"/>
      <c r="BN144" s="32"/>
      <c r="BO144" s="32"/>
      <c r="BP144" s="32"/>
      <c r="BQ144" s="31"/>
      <c r="BR144" s="31"/>
      <c r="BS144" s="54"/>
      <c r="BT144" s="21" t="str">
        <f>IFERROR(VLOOKUP(April[[#This Row],[Drug Name7]],'Data Options'!$R$1:$S$100,2,FALSE), " ")</f>
        <v xml:space="preserve"> </v>
      </c>
      <c r="BU144" s="55"/>
      <c r="BV144" s="32"/>
      <c r="BW144" s="32"/>
      <c r="BX144" s="55"/>
      <c r="BY144" s="32"/>
      <c r="BZ144" s="54"/>
      <c r="CA144" s="21" t="str">
        <f>IFERROR(VLOOKUP(April[[#This Row],[Drug Name8]],'Data Options'!$R$1:$S$100,2,FALSE), " ")</f>
        <v xml:space="preserve"> </v>
      </c>
      <c r="CB144" s="55"/>
      <c r="CC144" s="32"/>
      <c r="CD144" s="32"/>
      <c r="CE144" s="55"/>
      <c r="CF144" s="32"/>
      <c r="CG144" s="54"/>
      <c r="CH144" s="21" t="str">
        <f>IFERROR(VLOOKUP(April[[#This Row],[Drug Name9]],'Data Options'!$R$1:$S$100,2,FALSE), " ")</f>
        <v xml:space="preserve"> </v>
      </c>
      <c r="CI144" s="55"/>
      <c r="CJ144" s="32"/>
      <c r="CK144" s="32"/>
      <c r="CL144" s="55"/>
      <c r="CM144" s="32"/>
    </row>
    <row r="145" spans="1:91">
      <c r="A145" s="5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1"/>
      <c r="P145" s="31"/>
      <c r="Q145" s="54"/>
      <c r="R145" s="21" t="str">
        <f>IFERROR(VLOOKUP(April[[#This Row],[Drug Name]],'Data Options'!$R$1:$S$100,2,FALSE), " ")</f>
        <v xml:space="preserve"> </v>
      </c>
      <c r="S145" s="55"/>
      <c r="T145" s="32"/>
      <c r="U145" s="32"/>
      <c r="V145" s="55"/>
      <c r="W145" s="32"/>
      <c r="X145" s="54"/>
      <c r="Y145" s="21" t="str">
        <f>IFERROR(VLOOKUP(April[[#This Row],[Drug Name2]],'Data Options'!$R$1:$S$100,2,FALSE), " ")</f>
        <v xml:space="preserve"> </v>
      </c>
      <c r="Z145" s="55"/>
      <c r="AA145" s="32"/>
      <c r="AB145" s="32"/>
      <c r="AC145" s="55"/>
      <c r="AD145" s="32"/>
      <c r="AE145" s="54"/>
      <c r="AF145" s="21" t="str">
        <f>IFERROR(VLOOKUP(April[[#This Row],[Drug Name3]],'Data Options'!$R$1:$S$100,2,FALSE), " ")</f>
        <v xml:space="preserve"> </v>
      </c>
      <c r="AG145" s="55"/>
      <c r="AH145" s="32"/>
      <c r="AI145" s="32"/>
      <c r="AJ145" s="55"/>
      <c r="AK145" s="32"/>
      <c r="AL145" s="32"/>
      <c r="AM145" s="32"/>
      <c r="AN145" s="32"/>
      <c r="AO145" s="32"/>
      <c r="AP145" s="31"/>
      <c r="AQ145" s="31"/>
      <c r="AR145" s="54"/>
      <c r="AS145" s="21" t="str">
        <f>IFERROR(VLOOKUP(April[[#This Row],[Drug Name4]],'Data Options'!$R$1:$S$100,2,FALSE), " ")</f>
        <v xml:space="preserve"> </v>
      </c>
      <c r="AT145" s="55"/>
      <c r="AU145" s="32"/>
      <c r="AV145" s="32"/>
      <c r="AW145" s="55"/>
      <c r="AX145" s="32"/>
      <c r="AY145" s="54"/>
      <c r="AZ145" s="21" t="str">
        <f>IFERROR(VLOOKUP(April[[#This Row],[Drug Name5]],'Data Options'!$R$1:$S$100,2,FALSE), " ")</f>
        <v xml:space="preserve"> </v>
      </c>
      <c r="BA145" s="55"/>
      <c r="BB145" s="32"/>
      <c r="BC145" s="32"/>
      <c r="BD145" s="55"/>
      <c r="BE145" s="32"/>
      <c r="BF145" s="54"/>
      <c r="BG145" s="21" t="str">
        <f>IFERROR(VLOOKUP(April[[#This Row],[Drug Name6]],'Data Options'!$R$1:$S$100,2,FALSE), " ")</f>
        <v xml:space="preserve"> </v>
      </c>
      <c r="BH145" s="55"/>
      <c r="BI145" s="32"/>
      <c r="BJ145" s="32"/>
      <c r="BK145" s="55"/>
      <c r="BL145" s="32"/>
      <c r="BM145" s="32"/>
      <c r="BN145" s="32"/>
      <c r="BO145" s="32"/>
      <c r="BP145" s="32"/>
      <c r="BQ145" s="31"/>
      <c r="BR145" s="31"/>
      <c r="BS145" s="54"/>
      <c r="BT145" s="21" t="str">
        <f>IFERROR(VLOOKUP(April[[#This Row],[Drug Name7]],'Data Options'!$R$1:$S$100,2,FALSE), " ")</f>
        <v xml:space="preserve"> </v>
      </c>
      <c r="BU145" s="55"/>
      <c r="BV145" s="32"/>
      <c r="BW145" s="32"/>
      <c r="BX145" s="55"/>
      <c r="BY145" s="32"/>
      <c r="BZ145" s="54"/>
      <c r="CA145" s="21" t="str">
        <f>IFERROR(VLOOKUP(April[[#This Row],[Drug Name8]],'Data Options'!$R$1:$S$100,2,FALSE), " ")</f>
        <v xml:space="preserve"> </v>
      </c>
      <c r="CB145" s="55"/>
      <c r="CC145" s="32"/>
      <c r="CD145" s="32"/>
      <c r="CE145" s="55"/>
      <c r="CF145" s="32"/>
      <c r="CG145" s="54"/>
      <c r="CH145" s="21" t="str">
        <f>IFERROR(VLOOKUP(April[[#This Row],[Drug Name9]],'Data Options'!$R$1:$S$100,2,FALSE), " ")</f>
        <v xml:space="preserve"> </v>
      </c>
      <c r="CI145" s="55"/>
      <c r="CJ145" s="32"/>
      <c r="CK145" s="32"/>
      <c r="CL145" s="55"/>
      <c r="CM145" s="32"/>
    </row>
    <row r="146" spans="1:91">
      <c r="A146" s="5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1"/>
      <c r="P146" s="31"/>
      <c r="Q146" s="54"/>
      <c r="R146" s="21" t="str">
        <f>IFERROR(VLOOKUP(April[[#This Row],[Drug Name]],'Data Options'!$R$1:$S$100,2,FALSE), " ")</f>
        <v xml:space="preserve"> </v>
      </c>
      <c r="S146" s="55"/>
      <c r="T146" s="32"/>
      <c r="U146" s="32"/>
      <c r="V146" s="55"/>
      <c r="W146" s="32"/>
      <c r="X146" s="54"/>
      <c r="Y146" s="21" t="str">
        <f>IFERROR(VLOOKUP(April[[#This Row],[Drug Name2]],'Data Options'!$R$1:$S$100,2,FALSE), " ")</f>
        <v xml:space="preserve"> </v>
      </c>
      <c r="Z146" s="55"/>
      <c r="AA146" s="32"/>
      <c r="AB146" s="32"/>
      <c r="AC146" s="55"/>
      <c r="AD146" s="32"/>
      <c r="AE146" s="54"/>
      <c r="AF146" s="21" t="str">
        <f>IFERROR(VLOOKUP(April[[#This Row],[Drug Name3]],'Data Options'!$R$1:$S$100,2,FALSE), " ")</f>
        <v xml:space="preserve"> </v>
      </c>
      <c r="AG146" s="55"/>
      <c r="AH146" s="32"/>
      <c r="AI146" s="32"/>
      <c r="AJ146" s="55"/>
      <c r="AK146" s="32"/>
      <c r="AL146" s="32"/>
      <c r="AM146" s="32"/>
      <c r="AN146" s="32"/>
      <c r="AO146" s="32"/>
      <c r="AP146" s="31"/>
      <c r="AQ146" s="31"/>
      <c r="AR146" s="54"/>
      <c r="AS146" s="21" t="str">
        <f>IFERROR(VLOOKUP(April[[#This Row],[Drug Name4]],'Data Options'!$R$1:$S$100,2,FALSE), " ")</f>
        <v xml:space="preserve"> </v>
      </c>
      <c r="AT146" s="55"/>
      <c r="AU146" s="32"/>
      <c r="AV146" s="32"/>
      <c r="AW146" s="55"/>
      <c r="AX146" s="32"/>
      <c r="AY146" s="54"/>
      <c r="AZ146" s="21" t="str">
        <f>IFERROR(VLOOKUP(April[[#This Row],[Drug Name5]],'Data Options'!$R$1:$S$100,2,FALSE), " ")</f>
        <v xml:space="preserve"> </v>
      </c>
      <c r="BA146" s="55"/>
      <c r="BB146" s="32"/>
      <c r="BC146" s="32"/>
      <c r="BD146" s="55"/>
      <c r="BE146" s="32"/>
      <c r="BF146" s="54"/>
      <c r="BG146" s="21" t="str">
        <f>IFERROR(VLOOKUP(April[[#This Row],[Drug Name6]],'Data Options'!$R$1:$S$100,2,FALSE), " ")</f>
        <v xml:space="preserve"> </v>
      </c>
      <c r="BH146" s="55"/>
      <c r="BI146" s="32"/>
      <c r="BJ146" s="32"/>
      <c r="BK146" s="55"/>
      <c r="BL146" s="32"/>
      <c r="BM146" s="32"/>
      <c r="BN146" s="32"/>
      <c r="BO146" s="32"/>
      <c r="BP146" s="32"/>
      <c r="BQ146" s="31"/>
      <c r="BR146" s="31"/>
      <c r="BS146" s="54"/>
      <c r="BT146" s="21" t="str">
        <f>IFERROR(VLOOKUP(April[[#This Row],[Drug Name7]],'Data Options'!$R$1:$S$100,2,FALSE), " ")</f>
        <v xml:space="preserve"> </v>
      </c>
      <c r="BU146" s="55"/>
      <c r="BV146" s="32"/>
      <c r="BW146" s="32"/>
      <c r="BX146" s="55"/>
      <c r="BY146" s="32"/>
      <c r="BZ146" s="54"/>
      <c r="CA146" s="21" t="str">
        <f>IFERROR(VLOOKUP(April[[#This Row],[Drug Name8]],'Data Options'!$R$1:$S$100,2,FALSE), " ")</f>
        <v xml:space="preserve"> </v>
      </c>
      <c r="CB146" s="55"/>
      <c r="CC146" s="32"/>
      <c r="CD146" s="32"/>
      <c r="CE146" s="55"/>
      <c r="CF146" s="32"/>
      <c r="CG146" s="54"/>
      <c r="CH146" s="21" t="str">
        <f>IFERROR(VLOOKUP(April[[#This Row],[Drug Name9]],'Data Options'!$R$1:$S$100,2,FALSE), " ")</f>
        <v xml:space="preserve"> </v>
      </c>
      <c r="CI146" s="55"/>
      <c r="CJ146" s="32"/>
      <c r="CK146" s="32"/>
      <c r="CL146" s="55"/>
      <c r="CM146" s="32"/>
    </row>
    <row r="147" spans="1:91">
      <c r="A147" s="5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1"/>
      <c r="P147" s="31"/>
      <c r="Q147" s="54"/>
      <c r="R147" s="21" t="str">
        <f>IFERROR(VLOOKUP(April[[#This Row],[Drug Name]],'Data Options'!$R$1:$S$100,2,FALSE), " ")</f>
        <v xml:space="preserve"> </v>
      </c>
      <c r="S147" s="55"/>
      <c r="T147" s="32"/>
      <c r="U147" s="32"/>
      <c r="V147" s="55"/>
      <c r="W147" s="32"/>
      <c r="X147" s="54"/>
      <c r="Y147" s="21" t="str">
        <f>IFERROR(VLOOKUP(April[[#This Row],[Drug Name2]],'Data Options'!$R$1:$S$100,2,FALSE), " ")</f>
        <v xml:space="preserve"> </v>
      </c>
      <c r="Z147" s="55"/>
      <c r="AA147" s="32"/>
      <c r="AB147" s="32"/>
      <c r="AC147" s="55"/>
      <c r="AD147" s="32"/>
      <c r="AE147" s="54"/>
      <c r="AF147" s="21" t="str">
        <f>IFERROR(VLOOKUP(April[[#This Row],[Drug Name3]],'Data Options'!$R$1:$S$100,2,FALSE), " ")</f>
        <v xml:space="preserve"> </v>
      </c>
      <c r="AG147" s="55"/>
      <c r="AH147" s="32"/>
      <c r="AI147" s="32"/>
      <c r="AJ147" s="55"/>
      <c r="AK147" s="32"/>
      <c r="AL147" s="32"/>
      <c r="AM147" s="32"/>
      <c r="AN147" s="32"/>
      <c r="AO147" s="32"/>
      <c r="AP147" s="31"/>
      <c r="AQ147" s="31"/>
      <c r="AR147" s="54"/>
      <c r="AS147" s="21" t="str">
        <f>IFERROR(VLOOKUP(April[[#This Row],[Drug Name4]],'Data Options'!$R$1:$S$100,2,FALSE), " ")</f>
        <v xml:space="preserve"> </v>
      </c>
      <c r="AT147" s="55"/>
      <c r="AU147" s="32"/>
      <c r="AV147" s="32"/>
      <c r="AW147" s="55"/>
      <c r="AX147" s="32"/>
      <c r="AY147" s="54"/>
      <c r="AZ147" s="21" t="str">
        <f>IFERROR(VLOOKUP(April[[#This Row],[Drug Name5]],'Data Options'!$R$1:$S$100,2,FALSE), " ")</f>
        <v xml:space="preserve"> </v>
      </c>
      <c r="BA147" s="55"/>
      <c r="BB147" s="32"/>
      <c r="BC147" s="32"/>
      <c r="BD147" s="55"/>
      <c r="BE147" s="32"/>
      <c r="BF147" s="54"/>
      <c r="BG147" s="21" t="str">
        <f>IFERROR(VLOOKUP(April[[#This Row],[Drug Name6]],'Data Options'!$R$1:$S$100,2,FALSE), " ")</f>
        <v xml:space="preserve"> </v>
      </c>
      <c r="BH147" s="55"/>
      <c r="BI147" s="32"/>
      <c r="BJ147" s="32"/>
      <c r="BK147" s="55"/>
      <c r="BL147" s="32"/>
      <c r="BM147" s="32"/>
      <c r="BN147" s="32"/>
      <c r="BO147" s="32"/>
      <c r="BP147" s="32"/>
      <c r="BQ147" s="31"/>
      <c r="BR147" s="31"/>
      <c r="BS147" s="54"/>
      <c r="BT147" s="21" t="str">
        <f>IFERROR(VLOOKUP(April[[#This Row],[Drug Name7]],'Data Options'!$R$1:$S$100,2,FALSE), " ")</f>
        <v xml:space="preserve"> </v>
      </c>
      <c r="BU147" s="55"/>
      <c r="BV147" s="32"/>
      <c r="BW147" s="32"/>
      <c r="BX147" s="55"/>
      <c r="BY147" s="32"/>
      <c r="BZ147" s="54"/>
      <c r="CA147" s="21" t="str">
        <f>IFERROR(VLOOKUP(April[[#This Row],[Drug Name8]],'Data Options'!$R$1:$S$100,2,FALSE), " ")</f>
        <v xml:space="preserve"> </v>
      </c>
      <c r="CB147" s="55"/>
      <c r="CC147" s="32"/>
      <c r="CD147" s="32"/>
      <c r="CE147" s="55"/>
      <c r="CF147" s="32"/>
      <c r="CG147" s="54"/>
      <c r="CH147" s="21" t="str">
        <f>IFERROR(VLOOKUP(April[[#This Row],[Drug Name9]],'Data Options'!$R$1:$S$100,2,FALSE), " ")</f>
        <v xml:space="preserve"> </v>
      </c>
      <c r="CI147" s="55"/>
      <c r="CJ147" s="32"/>
      <c r="CK147" s="32"/>
      <c r="CL147" s="55"/>
      <c r="CM147" s="32"/>
    </row>
    <row r="148" spans="1:91">
      <c r="A148" s="5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1"/>
      <c r="P148" s="31"/>
      <c r="Q148" s="54"/>
      <c r="R148" s="21" t="str">
        <f>IFERROR(VLOOKUP(April[[#This Row],[Drug Name]],'Data Options'!$R$1:$S$100,2,FALSE), " ")</f>
        <v xml:space="preserve"> </v>
      </c>
      <c r="S148" s="55"/>
      <c r="T148" s="32"/>
      <c r="U148" s="32"/>
      <c r="V148" s="55"/>
      <c r="W148" s="32"/>
      <c r="X148" s="54"/>
      <c r="Y148" s="21" t="str">
        <f>IFERROR(VLOOKUP(April[[#This Row],[Drug Name2]],'Data Options'!$R$1:$S$100,2,FALSE), " ")</f>
        <v xml:space="preserve"> </v>
      </c>
      <c r="Z148" s="55"/>
      <c r="AA148" s="32"/>
      <c r="AB148" s="32"/>
      <c r="AC148" s="55"/>
      <c r="AD148" s="32"/>
      <c r="AE148" s="54"/>
      <c r="AF148" s="21" t="str">
        <f>IFERROR(VLOOKUP(April[[#This Row],[Drug Name3]],'Data Options'!$R$1:$S$100,2,FALSE), " ")</f>
        <v xml:space="preserve"> </v>
      </c>
      <c r="AG148" s="55"/>
      <c r="AH148" s="32"/>
      <c r="AI148" s="32"/>
      <c r="AJ148" s="55"/>
      <c r="AK148" s="32"/>
      <c r="AL148" s="32"/>
      <c r="AM148" s="32"/>
      <c r="AN148" s="32"/>
      <c r="AO148" s="32"/>
      <c r="AP148" s="31"/>
      <c r="AQ148" s="31"/>
      <c r="AR148" s="54"/>
      <c r="AS148" s="21" t="str">
        <f>IFERROR(VLOOKUP(April[[#This Row],[Drug Name4]],'Data Options'!$R$1:$S$100,2,FALSE), " ")</f>
        <v xml:space="preserve"> </v>
      </c>
      <c r="AT148" s="55"/>
      <c r="AU148" s="32"/>
      <c r="AV148" s="32"/>
      <c r="AW148" s="55"/>
      <c r="AX148" s="32"/>
      <c r="AY148" s="54"/>
      <c r="AZ148" s="21" t="str">
        <f>IFERROR(VLOOKUP(April[[#This Row],[Drug Name5]],'Data Options'!$R$1:$S$100,2,FALSE), " ")</f>
        <v xml:space="preserve"> </v>
      </c>
      <c r="BA148" s="55"/>
      <c r="BB148" s="32"/>
      <c r="BC148" s="32"/>
      <c r="BD148" s="55"/>
      <c r="BE148" s="32"/>
      <c r="BF148" s="54"/>
      <c r="BG148" s="21" t="str">
        <f>IFERROR(VLOOKUP(April[[#This Row],[Drug Name6]],'Data Options'!$R$1:$S$100,2,FALSE), " ")</f>
        <v xml:space="preserve"> </v>
      </c>
      <c r="BH148" s="55"/>
      <c r="BI148" s="32"/>
      <c r="BJ148" s="32"/>
      <c r="BK148" s="55"/>
      <c r="BL148" s="32"/>
      <c r="BM148" s="32"/>
      <c r="BN148" s="32"/>
      <c r="BO148" s="32"/>
      <c r="BP148" s="32"/>
      <c r="BQ148" s="31"/>
      <c r="BR148" s="31"/>
      <c r="BS148" s="54"/>
      <c r="BT148" s="21" t="str">
        <f>IFERROR(VLOOKUP(April[[#This Row],[Drug Name7]],'Data Options'!$R$1:$S$100,2,FALSE), " ")</f>
        <v xml:space="preserve"> </v>
      </c>
      <c r="BU148" s="55"/>
      <c r="BV148" s="32"/>
      <c r="BW148" s="32"/>
      <c r="BX148" s="55"/>
      <c r="BY148" s="32"/>
      <c r="BZ148" s="54"/>
      <c r="CA148" s="21" t="str">
        <f>IFERROR(VLOOKUP(April[[#This Row],[Drug Name8]],'Data Options'!$R$1:$S$100,2,FALSE), " ")</f>
        <v xml:space="preserve"> </v>
      </c>
      <c r="CB148" s="55"/>
      <c r="CC148" s="32"/>
      <c r="CD148" s="32"/>
      <c r="CE148" s="55"/>
      <c r="CF148" s="32"/>
      <c r="CG148" s="54"/>
      <c r="CH148" s="21" t="str">
        <f>IFERROR(VLOOKUP(April[[#This Row],[Drug Name9]],'Data Options'!$R$1:$S$100,2,FALSE), " ")</f>
        <v xml:space="preserve"> </v>
      </c>
      <c r="CI148" s="55"/>
      <c r="CJ148" s="32"/>
      <c r="CK148" s="32"/>
      <c r="CL148" s="55"/>
      <c r="CM148" s="32"/>
    </row>
    <row r="149" spans="1:91">
      <c r="A149" s="5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1"/>
      <c r="P149" s="31"/>
      <c r="Q149" s="54"/>
      <c r="R149" s="21" t="str">
        <f>IFERROR(VLOOKUP(April[[#This Row],[Drug Name]],'Data Options'!$R$1:$S$100,2,FALSE), " ")</f>
        <v xml:space="preserve"> </v>
      </c>
      <c r="S149" s="55"/>
      <c r="T149" s="32"/>
      <c r="U149" s="32"/>
      <c r="V149" s="55"/>
      <c r="W149" s="32"/>
      <c r="X149" s="54"/>
      <c r="Y149" s="21" t="str">
        <f>IFERROR(VLOOKUP(April[[#This Row],[Drug Name2]],'Data Options'!$R$1:$S$100,2,FALSE), " ")</f>
        <v xml:space="preserve"> </v>
      </c>
      <c r="Z149" s="55"/>
      <c r="AA149" s="32"/>
      <c r="AB149" s="32"/>
      <c r="AC149" s="55"/>
      <c r="AD149" s="32"/>
      <c r="AE149" s="54"/>
      <c r="AF149" s="21" t="str">
        <f>IFERROR(VLOOKUP(April[[#This Row],[Drug Name3]],'Data Options'!$R$1:$S$100,2,FALSE), " ")</f>
        <v xml:space="preserve"> </v>
      </c>
      <c r="AG149" s="55"/>
      <c r="AH149" s="32"/>
      <c r="AI149" s="32"/>
      <c r="AJ149" s="55"/>
      <c r="AK149" s="32"/>
      <c r="AL149" s="32"/>
      <c r="AM149" s="32"/>
      <c r="AN149" s="32"/>
      <c r="AO149" s="32"/>
      <c r="AP149" s="31"/>
      <c r="AQ149" s="31"/>
      <c r="AR149" s="54"/>
      <c r="AS149" s="21" t="str">
        <f>IFERROR(VLOOKUP(April[[#This Row],[Drug Name4]],'Data Options'!$R$1:$S$100,2,FALSE), " ")</f>
        <v xml:space="preserve"> </v>
      </c>
      <c r="AT149" s="55"/>
      <c r="AU149" s="32"/>
      <c r="AV149" s="32"/>
      <c r="AW149" s="55"/>
      <c r="AX149" s="32"/>
      <c r="AY149" s="54"/>
      <c r="AZ149" s="21" t="str">
        <f>IFERROR(VLOOKUP(April[[#This Row],[Drug Name5]],'Data Options'!$R$1:$S$100,2,FALSE), " ")</f>
        <v xml:space="preserve"> </v>
      </c>
      <c r="BA149" s="55"/>
      <c r="BB149" s="32"/>
      <c r="BC149" s="32"/>
      <c r="BD149" s="55"/>
      <c r="BE149" s="32"/>
      <c r="BF149" s="54"/>
      <c r="BG149" s="21" t="str">
        <f>IFERROR(VLOOKUP(April[[#This Row],[Drug Name6]],'Data Options'!$R$1:$S$100,2,FALSE), " ")</f>
        <v xml:space="preserve"> </v>
      </c>
      <c r="BH149" s="55"/>
      <c r="BI149" s="32"/>
      <c r="BJ149" s="32"/>
      <c r="BK149" s="55"/>
      <c r="BL149" s="32"/>
      <c r="BM149" s="32"/>
      <c r="BN149" s="32"/>
      <c r="BO149" s="32"/>
      <c r="BP149" s="32"/>
      <c r="BQ149" s="31"/>
      <c r="BR149" s="31"/>
      <c r="BS149" s="54"/>
      <c r="BT149" s="21" t="str">
        <f>IFERROR(VLOOKUP(April[[#This Row],[Drug Name7]],'Data Options'!$R$1:$S$100,2,FALSE), " ")</f>
        <v xml:space="preserve"> </v>
      </c>
      <c r="BU149" s="55"/>
      <c r="BV149" s="32"/>
      <c r="BW149" s="32"/>
      <c r="BX149" s="55"/>
      <c r="BY149" s="32"/>
      <c r="BZ149" s="54"/>
      <c r="CA149" s="21" t="str">
        <f>IFERROR(VLOOKUP(April[[#This Row],[Drug Name8]],'Data Options'!$R$1:$S$100,2,FALSE), " ")</f>
        <v xml:space="preserve"> </v>
      </c>
      <c r="CB149" s="55"/>
      <c r="CC149" s="32"/>
      <c r="CD149" s="32"/>
      <c r="CE149" s="55"/>
      <c r="CF149" s="32"/>
      <c r="CG149" s="54"/>
      <c r="CH149" s="21" t="str">
        <f>IFERROR(VLOOKUP(April[[#This Row],[Drug Name9]],'Data Options'!$R$1:$S$100,2,FALSE), " ")</f>
        <v xml:space="preserve"> </v>
      </c>
      <c r="CI149" s="55"/>
      <c r="CJ149" s="32"/>
      <c r="CK149" s="32"/>
      <c r="CL149" s="55"/>
      <c r="CM149" s="32"/>
    </row>
    <row r="150" spans="1:91">
      <c r="A150" s="5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1"/>
      <c r="P150" s="31"/>
      <c r="Q150" s="54"/>
      <c r="R150" s="21" t="str">
        <f>IFERROR(VLOOKUP(April[[#This Row],[Drug Name]],'Data Options'!$R$1:$S$100,2,FALSE), " ")</f>
        <v xml:space="preserve"> </v>
      </c>
      <c r="S150" s="55"/>
      <c r="T150" s="32"/>
      <c r="U150" s="32"/>
      <c r="V150" s="55"/>
      <c r="W150" s="32"/>
      <c r="X150" s="54"/>
      <c r="Y150" s="21" t="str">
        <f>IFERROR(VLOOKUP(April[[#This Row],[Drug Name2]],'Data Options'!$R$1:$S$100,2,FALSE), " ")</f>
        <v xml:space="preserve"> </v>
      </c>
      <c r="Z150" s="55"/>
      <c r="AA150" s="32"/>
      <c r="AB150" s="32"/>
      <c r="AC150" s="55"/>
      <c r="AD150" s="32"/>
      <c r="AE150" s="54"/>
      <c r="AF150" s="21" t="str">
        <f>IFERROR(VLOOKUP(April[[#This Row],[Drug Name3]],'Data Options'!$R$1:$S$100,2,FALSE), " ")</f>
        <v xml:space="preserve"> </v>
      </c>
      <c r="AG150" s="55"/>
      <c r="AH150" s="32"/>
      <c r="AI150" s="32"/>
      <c r="AJ150" s="55"/>
      <c r="AK150" s="32"/>
      <c r="AL150" s="32"/>
      <c r="AM150" s="32"/>
      <c r="AN150" s="32"/>
      <c r="AO150" s="32"/>
      <c r="AP150" s="31"/>
      <c r="AQ150" s="31"/>
      <c r="AR150" s="54"/>
      <c r="AS150" s="21" t="str">
        <f>IFERROR(VLOOKUP(April[[#This Row],[Drug Name4]],'Data Options'!$R$1:$S$100,2,FALSE), " ")</f>
        <v xml:space="preserve"> </v>
      </c>
      <c r="AT150" s="55"/>
      <c r="AU150" s="32"/>
      <c r="AV150" s="32"/>
      <c r="AW150" s="55"/>
      <c r="AX150" s="32"/>
      <c r="AY150" s="54"/>
      <c r="AZ150" s="21" t="str">
        <f>IFERROR(VLOOKUP(April[[#This Row],[Drug Name5]],'Data Options'!$R$1:$S$100,2,FALSE), " ")</f>
        <v xml:space="preserve"> </v>
      </c>
      <c r="BA150" s="55"/>
      <c r="BB150" s="32"/>
      <c r="BC150" s="32"/>
      <c r="BD150" s="55"/>
      <c r="BE150" s="32"/>
      <c r="BF150" s="54"/>
      <c r="BG150" s="21" t="str">
        <f>IFERROR(VLOOKUP(April[[#This Row],[Drug Name6]],'Data Options'!$R$1:$S$100,2,FALSE), " ")</f>
        <v xml:space="preserve"> </v>
      </c>
      <c r="BH150" s="55"/>
      <c r="BI150" s="32"/>
      <c r="BJ150" s="32"/>
      <c r="BK150" s="55"/>
      <c r="BL150" s="32"/>
      <c r="BM150" s="32"/>
      <c r="BN150" s="32"/>
      <c r="BO150" s="32"/>
      <c r="BP150" s="32"/>
      <c r="BQ150" s="31"/>
      <c r="BR150" s="31"/>
      <c r="BS150" s="54"/>
      <c r="BT150" s="21" t="str">
        <f>IFERROR(VLOOKUP(April[[#This Row],[Drug Name7]],'Data Options'!$R$1:$S$100,2,FALSE), " ")</f>
        <v xml:space="preserve"> </v>
      </c>
      <c r="BU150" s="55"/>
      <c r="BV150" s="32"/>
      <c r="BW150" s="32"/>
      <c r="BX150" s="55"/>
      <c r="BY150" s="32"/>
      <c r="BZ150" s="54"/>
      <c r="CA150" s="21" t="str">
        <f>IFERROR(VLOOKUP(April[[#This Row],[Drug Name8]],'Data Options'!$R$1:$S$100,2,FALSE), " ")</f>
        <v xml:space="preserve"> </v>
      </c>
      <c r="CB150" s="55"/>
      <c r="CC150" s="32"/>
      <c r="CD150" s="32"/>
      <c r="CE150" s="55"/>
      <c r="CF150" s="32"/>
      <c r="CG150" s="54"/>
      <c r="CH150" s="21" t="str">
        <f>IFERROR(VLOOKUP(April[[#This Row],[Drug Name9]],'Data Options'!$R$1:$S$100,2,FALSE), " ")</f>
        <v xml:space="preserve"> </v>
      </c>
      <c r="CI150" s="55"/>
      <c r="CJ150" s="32"/>
      <c r="CK150" s="32"/>
      <c r="CL150" s="55"/>
      <c r="CM150" s="32"/>
    </row>
    <row r="151" spans="1:91">
      <c r="A151" s="5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1"/>
      <c r="P151" s="31"/>
      <c r="Q151" s="54"/>
      <c r="R151" s="21" t="str">
        <f>IFERROR(VLOOKUP(April[[#This Row],[Drug Name]],'Data Options'!$R$1:$S$100,2,FALSE), " ")</f>
        <v xml:space="preserve"> </v>
      </c>
      <c r="S151" s="55"/>
      <c r="T151" s="32"/>
      <c r="U151" s="32"/>
      <c r="V151" s="55"/>
      <c r="W151" s="32"/>
      <c r="X151" s="54"/>
      <c r="Y151" s="21" t="str">
        <f>IFERROR(VLOOKUP(April[[#This Row],[Drug Name2]],'Data Options'!$R$1:$S$100,2,FALSE), " ")</f>
        <v xml:space="preserve"> </v>
      </c>
      <c r="Z151" s="55"/>
      <c r="AA151" s="32"/>
      <c r="AB151" s="32"/>
      <c r="AC151" s="55"/>
      <c r="AD151" s="32"/>
      <c r="AE151" s="54"/>
      <c r="AF151" s="21" t="str">
        <f>IFERROR(VLOOKUP(April[[#This Row],[Drug Name3]],'Data Options'!$R$1:$S$100,2,FALSE), " ")</f>
        <v xml:space="preserve"> </v>
      </c>
      <c r="AG151" s="55"/>
      <c r="AH151" s="32"/>
      <c r="AI151" s="32"/>
      <c r="AJ151" s="55"/>
      <c r="AK151" s="32"/>
      <c r="AL151" s="32"/>
      <c r="AM151" s="32"/>
      <c r="AN151" s="32"/>
      <c r="AO151" s="32"/>
      <c r="AP151" s="31"/>
      <c r="AQ151" s="31"/>
      <c r="AR151" s="54"/>
      <c r="AS151" s="21" t="str">
        <f>IFERROR(VLOOKUP(April[[#This Row],[Drug Name4]],'Data Options'!$R$1:$S$100,2,FALSE), " ")</f>
        <v xml:space="preserve"> </v>
      </c>
      <c r="AT151" s="55"/>
      <c r="AU151" s="32"/>
      <c r="AV151" s="32"/>
      <c r="AW151" s="55"/>
      <c r="AX151" s="32"/>
      <c r="AY151" s="54"/>
      <c r="AZ151" s="21" t="str">
        <f>IFERROR(VLOOKUP(April[[#This Row],[Drug Name5]],'Data Options'!$R$1:$S$100,2,FALSE), " ")</f>
        <v xml:space="preserve"> </v>
      </c>
      <c r="BA151" s="55"/>
      <c r="BB151" s="32"/>
      <c r="BC151" s="32"/>
      <c r="BD151" s="55"/>
      <c r="BE151" s="32"/>
      <c r="BF151" s="54"/>
      <c r="BG151" s="21" t="str">
        <f>IFERROR(VLOOKUP(April[[#This Row],[Drug Name6]],'Data Options'!$R$1:$S$100,2,FALSE), " ")</f>
        <v xml:space="preserve"> </v>
      </c>
      <c r="BH151" s="55"/>
      <c r="BI151" s="32"/>
      <c r="BJ151" s="32"/>
      <c r="BK151" s="55"/>
      <c r="BL151" s="32"/>
      <c r="BM151" s="32"/>
      <c r="BN151" s="32"/>
      <c r="BO151" s="32"/>
      <c r="BP151" s="32"/>
      <c r="BQ151" s="31"/>
      <c r="BR151" s="31"/>
      <c r="BS151" s="54"/>
      <c r="BT151" s="21" t="str">
        <f>IFERROR(VLOOKUP(April[[#This Row],[Drug Name7]],'Data Options'!$R$1:$S$100,2,FALSE), " ")</f>
        <v xml:space="preserve"> </v>
      </c>
      <c r="BU151" s="55"/>
      <c r="BV151" s="32"/>
      <c r="BW151" s="32"/>
      <c r="BX151" s="55"/>
      <c r="BY151" s="32"/>
      <c r="BZ151" s="54"/>
      <c r="CA151" s="21" t="str">
        <f>IFERROR(VLOOKUP(April[[#This Row],[Drug Name8]],'Data Options'!$R$1:$S$100,2,FALSE), " ")</f>
        <v xml:space="preserve"> </v>
      </c>
      <c r="CB151" s="55"/>
      <c r="CC151" s="32"/>
      <c r="CD151" s="32"/>
      <c r="CE151" s="55"/>
      <c r="CF151" s="32"/>
      <c r="CG151" s="54"/>
      <c r="CH151" s="21" t="str">
        <f>IFERROR(VLOOKUP(April[[#This Row],[Drug Name9]],'Data Options'!$R$1:$S$100,2,FALSE), " ")</f>
        <v xml:space="preserve"> </v>
      </c>
      <c r="CI151" s="55"/>
      <c r="CJ151" s="32"/>
      <c r="CK151" s="32"/>
      <c r="CL151" s="55"/>
      <c r="CM151" s="32"/>
    </row>
    <row r="152" spans="1:91">
      <c r="A152" s="5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1"/>
      <c r="P152" s="31"/>
      <c r="Q152" s="54"/>
      <c r="R152" s="21" t="str">
        <f>IFERROR(VLOOKUP(April[[#This Row],[Drug Name]],'Data Options'!$R$1:$S$100,2,FALSE), " ")</f>
        <v xml:space="preserve"> </v>
      </c>
      <c r="S152" s="55"/>
      <c r="T152" s="32"/>
      <c r="U152" s="32"/>
      <c r="V152" s="55"/>
      <c r="W152" s="32"/>
      <c r="X152" s="54"/>
      <c r="Y152" s="21" t="str">
        <f>IFERROR(VLOOKUP(April[[#This Row],[Drug Name2]],'Data Options'!$R$1:$S$100,2,FALSE), " ")</f>
        <v xml:space="preserve"> </v>
      </c>
      <c r="Z152" s="55"/>
      <c r="AA152" s="32"/>
      <c r="AB152" s="32"/>
      <c r="AC152" s="55"/>
      <c r="AD152" s="32"/>
      <c r="AE152" s="54"/>
      <c r="AF152" s="21" t="str">
        <f>IFERROR(VLOOKUP(April[[#This Row],[Drug Name3]],'Data Options'!$R$1:$S$100,2,FALSE), " ")</f>
        <v xml:space="preserve"> </v>
      </c>
      <c r="AG152" s="55"/>
      <c r="AH152" s="32"/>
      <c r="AI152" s="32"/>
      <c r="AJ152" s="55"/>
      <c r="AK152" s="32"/>
      <c r="AL152" s="32"/>
      <c r="AM152" s="32"/>
      <c r="AN152" s="32"/>
      <c r="AO152" s="32"/>
      <c r="AP152" s="31"/>
      <c r="AQ152" s="31"/>
      <c r="AR152" s="54"/>
      <c r="AS152" s="21" t="str">
        <f>IFERROR(VLOOKUP(April[[#This Row],[Drug Name4]],'Data Options'!$R$1:$S$100,2,FALSE), " ")</f>
        <v xml:space="preserve"> </v>
      </c>
      <c r="AT152" s="55"/>
      <c r="AU152" s="32"/>
      <c r="AV152" s="32"/>
      <c r="AW152" s="55"/>
      <c r="AX152" s="32"/>
      <c r="AY152" s="54"/>
      <c r="AZ152" s="21" t="str">
        <f>IFERROR(VLOOKUP(April[[#This Row],[Drug Name5]],'Data Options'!$R$1:$S$100,2,FALSE), " ")</f>
        <v xml:space="preserve"> </v>
      </c>
      <c r="BA152" s="55"/>
      <c r="BB152" s="32"/>
      <c r="BC152" s="32"/>
      <c r="BD152" s="55"/>
      <c r="BE152" s="32"/>
      <c r="BF152" s="54"/>
      <c r="BG152" s="21" t="str">
        <f>IFERROR(VLOOKUP(April[[#This Row],[Drug Name6]],'Data Options'!$R$1:$S$100,2,FALSE), " ")</f>
        <v xml:space="preserve"> </v>
      </c>
      <c r="BH152" s="55"/>
      <c r="BI152" s="32"/>
      <c r="BJ152" s="32"/>
      <c r="BK152" s="55"/>
      <c r="BL152" s="32"/>
      <c r="BM152" s="32"/>
      <c r="BN152" s="32"/>
      <c r="BO152" s="32"/>
      <c r="BP152" s="32"/>
      <c r="BQ152" s="31"/>
      <c r="BR152" s="31"/>
      <c r="BS152" s="54"/>
      <c r="BT152" s="21" t="str">
        <f>IFERROR(VLOOKUP(April[[#This Row],[Drug Name7]],'Data Options'!$R$1:$S$100,2,FALSE), " ")</f>
        <v xml:space="preserve"> </v>
      </c>
      <c r="BU152" s="55"/>
      <c r="BV152" s="32"/>
      <c r="BW152" s="32"/>
      <c r="BX152" s="55"/>
      <c r="BY152" s="32"/>
      <c r="BZ152" s="54"/>
      <c r="CA152" s="21" t="str">
        <f>IFERROR(VLOOKUP(April[[#This Row],[Drug Name8]],'Data Options'!$R$1:$S$100,2,FALSE), " ")</f>
        <v xml:space="preserve"> </v>
      </c>
      <c r="CB152" s="55"/>
      <c r="CC152" s="32"/>
      <c r="CD152" s="32"/>
      <c r="CE152" s="55"/>
      <c r="CF152" s="32"/>
      <c r="CG152" s="54"/>
      <c r="CH152" s="21" t="str">
        <f>IFERROR(VLOOKUP(April[[#This Row],[Drug Name9]],'Data Options'!$R$1:$S$100,2,FALSE), " ")</f>
        <v xml:space="preserve"> </v>
      </c>
      <c r="CI152" s="55"/>
      <c r="CJ152" s="32"/>
      <c r="CK152" s="32"/>
      <c r="CL152" s="55"/>
      <c r="CM152" s="32"/>
    </row>
    <row r="153" spans="1:91">
      <c r="A153" s="5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1"/>
      <c r="P153" s="31"/>
      <c r="Q153" s="54"/>
      <c r="R153" s="21" t="str">
        <f>IFERROR(VLOOKUP(April[[#This Row],[Drug Name]],'Data Options'!$R$1:$S$100,2,FALSE), " ")</f>
        <v xml:space="preserve"> </v>
      </c>
      <c r="S153" s="55"/>
      <c r="T153" s="32"/>
      <c r="U153" s="32"/>
      <c r="V153" s="55"/>
      <c r="W153" s="32"/>
      <c r="X153" s="54"/>
      <c r="Y153" s="21" t="str">
        <f>IFERROR(VLOOKUP(April[[#This Row],[Drug Name2]],'Data Options'!$R$1:$S$100,2,FALSE), " ")</f>
        <v xml:space="preserve"> </v>
      </c>
      <c r="Z153" s="55"/>
      <c r="AA153" s="32"/>
      <c r="AB153" s="32"/>
      <c r="AC153" s="55"/>
      <c r="AD153" s="32"/>
      <c r="AE153" s="54"/>
      <c r="AF153" s="21" t="str">
        <f>IFERROR(VLOOKUP(April[[#This Row],[Drug Name3]],'Data Options'!$R$1:$S$100,2,FALSE), " ")</f>
        <v xml:space="preserve"> </v>
      </c>
      <c r="AG153" s="55"/>
      <c r="AH153" s="32"/>
      <c r="AI153" s="32"/>
      <c r="AJ153" s="55"/>
      <c r="AK153" s="32"/>
      <c r="AL153" s="32"/>
      <c r="AM153" s="32"/>
      <c r="AN153" s="32"/>
      <c r="AO153" s="32"/>
      <c r="AP153" s="31"/>
      <c r="AQ153" s="31"/>
      <c r="AR153" s="54"/>
      <c r="AS153" s="21" t="str">
        <f>IFERROR(VLOOKUP(April[[#This Row],[Drug Name4]],'Data Options'!$R$1:$S$100,2,FALSE), " ")</f>
        <v xml:space="preserve"> </v>
      </c>
      <c r="AT153" s="55"/>
      <c r="AU153" s="32"/>
      <c r="AV153" s="32"/>
      <c r="AW153" s="55"/>
      <c r="AX153" s="32"/>
      <c r="AY153" s="54"/>
      <c r="AZ153" s="21" t="str">
        <f>IFERROR(VLOOKUP(April[[#This Row],[Drug Name5]],'Data Options'!$R$1:$S$100,2,FALSE), " ")</f>
        <v xml:space="preserve"> </v>
      </c>
      <c r="BA153" s="55"/>
      <c r="BB153" s="32"/>
      <c r="BC153" s="32"/>
      <c r="BD153" s="55"/>
      <c r="BE153" s="32"/>
      <c r="BF153" s="54"/>
      <c r="BG153" s="21" t="str">
        <f>IFERROR(VLOOKUP(April[[#This Row],[Drug Name6]],'Data Options'!$R$1:$S$100,2,FALSE), " ")</f>
        <v xml:space="preserve"> </v>
      </c>
      <c r="BH153" s="55"/>
      <c r="BI153" s="32"/>
      <c r="BJ153" s="32"/>
      <c r="BK153" s="55"/>
      <c r="BL153" s="32"/>
      <c r="BM153" s="32"/>
      <c r="BN153" s="32"/>
      <c r="BO153" s="32"/>
      <c r="BP153" s="32"/>
      <c r="BQ153" s="31"/>
      <c r="BR153" s="31"/>
      <c r="BS153" s="54"/>
      <c r="BT153" s="21" t="str">
        <f>IFERROR(VLOOKUP(April[[#This Row],[Drug Name7]],'Data Options'!$R$1:$S$100,2,FALSE), " ")</f>
        <v xml:space="preserve"> </v>
      </c>
      <c r="BU153" s="55"/>
      <c r="BV153" s="32"/>
      <c r="BW153" s="32"/>
      <c r="BX153" s="55"/>
      <c r="BY153" s="32"/>
      <c r="BZ153" s="54"/>
      <c r="CA153" s="21" t="str">
        <f>IFERROR(VLOOKUP(April[[#This Row],[Drug Name8]],'Data Options'!$R$1:$S$100,2,FALSE), " ")</f>
        <v xml:space="preserve"> </v>
      </c>
      <c r="CB153" s="55"/>
      <c r="CC153" s="32"/>
      <c r="CD153" s="32"/>
      <c r="CE153" s="55"/>
      <c r="CF153" s="32"/>
      <c r="CG153" s="54"/>
      <c r="CH153" s="21" t="str">
        <f>IFERROR(VLOOKUP(April[[#This Row],[Drug Name9]],'Data Options'!$R$1:$S$100,2,FALSE), " ")</f>
        <v xml:space="preserve"> </v>
      </c>
      <c r="CI153" s="55"/>
      <c r="CJ153" s="32"/>
      <c r="CK153" s="32"/>
      <c r="CL153" s="55"/>
      <c r="CM153" s="32"/>
    </row>
    <row r="154" spans="1:91">
      <c r="A154" s="5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1"/>
      <c r="P154" s="31"/>
      <c r="Q154" s="54"/>
      <c r="R154" s="21" t="str">
        <f>IFERROR(VLOOKUP(April[[#This Row],[Drug Name]],'Data Options'!$R$1:$S$100,2,FALSE), " ")</f>
        <v xml:space="preserve"> </v>
      </c>
      <c r="S154" s="55"/>
      <c r="T154" s="32"/>
      <c r="U154" s="32"/>
      <c r="V154" s="55"/>
      <c r="W154" s="32"/>
      <c r="X154" s="54"/>
      <c r="Y154" s="21" t="str">
        <f>IFERROR(VLOOKUP(April[[#This Row],[Drug Name2]],'Data Options'!$R$1:$S$100,2,FALSE), " ")</f>
        <v xml:space="preserve"> </v>
      </c>
      <c r="Z154" s="55"/>
      <c r="AA154" s="32"/>
      <c r="AB154" s="32"/>
      <c r="AC154" s="55"/>
      <c r="AD154" s="32"/>
      <c r="AE154" s="54"/>
      <c r="AF154" s="21" t="str">
        <f>IFERROR(VLOOKUP(April[[#This Row],[Drug Name3]],'Data Options'!$R$1:$S$100,2,FALSE), " ")</f>
        <v xml:space="preserve"> </v>
      </c>
      <c r="AG154" s="55"/>
      <c r="AH154" s="32"/>
      <c r="AI154" s="32"/>
      <c r="AJ154" s="55"/>
      <c r="AK154" s="32"/>
      <c r="AL154" s="32"/>
      <c r="AM154" s="32"/>
      <c r="AN154" s="32"/>
      <c r="AO154" s="32"/>
      <c r="AP154" s="31"/>
      <c r="AQ154" s="31"/>
      <c r="AR154" s="54"/>
      <c r="AS154" s="21" t="str">
        <f>IFERROR(VLOOKUP(April[[#This Row],[Drug Name4]],'Data Options'!$R$1:$S$100,2,FALSE), " ")</f>
        <v xml:space="preserve"> </v>
      </c>
      <c r="AT154" s="55"/>
      <c r="AU154" s="32"/>
      <c r="AV154" s="32"/>
      <c r="AW154" s="55"/>
      <c r="AX154" s="32"/>
      <c r="AY154" s="54"/>
      <c r="AZ154" s="21" t="str">
        <f>IFERROR(VLOOKUP(April[[#This Row],[Drug Name5]],'Data Options'!$R$1:$S$100,2,FALSE), " ")</f>
        <v xml:space="preserve"> </v>
      </c>
      <c r="BA154" s="55"/>
      <c r="BB154" s="32"/>
      <c r="BC154" s="32"/>
      <c r="BD154" s="55"/>
      <c r="BE154" s="32"/>
      <c r="BF154" s="54"/>
      <c r="BG154" s="21" t="str">
        <f>IFERROR(VLOOKUP(April[[#This Row],[Drug Name6]],'Data Options'!$R$1:$S$100,2,FALSE), " ")</f>
        <v xml:space="preserve"> </v>
      </c>
      <c r="BH154" s="55"/>
      <c r="BI154" s="32"/>
      <c r="BJ154" s="32"/>
      <c r="BK154" s="55"/>
      <c r="BL154" s="32"/>
      <c r="BM154" s="32"/>
      <c r="BN154" s="32"/>
      <c r="BO154" s="32"/>
      <c r="BP154" s="32"/>
      <c r="BQ154" s="31"/>
      <c r="BR154" s="31"/>
      <c r="BS154" s="54"/>
      <c r="BT154" s="21" t="str">
        <f>IFERROR(VLOOKUP(April[[#This Row],[Drug Name7]],'Data Options'!$R$1:$S$100,2,FALSE), " ")</f>
        <v xml:space="preserve"> </v>
      </c>
      <c r="BU154" s="55"/>
      <c r="BV154" s="32"/>
      <c r="BW154" s="32"/>
      <c r="BX154" s="55"/>
      <c r="BY154" s="32"/>
      <c r="BZ154" s="54"/>
      <c r="CA154" s="21" t="str">
        <f>IFERROR(VLOOKUP(April[[#This Row],[Drug Name8]],'Data Options'!$R$1:$S$100,2,FALSE), " ")</f>
        <v xml:space="preserve"> </v>
      </c>
      <c r="CB154" s="55"/>
      <c r="CC154" s="32"/>
      <c r="CD154" s="32"/>
      <c r="CE154" s="55"/>
      <c r="CF154" s="32"/>
      <c r="CG154" s="54"/>
      <c r="CH154" s="21" t="str">
        <f>IFERROR(VLOOKUP(April[[#This Row],[Drug Name9]],'Data Options'!$R$1:$S$100,2,FALSE), " ")</f>
        <v xml:space="preserve"> </v>
      </c>
      <c r="CI154" s="55"/>
      <c r="CJ154" s="32"/>
      <c r="CK154" s="32"/>
      <c r="CL154" s="55"/>
      <c r="CM154" s="32"/>
    </row>
    <row r="155" spans="1:91">
      <c r="A155" s="5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54"/>
      <c r="R155" s="21" t="str">
        <f>IFERROR(VLOOKUP(April[[#This Row],[Drug Name]],'Data Options'!$R$1:$S$100,2,FALSE), " ")</f>
        <v xml:space="preserve"> </v>
      </c>
      <c r="S155" s="55"/>
      <c r="T155" s="32"/>
      <c r="U155" s="32"/>
      <c r="V155" s="55"/>
      <c r="W155" s="32"/>
      <c r="X155" s="54"/>
      <c r="Y155" s="21" t="str">
        <f>IFERROR(VLOOKUP(April[[#This Row],[Drug Name2]],'Data Options'!$R$1:$S$100,2,FALSE), " ")</f>
        <v xml:space="preserve"> </v>
      </c>
      <c r="Z155" s="55"/>
      <c r="AA155" s="32"/>
      <c r="AB155" s="32"/>
      <c r="AC155" s="55"/>
      <c r="AD155" s="32"/>
      <c r="AE155" s="54"/>
      <c r="AF155" s="21" t="str">
        <f>IFERROR(VLOOKUP(April[[#This Row],[Drug Name3]],'Data Options'!$R$1:$S$100,2,FALSE), " ")</f>
        <v xml:space="preserve"> </v>
      </c>
      <c r="AG155" s="55"/>
      <c r="AH155" s="32"/>
      <c r="AI155" s="32"/>
      <c r="AJ155" s="55"/>
      <c r="AK155" s="32"/>
      <c r="AL155" s="32"/>
      <c r="AM155" s="32"/>
      <c r="AN155" s="32"/>
      <c r="AO155" s="32"/>
      <c r="AP155" s="31"/>
      <c r="AQ155" s="31"/>
      <c r="AR155" s="54"/>
      <c r="AS155" s="21" t="str">
        <f>IFERROR(VLOOKUP(April[[#This Row],[Drug Name4]],'Data Options'!$R$1:$S$100,2,FALSE), " ")</f>
        <v xml:space="preserve"> </v>
      </c>
      <c r="AT155" s="55"/>
      <c r="AU155" s="32"/>
      <c r="AV155" s="32"/>
      <c r="AW155" s="55"/>
      <c r="AX155" s="32"/>
      <c r="AY155" s="54"/>
      <c r="AZ155" s="21" t="str">
        <f>IFERROR(VLOOKUP(April[[#This Row],[Drug Name5]],'Data Options'!$R$1:$S$100,2,FALSE), " ")</f>
        <v xml:space="preserve"> </v>
      </c>
      <c r="BA155" s="55"/>
      <c r="BB155" s="32"/>
      <c r="BC155" s="32"/>
      <c r="BD155" s="55"/>
      <c r="BE155" s="32"/>
      <c r="BF155" s="54"/>
      <c r="BG155" s="21" t="str">
        <f>IFERROR(VLOOKUP(April[[#This Row],[Drug Name6]],'Data Options'!$R$1:$S$100,2,FALSE), " ")</f>
        <v xml:space="preserve"> </v>
      </c>
      <c r="BH155" s="55"/>
      <c r="BI155" s="32"/>
      <c r="BJ155" s="32"/>
      <c r="BK155" s="55"/>
      <c r="BL155" s="32"/>
      <c r="BM155" s="32"/>
      <c r="BN155" s="32"/>
      <c r="BO155" s="32"/>
      <c r="BP155" s="32"/>
      <c r="BQ155" s="31"/>
      <c r="BR155" s="31"/>
      <c r="BS155" s="54"/>
      <c r="BT155" s="21" t="str">
        <f>IFERROR(VLOOKUP(April[[#This Row],[Drug Name7]],'Data Options'!$R$1:$S$100,2,FALSE), " ")</f>
        <v xml:space="preserve"> </v>
      </c>
      <c r="BU155" s="55"/>
      <c r="BV155" s="32"/>
      <c r="BW155" s="32"/>
      <c r="BX155" s="55"/>
      <c r="BY155" s="32"/>
      <c r="BZ155" s="54"/>
      <c r="CA155" s="21" t="str">
        <f>IFERROR(VLOOKUP(April[[#This Row],[Drug Name8]],'Data Options'!$R$1:$S$100,2,FALSE), " ")</f>
        <v xml:space="preserve"> </v>
      </c>
      <c r="CB155" s="55"/>
      <c r="CC155" s="32"/>
      <c r="CD155" s="32"/>
      <c r="CE155" s="55"/>
      <c r="CF155" s="32"/>
      <c r="CG155" s="54"/>
      <c r="CH155" s="21" t="str">
        <f>IFERROR(VLOOKUP(April[[#This Row],[Drug Name9]],'Data Options'!$R$1:$S$100,2,FALSE), " ")</f>
        <v xml:space="preserve"> </v>
      </c>
      <c r="CI155" s="55"/>
      <c r="CJ155" s="32"/>
      <c r="CK155" s="32"/>
      <c r="CL155" s="55"/>
      <c r="CM155" s="32"/>
    </row>
    <row r="156" spans="1:91">
      <c r="A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1"/>
      <c r="P156" s="31"/>
      <c r="Q156" s="54"/>
      <c r="R156" s="21" t="str">
        <f>IFERROR(VLOOKUP(April[[#This Row],[Drug Name]],'Data Options'!$R$1:$S$100,2,FALSE), " ")</f>
        <v xml:space="preserve"> </v>
      </c>
      <c r="S156" s="55"/>
      <c r="T156" s="32"/>
      <c r="U156" s="32"/>
      <c r="V156" s="55"/>
      <c r="W156" s="32"/>
      <c r="X156" s="54"/>
      <c r="Y156" s="21" t="str">
        <f>IFERROR(VLOOKUP(April[[#This Row],[Drug Name2]],'Data Options'!$R$1:$S$100,2,FALSE), " ")</f>
        <v xml:space="preserve"> </v>
      </c>
      <c r="Z156" s="55"/>
      <c r="AA156" s="32"/>
      <c r="AB156" s="32"/>
      <c r="AC156" s="55"/>
      <c r="AD156" s="32"/>
      <c r="AE156" s="54"/>
      <c r="AF156" s="21" t="str">
        <f>IFERROR(VLOOKUP(April[[#This Row],[Drug Name3]],'Data Options'!$R$1:$S$100,2,FALSE), " ")</f>
        <v xml:space="preserve"> </v>
      </c>
      <c r="AG156" s="55"/>
      <c r="AH156" s="32"/>
      <c r="AI156" s="32"/>
      <c r="AJ156" s="55"/>
      <c r="AK156" s="32"/>
      <c r="AL156" s="32"/>
      <c r="AM156" s="32"/>
      <c r="AN156" s="32"/>
      <c r="AO156" s="32"/>
      <c r="AP156" s="31"/>
      <c r="AQ156" s="31"/>
      <c r="AR156" s="54"/>
      <c r="AS156" s="21" t="str">
        <f>IFERROR(VLOOKUP(April[[#This Row],[Drug Name4]],'Data Options'!$R$1:$S$100,2,FALSE), " ")</f>
        <v xml:space="preserve"> </v>
      </c>
      <c r="AT156" s="55"/>
      <c r="AU156" s="32"/>
      <c r="AV156" s="32"/>
      <c r="AW156" s="55"/>
      <c r="AX156" s="32"/>
      <c r="AY156" s="54"/>
      <c r="AZ156" s="21" t="str">
        <f>IFERROR(VLOOKUP(April[[#This Row],[Drug Name5]],'Data Options'!$R$1:$S$100,2,FALSE), " ")</f>
        <v xml:space="preserve"> </v>
      </c>
      <c r="BA156" s="55"/>
      <c r="BB156" s="32"/>
      <c r="BC156" s="32"/>
      <c r="BD156" s="55"/>
      <c r="BE156" s="32"/>
      <c r="BF156" s="54"/>
      <c r="BG156" s="21" t="str">
        <f>IFERROR(VLOOKUP(April[[#This Row],[Drug Name6]],'Data Options'!$R$1:$S$100,2,FALSE), " ")</f>
        <v xml:space="preserve"> </v>
      </c>
      <c r="BH156" s="55"/>
      <c r="BI156" s="32"/>
      <c r="BJ156" s="32"/>
      <c r="BK156" s="55"/>
      <c r="BL156" s="32"/>
      <c r="BM156" s="32"/>
      <c r="BN156" s="32"/>
      <c r="BO156" s="32"/>
      <c r="BP156" s="32"/>
      <c r="BQ156" s="31"/>
      <c r="BR156" s="31"/>
      <c r="BS156" s="54"/>
      <c r="BT156" s="21" t="str">
        <f>IFERROR(VLOOKUP(April[[#This Row],[Drug Name7]],'Data Options'!$R$1:$S$100,2,FALSE), " ")</f>
        <v xml:space="preserve"> </v>
      </c>
      <c r="BU156" s="55"/>
      <c r="BV156" s="32"/>
      <c r="BW156" s="32"/>
      <c r="BX156" s="55"/>
      <c r="BY156" s="32"/>
      <c r="BZ156" s="54"/>
      <c r="CA156" s="21" t="str">
        <f>IFERROR(VLOOKUP(April[[#This Row],[Drug Name8]],'Data Options'!$R$1:$S$100,2,FALSE), " ")</f>
        <v xml:space="preserve"> </v>
      </c>
      <c r="CB156" s="55"/>
      <c r="CC156" s="32"/>
      <c r="CD156" s="32"/>
      <c r="CE156" s="55"/>
      <c r="CF156" s="32"/>
      <c r="CG156" s="54"/>
      <c r="CH156" s="21" t="str">
        <f>IFERROR(VLOOKUP(April[[#This Row],[Drug Name9]],'Data Options'!$R$1:$S$100,2,FALSE), " ")</f>
        <v xml:space="preserve"> </v>
      </c>
      <c r="CI156" s="55"/>
      <c r="CJ156" s="32"/>
      <c r="CK156" s="32"/>
      <c r="CL156" s="55"/>
      <c r="CM156" s="32"/>
    </row>
    <row r="157" spans="1:91">
      <c r="A157" s="5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1"/>
      <c r="P157" s="31"/>
      <c r="Q157" s="54"/>
      <c r="R157" s="21" t="str">
        <f>IFERROR(VLOOKUP(April[[#This Row],[Drug Name]],'Data Options'!$R$1:$S$100,2,FALSE), " ")</f>
        <v xml:space="preserve"> </v>
      </c>
      <c r="S157" s="55"/>
      <c r="T157" s="32"/>
      <c r="U157" s="32"/>
      <c r="V157" s="55"/>
      <c r="W157" s="32"/>
      <c r="X157" s="54"/>
      <c r="Y157" s="21" t="str">
        <f>IFERROR(VLOOKUP(April[[#This Row],[Drug Name2]],'Data Options'!$R$1:$S$100,2,FALSE), " ")</f>
        <v xml:space="preserve"> </v>
      </c>
      <c r="Z157" s="55"/>
      <c r="AA157" s="32"/>
      <c r="AB157" s="32"/>
      <c r="AC157" s="55"/>
      <c r="AD157" s="32"/>
      <c r="AE157" s="54"/>
      <c r="AF157" s="21" t="str">
        <f>IFERROR(VLOOKUP(April[[#This Row],[Drug Name3]],'Data Options'!$R$1:$S$100,2,FALSE), " ")</f>
        <v xml:space="preserve"> </v>
      </c>
      <c r="AG157" s="55"/>
      <c r="AH157" s="32"/>
      <c r="AI157" s="32"/>
      <c r="AJ157" s="55"/>
      <c r="AK157" s="32"/>
      <c r="AL157" s="32"/>
      <c r="AM157" s="32"/>
      <c r="AN157" s="32"/>
      <c r="AO157" s="32"/>
      <c r="AP157" s="31"/>
      <c r="AQ157" s="31"/>
      <c r="AR157" s="54"/>
      <c r="AS157" s="21" t="str">
        <f>IFERROR(VLOOKUP(April[[#This Row],[Drug Name4]],'Data Options'!$R$1:$S$100,2,FALSE), " ")</f>
        <v xml:space="preserve"> </v>
      </c>
      <c r="AT157" s="55"/>
      <c r="AU157" s="32"/>
      <c r="AV157" s="32"/>
      <c r="AW157" s="55"/>
      <c r="AX157" s="32"/>
      <c r="AY157" s="54"/>
      <c r="AZ157" s="21" t="str">
        <f>IFERROR(VLOOKUP(April[[#This Row],[Drug Name5]],'Data Options'!$R$1:$S$100,2,FALSE), " ")</f>
        <v xml:space="preserve"> </v>
      </c>
      <c r="BA157" s="55"/>
      <c r="BB157" s="32"/>
      <c r="BC157" s="32"/>
      <c r="BD157" s="55"/>
      <c r="BE157" s="32"/>
      <c r="BF157" s="54"/>
      <c r="BG157" s="21" t="str">
        <f>IFERROR(VLOOKUP(April[[#This Row],[Drug Name6]],'Data Options'!$R$1:$S$100,2,FALSE), " ")</f>
        <v xml:space="preserve"> </v>
      </c>
      <c r="BH157" s="55"/>
      <c r="BI157" s="32"/>
      <c r="BJ157" s="32"/>
      <c r="BK157" s="55"/>
      <c r="BL157" s="32"/>
      <c r="BM157" s="32"/>
      <c r="BN157" s="32"/>
      <c r="BO157" s="32"/>
      <c r="BP157" s="32"/>
      <c r="BQ157" s="31"/>
      <c r="BR157" s="31"/>
      <c r="BS157" s="54"/>
      <c r="BT157" s="21" t="str">
        <f>IFERROR(VLOOKUP(April[[#This Row],[Drug Name7]],'Data Options'!$R$1:$S$100,2,FALSE), " ")</f>
        <v xml:space="preserve"> </v>
      </c>
      <c r="BU157" s="55"/>
      <c r="BV157" s="32"/>
      <c r="BW157" s="32"/>
      <c r="BX157" s="55"/>
      <c r="BY157" s="32"/>
      <c r="BZ157" s="54"/>
      <c r="CA157" s="21" t="str">
        <f>IFERROR(VLOOKUP(April[[#This Row],[Drug Name8]],'Data Options'!$R$1:$S$100,2,FALSE), " ")</f>
        <v xml:space="preserve"> </v>
      </c>
      <c r="CB157" s="55"/>
      <c r="CC157" s="32"/>
      <c r="CD157" s="32"/>
      <c r="CE157" s="55"/>
      <c r="CF157" s="32"/>
      <c r="CG157" s="54"/>
      <c r="CH157" s="21" t="str">
        <f>IFERROR(VLOOKUP(April[[#This Row],[Drug Name9]],'Data Options'!$R$1:$S$100,2,FALSE), " ")</f>
        <v xml:space="preserve"> </v>
      </c>
      <c r="CI157" s="55"/>
      <c r="CJ157" s="32"/>
      <c r="CK157" s="32"/>
      <c r="CL157" s="55"/>
      <c r="CM157" s="32"/>
    </row>
    <row r="158" spans="1:91">
      <c r="A158" s="5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1"/>
      <c r="P158" s="31"/>
      <c r="Q158" s="54"/>
      <c r="R158" s="21" t="str">
        <f>IFERROR(VLOOKUP(April[[#This Row],[Drug Name]],'Data Options'!$R$1:$S$100,2,FALSE), " ")</f>
        <v xml:space="preserve"> </v>
      </c>
      <c r="S158" s="55"/>
      <c r="T158" s="32"/>
      <c r="U158" s="32"/>
      <c r="V158" s="55"/>
      <c r="W158" s="32"/>
      <c r="X158" s="54"/>
      <c r="Y158" s="21" t="str">
        <f>IFERROR(VLOOKUP(April[[#This Row],[Drug Name2]],'Data Options'!$R$1:$S$100,2,FALSE), " ")</f>
        <v xml:space="preserve"> </v>
      </c>
      <c r="Z158" s="55"/>
      <c r="AA158" s="32"/>
      <c r="AB158" s="32"/>
      <c r="AC158" s="55"/>
      <c r="AD158" s="32"/>
      <c r="AE158" s="54"/>
      <c r="AF158" s="21" t="str">
        <f>IFERROR(VLOOKUP(April[[#This Row],[Drug Name3]],'Data Options'!$R$1:$S$100,2,FALSE), " ")</f>
        <v xml:space="preserve"> </v>
      </c>
      <c r="AG158" s="55"/>
      <c r="AH158" s="32"/>
      <c r="AI158" s="32"/>
      <c r="AJ158" s="55"/>
      <c r="AK158" s="32"/>
      <c r="AL158" s="32"/>
      <c r="AM158" s="32"/>
      <c r="AN158" s="32"/>
      <c r="AO158" s="32"/>
      <c r="AP158" s="31"/>
      <c r="AQ158" s="31"/>
      <c r="AR158" s="54"/>
      <c r="AS158" s="21" t="str">
        <f>IFERROR(VLOOKUP(April[[#This Row],[Drug Name4]],'Data Options'!$R$1:$S$100,2,FALSE), " ")</f>
        <v xml:space="preserve"> </v>
      </c>
      <c r="AT158" s="55"/>
      <c r="AU158" s="32"/>
      <c r="AV158" s="32"/>
      <c r="AW158" s="55"/>
      <c r="AX158" s="32"/>
      <c r="AY158" s="54"/>
      <c r="AZ158" s="21" t="str">
        <f>IFERROR(VLOOKUP(April[[#This Row],[Drug Name5]],'Data Options'!$R$1:$S$100,2,FALSE), " ")</f>
        <v xml:space="preserve"> </v>
      </c>
      <c r="BA158" s="55"/>
      <c r="BB158" s="32"/>
      <c r="BC158" s="32"/>
      <c r="BD158" s="55"/>
      <c r="BE158" s="32"/>
      <c r="BF158" s="54"/>
      <c r="BG158" s="21" t="str">
        <f>IFERROR(VLOOKUP(April[[#This Row],[Drug Name6]],'Data Options'!$R$1:$S$100,2,FALSE), " ")</f>
        <v xml:space="preserve"> </v>
      </c>
      <c r="BH158" s="55"/>
      <c r="BI158" s="32"/>
      <c r="BJ158" s="32"/>
      <c r="BK158" s="55"/>
      <c r="BL158" s="32"/>
      <c r="BM158" s="32"/>
      <c r="BN158" s="32"/>
      <c r="BO158" s="32"/>
      <c r="BP158" s="32"/>
      <c r="BQ158" s="31"/>
      <c r="BR158" s="31"/>
      <c r="BS158" s="54"/>
      <c r="BT158" s="21" t="str">
        <f>IFERROR(VLOOKUP(April[[#This Row],[Drug Name7]],'Data Options'!$R$1:$S$100,2,FALSE), " ")</f>
        <v xml:space="preserve"> </v>
      </c>
      <c r="BU158" s="55"/>
      <c r="BV158" s="32"/>
      <c r="BW158" s="32"/>
      <c r="BX158" s="55"/>
      <c r="BY158" s="32"/>
      <c r="BZ158" s="54"/>
      <c r="CA158" s="21" t="str">
        <f>IFERROR(VLOOKUP(April[[#This Row],[Drug Name8]],'Data Options'!$R$1:$S$100,2,FALSE), " ")</f>
        <v xml:space="preserve"> </v>
      </c>
      <c r="CB158" s="55"/>
      <c r="CC158" s="32"/>
      <c r="CD158" s="32"/>
      <c r="CE158" s="55"/>
      <c r="CF158" s="32"/>
      <c r="CG158" s="54"/>
      <c r="CH158" s="21" t="str">
        <f>IFERROR(VLOOKUP(April[[#This Row],[Drug Name9]],'Data Options'!$R$1:$S$100,2,FALSE), " ")</f>
        <v xml:space="preserve"> </v>
      </c>
      <c r="CI158" s="55"/>
      <c r="CJ158" s="32"/>
      <c r="CK158" s="32"/>
      <c r="CL158" s="55"/>
      <c r="CM158" s="32"/>
    </row>
    <row r="159" spans="1:91">
      <c r="A159" s="5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1"/>
      <c r="P159" s="31"/>
      <c r="Q159" s="54"/>
      <c r="R159" s="21" t="str">
        <f>IFERROR(VLOOKUP(April[[#This Row],[Drug Name]],'Data Options'!$R$1:$S$100,2,FALSE), " ")</f>
        <v xml:space="preserve"> </v>
      </c>
      <c r="S159" s="55"/>
      <c r="T159" s="32"/>
      <c r="U159" s="32"/>
      <c r="V159" s="55"/>
      <c r="W159" s="32"/>
      <c r="X159" s="54"/>
      <c r="Y159" s="21" t="str">
        <f>IFERROR(VLOOKUP(April[[#This Row],[Drug Name2]],'Data Options'!$R$1:$S$100,2,FALSE), " ")</f>
        <v xml:space="preserve"> </v>
      </c>
      <c r="Z159" s="55"/>
      <c r="AA159" s="32"/>
      <c r="AB159" s="32"/>
      <c r="AC159" s="55"/>
      <c r="AD159" s="32"/>
      <c r="AE159" s="54"/>
      <c r="AF159" s="21" t="str">
        <f>IFERROR(VLOOKUP(April[[#This Row],[Drug Name3]],'Data Options'!$R$1:$S$100,2,FALSE), " ")</f>
        <v xml:space="preserve"> </v>
      </c>
      <c r="AG159" s="55"/>
      <c r="AH159" s="32"/>
      <c r="AI159" s="32"/>
      <c r="AJ159" s="55"/>
      <c r="AK159" s="32"/>
      <c r="AL159" s="32"/>
      <c r="AM159" s="32"/>
      <c r="AN159" s="32"/>
      <c r="AO159" s="32"/>
      <c r="AP159" s="31"/>
      <c r="AQ159" s="31"/>
      <c r="AR159" s="54"/>
      <c r="AS159" s="21" t="str">
        <f>IFERROR(VLOOKUP(April[[#This Row],[Drug Name4]],'Data Options'!$R$1:$S$100,2,FALSE), " ")</f>
        <v xml:space="preserve"> </v>
      </c>
      <c r="AT159" s="55"/>
      <c r="AU159" s="32"/>
      <c r="AV159" s="32"/>
      <c r="AW159" s="55"/>
      <c r="AX159" s="32"/>
      <c r="AY159" s="54"/>
      <c r="AZ159" s="21" t="str">
        <f>IFERROR(VLOOKUP(April[[#This Row],[Drug Name5]],'Data Options'!$R$1:$S$100,2,FALSE), " ")</f>
        <v xml:space="preserve"> </v>
      </c>
      <c r="BA159" s="55"/>
      <c r="BB159" s="32"/>
      <c r="BC159" s="32"/>
      <c r="BD159" s="55"/>
      <c r="BE159" s="32"/>
      <c r="BF159" s="54"/>
      <c r="BG159" s="21" t="str">
        <f>IFERROR(VLOOKUP(April[[#This Row],[Drug Name6]],'Data Options'!$R$1:$S$100,2,FALSE), " ")</f>
        <v xml:space="preserve"> </v>
      </c>
      <c r="BH159" s="55"/>
      <c r="BI159" s="32"/>
      <c r="BJ159" s="32"/>
      <c r="BK159" s="55"/>
      <c r="BL159" s="32"/>
      <c r="BM159" s="32"/>
      <c r="BN159" s="32"/>
      <c r="BO159" s="32"/>
      <c r="BP159" s="32"/>
      <c r="BQ159" s="31"/>
      <c r="BR159" s="31"/>
      <c r="BS159" s="54"/>
      <c r="BT159" s="21" t="str">
        <f>IFERROR(VLOOKUP(April[[#This Row],[Drug Name7]],'Data Options'!$R$1:$S$100,2,FALSE), " ")</f>
        <v xml:space="preserve"> </v>
      </c>
      <c r="BU159" s="55"/>
      <c r="BV159" s="32"/>
      <c r="BW159" s="32"/>
      <c r="BX159" s="55"/>
      <c r="BY159" s="32"/>
      <c r="BZ159" s="54"/>
      <c r="CA159" s="21" t="str">
        <f>IFERROR(VLOOKUP(April[[#This Row],[Drug Name8]],'Data Options'!$R$1:$S$100,2,FALSE), " ")</f>
        <v xml:space="preserve"> </v>
      </c>
      <c r="CB159" s="55"/>
      <c r="CC159" s="32"/>
      <c r="CD159" s="32"/>
      <c r="CE159" s="55"/>
      <c r="CF159" s="32"/>
      <c r="CG159" s="54"/>
      <c r="CH159" s="21" t="str">
        <f>IFERROR(VLOOKUP(April[[#This Row],[Drug Name9]],'Data Options'!$R$1:$S$100,2,FALSE), " ")</f>
        <v xml:space="preserve"> </v>
      </c>
      <c r="CI159" s="55"/>
      <c r="CJ159" s="32"/>
      <c r="CK159" s="32"/>
      <c r="CL159" s="55"/>
      <c r="CM159" s="32"/>
    </row>
    <row r="160" spans="1:91">
      <c r="A160" s="5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1"/>
      <c r="P160" s="31"/>
      <c r="Q160" s="54"/>
      <c r="R160" s="21" t="str">
        <f>IFERROR(VLOOKUP(April[[#This Row],[Drug Name]],'Data Options'!$R$1:$S$100,2,FALSE), " ")</f>
        <v xml:space="preserve"> </v>
      </c>
      <c r="S160" s="55"/>
      <c r="T160" s="32"/>
      <c r="U160" s="32"/>
      <c r="V160" s="55"/>
      <c r="W160" s="32"/>
      <c r="X160" s="54"/>
      <c r="Y160" s="21" t="str">
        <f>IFERROR(VLOOKUP(April[[#This Row],[Drug Name2]],'Data Options'!$R$1:$S$100,2,FALSE), " ")</f>
        <v xml:space="preserve"> </v>
      </c>
      <c r="Z160" s="55"/>
      <c r="AA160" s="32"/>
      <c r="AB160" s="32"/>
      <c r="AC160" s="55"/>
      <c r="AD160" s="32"/>
      <c r="AE160" s="54"/>
      <c r="AF160" s="21" t="str">
        <f>IFERROR(VLOOKUP(April[[#This Row],[Drug Name3]],'Data Options'!$R$1:$S$100,2,FALSE), " ")</f>
        <v xml:space="preserve"> </v>
      </c>
      <c r="AG160" s="55"/>
      <c r="AH160" s="32"/>
      <c r="AI160" s="32"/>
      <c r="AJ160" s="55"/>
      <c r="AK160" s="32"/>
      <c r="AL160" s="32"/>
      <c r="AM160" s="32"/>
      <c r="AN160" s="32"/>
      <c r="AO160" s="32"/>
      <c r="AP160" s="31"/>
      <c r="AQ160" s="31"/>
      <c r="AR160" s="54"/>
      <c r="AS160" s="21" t="str">
        <f>IFERROR(VLOOKUP(April[[#This Row],[Drug Name4]],'Data Options'!$R$1:$S$100,2,FALSE), " ")</f>
        <v xml:space="preserve"> </v>
      </c>
      <c r="AT160" s="55"/>
      <c r="AU160" s="32"/>
      <c r="AV160" s="32"/>
      <c r="AW160" s="55"/>
      <c r="AX160" s="32"/>
      <c r="AY160" s="54"/>
      <c r="AZ160" s="21" t="str">
        <f>IFERROR(VLOOKUP(April[[#This Row],[Drug Name5]],'Data Options'!$R$1:$S$100,2,FALSE), " ")</f>
        <v xml:space="preserve"> </v>
      </c>
      <c r="BA160" s="55"/>
      <c r="BB160" s="32"/>
      <c r="BC160" s="32"/>
      <c r="BD160" s="55"/>
      <c r="BE160" s="32"/>
      <c r="BF160" s="54"/>
      <c r="BG160" s="21" t="str">
        <f>IFERROR(VLOOKUP(April[[#This Row],[Drug Name6]],'Data Options'!$R$1:$S$100,2,FALSE), " ")</f>
        <v xml:space="preserve"> </v>
      </c>
      <c r="BH160" s="55"/>
      <c r="BI160" s="32"/>
      <c r="BJ160" s="32"/>
      <c r="BK160" s="55"/>
      <c r="BL160" s="32"/>
      <c r="BM160" s="32"/>
      <c r="BN160" s="32"/>
      <c r="BO160" s="32"/>
      <c r="BP160" s="32"/>
      <c r="BQ160" s="31"/>
      <c r="BR160" s="31"/>
      <c r="BS160" s="54"/>
      <c r="BT160" s="21" t="str">
        <f>IFERROR(VLOOKUP(April[[#This Row],[Drug Name7]],'Data Options'!$R$1:$S$100,2,FALSE), " ")</f>
        <v xml:space="preserve"> </v>
      </c>
      <c r="BU160" s="55"/>
      <c r="BV160" s="32"/>
      <c r="BW160" s="32"/>
      <c r="BX160" s="55"/>
      <c r="BY160" s="32"/>
      <c r="BZ160" s="54"/>
      <c r="CA160" s="21" t="str">
        <f>IFERROR(VLOOKUP(April[[#This Row],[Drug Name8]],'Data Options'!$R$1:$S$100,2,FALSE), " ")</f>
        <v xml:space="preserve"> </v>
      </c>
      <c r="CB160" s="55"/>
      <c r="CC160" s="32"/>
      <c r="CD160" s="32"/>
      <c r="CE160" s="55"/>
      <c r="CF160" s="32"/>
      <c r="CG160" s="54"/>
      <c r="CH160" s="21" t="str">
        <f>IFERROR(VLOOKUP(April[[#This Row],[Drug Name9]],'Data Options'!$R$1:$S$100,2,FALSE), " ")</f>
        <v xml:space="preserve"> </v>
      </c>
      <c r="CI160" s="55"/>
      <c r="CJ160" s="32"/>
      <c r="CK160" s="32"/>
      <c r="CL160" s="55"/>
      <c r="CM160" s="32"/>
    </row>
    <row r="161" spans="1:91">
      <c r="A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1"/>
      <c r="P161" s="31"/>
      <c r="Q161" s="54"/>
      <c r="R161" s="21" t="str">
        <f>IFERROR(VLOOKUP(April[[#This Row],[Drug Name]],'Data Options'!$R$1:$S$100,2,FALSE), " ")</f>
        <v xml:space="preserve"> </v>
      </c>
      <c r="S161" s="55"/>
      <c r="T161" s="32"/>
      <c r="U161" s="32"/>
      <c r="V161" s="55"/>
      <c r="W161" s="32"/>
      <c r="X161" s="54"/>
      <c r="Y161" s="21" t="str">
        <f>IFERROR(VLOOKUP(April[[#This Row],[Drug Name2]],'Data Options'!$R$1:$S$100,2,FALSE), " ")</f>
        <v xml:space="preserve"> </v>
      </c>
      <c r="Z161" s="55"/>
      <c r="AA161" s="32"/>
      <c r="AB161" s="32"/>
      <c r="AC161" s="55"/>
      <c r="AD161" s="32"/>
      <c r="AE161" s="54"/>
      <c r="AF161" s="21" t="str">
        <f>IFERROR(VLOOKUP(April[[#This Row],[Drug Name3]],'Data Options'!$R$1:$S$100,2,FALSE), " ")</f>
        <v xml:space="preserve"> </v>
      </c>
      <c r="AG161" s="55"/>
      <c r="AH161" s="32"/>
      <c r="AI161" s="32"/>
      <c r="AJ161" s="55"/>
      <c r="AK161" s="32"/>
      <c r="AL161" s="32"/>
      <c r="AM161" s="32"/>
      <c r="AN161" s="32"/>
      <c r="AO161" s="32"/>
      <c r="AP161" s="31"/>
      <c r="AQ161" s="31"/>
      <c r="AR161" s="54"/>
      <c r="AS161" s="21" t="str">
        <f>IFERROR(VLOOKUP(April[[#This Row],[Drug Name4]],'Data Options'!$R$1:$S$100,2,FALSE), " ")</f>
        <v xml:space="preserve"> </v>
      </c>
      <c r="AT161" s="55"/>
      <c r="AU161" s="32"/>
      <c r="AV161" s="32"/>
      <c r="AW161" s="55"/>
      <c r="AX161" s="32"/>
      <c r="AY161" s="54"/>
      <c r="AZ161" s="21" t="str">
        <f>IFERROR(VLOOKUP(April[[#This Row],[Drug Name5]],'Data Options'!$R$1:$S$100,2,FALSE), " ")</f>
        <v xml:space="preserve"> </v>
      </c>
      <c r="BA161" s="55"/>
      <c r="BB161" s="32"/>
      <c r="BC161" s="32"/>
      <c r="BD161" s="55"/>
      <c r="BE161" s="32"/>
      <c r="BF161" s="54"/>
      <c r="BG161" s="21" t="str">
        <f>IFERROR(VLOOKUP(April[[#This Row],[Drug Name6]],'Data Options'!$R$1:$S$100,2,FALSE), " ")</f>
        <v xml:space="preserve"> </v>
      </c>
      <c r="BH161" s="55"/>
      <c r="BI161" s="32"/>
      <c r="BJ161" s="32"/>
      <c r="BK161" s="55"/>
      <c r="BL161" s="32"/>
      <c r="BM161" s="32"/>
      <c r="BN161" s="32"/>
      <c r="BO161" s="32"/>
      <c r="BP161" s="32"/>
      <c r="BQ161" s="31"/>
      <c r="BR161" s="31"/>
      <c r="BS161" s="54"/>
      <c r="BT161" s="21" t="str">
        <f>IFERROR(VLOOKUP(April[[#This Row],[Drug Name7]],'Data Options'!$R$1:$S$100,2,FALSE), " ")</f>
        <v xml:space="preserve"> </v>
      </c>
      <c r="BU161" s="55"/>
      <c r="BV161" s="32"/>
      <c r="BW161" s="32"/>
      <c r="BX161" s="55"/>
      <c r="BY161" s="32"/>
      <c r="BZ161" s="54"/>
      <c r="CA161" s="21" t="str">
        <f>IFERROR(VLOOKUP(April[[#This Row],[Drug Name8]],'Data Options'!$R$1:$S$100,2,FALSE), " ")</f>
        <v xml:space="preserve"> </v>
      </c>
      <c r="CB161" s="55"/>
      <c r="CC161" s="32"/>
      <c r="CD161" s="32"/>
      <c r="CE161" s="55"/>
      <c r="CF161" s="32"/>
      <c r="CG161" s="54"/>
      <c r="CH161" s="21" t="str">
        <f>IFERROR(VLOOKUP(April[[#This Row],[Drug Name9]],'Data Options'!$R$1:$S$100,2,FALSE), " ")</f>
        <v xml:space="preserve"> </v>
      </c>
      <c r="CI161" s="55"/>
      <c r="CJ161" s="32"/>
      <c r="CK161" s="32"/>
      <c r="CL161" s="55"/>
      <c r="CM161" s="32"/>
    </row>
    <row r="162" spans="1:91">
      <c r="A162" s="5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1"/>
      <c r="P162" s="31"/>
      <c r="Q162" s="54"/>
      <c r="R162" s="21" t="str">
        <f>IFERROR(VLOOKUP(April[[#This Row],[Drug Name]],'Data Options'!$R$1:$S$100,2,FALSE), " ")</f>
        <v xml:space="preserve"> </v>
      </c>
      <c r="S162" s="55"/>
      <c r="T162" s="32"/>
      <c r="U162" s="32"/>
      <c r="V162" s="55"/>
      <c r="W162" s="32"/>
      <c r="X162" s="54"/>
      <c r="Y162" s="21" t="str">
        <f>IFERROR(VLOOKUP(April[[#This Row],[Drug Name2]],'Data Options'!$R$1:$S$100,2,FALSE), " ")</f>
        <v xml:space="preserve"> </v>
      </c>
      <c r="Z162" s="55"/>
      <c r="AA162" s="32"/>
      <c r="AB162" s="32"/>
      <c r="AC162" s="55"/>
      <c r="AD162" s="32"/>
      <c r="AE162" s="54"/>
      <c r="AF162" s="21" t="str">
        <f>IFERROR(VLOOKUP(April[[#This Row],[Drug Name3]],'Data Options'!$R$1:$S$100,2,FALSE), " ")</f>
        <v xml:space="preserve"> </v>
      </c>
      <c r="AG162" s="55"/>
      <c r="AH162" s="32"/>
      <c r="AI162" s="32"/>
      <c r="AJ162" s="55"/>
      <c r="AK162" s="32"/>
      <c r="AL162" s="32"/>
      <c r="AM162" s="32"/>
      <c r="AN162" s="32"/>
      <c r="AO162" s="32"/>
      <c r="AP162" s="31"/>
      <c r="AQ162" s="31"/>
      <c r="AR162" s="54"/>
      <c r="AS162" s="21" t="str">
        <f>IFERROR(VLOOKUP(April[[#This Row],[Drug Name4]],'Data Options'!$R$1:$S$100,2,FALSE), " ")</f>
        <v xml:space="preserve"> </v>
      </c>
      <c r="AT162" s="55"/>
      <c r="AU162" s="32"/>
      <c r="AV162" s="32"/>
      <c r="AW162" s="55"/>
      <c r="AX162" s="32"/>
      <c r="AY162" s="54"/>
      <c r="AZ162" s="21" t="str">
        <f>IFERROR(VLOOKUP(April[[#This Row],[Drug Name5]],'Data Options'!$R$1:$S$100,2,FALSE), " ")</f>
        <v xml:space="preserve"> </v>
      </c>
      <c r="BA162" s="55"/>
      <c r="BB162" s="32"/>
      <c r="BC162" s="32"/>
      <c r="BD162" s="55"/>
      <c r="BE162" s="32"/>
      <c r="BF162" s="54"/>
      <c r="BG162" s="21" t="str">
        <f>IFERROR(VLOOKUP(April[[#This Row],[Drug Name6]],'Data Options'!$R$1:$S$100,2,FALSE), " ")</f>
        <v xml:space="preserve"> </v>
      </c>
      <c r="BH162" s="55"/>
      <c r="BI162" s="32"/>
      <c r="BJ162" s="32"/>
      <c r="BK162" s="55"/>
      <c r="BL162" s="32"/>
      <c r="BM162" s="32"/>
      <c r="BN162" s="32"/>
      <c r="BO162" s="32"/>
      <c r="BP162" s="32"/>
      <c r="BQ162" s="31"/>
      <c r="BR162" s="31"/>
      <c r="BS162" s="54"/>
      <c r="BT162" s="21" t="str">
        <f>IFERROR(VLOOKUP(April[[#This Row],[Drug Name7]],'Data Options'!$R$1:$S$100,2,FALSE), " ")</f>
        <v xml:space="preserve"> </v>
      </c>
      <c r="BU162" s="55"/>
      <c r="BV162" s="32"/>
      <c r="BW162" s="32"/>
      <c r="BX162" s="55"/>
      <c r="BY162" s="32"/>
      <c r="BZ162" s="54"/>
      <c r="CA162" s="21" t="str">
        <f>IFERROR(VLOOKUP(April[[#This Row],[Drug Name8]],'Data Options'!$R$1:$S$100,2,FALSE), " ")</f>
        <v xml:space="preserve"> </v>
      </c>
      <c r="CB162" s="55"/>
      <c r="CC162" s="32"/>
      <c r="CD162" s="32"/>
      <c r="CE162" s="55"/>
      <c r="CF162" s="32"/>
      <c r="CG162" s="54"/>
      <c r="CH162" s="21" t="str">
        <f>IFERROR(VLOOKUP(April[[#This Row],[Drug Name9]],'Data Options'!$R$1:$S$100,2,FALSE), " ")</f>
        <v xml:space="preserve"> </v>
      </c>
      <c r="CI162" s="55"/>
      <c r="CJ162" s="32"/>
      <c r="CK162" s="32"/>
      <c r="CL162" s="55"/>
      <c r="CM162" s="32"/>
    </row>
    <row r="163" spans="1:91">
      <c r="A163" s="5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1"/>
      <c r="P163" s="31"/>
      <c r="Q163" s="54"/>
      <c r="R163" s="21" t="str">
        <f>IFERROR(VLOOKUP(April[[#This Row],[Drug Name]],'Data Options'!$R$1:$S$100,2,FALSE), " ")</f>
        <v xml:space="preserve"> </v>
      </c>
      <c r="S163" s="55"/>
      <c r="T163" s="32"/>
      <c r="U163" s="32"/>
      <c r="V163" s="55"/>
      <c r="W163" s="32"/>
      <c r="X163" s="54"/>
      <c r="Y163" s="21" t="str">
        <f>IFERROR(VLOOKUP(April[[#This Row],[Drug Name2]],'Data Options'!$R$1:$S$100,2,FALSE), " ")</f>
        <v xml:space="preserve"> </v>
      </c>
      <c r="Z163" s="55"/>
      <c r="AA163" s="32"/>
      <c r="AB163" s="32"/>
      <c r="AC163" s="55"/>
      <c r="AD163" s="32"/>
      <c r="AE163" s="54"/>
      <c r="AF163" s="21" t="str">
        <f>IFERROR(VLOOKUP(April[[#This Row],[Drug Name3]],'Data Options'!$R$1:$S$100,2,FALSE), " ")</f>
        <v xml:space="preserve"> </v>
      </c>
      <c r="AG163" s="55"/>
      <c r="AH163" s="32"/>
      <c r="AI163" s="32"/>
      <c r="AJ163" s="55"/>
      <c r="AK163" s="32"/>
      <c r="AL163" s="32"/>
      <c r="AM163" s="32"/>
      <c r="AN163" s="32"/>
      <c r="AO163" s="32"/>
      <c r="AP163" s="31"/>
      <c r="AQ163" s="31"/>
      <c r="AR163" s="54"/>
      <c r="AS163" s="21" t="str">
        <f>IFERROR(VLOOKUP(April[[#This Row],[Drug Name4]],'Data Options'!$R$1:$S$100,2,FALSE), " ")</f>
        <v xml:space="preserve"> </v>
      </c>
      <c r="AT163" s="55"/>
      <c r="AU163" s="32"/>
      <c r="AV163" s="32"/>
      <c r="AW163" s="55"/>
      <c r="AX163" s="32"/>
      <c r="AY163" s="54"/>
      <c r="AZ163" s="21" t="str">
        <f>IFERROR(VLOOKUP(April[[#This Row],[Drug Name5]],'Data Options'!$R$1:$S$100,2,FALSE), " ")</f>
        <v xml:space="preserve"> </v>
      </c>
      <c r="BA163" s="55"/>
      <c r="BB163" s="32"/>
      <c r="BC163" s="32"/>
      <c r="BD163" s="55"/>
      <c r="BE163" s="32"/>
      <c r="BF163" s="54"/>
      <c r="BG163" s="21" t="str">
        <f>IFERROR(VLOOKUP(April[[#This Row],[Drug Name6]],'Data Options'!$R$1:$S$100,2,FALSE), " ")</f>
        <v xml:space="preserve"> </v>
      </c>
      <c r="BH163" s="55"/>
      <c r="BI163" s="32"/>
      <c r="BJ163" s="32"/>
      <c r="BK163" s="55"/>
      <c r="BL163" s="32"/>
      <c r="BM163" s="32"/>
      <c r="BN163" s="32"/>
      <c r="BO163" s="32"/>
      <c r="BP163" s="32"/>
      <c r="BQ163" s="31"/>
      <c r="BR163" s="31"/>
      <c r="BS163" s="54"/>
      <c r="BT163" s="21" t="str">
        <f>IFERROR(VLOOKUP(April[[#This Row],[Drug Name7]],'Data Options'!$R$1:$S$100,2,FALSE), " ")</f>
        <v xml:space="preserve"> </v>
      </c>
      <c r="BU163" s="55"/>
      <c r="BV163" s="32"/>
      <c r="BW163" s="32"/>
      <c r="BX163" s="55"/>
      <c r="BY163" s="32"/>
      <c r="BZ163" s="54"/>
      <c r="CA163" s="21" t="str">
        <f>IFERROR(VLOOKUP(April[[#This Row],[Drug Name8]],'Data Options'!$R$1:$S$100,2,FALSE), " ")</f>
        <v xml:space="preserve"> </v>
      </c>
      <c r="CB163" s="55"/>
      <c r="CC163" s="32"/>
      <c r="CD163" s="32"/>
      <c r="CE163" s="55"/>
      <c r="CF163" s="32"/>
      <c r="CG163" s="54"/>
      <c r="CH163" s="21" t="str">
        <f>IFERROR(VLOOKUP(April[[#This Row],[Drug Name9]],'Data Options'!$R$1:$S$100,2,FALSE), " ")</f>
        <v xml:space="preserve"> </v>
      </c>
      <c r="CI163" s="55"/>
      <c r="CJ163" s="32"/>
      <c r="CK163" s="32"/>
      <c r="CL163" s="55"/>
      <c r="CM163" s="32"/>
    </row>
    <row r="164" spans="1:91">
      <c r="A164" s="5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1"/>
      <c r="P164" s="31"/>
      <c r="Q164" s="54"/>
      <c r="R164" s="21" t="str">
        <f>IFERROR(VLOOKUP(April[[#This Row],[Drug Name]],'Data Options'!$R$1:$S$100,2,FALSE), " ")</f>
        <v xml:space="preserve"> </v>
      </c>
      <c r="S164" s="55"/>
      <c r="T164" s="32"/>
      <c r="U164" s="32"/>
      <c r="V164" s="55"/>
      <c r="W164" s="32"/>
      <c r="X164" s="54"/>
      <c r="Y164" s="21" t="str">
        <f>IFERROR(VLOOKUP(April[[#This Row],[Drug Name2]],'Data Options'!$R$1:$S$100,2,FALSE), " ")</f>
        <v xml:space="preserve"> </v>
      </c>
      <c r="Z164" s="55"/>
      <c r="AA164" s="32"/>
      <c r="AB164" s="32"/>
      <c r="AC164" s="55"/>
      <c r="AD164" s="32"/>
      <c r="AE164" s="54"/>
      <c r="AF164" s="21" t="str">
        <f>IFERROR(VLOOKUP(April[[#This Row],[Drug Name3]],'Data Options'!$R$1:$S$100,2,FALSE), " ")</f>
        <v xml:space="preserve"> </v>
      </c>
      <c r="AG164" s="55"/>
      <c r="AH164" s="32"/>
      <c r="AI164" s="32"/>
      <c r="AJ164" s="55"/>
      <c r="AK164" s="32"/>
      <c r="AL164" s="32"/>
      <c r="AM164" s="32"/>
      <c r="AN164" s="32"/>
      <c r="AO164" s="32"/>
      <c r="AP164" s="31"/>
      <c r="AQ164" s="31"/>
      <c r="AR164" s="54"/>
      <c r="AS164" s="21" t="str">
        <f>IFERROR(VLOOKUP(April[[#This Row],[Drug Name4]],'Data Options'!$R$1:$S$100,2,FALSE), " ")</f>
        <v xml:space="preserve"> </v>
      </c>
      <c r="AT164" s="55"/>
      <c r="AU164" s="32"/>
      <c r="AV164" s="32"/>
      <c r="AW164" s="55"/>
      <c r="AX164" s="32"/>
      <c r="AY164" s="54"/>
      <c r="AZ164" s="21" t="str">
        <f>IFERROR(VLOOKUP(April[[#This Row],[Drug Name5]],'Data Options'!$R$1:$S$100,2,FALSE), " ")</f>
        <v xml:space="preserve"> </v>
      </c>
      <c r="BA164" s="55"/>
      <c r="BB164" s="32"/>
      <c r="BC164" s="32"/>
      <c r="BD164" s="55"/>
      <c r="BE164" s="32"/>
      <c r="BF164" s="54"/>
      <c r="BG164" s="21" t="str">
        <f>IFERROR(VLOOKUP(April[[#This Row],[Drug Name6]],'Data Options'!$R$1:$S$100,2,FALSE), " ")</f>
        <v xml:space="preserve"> </v>
      </c>
      <c r="BH164" s="55"/>
      <c r="BI164" s="32"/>
      <c r="BJ164" s="32"/>
      <c r="BK164" s="55"/>
      <c r="BL164" s="32"/>
      <c r="BM164" s="32"/>
      <c r="BN164" s="32"/>
      <c r="BO164" s="32"/>
      <c r="BP164" s="32"/>
      <c r="BQ164" s="31"/>
      <c r="BR164" s="31"/>
      <c r="BS164" s="54"/>
      <c r="BT164" s="21" t="str">
        <f>IFERROR(VLOOKUP(April[[#This Row],[Drug Name7]],'Data Options'!$R$1:$S$100,2,FALSE), " ")</f>
        <v xml:space="preserve"> </v>
      </c>
      <c r="BU164" s="55"/>
      <c r="BV164" s="32"/>
      <c r="BW164" s="32"/>
      <c r="BX164" s="55"/>
      <c r="BY164" s="32"/>
      <c r="BZ164" s="54"/>
      <c r="CA164" s="21" t="str">
        <f>IFERROR(VLOOKUP(April[[#This Row],[Drug Name8]],'Data Options'!$R$1:$S$100,2,FALSE), " ")</f>
        <v xml:space="preserve"> </v>
      </c>
      <c r="CB164" s="55"/>
      <c r="CC164" s="32"/>
      <c r="CD164" s="32"/>
      <c r="CE164" s="55"/>
      <c r="CF164" s="32"/>
      <c r="CG164" s="54"/>
      <c r="CH164" s="21" t="str">
        <f>IFERROR(VLOOKUP(April[[#This Row],[Drug Name9]],'Data Options'!$R$1:$S$100,2,FALSE), " ")</f>
        <v xml:space="preserve"> </v>
      </c>
      <c r="CI164" s="55"/>
      <c r="CJ164" s="32"/>
      <c r="CK164" s="32"/>
      <c r="CL164" s="55"/>
      <c r="CM164" s="32"/>
    </row>
    <row r="165" spans="1:91">
      <c r="A165" s="5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1"/>
      <c r="P165" s="31"/>
      <c r="Q165" s="54"/>
      <c r="R165" s="21" t="str">
        <f>IFERROR(VLOOKUP(April[[#This Row],[Drug Name]],'Data Options'!$R$1:$S$100,2,FALSE), " ")</f>
        <v xml:space="preserve"> </v>
      </c>
      <c r="S165" s="55"/>
      <c r="T165" s="32"/>
      <c r="U165" s="32"/>
      <c r="V165" s="55"/>
      <c r="W165" s="32"/>
      <c r="X165" s="54"/>
      <c r="Y165" s="21" t="str">
        <f>IFERROR(VLOOKUP(April[[#This Row],[Drug Name2]],'Data Options'!$R$1:$S$100,2,FALSE), " ")</f>
        <v xml:space="preserve"> </v>
      </c>
      <c r="Z165" s="55"/>
      <c r="AA165" s="32"/>
      <c r="AB165" s="32"/>
      <c r="AC165" s="55"/>
      <c r="AD165" s="32"/>
      <c r="AE165" s="54"/>
      <c r="AF165" s="21" t="str">
        <f>IFERROR(VLOOKUP(April[[#This Row],[Drug Name3]],'Data Options'!$R$1:$S$100,2,FALSE), " ")</f>
        <v xml:space="preserve"> </v>
      </c>
      <c r="AG165" s="55"/>
      <c r="AH165" s="32"/>
      <c r="AI165" s="32"/>
      <c r="AJ165" s="55"/>
      <c r="AK165" s="32"/>
      <c r="AL165" s="32"/>
      <c r="AM165" s="32"/>
      <c r="AN165" s="32"/>
      <c r="AO165" s="32"/>
      <c r="AP165" s="31"/>
      <c r="AQ165" s="31"/>
      <c r="AR165" s="54"/>
      <c r="AS165" s="21" t="str">
        <f>IFERROR(VLOOKUP(April[[#This Row],[Drug Name4]],'Data Options'!$R$1:$S$100,2,FALSE), " ")</f>
        <v xml:space="preserve"> </v>
      </c>
      <c r="AT165" s="55"/>
      <c r="AU165" s="32"/>
      <c r="AV165" s="32"/>
      <c r="AW165" s="55"/>
      <c r="AX165" s="32"/>
      <c r="AY165" s="54"/>
      <c r="AZ165" s="21" t="str">
        <f>IFERROR(VLOOKUP(April[[#This Row],[Drug Name5]],'Data Options'!$R$1:$S$100,2,FALSE), " ")</f>
        <v xml:space="preserve"> </v>
      </c>
      <c r="BA165" s="55"/>
      <c r="BB165" s="32"/>
      <c r="BC165" s="32"/>
      <c r="BD165" s="55"/>
      <c r="BE165" s="32"/>
      <c r="BF165" s="54"/>
      <c r="BG165" s="21" t="str">
        <f>IFERROR(VLOOKUP(April[[#This Row],[Drug Name6]],'Data Options'!$R$1:$S$100,2,FALSE), " ")</f>
        <v xml:space="preserve"> </v>
      </c>
      <c r="BH165" s="55"/>
      <c r="BI165" s="32"/>
      <c r="BJ165" s="32"/>
      <c r="BK165" s="55"/>
      <c r="BL165" s="32"/>
      <c r="BM165" s="32"/>
      <c r="BN165" s="32"/>
      <c r="BO165" s="32"/>
      <c r="BP165" s="32"/>
      <c r="BQ165" s="31"/>
      <c r="BR165" s="31"/>
      <c r="BS165" s="54"/>
      <c r="BT165" s="21" t="str">
        <f>IFERROR(VLOOKUP(April[[#This Row],[Drug Name7]],'Data Options'!$R$1:$S$100,2,FALSE), " ")</f>
        <v xml:space="preserve"> </v>
      </c>
      <c r="BU165" s="55"/>
      <c r="BV165" s="32"/>
      <c r="BW165" s="32"/>
      <c r="BX165" s="55"/>
      <c r="BY165" s="32"/>
      <c r="BZ165" s="54"/>
      <c r="CA165" s="21" t="str">
        <f>IFERROR(VLOOKUP(April[[#This Row],[Drug Name8]],'Data Options'!$R$1:$S$100,2,FALSE), " ")</f>
        <v xml:space="preserve"> </v>
      </c>
      <c r="CB165" s="55"/>
      <c r="CC165" s="32"/>
      <c r="CD165" s="32"/>
      <c r="CE165" s="55"/>
      <c r="CF165" s="32"/>
      <c r="CG165" s="54"/>
      <c r="CH165" s="21" t="str">
        <f>IFERROR(VLOOKUP(April[[#This Row],[Drug Name9]],'Data Options'!$R$1:$S$100,2,FALSE), " ")</f>
        <v xml:space="preserve"> </v>
      </c>
      <c r="CI165" s="55"/>
      <c r="CJ165" s="32"/>
      <c r="CK165" s="32"/>
      <c r="CL165" s="55"/>
      <c r="CM165" s="32"/>
    </row>
    <row r="166" spans="1:91">
      <c r="A166" s="5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1"/>
      <c r="P166" s="31"/>
      <c r="Q166" s="54"/>
      <c r="R166" s="21" t="str">
        <f>IFERROR(VLOOKUP(April[[#This Row],[Drug Name]],'Data Options'!$R$1:$S$100,2,FALSE), " ")</f>
        <v xml:space="preserve"> </v>
      </c>
      <c r="S166" s="55"/>
      <c r="T166" s="32"/>
      <c r="U166" s="32"/>
      <c r="V166" s="55"/>
      <c r="W166" s="32"/>
      <c r="X166" s="54"/>
      <c r="Y166" s="21" t="str">
        <f>IFERROR(VLOOKUP(April[[#This Row],[Drug Name2]],'Data Options'!$R$1:$S$100,2,FALSE), " ")</f>
        <v xml:space="preserve"> </v>
      </c>
      <c r="Z166" s="55"/>
      <c r="AA166" s="32"/>
      <c r="AB166" s="32"/>
      <c r="AC166" s="55"/>
      <c r="AD166" s="32"/>
      <c r="AE166" s="54"/>
      <c r="AF166" s="21" t="str">
        <f>IFERROR(VLOOKUP(April[[#This Row],[Drug Name3]],'Data Options'!$R$1:$S$100,2,FALSE), " ")</f>
        <v xml:space="preserve"> </v>
      </c>
      <c r="AG166" s="55"/>
      <c r="AH166" s="32"/>
      <c r="AI166" s="32"/>
      <c r="AJ166" s="55"/>
      <c r="AK166" s="32"/>
      <c r="AL166" s="32"/>
      <c r="AM166" s="32"/>
      <c r="AN166" s="32"/>
      <c r="AO166" s="32"/>
      <c r="AP166" s="31"/>
      <c r="AQ166" s="31"/>
      <c r="AR166" s="54"/>
      <c r="AS166" s="21" t="str">
        <f>IFERROR(VLOOKUP(April[[#This Row],[Drug Name4]],'Data Options'!$R$1:$S$100,2,FALSE), " ")</f>
        <v xml:space="preserve"> </v>
      </c>
      <c r="AT166" s="55"/>
      <c r="AU166" s="32"/>
      <c r="AV166" s="32"/>
      <c r="AW166" s="55"/>
      <c r="AX166" s="32"/>
      <c r="AY166" s="54"/>
      <c r="AZ166" s="21" t="str">
        <f>IFERROR(VLOOKUP(April[[#This Row],[Drug Name5]],'Data Options'!$R$1:$S$100,2,FALSE), " ")</f>
        <v xml:space="preserve"> </v>
      </c>
      <c r="BA166" s="55"/>
      <c r="BB166" s="32"/>
      <c r="BC166" s="32"/>
      <c r="BD166" s="55"/>
      <c r="BE166" s="32"/>
      <c r="BF166" s="54"/>
      <c r="BG166" s="21" t="str">
        <f>IFERROR(VLOOKUP(April[[#This Row],[Drug Name6]],'Data Options'!$R$1:$S$100,2,FALSE), " ")</f>
        <v xml:space="preserve"> </v>
      </c>
      <c r="BH166" s="55"/>
      <c r="BI166" s="32"/>
      <c r="BJ166" s="32"/>
      <c r="BK166" s="55"/>
      <c r="BL166" s="32"/>
      <c r="BM166" s="32"/>
      <c r="BN166" s="32"/>
      <c r="BO166" s="32"/>
      <c r="BP166" s="32"/>
      <c r="BQ166" s="31"/>
      <c r="BR166" s="31"/>
      <c r="BS166" s="54"/>
      <c r="BT166" s="21" t="str">
        <f>IFERROR(VLOOKUP(April[[#This Row],[Drug Name7]],'Data Options'!$R$1:$S$100,2,FALSE), " ")</f>
        <v xml:space="preserve"> </v>
      </c>
      <c r="BU166" s="55"/>
      <c r="BV166" s="32"/>
      <c r="BW166" s="32"/>
      <c r="BX166" s="55"/>
      <c r="BY166" s="32"/>
      <c r="BZ166" s="54"/>
      <c r="CA166" s="21" t="str">
        <f>IFERROR(VLOOKUP(April[[#This Row],[Drug Name8]],'Data Options'!$R$1:$S$100,2,FALSE), " ")</f>
        <v xml:space="preserve"> </v>
      </c>
      <c r="CB166" s="55"/>
      <c r="CC166" s="32"/>
      <c r="CD166" s="32"/>
      <c r="CE166" s="55"/>
      <c r="CF166" s="32"/>
      <c r="CG166" s="54"/>
      <c r="CH166" s="21" t="str">
        <f>IFERROR(VLOOKUP(April[[#This Row],[Drug Name9]],'Data Options'!$R$1:$S$100,2,FALSE), " ")</f>
        <v xml:space="preserve"> </v>
      </c>
      <c r="CI166" s="55"/>
      <c r="CJ166" s="32"/>
      <c r="CK166" s="32"/>
      <c r="CL166" s="55"/>
      <c r="CM166" s="32"/>
    </row>
    <row r="167" spans="1:91">
      <c r="A167" s="5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1"/>
      <c r="P167" s="31"/>
      <c r="Q167" s="54"/>
      <c r="R167" s="21" t="str">
        <f>IFERROR(VLOOKUP(April[[#This Row],[Drug Name]],'Data Options'!$R$1:$S$100,2,FALSE), " ")</f>
        <v xml:space="preserve"> </v>
      </c>
      <c r="S167" s="55"/>
      <c r="T167" s="32"/>
      <c r="U167" s="32"/>
      <c r="V167" s="55"/>
      <c r="W167" s="32"/>
      <c r="X167" s="54"/>
      <c r="Y167" s="21" t="str">
        <f>IFERROR(VLOOKUP(April[[#This Row],[Drug Name2]],'Data Options'!$R$1:$S$100,2,FALSE), " ")</f>
        <v xml:space="preserve"> </v>
      </c>
      <c r="Z167" s="55"/>
      <c r="AA167" s="32"/>
      <c r="AB167" s="32"/>
      <c r="AC167" s="55"/>
      <c r="AD167" s="32"/>
      <c r="AE167" s="54"/>
      <c r="AF167" s="21" t="str">
        <f>IFERROR(VLOOKUP(April[[#This Row],[Drug Name3]],'Data Options'!$R$1:$S$100,2,FALSE), " ")</f>
        <v xml:space="preserve"> </v>
      </c>
      <c r="AG167" s="55"/>
      <c r="AH167" s="32"/>
      <c r="AI167" s="32"/>
      <c r="AJ167" s="55"/>
      <c r="AK167" s="32"/>
      <c r="AL167" s="32"/>
      <c r="AM167" s="32"/>
      <c r="AN167" s="32"/>
      <c r="AO167" s="32"/>
      <c r="AP167" s="31"/>
      <c r="AQ167" s="31"/>
      <c r="AR167" s="54"/>
      <c r="AS167" s="21" t="str">
        <f>IFERROR(VLOOKUP(April[[#This Row],[Drug Name4]],'Data Options'!$R$1:$S$100,2,FALSE), " ")</f>
        <v xml:space="preserve"> </v>
      </c>
      <c r="AT167" s="55"/>
      <c r="AU167" s="32"/>
      <c r="AV167" s="32"/>
      <c r="AW167" s="55"/>
      <c r="AX167" s="32"/>
      <c r="AY167" s="54"/>
      <c r="AZ167" s="21" t="str">
        <f>IFERROR(VLOOKUP(April[[#This Row],[Drug Name5]],'Data Options'!$R$1:$S$100,2,FALSE), " ")</f>
        <v xml:space="preserve"> </v>
      </c>
      <c r="BA167" s="55"/>
      <c r="BB167" s="32"/>
      <c r="BC167" s="32"/>
      <c r="BD167" s="55"/>
      <c r="BE167" s="32"/>
      <c r="BF167" s="54"/>
      <c r="BG167" s="21" t="str">
        <f>IFERROR(VLOOKUP(April[[#This Row],[Drug Name6]],'Data Options'!$R$1:$S$100,2,FALSE), " ")</f>
        <v xml:space="preserve"> </v>
      </c>
      <c r="BH167" s="55"/>
      <c r="BI167" s="32"/>
      <c r="BJ167" s="32"/>
      <c r="BK167" s="55"/>
      <c r="BL167" s="32"/>
      <c r="BM167" s="32"/>
      <c r="BN167" s="32"/>
      <c r="BO167" s="32"/>
      <c r="BP167" s="32"/>
      <c r="BQ167" s="31"/>
      <c r="BR167" s="31"/>
      <c r="BS167" s="54"/>
      <c r="BT167" s="21" t="str">
        <f>IFERROR(VLOOKUP(April[[#This Row],[Drug Name7]],'Data Options'!$R$1:$S$100,2,FALSE), " ")</f>
        <v xml:space="preserve"> </v>
      </c>
      <c r="BU167" s="55"/>
      <c r="BV167" s="32"/>
      <c r="BW167" s="32"/>
      <c r="BX167" s="55"/>
      <c r="BY167" s="32"/>
      <c r="BZ167" s="54"/>
      <c r="CA167" s="21" t="str">
        <f>IFERROR(VLOOKUP(April[[#This Row],[Drug Name8]],'Data Options'!$R$1:$S$100,2,FALSE), " ")</f>
        <v xml:space="preserve"> </v>
      </c>
      <c r="CB167" s="55"/>
      <c r="CC167" s="32"/>
      <c r="CD167" s="32"/>
      <c r="CE167" s="55"/>
      <c r="CF167" s="32"/>
      <c r="CG167" s="54"/>
      <c r="CH167" s="21" t="str">
        <f>IFERROR(VLOOKUP(April[[#This Row],[Drug Name9]],'Data Options'!$R$1:$S$100,2,FALSE), " ")</f>
        <v xml:space="preserve"> </v>
      </c>
      <c r="CI167" s="55"/>
      <c r="CJ167" s="32"/>
      <c r="CK167" s="32"/>
      <c r="CL167" s="55"/>
      <c r="CM167" s="32"/>
    </row>
    <row r="168" spans="1:91">
      <c r="A168" s="5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1"/>
      <c r="P168" s="31"/>
      <c r="Q168" s="54"/>
      <c r="R168" s="21" t="str">
        <f>IFERROR(VLOOKUP(April[[#This Row],[Drug Name]],'Data Options'!$R$1:$S$100,2,FALSE), " ")</f>
        <v xml:space="preserve"> </v>
      </c>
      <c r="S168" s="55"/>
      <c r="T168" s="32"/>
      <c r="U168" s="32"/>
      <c r="V168" s="55"/>
      <c r="W168" s="32"/>
      <c r="X168" s="54"/>
      <c r="Y168" s="21" t="str">
        <f>IFERROR(VLOOKUP(April[[#This Row],[Drug Name2]],'Data Options'!$R$1:$S$100,2,FALSE), " ")</f>
        <v xml:space="preserve"> </v>
      </c>
      <c r="Z168" s="55"/>
      <c r="AA168" s="32"/>
      <c r="AB168" s="32"/>
      <c r="AC168" s="55"/>
      <c r="AD168" s="32"/>
      <c r="AE168" s="54"/>
      <c r="AF168" s="21" t="str">
        <f>IFERROR(VLOOKUP(April[[#This Row],[Drug Name3]],'Data Options'!$R$1:$S$100,2,FALSE), " ")</f>
        <v xml:space="preserve"> </v>
      </c>
      <c r="AG168" s="55"/>
      <c r="AH168" s="32"/>
      <c r="AI168" s="32"/>
      <c r="AJ168" s="55"/>
      <c r="AK168" s="32"/>
      <c r="AL168" s="32"/>
      <c r="AM168" s="32"/>
      <c r="AN168" s="32"/>
      <c r="AO168" s="32"/>
      <c r="AP168" s="31"/>
      <c r="AQ168" s="31"/>
      <c r="AR168" s="54"/>
      <c r="AS168" s="21" t="str">
        <f>IFERROR(VLOOKUP(April[[#This Row],[Drug Name4]],'Data Options'!$R$1:$S$100,2,FALSE), " ")</f>
        <v xml:space="preserve"> </v>
      </c>
      <c r="AT168" s="55"/>
      <c r="AU168" s="32"/>
      <c r="AV168" s="32"/>
      <c r="AW168" s="55"/>
      <c r="AX168" s="32"/>
      <c r="AY168" s="54"/>
      <c r="AZ168" s="21" t="str">
        <f>IFERROR(VLOOKUP(April[[#This Row],[Drug Name5]],'Data Options'!$R$1:$S$100,2,FALSE), " ")</f>
        <v xml:space="preserve"> </v>
      </c>
      <c r="BA168" s="55"/>
      <c r="BB168" s="32"/>
      <c r="BC168" s="32"/>
      <c r="BD168" s="55"/>
      <c r="BE168" s="32"/>
      <c r="BF168" s="54"/>
      <c r="BG168" s="21" t="str">
        <f>IFERROR(VLOOKUP(April[[#This Row],[Drug Name6]],'Data Options'!$R$1:$S$100,2,FALSE), " ")</f>
        <v xml:space="preserve"> </v>
      </c>
      <c r="BH168" s="55"/>
      <c r="BI168" s="32"/>
      <c r="BJ168" s="32"/>
      <c r="BK168" s="55"/>
      <c r="BL168" s="32"/>
      <c r="BM168" s="32"/>
      <c r="BN168" s="32"/>
      <c r="BO168" s="32"/>
      <c r="BP168" s="32"/>
      <c r="BQ168" s="31"/>
      <c r="BR168" s="31"/>
      <c r="BS168" s="54"/>
      <c r="BT168" s="21" t="str">
        <f>IFERROR(VLOOKUP(April[[#This Row],[Drug Name7]],'Data Options'!$R$1:$S$100,2,FALSE), " ")</f>
        <v xml:space="preserve"> </v>
      </c>
      <c r="BU168" s="55"/>
      <c r="BV168" s="32"/>
      <c r="BW168" s="32"/>
      <c r="BX168" s="55"/>
      <c r="BY168" s="32"/>
      <c r="BZ168" s="54"/>
      <c r="CA168" s="21" t="str">
        <f>IFERROR(VLOOKUP(April[[#This Row],[Drug Name8]],'Data Options'!$R$1:$S$100,2,FALSE), " ")</f>
        <v xml:space="preserve"> </v>
      </c>
      <c r="CB168" s="55"/>
      <c r="CC168" s="32"/>
      <c r="CD168" s="32"/>
      <c r="CE168" s="55"/>
      <c r="CF168" s="32"/>
      <c r="CG168" s="54"/>
      <c r="CH168" s="21" t="str">
        <f>IFERROR(VLOOKUP(April[[#This Row],[Drug Name9]],'Data Options'!$R$1:$S$100,2,FALSE), " ")</f>
        <v xml:space="preserve"> </v>
      </c>
      <c r="CI168" s="55"/>
      <c r="CJ168" s="32"/>
      <c r="CK168" s="32"/>
      <c r="CL168" s="55"/>
      <c r="CM168" s="32"/>
    </row>
    <row r="169" spans="1:91">
      <c r="A169" s="5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1"/>
      <c r="P169" s="31"/>
      <c r="Q169" s="54"/>
      <c r="R169" s="21" t="str">
        <f>IFERROR(VLOOKUP(April[[#This Row],[Drug Name]],'Data Options'!$R$1:$S$100,2,FALSE), " ")</f>
        <v xml:space="preserve"> </v>
      </c>
      <c r="S169" s="55"/>
      <c r="T169" s="32"/>
      <c r="U169" s="32"/>
      <c r="V169" s="55"/>
      <c r="W169" s="32"/>
      <c r="X169" s="54"/>
      <c r="Y169" s="21" t="str">
        <f>IFERROR(VLOOKUP(April[[#This Row],[Drug Name2]],'Data Options'!$R$1:$S$100,2,FALSE), " ")</f>
        <v xml:space="preserve"> </v>
      </c>
      <c r="Z169" s="55"/>
      <c r="AA169" s="32"/>
      <c r="AB169" s="32"/>
      <c r="AC169" s="55"/>
      <c r="AD169" s="32"/>
      <c r="AE169" s="54"/>
      <c r="AF169" s="21" t="str">
        <f>IFERROR(VLOOKUP(April[[#This Row],[Drug Name3]],'Data Options'!$R$1:$S$100,2,FALSE), " ")</f>
        <v xml:space="preserve"> </v>
      </c>
      <c r="AG169" s="55"/>
      <c r="AH169" s="32"/>
      <c r="AI169" s="32"/>
      <c r="AJ169" s="55"/>
      <c r="AK169" s="32"/>
      <c r="AL169" s="32"/>
      <c r="AM169" s="32"/>
      <c r="AN169" s="32"/>
      <c r="AO169" s="32"/>
      <c r="AP169" s="31"/>
      <c r="AQ169" s="31"/>
      <c r="AR169" s="54"/>
      <c r="AS169" s="21" t="str">
        <f>IFERROR(VLOOKUP(April[[#This Row],[Drug Name4]],'Data Options'!$R$1:$S$100,2,FALSE), " ")</f>
        <v xml:space="preserve"> </v>
      </c>
      <c r="AT169" s="55"/>
      <c r="AU169" s="32"/>
      <c r="AV169" s="32"/>
      <c r="AW169" s="55"/>
      <c r="AX169" s="32"/>
      <c r="AY169" s="54"/>
      <c r="AZ169" s="21" t="str">
        <f>IFERROR(VLOOKUP(April[[#This Row],[Drug Name5]],'Data Options'!$R$1:$S$100,2,FALSE), " ")</f>
        <v xml:space="preserve"> </v>
      </c>
      <c r="BA169" s="55"/>
      <c r="BB169" s="32"/>
      <c r="BC169" s="32"/>
      <c r="BD169" s="55"/>
      <c r="BE169" s="32"/>
      <c r="BF169" s="54"/>
      <c r="BG169" s="21" t="str">
        <f>IFERROR(VLOOKUP(April[[#This Row],[Drug Name6]],'Data Options'!$R$1:$S$100,2,FALSE), " ")</f>
        <v xml:space="preserve"> </v>
      </c>
      <c r="BH169" s="55"/>
      <c r="BI169" s="32"/>
      <c r="BJ169" s="32"/>
      <c r="BK169" s="55"/>
      <c r="BL169" s="32"/>
      <c r="BM169" s="32"/>
      <c r="BN169" s="32"/>
      <c r="BO169" s="32"/>
      <c r="BP169" s="32"/>
      <c r="BQ169" s="31"/>
      <c r="BR169" s="31"/>
      <c r="BS169" s="54"/>
      <c r="BT169" s="21" t="str">
        <f>IFERROR(VLOOKUP(April[[#This Row],[Drug Name7]],'Data Options'!$R$1:$S$100,2,FALSE), " ")</f>
        <v xml:space="preserve"> </v>
      </c>
      <c r="BU169" s="55"/>
      <c r="BV169" s="32"/>
      <c r="BW169" s="32"/>
      <c r="BX169" s="55"/>
      <c r="BY169" s="32"/>
      <c r="BZ169" s="54"/>
      <c r="CA169" s="21" t="str">
        <f>IFERROR(VLOOKUP(April[[#This Row],[Drug Name8]],'Data Options'!$R$1:$S$100,2,FALSE), " ")</f>
        <v xml:space="preserve"> </v>
      </c>
      <c r="CB169" s="55"/>
      <c r="CC169" s="32"/>
      <c r="CD169" s="32"/>
      <c r="CE169" s="55"/>
      <c r="CF169" s="32"/>
      <c r="CG169" s="54"/>
      <c r="CH169" s="21" t="str">
        <f>IFERROR(VLOOKUP(April[[#This Row],[Drug Name9]],'Data Options'!$R$1:$S$100,2,FALSE), " ")</f>
        <v xml:space="preserve"> </v>
      </c>
      <c r="CI169" s="55"/>
      <c r="CJ169" s="32"/>
      <c r="CK169" s="32"/>
      <c r="CL169" s="55"/>
      <c r="CM169" s="32"/>
    </row>
    <row r="170" spans="1:91">
      <c r="A170" s="5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1"/>
      <c r="P170" s="31"/>
      <c r="Q170" s="54"/>
      <c r="R170" s="21" t="str">
        <f>IFERROR(VLOOKUP(April[[#This Row],[Drug Name]],'Data Options'!$R$1:$S$100,2,FALSE), " ")</f>
        <v xml:space="preserve"> </v>
      </c>
      <c r="S170" s="55"/>
      <c r="T170" s="32"/>
      <c r="U170" s="32"/>
      <c r="V170" s="55"/>
      <c r="W170" s="32"/>
      <c r="X170" s="54"/>
      <c r="Y170" s="21" t="str">
        <f>IFERROR(VLOOKUP(April[[#This Row],[Drug Name2]],'Data Options'!$R$1:$S$100,2,FALSE), " ")</f>
        <v xml:space="preserve"> </v>
      </c>
      <c r="Z170" s="55"/>
      <c r="AA170" s="32"/>
      <c r="AB170" s="32"/>
      <c r="AC170" s="55"/>
      <c r="AD170" s="32"/>
      <c r="AE170" s="54"/>
      <c r="AF170" s="21" t="str">
        <f>IFERROR(VLOOKUP(April[[#This Row],[Drug Name3]],'Data Options'!$R$1:$S$100,2,FALSE), " ")</f>
        <v xml:space="preserve"> </v>
      </c>
      <c r="AG170" s="55"/>
      <c r="AH170" s="32"/>
      <c r="AI170" s="32"/>
      <c r="AJ170" s="55"/>
      <c r="AK170" s="32"/>
      <c r="AL170" s="32"/>
      <c r="AM170" s="32"/>
      <c r="AN170" s="32"/>
      <c r="AO170" s="32"/>
      <c r="AP170" s="31"/>
      <c r="AQ170" s="31"/>
      <c r="AR170" s="54"/>
      <c r="AS170" s="21" t="str">
        <f>IFERROR(VLOOKUP(April[[#This Row],[Drug Name4]],'Data Options'!$R$1:$S$100,2,FALSE), " ")</f>
        <v xml:space="preserve"> </v>
      </c>
      <c r="AT170" s="55"/>
      <c r="AU170" s="32"/>
      <c r="AV170" s="32"/>
      <c r="AW170" s="55"/>
      <c r="AX170" s="32"/>
      <c r="AY170" s="54"/>
      <c r="AZ170" s="21" t="str">
        <f>IFERROR(VLOOKUP(April[[#This Row],[Drug Name5]],'Data Options'!$R$1:$S$100,2,FALSE), " ")</f>
        <v xml:space="preserve"> </v>
      </c>
      <c r="BA170" s="55"/>
      <c r="BB170" s="32"/>
      <c r="BC170" s="32"/>
      <c r="BD170" s="55"/>
      <c r="BE170" s="32"/>
      <c r="BF170" s="54"/>
      <c r="BG170" s="21" t="str">
        <f>IFERROR(VLOOKUP(April[[#This Row],[Drug Name6]],'Data Options'!$R$1:$S$100,2,FALSE), " ")</f>
        <v xml:space="preserve"> </v>
      </c>
      <c r="BH170" s="55"/>
      <c r="BI170" s="32"/>
      <c r="BJ170" s="32"/>
      <c r="BK170" s="55"/>
      <c r="BL170" s="32"/>
      <c r="BM170" s="32"/>
      <c r="BN170" s="32"/>
      <c r="BO170" s="32"/>
      <c r="BP170" s="32"/>
      <c r="BQ170" s="31"/>
      <c r="BR170" s="31"/>
      <c r="BS170" s="54"/>
      <c r="BT170" s="21" t="str">
        <f>IFERROR(VLOOKUP(April[[#This Row],[Drug Name7]],'Data Options'!$R$1:$S$100,2,FALSE), " ")</f>
        <v xml:space="preserve"> </v>
      </c>
      <c r="BU170" s="55"/>
      <c r="BV170" s="32"/>
      <c r="BW170" s="32"/>
      <c r="BX170" s="55"/>
      <c r="BY170" s="32"/>
      <c r="BZ170" s="54"/>
      <c r="CA170" s="21" t="str">
        <f>IFERROR(VLOOKUP(April[[#This Row],[Drug Name8]],'Data Options'!$R$1:$S$100,2,FALSE), " ")</f>
        <v xml:space="preserve"> </v>
      </c>
      <c r="CB170" s="55"/>
      <c r="CC170" s="32"/>
      <c r="CD170" s="32"/>
      <c r="CE170" s="55"/>
      <c r="CF170" s="32"/>
      <c r="CG170" s="54"/>
      <c r="CH170" s="21" t="str">
        <f>IFERROR(VLOOKUP(April[[#This Row],[Drug Name9]],'Data Options'!$R$1:$S$100,2,FALSE), " ")</f>
        <v xml:space="preserve"> </v>
      </c>
      <c r="CI170" s="55"/>
      <c r="CJ170" s="32"/>
      <c r="CK170" s="32"/>
      <c r="CL170" s="55"/>
      <c r="CM170" s="32"/>
    </row>
    <row r="171" spans="1:91">
      <c r="A171" s="5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1"/>
      <c r="P171" s="31"/>
      <c r="Q171" s="54"/>
      <c r="R171" s="21" t="str">
        <f>IFERROR(VLOOKUP(April[[#This Row],[Drug Name]],'Data Options'!$R$1:$S$100,2,FALSE), " ")</f>
        <v xml:space="preserve"> </v>
      </c>
      <c r="S171" s="55"/>
      <c r="T171" s="32"/>
      <c r="U171" s="32"/>
      <c r="V171" s="55"/>
      <c r="W171" s="32"/>
      <c r="X171" s="54"/>
      <c r="Y171" s="21" t="str">
        <f>IFERROR(VLOOKUP(April[[#This Row],[Drug Name2]],'Data Options'!$R$1:$S$100,2,FALSE), " ")</f>
        <v xml:space="preserve"> </v>
      </c>
      <c r="Z171" s="55"/>
      <c r="AA171" s="32"/>
      <c r="AB171" s="32"/>
      <c r="AC171" s="55"/>
      <c r="AD171" s="32"/>
      <c r="AE171" s="54"/>
      <c r="AF171" s="21" t="str">
        <f>IFERROR(VLOOKUP(April[[#This Row],[Drug Name3]],'Data Options'!$R$1:$S$100,2,FALSE), " ")</f>
        <v xml:space="preserve"> </v>
      </c>
      <c r="AG171" s="55"/>
      <c r="AH171" s="32"/>
      <c r="AI171" s="32"/>
      <c r="AJ171" s="55"/>
      <c r="AK171" s="32"/>
      <c r="AL171" s="32"/>
      <c r="AM171" s="32"/>
      <c r="AN171" s="32"/>
      <c r="AO171" s="32"/>
      <c r="AP171" s="31"/>
      <c r="AQ171" s="31"/>
      <c r="AR171" s="54"/>
      <c r="AS171" s="21" t="str">
        <f>IFERROR(VLOOKUP(April[[#This Row],[Drug Name4]],'Data Options'!$R$1:$S$100,2,FALSE), " ")</f>
        <v xml:space="preserve"> </v>
      </c>
      <c r="AT171" s="55"/>
      <c r="AU171" s="32"/>
      <c r="AV171" s="32"/>
      <c r="AW171" s="55"/>
      <c r="AX171" s="32"/>
      <c r="AY171" s="54"/>
      <c r="AZ171" s="21" t="str">
        <f>IFERROR(VLOOKUP(April[[#This Row],[Drug Name5]],'Data Options'!$R$1:$S$100,2,FALSE), " ")</f>
        <v xml:space="preserve"> </v>
      </c>
      <c r="BA171" s="55"/>
      <c r="BB171" s="32"/>
      <c r="BC171" s="32"/>
      <c r="BD171" s="55"/>
      <c r="BE171" s="32"/>
      <c r="BF171" s="54"/>
      <c r="BG171" s="21" t="str">
        <f>IFERROR(VLOOKUP(April[[#This Row],[Drug Name6]],'Data Options'!$R$1:$S$100,2,FALSE), " ")</f>
        <v xml:space="preserve"> </v>
      </c>
      <c r="BH171" s="55"/>
      <c r="BI171" s="32"/>
      <c r="BJ171" s="32"/>
      <c r="BK171" s="55"/>
      <c r="BL171" s="32"/>
      <c r="BM171" s="32"/>
      <c r="BN171" s="32"/>
      <c r="BO171" s="32"/>
      <c r="BP171" s="32"/>
      <c r="BQ171" s="31"/>
      <c r="BR171" s="31"/>
      <c r="BS171" s="54"/>
      <c r="BT171" s="21" t="str">
        <f>IFERROR(VLOOKUP(April[[#This Row],[Drug Name7]],'Data Options'!$R$1:$S$100,2,FALSE), " ")</f>
        <v xml:space="preserve"> </v>
      </c>
      <c r="BU171" s="55"/>
      <c r="BV171" s="32"/>
      <c r="BW171" s="32"/>
      <c r="BX171" s="55"/>
      <c r="BY171" s="32"/>
      <c r="BZ171" s="54"/>
      <c r="CA171" s="21" t="str">
        <f>IFERROR(VLOOKUP(April[[#This Row],[Drug Name8]],'Data Options'!$R$1:$S$100,2,FALSE), " ")</f>
        <v xml:space="preserve"> </v>
      </c>
      <c r="CB171" s="55"/>
      <c r="CC171" s="32"/>
      <c r="CD171" s="32"/>
      <c r="CE171" s="55"/>
      <c r="CF171" s="32"/>
      <c r="CG171" s="54"/>
      <c r="CH171" s="21" t="str">
        <f>IFERROR(VLOOKUP(April[[#This Row],[Drug Name9]],'Data Options'!$R$1:$S$100,2,FALSE), " ")</f>
        <v xml:space="preserve"> </v>
      </c>
      <c r="CI171" s="55"/>
      <c r="CJ171" s="32"/>
      <c r="CK171" s="32"/>
      <c r="CL171" s="55"/>
      <c r="CM171" s="32"/>
    </row>
    <row r="172" spans="1:91">
      <c r="A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1"/>
      <c r="P172" s="31"/>
      <c r="Q172" s="54"/>
      <c r="R172" s="21" t="str">
        <f>IFERROR(VLOOKUP(April[[#This Row],[Drug Name]],'Data Options'!$R$1:$S$100,2,FALSE), " ")</f>
        <v xml:space="preserve"> </v>
      </c>
      <c r="S172" s="55"/>
      <c r="T172" s="32"/>
      <c r="U172" s="32"/>
      <c r="V172" s="55"/>
      <c r="W172" s="32"/>
      <c r="X172" s="54"/>
      <c r="Y172" s="21" t="str">
        <f>IFERROR(VLOOKUP(April[[#This Row],[Drug Name2]],'Data Options'!$R$1:$S$100,2,FALSE), " ")</f>
        <v xml:space="preserve"> </v>
      </c>
      <c r="Z172" s="55"/>
      <c r="AA172" s="32"/>
      <c r="AB172" s="32"/>
      <c r="AC172" s="55"/>
      <c r="AD172" s="32"/>
      <c r="AE172" s="54"/>
      <c r="AF172" s="21" t="str">
        <f>IFERROR(VLOOKUP(April[[#This Row],[Drug Name3]],'Data Options'!$R$1:$S$100,2,FALSE), " ")</f>
        <v xml:space="preserve"> </v>
      </c>
      <c r="AG172" s="55"/>
      <c r="AH172" s="32"/>
      <c r="AI172" s="32"/>
      <c r="AJ172" s="55"/>
      <c r="AK172" s="32"/>
      <c r="AL172" s="32"/>
      <c r="AM172" s="32"/>
      <c r="AN172" s="32"/>
      <c r="AO172" s="32"/>
      <c r="AP172" s="31"/>
      <c r="AQ172" s="31"/>
      <c r="AR172" s="54"/>
      <c r="AS172" s="21" t="str">
        <f>IFERROR(VLOOKUP(April[[#This Row],[Drug Name4]],'Data Options'!$R$1:$S$100,2,FALSE), " ")</f>
        <v xml:space="preserve"> </v>
      </c>
      <c r="AT172" s="55"/>
      <c r="AU172" s="32"/>
      <c r="AV172" s="32"/>
      <c r="AW172" s="55"/>
      <c r="AX172" s="32"/>
      <c r="AY172" s="54"/>
      <c r="AZ172" s="21" t="str">
        <f>IFERROR(VLOOKUP(April[[#This Row],[Drug Name5]],'Data Options'!$R$1:$S$100,2,FALSE), " ")</f>
        <v xml:space="preserve"> </v>
      </c>
      <c r="BA172" s="55"/>
      <c r="BB172" s="32"/>
      <c r="BC172" s="32"/>
      <c r="BD172" s="55"/>
      <c r="BE172" s="32"/>
      <c r="BF172" s="54"/>
      <c r="BG172" s="21" t="str">
        <f>IFERROR(VLOOKUP(April[[#This Row],[Drug Name6]],'Data Options'!$R$1:$S$100,2,FALSE), " ")</f>
        <v xml:space="preserve"> </v>
      </c>
      <c r="BH172" s="55"/>
      <c r="BI172" s="32"/>
      <c r="BJ172" s="32"/>
      <c r="BK172" s="55"/>
      <c r="BL172" s="32"/>
      <c r="BM172" s="32"/>
      <c r="BN172" s="32"/>
      <c r="BO172" s="32"/>
      <c r="BP172" s="32"/>
      <c r="BQ172" s="31"/>
      <c r="BR172" s="31"/>
      <c r="BS172" s="54"/>
      <c r="BT172" s="21" t="str">
        <f>IFERROR(VLOOKUP(April[[#This Row],[Drug Name7]],'Data Options'!$R$1:$S$100,2,FALSE), " ")</f>
        <v xml:space="preserve"> </v>
      </c>
      <c r="BU172" s="55"/>
      <c r="BV172" s="32"/>
      <c r="BW172" s="32"/>
      <c r="BX172" s="55"/>
      <c r="BY172" s="32"/>
      <c r="BZ172" s="54"/>
      <c r="CA172" s="21" t="str">
        <f>IFERROR(VLOOKUP(April[[#This Row],[Drug Name8]],'Data Options'!$R$1:$S$100,2,FALSE), " ")</f>
        <v xml:space="preserve"> </v>
      </c>
      <c r="CB172" s="55"/>
      <c r="CC172" s="32"/>
      <c r="CD172" s="32"/>
      <c r="CE172" s="55"/>
      <c r="CF172" s="32"/>
      <c r="CG172" s="54"/>
      <c r="CH172" s="21" t="str">
        <f>IFERROR(VLOOKUP(April[[#This Row],[Drug Name9]],'Data Options'!$R$1:$S$100,2,FALSE), " ")</f>
        <v xml:space="preserve"> </v>
      </c>
      <c r="CI172" s="55"/>
      <c r="CJ172" s="32"/>
      <c r="CK172" s="32"/>
      <c r="CL172" s="55"/>
      <c r="CM172" s="32"/>
    </row>
    <row r="173" spans="1:91">
      <c r="A173" s="5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1"/>
      <c r="P173" s="31"/>
      <c r="Q173" s="54"/>
      <c r="R173" s="21" t="str">
        <f>IFERROR(VLOOKUP(April[[#This Row],[Drug Name]],'Data Options'!$R$1:$S$100,2,FALSE), " ")</f>
        <v xml:space="preserve"> </v>
      </c>
      <c r="S173" s="55"/>
      <c r="T173" s="32"/>
      <c r="U173" s="32"/>
      <c r="V173" s="55"/>
      <c r="W173" s="32"/>
      <c r="X173" s="54"/>
      <c r="Y173" s="21" t="str">
        <f>IFERROR(VLOOKUP(April[[#This Row],[Drug Name2]],'Data Options'!$R$1:$S$100,2,FALSE), " ")</f>
        <v xml:space="preserve"> </v>
      </c>
      <c r="Z173" s="55"/>
      <c r="AA173" s="32"/>
      <c r="AB173" s="32"/>
      <c r="AC173" s="55"/>
      <c r="AD173" s="32"/>
      <c r="AE173" s="54"/>
      <c r="AF173" s="21" t="str">
        <f>IFERROR(VLOOKUP(April[[#This Row],[Drug Name3]],'Data Options'!$R$1:$S$100,2,FALSE), " ")</f>
        <v xml:space="preserve"> </v>
      </c>
      <c r="AG173" s="55"/>
      <c r="AH173" s="32"/>
      <c r="AI173" s="32"/>
      <c r="AJ173" s="55"/>
      <c r="AK173" s="32"/>
      <c r="AL173" s="32"/>
      <c r="AM173" s="32"/>
      <c r="AN173" s="32"/>
      <c r="AO173" s="32"/>
      <c r="AP173" s="31"/>
      <c r="AQ173" s="31"/>
      <c r="AR173" s="54"/>
      <c r="AS173" s="21" t="str">
        <f>IFERROR(VLOOKUP(April[[#This Row],[Drug Name4]],'Data Options'!$R$1:$S$100,2,FALSE), " ")</f>
        <v xml:space="preserve"> </v>
      </c>
      <c r="AT173" s="55"/>
      <c r="AU173" s="32"/>
      <c r="AV173" s="32"/>
      <c r="AW173" s="55"/>
      <c r="AX173" s="32"/>
      <c r="AY173" s="54"/>
      <c r="AZ173" s="21" t="str">
        <f>IFERROR(VLOOKUP(April[[#This Row],[Drug Name5]],'Data Options'!$R$1:$S$100,2,FALSE), " ")</f>
        <v xml:space="preserve"> </v>
      </c>
      <c r="BA173" s="55"/>
      <c r="BB173" s="32"/>
      <c r="BC173" s="32"/>
      <c r="BD173" s="55"/>
      <c r="BE173" s="32"/>
      <c r="BF173" s="54"/>
      <c r="BG173" s="21" t="str">
        <f>IFERROR(VLOOKUP(April[[#This Row],[Drug Name6]],'Data Options'!$R$1:$S$100,2,FALSE), " ")</f>
        <v xml:space="preserve"> </v>
      </c>
      <c r="BH173" s="55"/>
      <c r="BI173" s="32"/>
      <c r="BJ173" s="32"/>
      <c r="BK173" s="55"/>
      <c r="BL173" s="32"/>
      <c r="BM173" s="32"/>
      <c r="BN173" s="32"/>
      <c r="BO173" s="32"/>
      <c r="BP173" s="32"/>
      <c r="BQ173" s="31"/>
      <c r="BR173" s="31"/>
      <c r="BS173" s="54"/>
      <c r="BT173" s="21" t="str">
        <f>IFERROR(VLOOKUP(April[[#This Row],[Drug Name7]],'Data Options'!$R$1:$S$100,2,FALSE), " ")</f>
        <v xml:space="preserve"> </v>
      </c>
      <c r="BU173" s="55"/>
      <c r="BV173" s="32"/>
      <c r="BW173" s="32"/>
      <c r="BX173" s="55"/>
      <c r="BY173" s="32"/>
      <c r="BZ173" s="54"/>
      <c r="CA173" s="21" t="str">
        <f>IFERROR(VLOOKUP(April[[#This Row],[Drug Name8]],'Data Options'!$R$1:$S$100,2,FALSE), " ")</f>
        <v xml:space="preserve"> </v>
      </c>
      <c r="CB173" s="55"/>
      <c r="CC173" s="32"/>
      <c r="CD173" s="32"/>
      <c r="CE173" s="55"/>
      <c r="CF173" s="32"/>
      <c r="CG173" s="54"/>
      <c r="CH173" s="21" t="str">
        <f>IFERROR(VLOOKUP(April[[#This Row],[Drug Name9]],'Data Options'!$R$1:$S$100,2,FALSE), " ")</f>
        <v xml:space="preserve"> </v>
      </c>
      <c r="CI173" s="55"/>
      <c r="CJ173" s="32"/>
      <c r="CK173" s="32"/>
      <c r="CL173" s="55"/>
      <c r="CM173" s="32"/>
    </row>
    <row r="174" spans="1:91">
      <c r="A174" s="5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1"/>
      <c r="P174" s="31"/>
      <c r="Q174" s="54"/>
      <c r="R174" s="21" t="str">
        <f>IFERROR(VLOOKUP(April[[#This Row],[Drug Name]],'Data Options'!$R$1:$S$100,2,FALSE), " ")</f>
        <v xml:space="preserve"> </v>
      </c>
      <c r="S174" s="55"/>
      <c r="T174" s="32"/>
      <c r="U174" s="32"/>
      <c r="V174" s="55"/>
      <c r="W174" s="32"/>
      <c r="X174" s="54"/>
      <c r="Y174" s="21" t="str">
        <f>IFERROR(VLOOKUP(April[[#This Row],[Drug Name2]],'Data Options'!$R$1:$S$100,2,FALSE), " ")</f>
        <v xml:space="preserve"> </v>
      </c>
      <c r="Z174" s="55"/>
      <c r="AA174" s="32"/>
      <c r="AB174" s="32"/>
      <c r="AC174" s="55"/>
      <c r="AD174" s="32"/>
      <c r="AE174" s="54"/>
      <c r="AF174" s="21" t="str">
        <f>IFERROR(VLOOKUP(April[[#This Row],[Drug Name3]],'Data Options'!$R$1:$S$100,2,FALSE), " ")</f>
        <v xml:space="preserve"> </v>
      </c>
      <c r="AG174" s="55"/>
      <c r="AH174" s="32"/>
      <c r="AI174" s="32"/>
      <c r="AJ174" s="55"/>
      <c r="AK174" s="32"/>
      <c r="AL174" s="32"/>
      <c r="AM174" s="32"/>
      <c r="AN174" s="32"/>
      <c r="AO174" s="32"/>
      <c r="AP174" s="31"/>
      <c r="AQ174" s="31"/>
      <c r="AR174" s="54"/>
      <c r="AS174" s="21" t="str">
        <f>IFERROR(VLOOKUP(April[[#This Row],[Drug Name4]],'Data Options'!$R$1:$S$100,2,FALSE), " ")</f>
        <v xml:space="preserve"> </v>
      </c>
      <c r="AT174" s="55"/>
      <c r="AU174" s="32"/>
      <c r="AV174" s="32"/>
      <c r="AW174" s="55"/>
      <c r="AX174" s="32"/>
      <c r="AY174" s="54"/>
      <c r="AZ174" s="21" t="str">
        <f>IFERROR(VLOOKUP(April[[#This Row],[Drug Name5]],'Data Options'!$R$1:$S$100,2,FALSE), " ")</f>
        <v xml:space="preserve"> </v>
      </c>
      <c r="BA174" s="55"/>
      <c r="BB174" s="32"/>
      <c r="BC174" s="32"/>
      <c r="BD174" s="55"/>
      <c r="BE174" s="32"/>
      <c r="BF174" s="54"/>
      <c r="BG174" s="21" t="str">
        <f>IFERROR(VLOOKUP(April[[#This Row],[Drug Name6]],'Data Options'!$R$1:$S$100,2,FALSE), " ")</f>
        <v xml:space="preserve"> </v>
      </c>
      <c r="BH174" s="55"/>
      <c r="BI174" s="32"/>
      <c r="BJ174" s="32"/>
      <c r="BK174" s="55"/>
      <c r="BL174" s="32"/>
      <c r="BM174" s="32"/>
      <c r="BN174" s="32"/>
      <c r="BO174" s="32"/>
      <c r="BP174" s="32"/>
      <c r="BQ174" s="31"/>
      <c r="BR174" s="31"/>
      <c r="BS174" s="54"/>
      <c r="BT174" s="21" t="str">
        <f>IFERROR(VLOOKUP(April[[#This Row],[Drug Name7]],'Data Options'!$R$1:$S$100,2,FALSE), " ")</f>
        <v xml:space="preserve"> </v>
      </c>
      <c r="BU174" s="55"/>
      <c r="BV174" s="32"/>
      <c r="BW174" s="32"/>
      <c r="BX174" s="55"/>
      <c r="BY174" s="32"/>
      <c r="BZ174" s="54"/>
      <c r="CA174" s="21" t="str">
        <f>IFERROR(VLOOKUP(April[[#This Row],[Drug Name8]],'Data Options'!$R$1:$S$100,2,FALSE), " ")</f>
        <v xml:space="preserve"> </v>
      </c>
      <c r="CB174" s="55"/>
      <c r="CC174" s="32"/>
      <c r="CD174" s="32"/>
      <c r="CE174" s="55"/>
      <c r="CF174" s="32"/>
      <c r="CG174" s="54"/>
      <c r="CH174" s="21" t="str">
        <f>IFERROR(VLOOKUP(April[[#This Row],[Drug Name9]],'Data Options'!$R$1:$S$100,2,FALSE), " ")</f>
        <v xml:space="preserve"> </v>
      </c>
      <c r="CI174" s="55"/>
      <c r="CJ174" s="32"/>
      <c r="CK174" s="32"/>
      <c r="CL174" s="55"/>
      <c r="CM174" s="32"/>
    </row>
    <row r="175" spans="1:91">
      <c r="A175" s="5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1"/>
      <c r="P175" s="31"/>
      <c r="Q175" s="54"/>
      <c r="R175" s="21" t="str">
        <f>IFERROR(VLOOKUP(April[[#This Row],[Drug Name]],'Data Options'!$R$1:$S$100,2,FALSE), " ")</f>
        <v xml:space="preserve"> </v>
      </c>
      <c r="S175" s="55"/>
      <c r="T175" s="32"/>
      <c r="U175" s="32"/>
      <c r="V175" s="55"/>
      <c r="W175" s="32"/>
      <c r="X175" s="54"/>
      <c r="Y175" s="21" t="str">
        <f>IFERROR(VLOOKUP(April[[#This Row],[Drug Name2]],'Data Options'!$R$1:$S$100,2,FALSE), " ")</f>
        <v xml:space="preserve"> </v>
      </c>
      <c r="Z175" s="55"/>
      <c r="AA175" s="32"/>
      <c r="AB175" s="32"/>
      <c r="AC175" s="55"/>
      <c r="AD175" s="32"/>
      <c r="AE175" s="54"/>
      <c r="AF175" s="21" t="str">
        <f>IFERROR(VLOOKUP(April[[#This Row],[Drug Name3]],'Data Options'!$R$1:$S$100,2,FALSE), " ")</f>
        <v xml:space="preserve"> </v>
      </c>
      <c r="AG175" s="55"/>
      <c r="AH175" s="32"/>
      <c r="AI175" s="32"/>
      <c r="AJ175" s="55"/>
      <c r="AK175" s="32"/>
      <c r="AL175" s="32"/>
      <c r="AM175" s="32"/>
      <c r="AN175" s="32"/>
      <c r="AO175" s="32"/>
      <c r="AP175" s="31"/>
      <c r="AQ175" s="31"/>
      <c r="AR175" s="54"/>
      <c r="AS175" s="21" t="str">
        <f>IFERROR(VLOOKUP(April[[#This Row],[Drug Name4]],'Data Options'!$R$1:$S$100,2,FALSE), " ")</f>
        <v xml:space="preserve"> </v>
      </c>
      <c r="AT175" s="55"/>
      <c r="AU175" s="32"/>
      <c r="AV175" s="32"/>
      <c r="AW175" s="55"/>
      <c r="AX175" s="32"/>
      <c r="AY175" s="54"/>
      <c r="AZ175" s="21" t="str">
        <f>IFERROR(VLOOKUP(April[[#This Row],[Drug Name5]],'Data Options'!$R$1:$S$100,2,FALSE), " ")</f>
        <v xml:space="preserve"> </v>
      </c>
      <c r="BA175" s="55"/>
      <c r="BB175" s="32"/>
      <c r="BC175" s="32"/>
      <c r="BD175" s="55"/>
      <c r="BE175" s="32"/>
      <c r="BF175" s="54"/>
      <c r="BG175" s="21" t="str">
        <f>IFERROR(VLOOKUP(April[[#This Row],[Drug Name6]],'Data Options'!$R$1:$S$100,2,FALSE), " ")</f>
        <v xml:space="preserve"> </v>
      </c>
      <c r="BH175" s="55"/>
      <c r="BI175" s="32"/>
      <c r="BJ175" s="32"/>
      <c r="BK175" s="55"/>
      <c r="BL175" s="32"/>
      <c r="BM175" s="32"/>
      <c r="BN175" s="32"/>
      <c r="BO175" s="32"/>
      <c r="BP175" s="32"/>
      <c r="BQ175" s="31"/>
      <c r="BR175" s="31"/>
      <c r="BS175" s="54"/>
      <c r="BT175" s="21" t="str">
        <f>IFERROR(VLOOKUP(April[[#This Row],[Drug Name7]],'Data Options'!$R$1:$S$100,2,FALSE), " ")</f>
        <v xml:space="preserve"> </v>
      </c>
      <c r="BU175" s="55"/>
      <c r="BV175" s="32"/>
      <c r="BW175" s="32"/>
      <c r="BX175" s="55"/>
      <c r="BY175" s="32"/>
      <c r="BZ175" s="54"/>
      <c r="CA175" s="21" t="str">
        <f>IFERROR(VLOOKUP(April[[#This Row],[Drug Name8]],'Data Options'!$R$1:$S$100,2,FALSE), " ")</f>
        <v xml:space="preserve"> </v>
      </c>
      <c r="CB175" s="55"/>
      <c r="CC175" s="32"/>
      <c r="CD175" s="32"/>
      <c r="CE175" s="55"/>
      <c r="CF175" s="32"/>
      <c r="CG175" s="54"/>
      <c r="CH175" s="21" t="str">
        <f>IFERROR(VLOOKUP(April[[#This Row],[Drug Name9]],'Data Options'!$R$1:$S$100,2,FALSE), " ")</f>
        <v xml:space="preserve"> </v>
      </c>
      <c r="CI175" s="55"/>
      <c r="CJ175" s="32"/>
      <c r="CK175" s="32"/>
      <c r="CL175" s="55"/>
      <c r="CM175" s="32"/>
    </row>
    <row r="176" spans="1:91">
      <c r="A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1"/>
      <c r="P176" s="31"/>
      <c r="Q176" s="54"/>
      <c r="R176" s="21" t="str">
        <f>IFERROR(VLOOKUP(April[[#This Row],[Drug Name]],'Data Options'!$R$1:$S$100,2,FALSE), " ")</f>
        <v xml:space="preserve"> </v>
      </c>
      <c r="S176" s="55"/>
      <c r="T176" s="32"/>
      <c r="U176" s="32"/>
      <c r="V176" s="55"/>
      <c r="W176" s="32"/>
      <c r="X176" s="54"/>
      <c r="Y176" s="21" t="str">
        <f>IFERROR(VLOOKUP(April[[#This Row],[Drug Name2]],'Data Options'!$R$1:$S$100,2,FALSE), " ")</f>
        <v xml:space="preserve"> </v>
      </c>
      <c r="Z176" s="55"/>
      <c r="AA176" s="32"/>
      <c r="AB176" s="32"/>
      <c r="AC176" s="55"/>
      <c r="AD176" s="32"/>
      <c r="AE176" s="54"/>
      <c r="AF176" s="21" t="str">
        <f>IFERROR(VLOOKUP(April[[#This Row],[Drug Name3]],'Data Options'!$R$1:$S$100,2,FALSE), " ")</f>
        <v xml:space="preserve"> </v>
      </c>
      <c r="AG176" s="55"/>
      <c r="AH176" s="32"/>
      <c r="AI176" s="32"/>
      <c r="AJ176" s="55"/>
      <c r="AK176" s="32"/>
      <c r="AL176" s="32"/>
      <c r="AM176" s="32"/>
      <c r="AN176" s="32"/>
      <c r="AO176" s="32"/>
      <c r="AP176" s="31"/>
      <c r="AQ176" s="31"/>
      <c r="AR176" s="54"/>
      <c r="AS176" s="21" t="str">
        <f>IFERROR(VLOOKUP(April[[#This Row],[Drug Name4]],'Data Options'!$R$1:$S$100,2,FALSE), " ")</f>
        <v xml:space="preserve"> </v>
      </c>
      <c r="AT176" s="55"/>
      <c r="AU176" s="32"/>
      <c r="AV176" s="32"/>
      <c r="AW176" s="55"/>
      <c r="AX176" s="32"/>
      <c r="AY176" s="54"/>
      <c r="AZ176" s="21" t="str">
        <f>IFERROR(VLOOKUP(April[[#This Row],[Drug Name5]],'Data Options'!$R$1:$S$100,2,FALSE), " ")</f>
        <v xml:space="preserve"> </v>
      </c>
      <c r="BA176" s="55"/>
      <c r="BB176" s="32"/>
      <c r="BC176" s="32"/>
      <c r="BD176" s="55"/>
      <c r="BE176" s="32"/>
      <c r="BF176" s="54"/>
      <c r="BG176" s="21" t="str">
        <f>IFERROR(VLOOKUP(April[[#This Row],[Drug Name6]],'Data Options'!$R$1:$S$100,2,FALSE), " ")</f>
        <v xml:space="preserve"> </v>
      </c>
      <c r="BH176" s="55"/>
      <c r="BI176" s="32"/>
      <c r="BJ176" s="32"/>
      <c r="BK176" s="55"/>
      <c r="BL176" s="32"/>
      <c r="BM176" s="32"/>
      <c r="BN176" s="32"/>
      <c r="BO176" s="32"/>
      <c r="BP176" s="32"/>
      <c r="BQ176" s="31"/>
      <c r="BR176" s="31"/>
      <c r="BS176" s="54"/>
      <c r="BT176" s="21" t="str">
        <f>IFERROR(VLOOKUP(April[[#This Row],[Drug Name7]],'Data Options'!$R$1:$S$100,2,FALSE), " ")</f>
        <v xml:space="preserve"> </v>
      </c>
      <c r="BU176" s="55"/>
      <c r="BV176" s="32"/>
      <c r="BW176" s="32"/>
      <c r="BX176" s="55"/>
      <c r="BY176" s="32"/>
      <c r="BZ176" s="54"/>
      <c r="CA176" s="21" t="str">
        <f>IFERROR(VLOOKUP(April[[#This Row],[Drug Name8]],'Data Options'!$R$1:$S$100,2,FALSE), " ")</f>
        <v xml:space="preserve"> </v>
      </c>
      <c r="CB176" s="55"/>
      <c r="CC176" s="32"/>
      <c r="CD176" s="32"/>
      <c r="CE176" s="55"/>
      <c r="CF176" s="32"/>
      <c r="CG176" s="54"/>
      <c r="CH176" s="21" t="str">
        <f>IFERROR(VLOOKUP(April[[#This Row],[Drug Name9]],'Data Options'!$R$1:$S$100,2,FALSE), " ")</f>
        <v xml:space="preserve"> </v>
      </c>
      <c r="CI176" s="55"/>
      <c r="CJ176" s="32"/>
      <c r="CK176" s="32"/>
      <c r="CL176" s="55"/>
      <c r="CM176" s="32"/>
    </row>
    <row r="177" spans="1:91">
      <c r="A177" s="5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1"/>
      <c r="P177" s="31"/>
      <c r="Q177" s="54"/>
      <c r="R177" s="21" t="str">
        <f>IFERROR(VLOOKUP(April[[#This Row],[Drug Name]],'Data Options'!$R$1:$S$100,2,FALSE), " ")</f>
        <v xml:space="preserve"> </v>
      </c>
      <c r="S177" s="55"/>
      <c r="T177" s="32"/>
      <c r="U177" s="32"/>
      <c r="V177" s="55"/>
      <c r="W177" s="32"/>
      <c r="X177" s="54"/>
      <c r="Y177" s="21" t="str">
        <f>IFERROR(VLOOKUP(April[[#This Row],[Drug Name2]],'Data Options'!$R$1:$S$100,2,FALSE), " ")</f>
        <v xml:space="preserve"> </v>
      </c>
      <c r="Z177" s="55"/>
      <c r="AA177" s="32"/>
      <c r="AB177" s="32"/>
      <c r="AC177" s="55"/>
      <c r="AD177" s="32"/>
      <c r="AE177" s="54"/>
      <c r="AF177" s="21" t="str">
        <f>IFERROR(VLOOKUP(April[[#This Row],[Drug Name3]],'Data Options'!$R$1:$S$100,2,FALSE), " ")</f>
        <v xml:space="preserve"> </v>
      </c>
      <c r="AG177" s="55"/>
      <c r="AH177" s="32"/>
      <c r="AI177" s="32"/>
      <c r="AJ177" s="55"/>
      <c r="AK177" s="32"/>
      <c r="AL177" s="32"/>
      <c r="AM177" s="32"/>
      <c r="AN177" s="32"/>
      <c r="AO177" s="32"/>
      <c r="AP177" s="31"/>
      <c r="AQ177" s="31"/>
      <c r="AR177" s="54"/>
      <c r="AS177" s="21" t="str">
        <f>IFERROR(VLOOKUP(April[[#This Row],[Drug Name4]],'Data Options'!$R$1:$S$100,2,FALSE), " ")</f>
        <v xml:space="preserve"> </v>
      </c>
      <c r="AT177" s="55"/>
      <c r="AU177" s="32"/>
      <c r="AV177" s="32"/>
      <c r="AW177" s="55"/>
      <c r="AX177" s="32"/>
      <c r="AY177" s="54"/>
      <c r="AZ177" s="21" t="str">
        <f>IFERROR(VLOOKUP(April[[#This Row],[Drug Name5]],'Data Options'!$R$1:$S$100,2,FALSE), " ")</f>
        <v xml:space="preserve"> </v>
      </c>
      <c r="BA177" s="55"/>
      <c r="BB177" s="32"/>
      <c r="BC177" s="32"/>
      <c r="BD177" s="55"/>
      <c r="BE177" s="32"/>
      <c r="BF177" s="54"/>
      <c r="BG177" s="21" t="str">
        <f>IFERROR(VLOOKUP(April[[#This Row],[Drug Name6]],'Data Options'!$R$1:$S$100,2,FALSE), " ")</f>
        <v xml:space="preserve"> </v>
      </c>
      <c r="BH177" s="55"/>
      <c r="BI177" s="32"/>
      <c r="BJ177" s="32"/>
      <c r="BK177" s="55"/>
      <c r="BL177" s="32"/>
      <c r="BM177" s="32"/>
      <c r="BN177" s="32"/>
      <c r="BO177" s="32"/>
      <c r="BP177" s="32"/>
      <c r="BQ177" s="31"/>
      <c r="BR177" s="31"/>
      <c r="BS177" s="54"/>
      <c r="BT177" s="21" t="str">
        <f>IFERROR(VLOOKUP(April[[#This Row],[Drug Name7]],'Data Options'!$R$1:$S$100,2,FALSE), " ")</f>
        <v xml:space="preserve"> </v>
      </c>
      <c r="BU177" s="55"/>
      <c r="BV177" s="32"/>
      <c r="BW177" s="32"/>
      <c r="BX177" s="55"/>
      <c r="BY177" s="32"/>
      <c r="BZ177" s="54"/>
      <c r="CA177" s="21" t="str">
        <f>IFERROR(VLOOKUP(April[[#This Row],[Drug Name8]],'Data Options'!$R$1:$S$100,2,FALSE), " ")</f>
        <v xml:space="preserve"> </v>
      </c>
      <c r="CB177" s="55"/>
      <c r="CC177" s="32"/>
      <c r="CD177" s="32"/>
      <c r="CE177" s="55"/>
      <c r="CF177" s="32"/>
      <c r="CG177" s="54"/>
      <c r="CH177" s="21" t="str">
        <f>IFERROR(VLOOKUP(April[[#This Row],[Drug Name9]],'Data Options'!$R$1:$S$100,2,FALSE), " ")</f>
        <v xml:space="preserve"> </v>
      </c>
      <c r="CI177" s="55"/>
      <c r="CJ177" s="32"/>
      <c r="CK177" s="32"/>
      <c r="CL177" s="55"/>
      <c r="CM177" s="32"/>
    </row>
    <row r="178" spans="1:91">
      <c r="A178" s="5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1"/>
      <c r="P178" s="31"/>
      <c r="Q178" s="54"/>
      <c r="R178" s="21" t="str">
        <f>IFERROR(VLOOKUP(April[[#This Row],[Drug Name]],'Data Options'!$R$1:$S$100,2,FALSE), " ")</f>
        <v xml:space="preserve"> </v>
      </c>
      <c r="S178" s="55"/>
      <c r="T178" s="32"/>
      <c r="U178" s="32"/>
      <c r="V178" s="55"/>
      <c r="W178" s="32"/>
      <c r="X178" s="54"/>
      <c r="Y178" s="21" t="str">
        <f>IFERROR(VLOOKUP(April[[#This Row],[Drug Name2]],'Data Options'!$R$1:$S$100,2,FALSE), " ")</f>
        <v xml:space="preserve"> </v>
      </c>
      <c r="Z178" s="55"/>
      <c r="AA178" s="32"/>
      <c r="AB178" s="32"/>
      <c r="AC178" s="55"/>
      <c r="AD178" s="32"/>
      <c r="AE178" s="54"/>
      <c r="AF178" s="21" t="str">
        <f>IFERROR(VLOOKUP(April[[#This Row],[Drug Name3]],'Data Options'!$R$1:$S$100,2,FALSE), " ")</f>
        <v xml:space="preserve"> </v>
      </c>
      <c r="AG178" s="55"/>
      <c r="AH178" s="32"/>
      <c r="AI178" s="32"/>
      <c r="AJ178" s="55"/>
      <c r="AK178" s="32"/>
      <c r="AL178" s="32"/>
      <c r="AM178" s="32"/>
      <c r="AN178" s="32"/>
      <c r="AO178" s="32"/>
      <c r="AP178" s="31"/>
      <c r="AQ178" s="31"/>
      <c r="AR178" s="54"/>
      <c r="AS178" s="21" t="str">
        <f>IFERROR(VLOOKUP(April[[#This Row],[Drug Name4]],'Data Options'!$R$1:$S$100,2,FALSE), " ")</f>
        <v xml:space="preserve"> </v>
      </c>
      <c r="AT178" s="55"/>
      <c r="AU178" s="32"/>
      <c r="AV178" s="32"/>
      <c r="AW178" s="55"/>
      <c r="AX178" s="32"/>
      <c r="AY178" s="54"/>
      <c r="AZ178" s="21" t="str">
        <f>IFERROR(VLOOKUP(April[[#This Row],[Drug Name5]],'Data Options'!$R$1:$S$100,2,FALSE), " ")</f>
        <v xml:space="preserve"> </v>
      </c>
      <c r="BA178" s="55"/>
      <c r="BB178" s="32"/>
      <c r="BC178" s="32"/>
      <c r="BD178" s="55"/>
      <c r="BE178" s="32"/>
      <c r="BF178" s="54"/>
      <c r="BG178" s="21" t="str">
        <f>IFERROR(VLOOKUP(April[[#This Row],[Drug Name6]],'Data Options'!$R$1:$S$100,2,FALSE), " ")</f>
        <v xml:space="preserve"> </v>
      </c>
      <c r="BH178" s="55"/>
      <c r="BI178" s="32"/>
      <c r="BJ178" s="32"/>
      <c r="BK178" s="55"/>
      <c r="BL178" s="32"/>
      <c r="BM178" s="32"/>
      <c r="BN178" s="32"/>
      <c r="BO178" s="32"/>
      <c r="BP178" s="32"/>
      <c r="BQ178" s="31"/>
      <c r="BR178" s="31"/>
      <c r="BS178" s="54"/>
      <c r="BT178" s="21" t="str">
        <f>IFERROR(VLOOKUP(April[[#This Row],[Drug Name7]],'Data Options'!$R$1:$S$100,2,FALSE), " ")</f>
        <v xml:space="preserve"> </v>
      </c>
      <c r="BU178" s="55"/>
      <c r="BV178" s="32"/>
      <c r="BW178" s="32"/>
      <c r="BX178" s="55"/>
      <c r="BY178" s="32"/>
      <c r="BZ178" s="54"/>
      <c r="CA178" s="21" t="str">
        <f>IFERROR(VLOOKUP(April[[#This Row],[Drug Name8]],'Data Options'!$R$1:$S$100,2,FALSE), " ")</f>
        <v xml:space="preserve"> </v>
      </c>
      <c r="CB178" s="55"/>
      <c r="CC178" s="32"/>
      <c r="CD178" s="32"/>
      <c r="CE178" s="55"/>
      <c r="CF178" s="32"/>
      <c r="CG178" s="54"/>
      <c r="CH178" s="21" t="str">
        <f>IFERROR(VLOOKUP(April[[#This Row],[Drug Name9]],'Data Options'!$R$1:$S$100,2,FALSE), " ")</f>
        <v xml:space="preserve"> </v>
      </c>
      <c r="CI178" s="55"/>
      <c r="CJ178" s="32"/>
      <c r="CK178" s="32"/>
      <c r="CL178" s="55"/>
      <c r="CM178" s="32"/>
    </row>
    <row r="179" spans="1:91">
      <c r="A179" s="5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1"/>
      <c r="P179" s="31"/>
      <c r="Q179" s="54"/>
      <c r="R179" s="21" t="str">
        <f>IFERROR(VLOOKUP(April[[#This Row],[Drug Name]],'Data Options'!$R$1:$S$100,2,FALSE), " ")</f>
        <v xml:space="preserve"> </v>
      </c>
      <c r="S179" s="55"/>
      <c r="T179" s="32"/>
      <c r="U179" s="32"/>
      <c r="V179" s="55"/>
      <c r="W179" s="32"/>
      <c r="X179" s="54"/>
      <c r="Y179" s="21" t="str">
        <f>IFERROR(VLOOKUP(April[[#This Row],[Drug Name2]],'Data Options'!$R$1:$S$100,2,FALSE), " ")</f>
        <v xml:space="preserve"> </v>
      </c>
      <c r="Z179" s="55"/>
      <c r="AA179" s="32"/>
      <c r="AB179" s="32"/>
      <c r="AC179" s="55"/>
      <c r="AD179" s="32"/>
      <c r="AE179" s="54"/>
      <c r="AF179" s="21" t="str">
        <f>IFERROR(VLOOKUP(April[[#This Row],[Drug Name3]],'Data Options'!$R$1:$S$100,2,FALSE), " ")</f>
        <v xml:space="preserve"> </v>
      </c>
      <c r="AG179" s="55"/>
      <c r="AH179" s="32"/>
      <c r="AI179" s="32"/>
      <c r="AJ179" s="55"/>
      <c r="AK179" s="32"/>
      <c r="AL179" s="32"/>
      <c r="AM179" s="32"/>
      <c r="AN179" s="32"/>
      <c r="AO179" s="32"/>
      <c r="AP179" s="31"/>
      <c r="AQ179" s="31"/>
      <c r="AR179" s="54"/>
      <c r="AS179" s="21" t="str">
        <f>IFERROR(VLOOKUP(April[[#This Row],[Drug Name4]],'Data Options'!$R$1:$S$100,2,FALSE), " ")</f>
        <v xml:space="preserve"> </v>
      </c>
      <c r="AT179" s="55"/>
      <c r="AU179" s="32"/>
      <c r="AV179" s="32"/>
      <c r="AW179" s="55"/>
      <c r="AX179" s="32"/>
      <c r="AY179" s="54"/>
      <c r="AZ179" s="21" t="str">
        <f>IFERROR(VLOOKUP(April[[#This Row],[Drug Name5]],'Data Options'!$R$1:$S$100,2,FALSE), " ")</f>
        <v xml:space="preserve"> </v>
      </c>
      <c r="BA179" s="55"/>
      <c r="BB179" s="32"/>
      <c r="BC179" s="32"/>
      <c r="BD179" s="55"/>
      <c r="BE179" s="32"/>
      <c r="BF179" s="54"/>
      <c r="BG179" s="21" t="str">
        <f>IFERROR(VLOOKUP(April[[#This Row],[Drug Name6]],'Data Options'!$R$1:$S$100,2,FALSE), " ")</f>
        <v xml:space="preserve"> </v>
      </c>
      <c r="BH179" s="55"/>
      <c r="BI179" s="32"/>
      <c r="BJ179" s="32"/>
      <c r="BK179" s="55"/>
      <c r="BL179" s="32"/>
      <c r="BM179" s="32"/>
      <c r="BN179" s="32"/>
      <c r="BO179" s="32"/>
      <c r="BP179" s="32"/>
      <c r="BQ179" s="31"/>
      <c r="BR179" s="31"/>
      <c r="BS179" s="54"/>
      <c r="BT179" s="21" t="str">
        <f>IFERROR(VLOOKUP(April[[#This Row],[Drug Name7]],'Data Options'!$R$1:$S$100,2,FALSE), " ")</f>
        <v xml:space="preserve"> </v>
      </c>
      <c r="BU179" s="55"/>
      <c r="BV179" s="32"/>
      <c r="BW179" s="32"/>
      <c r="BX179" s="55"/>
      <c r="BY179" s="32"/>
      <c r="BZ179" s="54"/>
      <c r="CA179" s="21" t="str">
        <f>IFERROR(VLOOKUP(April[[#This Row],[Drug Name8]],'Data Options'!$R$1:$S$100,2,FALSE), " ")</f>
        <v xml:space="preserve"> </v>
      </c>
      <c r="CB179" s="55"/>
      <c r="CC179" s="32"/>
      <c r="CD179" s="32"/>
      <c r="CE179" s="55"/>
      <c r="CF179" s="32"/>
      <c r="CG179" s="54"/>
      <c r="CH179" s="21" t="str">
        <f>IFERROR(VLOOKUP(April[[#This Row],[Drug Name9]],'Data Options'!$R$1:$S$100,2,FALSE), " ")</f>
        <v xml:space="preserve"> </v>
      </c>
      <c r="CI179" s="55"/>
      <c r="CJ179" s="32"/>
      <c r="CK179" s="32"/>
      <c r="CL179" s="55"/>
      <c r="CM179" s="32"/>
    </row>
    <row r="180" spans="1:91">
      <c r="A180" s="5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1"/>
      <c r="P180" s="31"/>
      <c r="Q180" s="54"/>
      <c r="R180" s="21" t="str">
        <f>IFERROR(VLOOKUP(April[[#This Row],[Drug Name]],'Data Options'!$R$1:$S$100,2,FALSE), " ")</f>
        <v xml:space="preserve"> </v>
      </c>
      <c r="S180" s="55"/>
      <c r="T180" s="32"/>
      <c r="U180" s="32"/>
      <c r="V180" s="55"/>
      <c r="W180" s="32"/>
      <c r="X180" s="54"/>
      <c r="Y180" s="21" t="str">
        <f>IFERROR(VLOOKUP(April[[#This Row],[Drug Name2]],'Data Options'!$R$1:$S$100,2,FALSE), " ")</f>
        <v xml:space="preserve"> </v>
      </c>
      <c r="Z180" s="55"/>
      <c r="AA180" s="32"/>
      <c r="AB180" s="32"/>
      <c r="AC180" s="55"/>
      <c r="AD180" s="32"/>
      <c r="AE180" s="54"/>
      <c r="AF180" s="21" t="str">
        <f>IFERROR(VLOOKUP(April[[#This Row],[Drug Name3]],'Data Options'!$R$1:$S$100,2,FALSE), " ")</f>
        <v xml:space="preserve"> </v>
      </c>
      <c r="AG180" s="55"/>
      <c r="AH180" s="32"/>
      <c r="AI180" s="32"/>
      <c r="AJ180" s="55"/>
      <c r="AK180" s="32"/>
      <c r="AL180" s="32"/>
      <c r="AM180" s="32"/>
      <c r="AN180" s="32"/>
      <c r="AO180" s="32"/>
      <c r="AP180" s="31"/>
      <c r="AQ180" s="31"/>
      <c r="AR180" s="54"/>
      <c r="AS180" s="21" t="str">
        <f>IFERROR(VLOOKUP(April[[#This Row],[Drug Name4]],'Data Options'!$R$1:$S$100,2,FALSE), " ")</f>
        <v xml:space="preserve"> </v>
      </c>
      <c r="AT180" s="55"/>
      <c r="AU180" s="32"/>
      <c r="AV180" s="32"/>
      <c r="AW180" s="55"/>
      <c r="AX180" s="32"/>
      <c r="AY180" s="54"/>
      <c r="AZ180" s="21" t="str">
        <f>IFERROR(VLOOKUP(April[[#This Row],[Drug Name5]],'Data Options'!$R$1:$S$100,2,FALSE), " ")</f>
        <v xml:space="preserve"> </v>
      </c>
      <c r="BA180" s="55"/>
      <c r="BB180" s="32"/>
      <c r="BC180" s="32"/>
      <c r="BD180" s="55"/>
      <c r="BE180" s="32"/>
      <c r="BF180" s="54"/>
      <c r="BG180" s="21" t="str">
        <f>IFERROR(VLOOKUP(April[[#This Row],[Drug Name6]],'Data Options'!$R$1:$S$100,2,FALSE), " ")</f>
        <v xml:space="preserve"> </v>
      </c>
      <c r="BH180" s="55"/>
      <c r="BI180" s="32"/>
      <c r="BJ180" s="32"/>
      <c r="BK180" s="55"/>
      <c r="BL180" s="32"/>
      <c r="BM180" s="32"/>
      <c r="BN180" s="32"/>
      <c r="BO180" s="32"/>
      <c r="BP180" s="32"/>
      <c r="BQ180" s="31"/>
      <c r="BR180" s="31"/>
      <c r="BS180" s="54"/>
      <c r="BT180" s="21" t="str">
        <f>IFERROR(VLOOKUP(April[[#This Row],[Drug Name7]],'Data Options'!$R$1:$S$100,2,FALSE), " ")</f>
        <v xml:space="preserve"> </v>
      </c>
      <c r="BU180" s="55"/>
      <c r="BV180" s="32"/>
      <c r="BW180" s="32"/>
      <c r="BX180" s="55"/>
      <c r="BY180" s="32"/>
      <c r="BZ180" s="54"/>
      <c r="CA180" s="21" t="str">
        <f>IFERROR(VLOOKUP(April[[#This Row],[Drug Name8]],'Data Options'!$R$1:$S$100,2,FALSE), " ")</f>
        <v xml:space="preserve"> </v>
      </c>
      <c r="CB180" s="55"/>
      <c r="CC180" s="32"/>
      <c r="CD180" s="32"/>
      <c r="CE180" s="55"/>
      <c r="CF180" s="32"/>
      <c r="CG180" s="54"/>
      <c r="CH180" s="21" t="str">
        <f>IFERROR(VLOOKUP(April[[#This Row],[Drug Name9]],'Data Options'!$R$1:$S$100,2,FALSE), " ")</f>
        <v xml:space="preserve"> </v>
      </c>
      <c r="CI180" s="55"/>
      <c r="CJ180" s="32"/>
      <c r="CK180" s="32"/>
      <c r="CL180" s="55"/>
      <c r="CM180" s="32"/>
    </row>
    <row r="181" spans="1:91">
      <c r="A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1"/>
      <c r="P181" s="31"/>
      <c r="Q181" s="54"/>
      <c r="R181" s="21" t="str">
        <f>IFERROR(VLOOKUP(April[[#This Row],[Drug Name]],'Data Options'!$R$1:$S$100,2,FALSE), " ")</f>
        <v xml:space="preserve"> </v>
      </c>
      <c r="S181" s="55"/>
      <c r="T181" s="32"/>
      <c r="U181" s="32"/>
      <c r="V181" s="55"/>
      <c r="W181" s="32"/>
      <c r="X181" s="54"/>
      <c r="Y181" s="21" t="str">
        <f>IFERROR(VLOOKUP(April[[#This Row],[Drug Name2]],'Data Options'!$R$1:$S$100,2,FALSE), " ")</f>
        <v xml:space="preserve"> </v>
      </c>
      <c r="Z181" s="55"/>
      <c r="AA181" s="32"/>
      <c r="AB181" s="32"/>
      <c r="AC181" s="55"/>
      <c r="AD181" s="32"/>
      <c r="AE181" s="54"/>
      <c r="AF181" s="21" t="str">
        <f>IFERROR(VLOOKUP(April[[#This Row],[Drug Name3]],'Data Options'!$R$1:$S$100,2,FALSE), " ")</f>
        <v xml:space="preserve"> </v>
      </c>
      <c r="AG181" s="55"/>
      <c r="AH181" s="32"/>
      <c r="AI181" s="32"/>
      <c r="AJ181" s="55"/>
      <c r="AK181" s="32"/>
      <c r="AL181" s="32"/>
      <c r="AM181" s="32"/>
      <c r="AN181" s="32"/>
      <c r="AO181" s="32"/>
      <c r="AP181" s="31"/>
      <c r="AQ181" s="31"/>
      <c r="AR181" s="54"/>
      <c r="AS181" s="21" t="str">
        <f>IFERROR(VLOOKUP(April[[#This Row],[Drug Name4]],'Data Options'!$R$1:$S$100,2,FALSE), " ")</f>
        <v xml:space="preserve"> </v>
      </c>
      <c r="AT181" s="55"/>
      <c r="AU181" s="32"/>
      <c r="AV181" s="32"/>
      <c r="AW181" s="55"/>
      <c r="AX181" s="32"/>
      <c r="AY181" s="54"/>
      <c r="AZ181" s="21" t="str">
        <f>IFERROR(VLOOKUP(April[[#This Row],[Drug Name5]],'Data Options'!$R$1:$S$100,2,FALSE), " ")</f>
        <v xml:space="preserve"> </v>
      </c>
      <c r="BA181" s="55"/>
      <c r="BB181" s="32"/>
      <c r="BC181" s="32"/>
      <c r="BD181" s="55"/>
      <c r="BE181" s="32"/>
      <c r="BF181" s="54"/>
      <c r="BG181" s="21" t="str">
        <f>IFERROR(VLOOKUP(April[[#This Row],[Drug Name6]],'Data Options'!$R$1:$S$100,2,FALSE), " ")</f>
        <v xml:space="preserve"> </v>
      </c>
      <c r="BH181" s="55"/>
      <c r="BI181" s="32"/>
      <c r="BJ181" s="32"/>
      <c r="BK181" s="55"/>
      <c r="BL181" s="32"/>
      <c r="BM181" s="32"/>
      <c r="BN181" s="32"/>
      <c r="BO181" s="32"/>
      <c r="BP181" s="32"/>
      <c r="BQ181" s="31"/>
      <c r="BR181" s="31"/>
      <c r="BS181" s="54"/>
      <c r="BT181" s="21" t="str">
        <f>IFERROR(VLOOKUP(April[[#This Row],[Drug Name7]],'Data Options'!$R$1:$S$100,2,FALSE), " ")</f>
        <v xml:space="preserve"> </v>
      </c>
      <c r="BU181" s="55"/>
      <c r="BV181" s="32"/>
      <c r="BW181" s="32"/>
      <c r="BX181" s="55"/>
      <c r="BY181" s="32"/>
      <c r="BZ181" s="54"/>
      <c r="CA181" s="21" t="str">
        <f>IFERROR(VLOOKUP(April[[#This Row],[Drug Name8]],'Data Options'!$R$1:$S$100,2,FALSE), " ")</f>
        <v xml:space="preserve"> </v>
      </c>
      <c r="CB181" s="55"/>
      <c r="CC181" s="32"/>
      <c r="CD181" s="32"/>
      <c r="CE181" s="55"/>
      <c r="CF181" s="32"/>
      <c r="CG181" s="54"/>
      <c r="CH181" s="21" t="str">
        <f>IFERROR(VLOOKUP(April[[#This Row],[Drug Name9]],'Data Options'!$R$1:$S$100,2,FALSE), " ")</f>
        <v xml:space="preserve"> </v>
      </c>
      <c r="CI181" s="55"/>
      <c r="CJ181" s="32"/>
      <c r="CK181" s="32"/>
      <c r="CL181" s="55"/>
      <c r="CM181" s="32"/>
    </row>
    <row r="182" spans="1:91">
      <c r="A182" s="5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1"/>
      <c r="P182" s="31"/>
      <c r="Q182" s="54"/>
      <c r="R182" s="21" t="str">
        <f>IFERROR(VLOOKUP(April[[#This Row],[Drug Name]],'Data Options'!$R$1:$S$100,2,FALSE), " ")</f>
        <v xml:space="preserve"> </v>
      </c>
      <c r="S182" s="55"/>
      <c r="T182" s="32"/>
      <c r="U182" s="32"/>
      <c r="V182" s="55"/>
      <c r="W182" s="32"/>
      <c r="X182" s="54"/>
      <c r="Y182" s="21" t="str">
        <f>IFERROR(VLOOKUP(April[[#This Row],[Drug Name2]],'Data Options'!$R$1:$S$100,2,FALSE), " ")</f>
        <v xml:space="preserve"> </v>
      </c>
      <c r="Z182" s="55"/>
      <c r="AA182" s="32"/>
      <c r="AB182" s="32"/>
      <c r="AC182" s="55"/>
      <c r="AD182" s="32"/>
      <c r="AE182" s="54"/>
      <c r="AF182" s="21" t="str">
        <f>IFERROR(VLOOKUP(April[[#This Row],[Drug Name3]],'Data Options'!$R$1:$S$100,2,FALSE), " ")</f>
        <v xml:space="preserve"> </v>
      </c>
      <c r="AG182" s="55"/>
      <c r="AH182" s="32"/>
      <c r="AI182" s="32"/>
      <c r="AJ182" s="55"/>
      <c r="AK182" s="32"/>
      <c r="AL182" s="32"/>
      <c r="AM182" s="32"/>
      <c r="AN182" s="32"/>
      <c r="AO182" s="32"/>
      <c r="AP182" s="31"/>
      <c r="AQ182" s="31"/>
      <c r="AR182" s="54"/>
      <c r="AS182" s="21" t="str">
        <f>IFERROR(VLOOKUP(April[[#This Row],[Drug Name4]],'Data Options'!$R$1:$S$100,2,FALSE), " ")</f>
        <v xml:space="preserve"> </v>
      </c>
      <c r="AT182" s="55"/>
      <c r="AU182" s="32"/>
      <c r="AV182" s="32"/>
      <c r="AW182" s="55"/>
      <c r="AX182" s="32"/>
      <c r="AY182" s="54"/>
      <c r="AZ182" s="21" t="str">
        <f>IFERROR(VLOOKUP(April[[#This Row],[Drug Name5]],'Data Options'!$R$1:$S$100,2,FALSE), " ")</f>
        <v xml:space="preserve"> </v>
      </c>
      <c r="BA182" s="55"/>
      <c r="BB182" s="32"/>
      <c r="BC182" s="32"/>
      <c r="BD182" s="55"/>
      <c r="BE182" s="32"/>
      <c r="BF182" s="54"/>
      <c r="BG182" s="21" t="str">
        <f>IFERROR(VLOOKUP(April[[#This Row],[Drug Name6]],'Data Options'!$R$1:$S$100,2,FALSE), " ")</f>
        <v xml:space="preserve"> </v>
      </c>
      <c r="BH182" s="55"/>
      <c r="BI182" s="32"/>
      <c r="BJ182" s="32"/>
      <c r="BK182" s="55"/>
      <c r="BL182" s="32"/>
      <c r="BM182" s="32"/>
      <c r="BN182" s="32"/>
      <c r="BO182" s="32"/>
      <c r="BP182" s="32"/>
      <c r="BQ182" s="31"/>
      <c r="BR182" s="31"/>
      <c r="BS182" s="54"/>
      <c r="BT182" s="21" t="str">
        <f>IFERROR(VLOOKUP(April[[#This Row],[Drug Name7]],'Data Options'!$R$1:$S$100,2,FALSE), " ")</f>
        <v xml:space="preserve"> </v>
      </c>
      <c r="BU182" s="55"/>
      <c r="BV182" s="32"/>
      <c r="BW182" s="32"/>
      <c r="BX182" s="55"/>
      <c r="BY182" s="32"/>
      <c r="BZ182" s="54"/>
      <c r="CA182" s="21" t="str">
        <f>IFERROR(VLOOKUP(April[[#This Row],[Drug Name8]],'Data Options'!$R$1:$S$100,2,FALSE), " ")</f>
        <v xml:space="preserve"> </v>
      </c>
      <c r="CB182" s="55"/>
      <c r="CC182" s="32"/>
      <c r="CD182" s="32"/>
      <c r="CE182" s="55"/>
      <c r="CF182" s="32"/>
      <c r="CG182" s="54"/>
      <c r="CH182" s="21" t="str">
        <f>IFERROR(VLOOKUP(April[[#This Row],[Drug Name9]],'Data Options'!$R$1:$S$100,2,FALSE), " ")</f>
        <v xml:space="preserve"> </v>
      </c>
      <c r="CI182" s="55"/>
      <c r="CJ182" s="32"/>
      <c r="CK182" s="32"/>
      <c r="CL182" s="55"/>
      <c r="CM182" s="32"/>
    </row>
    <row r="183" spans="1:91">
      <c r="A183" s="5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1"/>
      <c r="P183" s="31"/>
      <c r="Q183" s="54"/>
      <c r="R183" s="21" t="str">
        <f>IFERROR(VLOOKUP(April[[#This Row],[Drug Name]],'Data Options'!$R$1:$S$100,2,FALSE), " ")</f>
        <v xml:space="preserve"> </v>
      </c>
      <c r="S183" s="55"/>
      <c r="T183" s="32"/>
      <c r="U183" s="32"/>
      <c r="V183" s="55"/>
      <c r="W183" s="32"/>
      <c r="X183" s="54"/>
      <c r="Y183" s="21" t="str">
        <f>IFERROR(VLOOKUP(April[[#This Row],[Drug Name2]],'Data Options'!$R$1:$S$100,2,FALSE), " ")</f>
        <v xml:space="preserve"> </v>
      </c>
      <c r="Z183" s="55"/>
      <c r="AA183" s="32"/>
      <c r="AB183" s="32"/>
      <c r="AC183" s="55"/>
      <c r="AD183" s="32"/>
      <c r="AE183" s="54"/>
      <c r="AF183" s="21" t="str">
        <f>IFERROR(VLOOKUP(April[[#This Row],[Drug Name3]],'Data Options'!$R$1:$S$100,2,FALSE), " ")</f>
        <v xml:space="preserve"> </v>
      </c>
      <c r="AG183" s="55"/>
      <c r="AH183" s="32"/>
      <c r="AI183" s="32"/>
      <c r="AJ183" s="55"/>
      <c r="AK183" s="32"/>
      <c r="AL183" s="32"/>
      <c r="AM183" s="32"/>
      <c r="AN183" s="32"/>
      <c r="AO183" s="32"/>
      <c r="AP183" s="31"/>
      <c r="AQ183" s="31"/>
      <c r="AR183" s="54"/>
      <c r="AS183" s="21" t="str">
        <f>IFERROR(VLOOKUP(April[[#This Row],[Drug Name4]],'Data Options'!$R$1:$S$100,2,FALSE), " ")</f>
        <v xml:space="preserve"> </v>
      </c>
      <c r="AT183" s="55"/>
      <c r="AU183" s="32"/>
      <c r="AV183" s="32"/>
      <c r="AW183" s="55"/>
      <c r="AX183" s="32"/>
      <c r="AY183" s="54"/>
      <c r="AZ183" s="21" t="str">
        <f>IFERROR(VLOOKUP(April[[#This Row],[Drug Name5]],'Data Options'!$R$1:$S$100,2,FALSE), " ")</f>
        <v xml:space="preserve"> </v>
      </c>
      <c r="BA183" s="55"/>
      <c r="BB183" s="32"/>
      <c r="BC183" s="32"/>
      <c r="BD183" s="55"/>
      <c r="BE183" s="32"/>
      <c r="BF183" s="54"/>
      <c r="BG183" s="21" t="str">
        <f>IFERROR(VLOOKUP(April[[#This Row],[Drug Name6]],'Data Options'!$R$1:$S$100,2,FALSE), " ")</f>
        <v xml:space="preserve"> </v>
      </c>
      <c r="BH183" s="55"/>
      <c r="BI183" s="32"/>
      <c r="BJ183" s="32"/>
      <c r="BK183" s="55"/>
      <c r="BL183" s="32"/>
      <c r="BM183" s="32"/>
      <c r="BN183" s="32"/>
      <c r="BO183" s="32"/>
      <c r="BP183" s="32"/>
      <c r="BQ183" s="31"/>
      <c r="BR183" s="31"/>
      <c r="BS183" s="54"/>
      <c r="BT183" s="21" t="str">
        <f>IFERROR(VLOOKUP(April[[#This Row],[Drug Name7]],'Data Options'!$R$1:$S$100,2,FALSE), " ")</f>
        <v xml:space="preserve"> </v>
      </c>
      <c r="BU183" s="55"/>
      <c r="BV183" s="32"/>
      <c r="BW183" s="32"/>
      <c r="BX183" s="55"/>
      <c r="BY183" s="32"/>
      <c r="BZ183" s="54"/>
      <c r="CA183" s="21" t="str">
        <f>IFERROR(VLOOKUP(April[[#This Row],[Drug Name8]],'Data Options'!$R$1:$S$100,2,FALSE), " ")</f>
        <v xml:space="preserve"> </v>
      </c>
      <c r="CB183" s="55"/>
      <c r="CC183" s="32"/>
      <c r="CD183" s="32"/>
      <c r="CE183" s="55"/>
      <c r="CF183" s="32"/>
      <c r="CG183" s="54"/>
      <c r="CH183" s="21" t="str">
        <f>IFERROR(VLOOKUP(April[[#This Row],[Drug Name9]],'Data Options'!$R$1:$S$100,2,FALSE), " ")</f>
        <v xml:space="preserve"> </v>
      </c>
      <c r="CI183" s="55"/>
      <c r="CJ183" s="32"/>
      <c r="CK183" s="32"/>
      <c r="CL183" s="55"/>
      <c r="CM183" s="32"/>
    </row>
    <row r="184" spans="1:91">
      <c r="A184" s="5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1"/>
      <c r="P184" s="31"/>
      <c r="Q184" s="54"/>
      <c r="R184" s="21" t="str">
        <f>IFERROR(VLOOKUP(April[[#This Row],[Drug Name]],'Data Options'!$R$1:$S$100,2,FALSE), " ")</f>
        <v xml:space="preserve"> </v>
      </c>
      <c r="S184" s="55"/>
      <c r="T184" s="32"/>
      <c r="U184" s="32"/>
      <c r="V184" s="55"/>
      <c r="W184" s="32"/>
      <c r="X184" s="54"/>
      <c r="Y184" s="21" t="str">
        <f>IFERROR(VLOOKUP(April[[#This Row],[Drug Name2]],'Data Options'!$R$1:$S$100,2,FALSE), " ")</f>
        <v xml:space="preserve"> </v>
      </c>
      <c r="Z184" s="55"/>
      <c r="AA184" s="32"/>
      <c r="AB184" s="32"/>
      <c r="AC184" s="55"/>
      <c r="AD184" s="32"/>
      <c r="AE184" s="54"/>
      <c r="AF184" s="21" t="str">
        <f>IFERROR(VLOOKUP(April[[#This Row],[Drug Name3]],'Data Options'!$R$1:$S$100,2,FALSE), " ")</f>
        <v xml:space="preserve"> </v>
      </c>
      <c r="AG184" s="55"/>
      <c r="AH184" s="32"/>
      <c r="AI184" s="32"/>
      <c r="AJ184" s="55"/>
      <c r="AK184" s="32"/>
      <c r="AL184" s="32"/>
      <c r="AM184" s="32"/>
      <c r="AN184" s="32"/>
      <c r="AO184" s="32"/>
      <c r="AP184" s="31"/>
      <c r="AQ184" s="31"/>
      <c r="AR184" s="54"/>
      <c r="AS184" s="21" t="str">
        <f>IFERROR(VLOOKUP(April[[#This Row],[Drug Name4]],'Data Options'!$R$1:$S$100,2,FALSE), " ")</f>
        <v xml:space="preserve"> </v>
      </c>
      <c r="AT184" s="55"/>
      <c r="AU184" s="32"/>
      <c r="AV184" s="32"/>
      <c r="AW184" s="55"/>
      <c r="AX184" s="32"/>
      <c r="AY184" s="54"/>
      <c r="AZ184" s="21" t="str">
        <f>IFERROR(VLOOKUP(April[[#This Row],[Drug Name5]],'Data Options'!$R$1:$S$100,2,FALSE), " ")</f>
        <v xml:space="preserve"> </v>
      </c>
      <c r="BA184" s="55"/>
      <c r="BB184" s="32"/>
      <c r="BC184" s="32"/>
      <c r="BD184" s="55"/>
      <c r="BE184" s="32"/>
      <c r="BF184" s="54"/>
      <c r="BG184" s="21" t="str">
        <f>IFERROR(VLOOKUP(April[[#This Row],[Drug Name6]],'Data Options'!$R$1:$S$100,2,FALSE), " ")</f>
        <v xml:space="preserve"> </v>
      </c>
      <c r="BH184" s="55"/>
      <c r="BI184" s="32"/>
      <c r="BJ184" s="32"/>
      <c r="BK184" s="55"/>
      <c r="BL184" s="32"/>
      <c r="BM184" s="32"/>
      <c r="BN184" s="32"/>
      <c r="BO184" s="32"/>
      <c r="BP184" s="32"/>
      <c r="BQ184" s="31"/>
      <c r="BR184" s="31"/>
      <c r="BS184" s="54"/>
      <c r="BT184" s="21" t="str">
        <f>IFERROR(VLOOKUP(April[[#This Row],[Drug Name7]],'Data Options'!$R$1:$S$100,2,FALSE), " ")</f>
        <v xml:space="preserve"> </v>
      </c>
      <c r="BU184" s="55"/>
      <c r="BV184" s="32"/>
      <c r="BW184" s="32"/>
      <c r="BX184" s="55"/>
      <c r="BY184" s="32"/>
      <c r="BZ184" s="54"/>
      <c r="CA184" s="21" t="str">
        <f>IFERROR(VLOOKUP(April[[#This Row],[Drug Name8]],'Data Options'!$R$1:$S$100,2,FALSE), " ")</f>
        <v xml:space="preserve"> </v>
      </c>
      <c r="CB184" s="55"/>
      <c r="CC184" s="32"/>
      <c r="CD184" s="32"/>
      <c r="CE184" s="55"/>
      <c r="CF184" s="32"/>
      <c r="CG184" s="54"/>
      <c r="CH184" s="21" t="str">
        <f>IFERROR(VLOOKUP(April[[#This Row],[Drug Name9]],'Data Options'!$R$1:$S$100,2,FALSE), " ")</f>
        <v xml:space="preserve"> </v>
      </c>
      <c r="CI184" s="55"/>
      <c r="CJ184" s="32"/>
      <c r="CK184" s="32"/>
      <c r="CL184" s="55"/>
      <c r="CM184" s="32"/>
    </row>
    <row r="185" spans="1:91">
      <c r="A185" s="5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1"/>
      <c r="P185" s="31"/>
      <c r="Q185" s="54"/>
      <c r="R185" s="21" t="str">
        <f>IFERROR(VLOOKUP(April[[#This Row],[Drug Name]],'Data Options'!$R$1:$S$100,2,FALSE), " ")</f>
        <v xml:space="preserve"> </v>
      </c>
      <c r="S185" s="55"/>
      <c r="T185" s="32"/>
      <c r="U185" s="32"/>
      <c r="V185" s="55"/>
      <c r="W185" s="32"/>
      <c r="X185" s="54"/>
      <c r="Y185" s="21" t="str">
        <f>IFERROR(VLOOKUP(April[[#This Row],[Drug Name2]],'Data Options'!$R$1:$S$100,2,FALSE), " ")</f>
        <v xml:space="preserve"> </v>
      </c>
      <c r="Z185" s="55"/>
      <c r="AA185" s="32"/>
      <c r="AB185" s="32"/>
      <c r="AC185" s="55"/>
      <c r="AD185" s="32"/>
      <c r="AE185" s="54"/>
      <c r="AF185" s="21" t="str">
        <f>IFERROR(VLOOKUP(April[[#This Row],[Drug Name3]],'Data Options'!$R$1:$S$100,2,FALSE), " ")</f>
        <v xml:space="preserve"> </v>
      </c>
      <c r="AG185" s="55"/>
      <c r="AH185" s="32"/>
      <c r="AI185" s="32"/>
      <c r="AJ185" s="55"/>
      <c r="AK185" s="32"/>
      <c r="AL185" s="32"/>
      <c r="AM185" s="32"/>
      <c r="AN185" s="32"/>
      <c r="AO185" s="32"/>
      <c r="AP185" s="31"/>
      <c r="AQ185" s="31"/>
      <c r="AR185" s="54"/>
      <c r="AS185" s="21" t="str">
        <f>IFERROR(VLOOKUP(April[[#This Row],[Drug Name4]],'Data Options'!$R$1:$S$100,2,FALSE), " ")</f>
        <v xml:space="preserve"> </v>
      </c>
      <c r="AT185" s="55"/>
      <c r="AU185" s="32"/>
      <c r="AV185" s="32"/>
      <c r="AW185" s="55"/>
      <c r="AX185" s="32"/>
      <c r="AY185" s="54"/>
      <c r="AZ185" s="21" t="str">
        <f>IFERROR(VLOOKUP(April[[#This Row],[Drug Name5]],'Data Options'!$R$1:$S$100,2,FALSE), " ")</f>
        <v xml:space="preserve"> </v>
      </c>
      <c r="BA185" s="55"/>
      <c r="BB185" s="32"/>
      <c r="BC185" s="32"/>
      <c r="BD185" s="55"/>
      <c r="BE185" s="32"/>
      <c r="BF185" s="54"/>
      <c r="BG185" s="21" t="str">
        <f>IFERROR(VLOOKUP(April[[#This Row],[Drug Name6]],'Data Options'!$R$1:$S$100,2,FALSE), " ")</f>
        <v xml:space="preserve"> </v>
      </c>
      <c r="BH185" s="55"/>
      <c r="BI185" s="32"/>
      <c r="BJ185" s="32"/>
      <c r="BK185" s="55"/>
      <c r="BL185" s="32"/>
      <c r="BM185" s="32"/>
      <c r="BN185" s="32"/>
      <c r="BO185" s="32"/>
      <c r="BP185" s="32"/>
      <c r="BQ185" s="31"/>
      <c r="BR185" s="31"/>
      <c r="BS185" s="54"/>
      <c r="BT185" s="21" t="str">
        <f>IFERROR(VLOOKUP(April[[#This Row],[Drug Name7]],'Data Options'!$R$1:$S$100,2,FALSE), " ")</f>
        <v xml:space="preserve"> </v>
      </c>
      <c r="BU185" s="55"/>
      <c r="BV185" s="32"/>
      <c r="BW185" s="32"/>
      <c r="BX185" s="55"/>
      <c r="BY185" s="32"/>
      <c r="BZ185" s="54"/>
      <c r="CA185" s="21" t="str">
        <f>IFERROR(VLOOKUP(April[[#This Row],[Drug Name8]],'Data Options'!$R$1:$S$100,2,FALSE), " ")</f>
        <v xml:space="preserve"> </v>
      </c>
      <c r="CB185" s="55"/>
      <c r="CC185" s="32"/>
      <c r="CD185" s="32"/>
      <c r="CE185" s="55"/>
      <c r="CF185" s="32"/>
      <c r="CG185" s="54"/>
      <c r="CH185" s="21" t="str">
        <f>IFERROR(VLOOKUP(April[[#This Row],[Drug Name9]],'Data Options'!$R$1:$S$100,2,FALSE), " ")</f>
        <v xml:space="preserve"> </v>
      </c>
      <c r="CI185" s="55"/>
      <c r="CJ185" s="32"/>
      <c r="CK185" s="32"/>
      <c r="CL185" s="55"/>
      <c r="CM185" s="32"/>
    </row>
    <row r="186" spans="1:91">
      <c r="A186" s="5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1"/>
      <c r="P186" s="31"/>
      <c r="Q186" s="54"/>
      <c r="R186" s="21" t="str">
        <f>IFERROR(VLOOKUP(April[[#This Row],[Drug Name]],'Data Options'!$R$1:$S$100,2,FALSE), " ")</f>
        <v xml:space="preserve"> </v>
      </c>
      <c r="S186" s="55"/>
      <c r="T186" s="32"/>
      <c r="U186" s="32"/>
      <c r="V186" s="55"/>
      <c r="W186" s="32"/>
      <c r="X186" s="54"/>
      <c r="Y186" s="21" t="str">
        <f>IFERROR(VLOOKUP(April[[#This Row],[Drug Name2]],'Data Options'!$R$1:$S$100,2,FALSE), " ")</f>
        <v xml:space="preserve"> </v>
      </c>
      <c r="Z186" s="55"/>
      <c r="AA186" s="32"/>
      <c r="AB186" s="32"/>
      <c r="AC186" s="55"/>
      <c r="AD186" s="32"/>
      <c r="AE186" s="54"/>
      <c r="AF186" s="21" t="str">
        <f>IFERROR(VLOOKUP(April[[#This Row],[Drug Name3]],'Data Options'!$R$1:$S$100,2,FALSE), " ")</f>
        <v xml:space="preserve"> </v>
      </c>
      <c r="AG186" s="55"/>
      <c r="AH186" s="32"/>
      <c r="AI186" s="32"/>
      <c r="AJ186" s="55"/>
      <c r="AK186" s="32"/>
      <c r="AL186" s="32"/>
      <c r="AM186" s="32"/>
      <c r="AN186" s="32"/>
      <c r="AO186" s="32"/>
      <c r="AP186" s="31"/>
      <c r="AQ186" s="31"/>
      <c r="AR186" s="54"/>
      <c r="AS186" s="21" t="str">
        <f>IFERROR(VLOOKUP(April[[#This Row],[Drug Name4]],'Data Options'!$R$1:$S$100,2,FALSE), " ")</f>
        <v xml:space="preserve"> </v>
      </c>
      <c r="AT186" s="55"/>
      <c r="AU186" s="32"/>
      <c r="AV186" s="32"/>
      <c r="AW186" s="55"/>
      <c r="AX186" s="32"/>
      <c r="AY186" s="54"/>
      <c r="AZ186" s="21" t="str">
        <f>IFERROR(VLOOKUP(April[[#This Row],[Drug Name5]],'Data Options'!$R$1:$S$100,2,FALSE), " ")</f>
        <v xml:space="preserve"> </v>
      </c>
      <c r="BA186" s="55"/>
      <c r="BB186" s="32"/>
      <c r="BC186" s="32"/>
      <c r="BD186" s="55"/>
      <c r="BE186" s="32"/>
      <c r="BF186" s="54"/>
      <c r="BG186" s="21" t="str">
        <f>IFERROR(VLOOKUP(April[[#This Row],[Drug Name6]],'Data Options'!$R$1:$S$100,2,FALSE), " ")</f>
        <v xml:space="preserve"> </v>
      </c>
      <c r="BH186" s="55"/>
      <c r="BI186" s="32"/>
      <c r="BJ186" s="32"/>
      <c r="BK186" s="55"/>
      <c r="BL186" s="32"/>
      <c r="BM186" s="32"/>
      <c r="BN186" s="32"/>
      <c r="BO186" s="32"/>
      <c r="BP186" s="32"/>
      <c r="BQ186" s="31"/>
      <c r="BR186" s="31"/>
      <c r="BS186" s="54"/>
      <c r="BT186" s="21" t="str">
        <f>IFERROR(VLOOKUP(April[[#This Row],[Drug Name7]],'Data Options'!$R$1:$S$100,2,FALSE), " ")</f>
        <v xml:space="preserve"> </v>
      </c>
      <c r="BU186" s="55"/>
      <c r="BV186" s="32"/>
      <c r="BW186" s="32"/>
      <c r="BX186" s="55"/>
      <c r="BY186" s="32"/>
      <c r="BZ186" s="54"/>
      <c r="CA186" s="21" t="str">
        <f>IFERROR(VLOOKUP(April[[#This Row],[Drug Name8]],'Data Options'!$R$1:$S$100,2,FALSE), " ")</f>
        <v xml:space="preserve"> </v>
      </c>
      <c r="CB186" s="55"/>
      <c r="CC186" s="32"/>
      <c r="CD186" s="32"/>
      <c r="CE186" s="55"/>
      <c r="CF186" s="32"/>
      <c r="CG186" s="54"/>
      <c r="CH186" s="21" t="str">
        <f>IFERROR(VLOOKUP(April[[#This Row],[Drug Name9]],'Data Options'!$R$1:$S$100,2,FALSE), " ")</f>
        <v xml:space="preserve"> </v>
      </c>
      <c r="CI186" s="55"/>
      <c r="CJ186" s="32"/>
      <c r="CK186" s="32"/>
      <c r="CL186" s="55"/>
      <c r="CM186" s="32"/>
    </row>
    <row r="187" spans="1:91">
      <c r="A187" s="5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1"/>
      <c r="P187" s="31"/>
      <c r="Q187" s="54"/>
      <c r="R187" s="21" t="str">
        <f>IFERROR(VLOOKUP(April[[#This Row],[Drug Name]],'Data Options'!$R$1:$S$100,2,FALSE), " ")</f>
        <v xml:space="preserve"> </v>
      </c>
      <c r="S187" s="55"/>
      <c r="T187" s="32"/>
      <c r="U187" s="32"/>
      <c r="V187" s="55"/>
      <c r="W187" s="32"/>
      <c r="X187" s="54"/>
      <c r="Y187" s="21" t="str">
        <f>IFERROR(VLOOKUP(April[[#This Row],[Drug Name2]],'Data Options'!$R$1:$S$100,2,FALSE), " ")</f>
        <v xml:space="preserve"> </v>
      </c>
      <c r="Z187" s="55"/>
      <c r="AA187" s="32"/>
      <c r="AB187" s="32"/>
      <c r="AC187" s="55"/>
      <c r="AD187" s="32"/>
      <c r="AE187" s="54"/>
      <c r="AF187" s="21" t="str">
        <f>IFERROR(VLOOKUP(April[[#This Row],[Drug Name3]],'Data Options'!$R$1:$S$100,2,FALSE), " ")</f>
        <v xml:space="preserve"> </v>
      </c>
      <c r="AG187" s="55"/>
      <c r="AH187" s="32"/>
      <c r="AI187" s="32"/>
      <c r="AJ187" s="55"/>
      <c r="AK187" s="32"/>
      <c r="AL187" s="32"/>
      <c r="AM187" s="32"/>
      <c r="AN187" s="32"/>
      <c r="AO187" s="32"/>
      <c r="AP187" s="31"/>
      <c r="AQ187" s="31"/>
      <c r="AR187" s="54"/>
      <c r="AS187" s="21" t="str">
        <f>IFERROR(VLOOKUP(April[[#This Row],[Drug Name4]],'Data Options'!$R$1:$S$100,2,FALSE), " ")</f>
        <v xml:space="preserve"> </v>
      </c>
      <c r="AT187" s="55"/>
      <c r="AU187" s="32"/>
      <c r="AV187" s="32"/>
      <c r="AW187" s="55"/>
      <c r="AX187" s="32"/>
      <c r="AY187" s="54"/>
      <c r="AZ187" s="21" t="str">
        <f>IFERROR(VLOOKUP(April[[#This Row],[Drug Name5]],'Data Options'!$R$1:$S$100,2,FALSE), " ")</f>
        <v xml:space="preserve"> </v>
      </c>
      <c r="BA187" s="55"/>
      <c r="BB187" s="32"/>
      <c r="BC187" s="32"/>
      <c r="BD187" s="55"/>
      <c r="BE187" s="32"/>
      <c r="BF187" s="54"/>
      <c r="BG187" s="21" t="str">
        <f>IFERROR(VLOOKUP(April[[#This Row],[Drug Name6]],'Data Options'!$R$1:$S$100,2,FALSE), " ")</f>
        <v xml:space="preserve"> </v>
      </c>
      <c r="BH187" s="55"/>
      <c r="BI187" s="32"/>
      <c r="BJ187" s="32"/>
      <c r="BK187" s="55"/>
      <c r="BL187" s="32"/>
      <c r="BM187" s="32"/>
      <c r="BN187" s="32"/>
      <c r="BO187" s="32"/>
      <c r="BP187" s="32"/>
      <c r="BQ187" s="31"/>
      <c r="BR187" s="31"/>
      <c r="BS187" s="54"/>
      <c r="BT187" s="21" t="str">
        <f>IFERROR(VLOOKUP(April[[#This Row],[Drug Name7]],'Data Options'!$R$1:$S$100,2,FALSE), " ")</f>
        <v xml:space="preserve"> </v>
      </c>
      <c r="BU187" s="55"/>
      <c r="BV187" s="32"/>
      <c r="BW187" s="32"/>
      <c r="BX187" s="55"/>
      <c r="BY187" s="32"/>
      <c r="BZ187" s="54"/>
      <c r="CA187" s="21" t="str">
        <f>IFERROR(VLOOKUP(April[[#This Row],[Drug Name8]],'Data Options'!$R$1:$S$100,2,FALSE), " ")</f>
        <v xml:space="preserve"> </v>
      </c>
      <c r="CB187" s="55"/>
      <c r="CC187" s="32"/>
      <c r="CD187" s="32"/>
      <c r="CE187" s="55"/>
      <c r="CF187" s="32"/>
      <c r="CG187" s="54"/>
      <c r="CH187" s="21" t="str">
        <f>IFERROR(VLOOKUP(April[[#This Row],[Drug Name9]],'Data Options'!$R$1:$S$100,2,FALSE), " ")</f>
        <v xml:space="preserve"> </v>
      </c>
      <c r="CI187" s="55"/>
      <c r="CJ187" s="32"/>
      <c r="CK187" s="32"/>
      <c r="CL187" s="55"/>
      <c r="CM187" s="32"/>
    </row>
    <row r="188" spans="1:91">
      <c r="A188" s="5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1"/>
      <c r="P188" s="31"/>
      <c r="Q188" s="54"/>
      <c r="R188" s="21" t="str">
        <f>IFERROR(VLOOKUP(April[[#This Row],[Drug Name]],'Data Options'!$R$1:$S$100,2,FALSE), " ")</f>
        <v xml:space="preserve"> </v>
      </c>
      <c r="S188" s="55"/>
      <c r="T188" s="32"/>
      <c r="U188" s="32"/>
      <c r="V188" s="55"/>
      <c r="W188" s="32"/>
      <c r="X188" s="54"/>
      <c r="Y188" s="21" t="str">
        <f>IFERROR(VLOOKUP(April[[#This Row],[Drug Name2]],'Data Options'!$R$1:$S$100,2,FALSE), " ")</f>
        <v xml:space="preserve"> </v>
      </c>
      <c r="Z188" s="55"/>
      <c r="AA188" s="32"/>
      <c r="AB188" s="32"/>
      <c r="AC188" s="55"/>
      <c r="AD188" s="32"/>
      <c r="AE188" s="54"/>
      <c r="AF188" s="21" t="str">
        <f>IFERROR(VLOOKUP(April[[#This Row],[Drug Name3]],'Data Options'!$R$1:$S$100,2,FALSE), " ")</f>
        <v xml:space="preserve"> </v>
      </c>
      <c r="AG188" s="55"/>
      <c r="AH188" s="32"/>
      <c r="AI188" s="32"/>
      <c r="AJ188" s="55"/>
      <c r="AK188" s="32"/>
      <c r="AL188" s="32"/>
      <c r="AM188" s="32"/>
      <c r="AN188" s="32"/>
      <c r="AO188" s="32"/>
      <c r="AP188" s="31"/>
      <c r="AQ188" s="31"/>
      <c r="AR188" s="54"/>
      <c r="AS188" s="21" t="str">
        <f>IFERROR(VLOOKUP(April[[#This Row],[Drug Name4]],'Data Options'!$R$1:$S$100,2,FALSE), " ")</f>
        <v xml:space="preserve"> </v>
      </c>
      <c r="AT188" s="55"/>
      <c r="AU188" s="32"/>
      <c r="AV188" s="32"/>
      <c r="AW188" s="55"/>
      <c r="AX188" s="32"/>
      <c r="AY188" s="54"/>
      <c r="AZ188" s="21" t="str">
        <f>IFERROR(VLOOKUP(April[[#This Row],[Drug Name5]],'Data Options'!$R$1:$S$100,2,FALSE), " ")</f>
        <v xml:space="preserve"> </v>
      </c>
      <c r="BA188" s="55"/>
      <c r="BB188" s="32"/>
      <c r="BC188" s="32"/>
      <c r="BD188" s="55"/>
      <c r="BE188" s="32"/>
      <c r="BF188" s="54"/>
      <c r="BG188" s="21" t="str">
        <f>IFERROR(VLOOKUP(April[[#This Row],[Drug Name6]],'Data Options'!$R$1:$S$100,2,FALSE), " ")</f>
        <v xml:space="preserve"> </v>
      </c>
      <c r="BH188" s="55"/>
      <c r="BI188" s="32"/>
      <c r="BJ188" s="32"/>
      <c r="BK188" s="55"/>
      <c r="BL188" s="32"/>
      <c r="BM188" s="32"/>
      <c r="BN188" s="32"/>
      <c r="BO188" s="32"/>
      <c r="BP188" s="32"/>
      <c r="BQ188" s="31"/>
      <c r="BR188" s="31"/>
      <c r="BS188" s="54"/>
      <c r="BT188" s="21" t="str">
        <f>IFERROR(VLOOKUP(April[[#This Row],[Drug Name7]],'Data Options'!$R$1:$S$100,2,FALSE), " ")</f>
        <v xml:space="preserve"> </v>
      </c>
      <c r="BU188" s="55"/>
      <c r="BV188" s="32"/>
      <c r="BW188" s="32"/>
      <c r="BX188" s="55"/>
      <c r="BY188" s="32"/>
      <c r="BZ188" s="54"/>
      <c r="CA188" s="21" t="str">
        <f>IFERROR(VLOOKUP(April[[#This Row],[Drug Name8]],'Data Options'!$R$1:$S$100,2,FALSE), " ")</f>
        <v xml:space="preserve"> </v>
      </c>
      <c r="CB188" s="55"/>
      <c r="CC188" s="32"/>
      <c r="CD188" s="32"/>
      <c r="CE188" s="55"/>
      <c r="CF188" s="32"/>
      <c r="CG188" s="54"/>
      <c r="CH188" s="21" t="str">
        <f>IFERROR(VLOOKUP(April[[#This Row],[Drug Name9]],'Data Options'!$R$1:$S$100,2,FALSE), " ")</f>
        <v xml:space="preserve"> </v>
      </c>
      <c r="CI188" s="55"/>
      <c r="CJ188" s="32"/>
      <c r="CK188" s="32"/>
      <c r="CL188" s="55"/>
      <c r="CM188" s="32"/>
    </row>
    <row r="189" spans="1:91">
      <c r="A189" s="5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/>
      <c r="P189" s="31"/>
      <c r="Q189" s="54"/>
      <c r="R189" s="21" t="str">
        <f>IFERROR(VLOOKUP(April[[#This Row],[Drug Name]],'Data Options'!$R$1:$S$100,2,FALSE), " ")</f>
        <v xml:space="preserve"> </v>
      </c>
      <c r="S189" s="55"/>
      <c r="T189" s="32"/>
      <c r="U189" s="32"/>
      <c r="V189" s="55"/>
      <c r="W189" s="32"/>
      <c r="X189" s="54"/>
      <c r="Y189" s="21" t="str">
        <f>IFERROR(VLOOKUP(April[[#This Row],[Drug Name2]],'Data Options'!$R$1:$S$100,2,FALSE), " ")</f>
        <v xml:space="preserve"> </v>
      </c>
      <c r="Z189" s="55"/>
      <c r="AA189" s="32"/>
      <c r="AB189" s="32"/>
      <c r="AC189" s="55"/>
      <c r="AD189" s="32"/>
      <c r="AE189" s="54"/>
      <c r="AF189" s="21" t="str">
        <f>IFERROR(VLOOKUP(April[[#This Row],[Drug Name3]],'Data Options'!$R$1:$S$100,2,FALSE), " ")</f>
        <v xml:space="preserve"> </v>
      </c>
      <c r="AG189" s="55"/>
      <c r="AH189" s="32"/>
      <c r="AI189" s="32"/>
      <c r="AJ189" s="55"/>
      <c r="AK189" s="32"/>
      <c r="AL189" s="32"/>
      <c r="AM189" s="32"/>
      <c r="AN189" s="32"/>
      <c r="AO189" s="32"/>
      <c r="AP189" s="31"/>
      <c r="AQ189" s="31"/>
      <c r="AR189" s="54"/>
      <c r="AS189" s="21" t="str">
        <f>IFERROR(VLOOKUP(April[[#This Row],[Drug Name4]],'Data Options'!$R$1:$S$100,2,FALSE), " ")</f>
        <v xml:space="preserve"> </v>
      </c>
      <c r="AT189" s="55"/>
      <c r="AU189" s="32"/>
      <c r="AV189" s="32"/>
      <c r="AW189" s="55"/>
      <c r="AX189" s="32"/>
      <c r="AY189" s="54"/>
      <c r="AZ189" s="21" t="str">
        <f>IFERROR(VLOOKUP(April[[#This Row],[Drug Name5]],'Data Options'!$R$1:$S$100,2,FALSE), " ")</f>
        <v xml:space="preserve"> </v>
      </c>
      <c r="BA189" s="55"/>
      <c r="BB189" s="32"/>
      <c r="BC189" s="32"/>
      <c r="BD189" s="55"/>
      <c r="BE189" s="32"/>
      <c r="BF189" s="54"/>
      <c r="BG189" s="21" t="str">
        <f>IFERROR(VLOOKUP(April[[#This Row],[Drug Name6]],'Data Options'!$R$1:$S$100,2,FALSE), " ")</f>
        <v xml:space="preserve"> </v>
      </c>
      <c r="BH189" s="55"/>
      <c r="BI189" s="32"/>
      <c r="BJ189" s="32"/>
      <c r="BK189" s="55"/>
      <c r="BL189" s="32"/>
      <c r="BM189" s="32"/>
      <c r="BN189" s="32"/>
      <c r="BO189" s="32"/>
      <c r="BP189" s="32"/>
      <c r="BQ189" s="31"/>
      <c r="BR189" s="31"/>
      <c r="BS189" s="54"/>
      <c r="BT189" s="21" t="str">
        <f>IFERROR(VLOOKUP(April[[#This Row],[Drug Name7]],'Data Options'!$R$1:$S$100,2,FALSE), " ")</f>
        <v xml:space="preserve"> </v>
      </c>
      <c r="BU189" s="55"/>
      <c r="BV189" s="32"/>
      <c r="BW189" s="32"/>
      <c r="BX189" s="55"/>
      <c r="BY189" s="32"/>
      <c r="BZ189" s="54"/>
      <c r="CA189" s="21" t="str">
        <f>IFERROR(VLOOKUP(April[[#This Row],[Drug Name8]],'Data Options'!$R$1:$S$100,2,FALSE), " ")</f>
        <v xml:space="preserve"> </v>
      </c>
      <c r="CB189" s="55"/>
      <c r="CC189" s="32"/>
      <c r="CD189" s="32"/>
      <c r="CE189" s="55"/>
      <c r="CF189" s="32"/>
      <c r="CG189" s="54"/>
      <c r="CH189" s="21" t="str">
        <f>IFERROR(VLOOKUP(April[[#This Row],[Drug Name9]],'Data Options'!$R$1:$S$100,2,FALSE), " ")</f>
        <v xml:space="preserve"> </v>
      </c>
      <c r="CI189" s="55"/>
      <c r="CJ189" s="32"/>
      <c r="CK189" s="32"/>
      <c r="CL189" s="55"/>
      <c r="CM189" s="32"/>
    </row>
    <row r="190" spans="1:91">
      <c r="A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54"/>
      <c r="R190" s="21" t="str">
        <f>IFERROR(VLOOKUP(April[[#This Row],[Drug Name]],'Data Options'!$R$1:$S$100,2,FALSE), " ")</f>
        <v xml:space="preserve"> </v>
      </c>
      <c r="S190" s="55"/>
      <c r="T190" s="32"/>
      <c r="U190" s="32"/>
      <c r="V190" s="55"/>
      <c r="W190" s="32"/>
      <c r="X190" s="54"/>
      <c r="Y190" s="21" t="str">
        <f>IFERROR(VLOOKUP(April[[#This Row],[Drug Name2]],'Data Options'!$R$1:$S$100,2,FALSE), " ")</f>
        <v xml:space="preserve"> </v>
      </c>
      <c r="Z190" s="55"/>
      <c r="AA190" s="32"/>
      <c r="AB190" s="32"/>
      <c r="AC190" s="55"/>
      <c r="AD190" s="32"/>
      <c r="AE190" s="54"/>
      <c r="AF190" s="21" t="str">
        <f>IFERROR(VLOOKUP(April[[#This Row],[Drug Name3]],'Data Options'!$R$1:$S$100,2,FALSE), " ")</f>
        <v xml:space="preserve"> </v>
      </c>
      <c r="AG190" s="55"/>
      <c r="AH190" s="32"/>
      <c r="AI190" s="32"/>
      <c r="AJ190" s="55"/>
      <c r="AK190" s="32"/>
      <c r="AL190" s="32"/>
      <c r="AM190" s="32"/>
      <c r="AN190" s="32"/>
      <c r="AO190" s="32"/>
      <c r="AP190" s="31"/>
      <c r="AQ190" s="31"/>
      <c r="AR190" s="54"/>
      <c r="AS190" s="21" t="str">
        <f>IFERROR(VLOOKUP(April[[#This Row],[Drug Name4]],'Data Options'!$R$1:$S$100,2,FALSE), " ")</f>
        <v xml:space="preserve"> </v>
      </c>
      <c r="AT190" s="55"/>
      <c r="AU190" s="32"/>
      <c r="AV190" s="32"/>
      <c r="AW190" s="55"/>
      <c r="AX190" s="32"/>
      <c r="AY190" s="54"/>
      <c r="AZ190" s="21" t="str">
        <f>IFERROR(VLOOKUP(April[[#This Row],[Drug Name5]],'Data Options'!$R$1:$S$100,2,FALSE), " ")</f>
        <v xml:space="preserve"> </v>
      </c>
      <c r="BA190" s="55"/>
      <c r="BB190" s="32"/>
      <c r="BC190" s="32"/>
      <c r="BD190" s="55"/>
      <c r="BE190" s="32"/>
      <c r="BF190" s="54"/>
      <c r="BG190" s="21" t="str">
        <f>IFERROR(VLOOKUP(April[[#This Row],[Drug Name6]],'Data Options'!$R$1:$S$100,2,FALSE), " ")</f>
        <v xml:space="preserve"> </v>
      </c>
      <c r="BH190" s="55"/>
      <c r="BI190" s="32"/>
      <c r="BJ190" s="32"/>
      <c r="BK190" s="55"/>
      <c r="BL190" s="32"/>
      <c r="BM190" s="32"/>
      <c r="BN190" s="32"/>
      <c r="BO190" s="32"/>
      <c r="BP190" s="32"/>
      <c r="BQ190" s="31"/>
      <c r="BR190" s="31"/>
      <c r="BS190" s="54"/>
      <c r="BT190" s="21" t="str">
        <f>IFERROR(VLOOKUP(April[[#This Row],[Drug Name7]],'Data Options'!$R$1:$S$100,2,FALSE), " ")</f>
        <v xml:space="preserve"> </v>
      </c>
      <c r="BU190" s="55"/>
      <c r="BV190" s="32"/>
      <c r="BW190" s="32"/>
      <c r="BX190" s="55"/>
      <c r="BY190" s="32"/>
      <c r="BZ190" s="54"/>
      <c r="CA190" s="21" t="str">
        <f>IFERROR(VLOOKUP(April[[#This Row],[Drug Name8]],'Data Options'!$R$1:$S$100,2,FALSE), " ")</f>
        <v xml:space="preserve"> </v>
      </c>
      <c r="CB190" s="55"/>
      <c r="CC190" s="32"/>
      <c r="CD190" s="32"/>
      <c r="CE190" s="55"/>
      <c r="CF190" s="32"/>
      <c r="CG190" s="54"/>
      <c r="CH190" s="21" t="str">
        <f>IFERROR(VLOOKUP(April[[#This Row],[Drug Name9]],'Data Options'!$R$1:$S$100,2,FALSE), " ")</f>
        <v xml:space="preserve"> </v>
      </c>
      <c r="CI190" s="55"/>
      <c r="CJ190" s="32"/>
      <c r="CK190" s="32"/>
      <c r="CL190" s="55"/>
      <c r="CM190" s="32"/>
    </row>
    <row r="191" spans="1:91">
      <c r="A191" s="5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1"/>
      <c r="P191" s="31"/>
      <c r="Q191" s="54"/>
      <c r="R191" s="21" t="str">
        <f>IFERROR(VLOOKUP(April[[#This Row],[Drug Name]],'Data Options'!$R$1:$S$100,2,FALSE), " ")</f>
        <v xml:space="preserve"> </v>
      </c>
      <c r="S191" s="55"/>
      <c r="T191" s="32"/>
      <c r="U191" s="32"/>
      <c r="V191" s="55"/>
      <c r="W191" s="32"/>
      <c r="X191" s="54"/>
      <c r="Y191" s="21" t="str">
        <f>IFERROR(VLOOKUP(April[[#This Row],[Drug Name2]],'Data Options'!$R$1:$S$100,2,FALSE), " ")</f>
        <v xml:space="preserve"> </v>
      </c>
      <c r="Z191" s="55"/>
      <c r="AA191" s="32"/>
      <c r="AB191" s="32"/>
      <c r="AC191" s="55"/>
      <c r="AD191" s="32"/>
      <c r="AE191" s="54"/>
      <c r="AF191" s="21" t="str">
        <f>IFERROR(VLOOKUP(April[[#This Row],[Drug Name3]],'Data Options'!$R$1:$S$100,2,FALSE), " ")</f>
        <v xml:space="preserve"> </v>
      </c>
      <c r="AG191" s="55"/>
      <c r="AH191" s="32"/>
      <c r="AI191" s="32"/>
      <c r="AJ191" s="55"/>
      <c r="AK191" s="32"/>
      <c r="AL191" s="32"/>
      <c r="AM191" s="32"/>
      <c r="AN191" s="32"/>
      <c r="AO191" s="32"/>
      <c r="AP191" s="31"/>
      <c r="AQ191" s="31"/>
      <c r="AR191" s="54"/>
      <c r="AS191" s="21" t="str">
        <f>IFERROR(VLOOKUP(April[[#This Row],[Drug Name4]],'Data Options'!$R$1:$S$100,2,FALSE), " ")</f>
        <v xml:space="preserve"> </v>
      </c>
      <c r="AT191" s="55"/>
      <c r="AU191" s="32"/>
      <c r="AV191" s="32"/>
      <c r="AW191" s="55"/>
      <c r="AX191" s="32"/>
      <c r="AY191" s="54"/>
      <c r="AZ191" s="21" t="str">
        <f>IFERROR(VLOOKUP(April[[#This Row],[Drug Name5]],'Data Options'!$R$1:$S$100,2,FALSE), " ")</f>
        <v xml:space="preserve"> </v>
      </c>
      <c r="BA191" s="55"/>
      <c r="BB191" s="32"/>
      <c r="BC191" s="32"/>
      <c r="BD191" s="55"/>
      <c r="BE191" s="32"/>
      <c r="BF191" s="54"/>
      <c r="BG191" s="21" t="str">
        <f>IFERROR(VLOOKUP(April[[#This Row],[Drug Name6]],'Data Options'!$R$1:$S$100,2,FALSE), " ")</f>
        <v xml:space="preserve"> </v>
      </c>
      <c r="BH191" s="55"/>
      <c r="BI191" s="32"/>
      <c r="BJ191" s="32"/>
      <c r="BK191" s="55"/>
      <c r="BL191" s="32"/>
      <c r="BM191" s="32"/>
      <c r="BN191" s="32"/>
      <c r="BO191" s="32"/>
      <c r="BP191" s="32"/>
      <c r="BQ191" s="31"/>
      <c r="BR191" s="31"/>
      <c r="BS191" s="54"/>
      <c r="BT191" s="21" t="str">
        <f>IFERROR(VLOOKUP(April[[#This Row],[Drug Name7]],'Data Options'!$R$1:$S$100,2,FALSE), " ")</f>
        <v xml:space="preserve"> </v>
      </c>
      <c r="BU191" s="55"/>
      <c r="BV191" s="32"/>
      <c r="BW191" s="32"/>
      <c r="BX191" s="55"/>
      <c r="BY191" s="32"/>
      <c r="BZ191" s="54"/>
      <c r="CA191" s="21" t="str">
        <f>IFERROR(VLOOKUP(April[[#This Row],[Drug Name8]],'Data Options'!$R$1:$S$100,2,FALSE), " ")</f>
        <v xml:space="preserve"> </v>
      </c>
      <c r="CB191" s="55"/>
      <c r="CC191" s="32"/>
      <c r="CD191" s="32"/>
      <c r="CE191" s="55"/>
      <c r="CF191" s="32"/>
      <c r="CG191" s="54"/>
      <c r="CH191" s="21" t="str">
        <f>IFERROR(VLOOKUP(April[[#This Row],[Drug Name9]],'Data Options'!$R$1:$S$100,2,FALSE), " ")</f>
        <v xml:space="preserve"> </v>
      </c>
      <c r="CI191" s="55"/>
      <c r="CJ191" s="32"/>
      <c r="CK191" s="32"/>
      <c r="CL191" s="55"/>
      <c r="CM191" s="32"/>
    </row>
    <row r="192" spans="1:91">
      <c r="A192" s="5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1"/>
      <c r="P192" s="31"/>
      <c r="Q192" s="54"/>
      <c r="R192" s="21" t="str">
        <f>IFERROR(VLOOKUP(April[[#This Row],[Drug Name]],'Data Options'!$R$1:$S$100,2,FALSE), " ")</f>
        <v xml:space="preserve"> </v>
      </c>
      <c r="S192" s="55"/>
      <c r="T192" s="32"/>
      <c r="U192" s="32"/>
      <c r="V192" s="55"/>
      <c r="W192" s="32"/>
      <c r="X192" s="54"/>
      <c r="Y192" s="21" t="str">
        <f>IFERROR(VLOOKUP(April[[#This Row],[Drug Name2]],'Data Options'!$R$1:$S$100,2,FALSE), " ")</f>
        <v xml:space="preserve"> </v>
      </c>
      <c r="Z192" s="55"/>
      <c r="AA192" s="32"/>
      <c r="AB192" s="32"/>
      <c r="AC192" s="55"/>
      <c r="AD192" s="32"/>
      <c r="AE192" s="54"/>
      <c r="AF192" s="21" t="str">
        <f>IFERROR(VLOOKUP(April[[#This Row],[Drug Name3]],'Data Options'!$R$1:$S$100,2,FALSE), " ")</f>
        <v xml:space="preserve"> </v>
      </c>
      <c r="AG192" s="55"/>
      <c r="AH192" s="32"/>
      <c r="AI192" s="32"/>
      <c r="AJ192" s="55"/>
      <c r="AK192" s="32"/>
      <c r="AL192" s="32"/>
      <c r="AM192" s="32"/>
      <c r="AN192" s="32"/>
      <c r="AO192" s="32"/>
      <c r="AP192" s="31"/>
      <c r="AQ192" s="31"/>
      <c r="AR192" s="54"/>
      <c r="AS192" s="21" t="str">
        <f>IFERROR(VLOOKUP(April[[#This Row],[Drug Name4]],'Data Options'!$R$1:$S$100,2,FALSE), " ")</f>
        <v xml:space="preserve"> </v>
      </c>
      <c r="AT192" s="55"/>
      <c r="AU192" s="32"/>
      <c r="AV192" s="32"/>
      <c r="AW192" s="55"/>
      <c r="AX192" s="32"/>
      <c r="AY192" s="54"/>
      <c r="AZ192" s="21" t="str">
        <f>IFERROR(VLOOKUP(April[[#This Row],[Drug Name5]],'Data Options'!$R$1:$S$100,2,FALSE), " ")</f>
        <v xml:space="preserve"> </v>
      </c>
      <c r="BA192" s="55"/>
      <c r="BB192" s="32"/>
      <c r="BC192" s="32"/>
      <c r="BD192" s="55"/>
      <c r="BE192" s="32"/>
      <c r="BF192" s="54"/>
      <c r="BG192" s="21" t="str">
        <f>IFERROR(VLOOKUP(April[[#This Row],[Drug Name6]],'Data Options'!$R$1:$S$100,2,FALSE), " ")</f>
        <v xml:space="preserve"> </v>
      </c>
      <c r="BH192" s="55"/>
      <c r="BI192" s="32"/>
      <c r="BJ192" s="32"/>
      <c r="BK192" s="55"/>
      <c r="BL192" s="32"/>
      <c r="BM192" s="32"/>
      <c r="BN192" s="32"/>
      <c r="BO192" s="32"/>
      <c r="BP192" s="32"/>
      <c r="BQ192" s="31"/>
      <c r="BR192" s="31"/>
      <c r="BS192" s="54"/>
      <c r="BT192" s="21" t="str">
        <f>IFERROR(VLOOKUP(April[[#This Row],[Drug Name7]],'Data Options'!$R$1:$S$100,2,FALSE), " ")</f>
        <v xml:space="preserve"> </v>
      </c>
      <c r="BU192" s="55"/>
      <c r="BV192" s="32"/>
      <c r="BW192" s="32"/>
      <c r="BX192" s="55"/>
      <c r="BY192" s="32"/>
      <c r="BZ192" s="54"/>
      <c r="CA192" s="21" t="str">
        <f>IFERROR(VLOOKUP(April[[#This Row],[Drug Name8]],'Data Options'!$R$1:$S$100,2,FALSE), " ")</f>
        <v xml:space="preserve"> </v>
      </c>
      <c r="CB192" s="55"/>
      <c r="CC192" s="32"/>
      <c r="CD192" s="32"/>
      <c r="CE192" s="55"/>
      <c r="CF192" s="32"/>
      <c r="CG192" s="54"/>
      <c r="CH192" s="21" t="str">
        <f>IFERROR(VLOOKUP(April[[#This Row],[Drug Name9]],'Data Options'!$R$1:$S$100,2,FALSE), " ")</f>
        <v xml:space="preserve"> </v>
      </c>
      <c r="CI192" s="55"/>
      <c r="CJ192" s="32"/>
      <c r="CK192" s="32"/>
      <c r="CL192" s="55"/>
      <c r="CM192" s="32"/>
    </row>
    <row r="193" spans="1:91">
      <c r="A193" s="5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1"/>
      <c r="P193" s="31"/>
      <c r="Q193" s="54"/>
      <c r="R193" s="21" t="str">
        <f>IFERROR(VLOOKUP(April[[#This Row],[Drug Name]],'Data Options'!$R$1:$S$100,2,FALSE), " ")</f>
        <v xml:space="preserve"> </v>
      </c>
      <c r="S193" s="55"/>
      <c r="T193" s="32"/>
      <c r="U193" s="32"/>
      <c r="V193" s="55"/>
      <c r="W193" s="32"/>
      <c r="X193" s="54"/>
      <c r="Y193" s="21" t="str">
        <f>IFERROR(VLOOKUP(April[[#This Row],[Drug Name2]],'Data Options'!$R$1:$S$100,2,FALSE), " ")</f>
        <v xml:space="preserve"> </v>
      </c>
      <c r="Z193" s="55"/>
      <c r="AA193" s="32"/>
      <c r="AB193" s="32"/>
      <c r="AC193" s="55"/>
      <c r="AD193" s="32"/>
      <c r="AE193" s="54"/>
      <c r="AF193" s="21" t="str">
        <f>IFERROR(VLOOKUP(April[[#This Row],[Drug Name3]],'Data Options'!$R$1:$S$100,2,FALSE), " ")</f>
        <v xml:space="preserve"> </v>
      </c>
      <c r="AG193" s="55"/>
      <c r="AH193" s="32"/>
      <c r="AI193" s="32"/>
      <c r="AJ193" s="55"/>
      <c r="AK193" s="32"/>
      <c r="AL193" s="32"/>
      <c r="AM193" s="32"/>
      <c r="AN193" s="32"/>
      <c r="AO193" s="32"/>
      <c r="AP193" s="31"/>
      <c r="AQ193" s="31"/>
      <c r="AR193" s="54"/>
      <c r="AS193" s="21" t="str">
        <f>IFERROR(VLOOKUP(April[[#This Row],[Drug Name4]],'Data Options'!$R$1:$S$100,2,FALSE), " ")</f>
        <v xml:space="preserve"> </v>
      </c>
      <c r="AT193" s="55"/>
      <c r="AU193" s="32"/>
      <c r="AV193" s="32"/>
      <c r="AW193" s="55"/>
      <c r="AX193" s="32"/>
      <c r="AY193" s="54"/>
      <c r="AZ193" s="21" t="str">
        <f>IFERROR(VLOOKUP(April[[#This Row],[Drug Name5]],'Data Options'!$R$1:$S$100,2,FALSE), " ")</f>
        <v xml:space="preserve"> </v>
      </c>
      <c r="BA193" s="55"/>
      <c r="BB193" s="32"/>
      <c r="BC193" s="32"/>
      <c r="BD193" s="55"/>
      <c r="BE193" s="32"/>
      <c r="BF193" s="54"/>
      <c r="BG193" s="21" t="str">
        <f>IFERROR(VLOOKUP(April[[#This Row],[Drug Name6]],'Data Options'!$R$1:$S$100,2,FALSE), " ")</f>
        <v xml:space="preserve"> </v>
      </c>
      <c r="BH193" s="55"/>
      <c r="BI193" s="32"/>
      <c r="BJ193" s="32"/>
      <c r="BK193" s="55"/>
      <c r="BL193" s="32"/>
      <c r="BM193" s="32"/>
      <c r="BN193" s="32"/>
      <c r="BO193" s="32"/>
      <c r="BP193" s="32"/>
      <c r="BQ193" s="31"/>
      <c r="BR193" s="31"/>
      <c r="BS193" s="54"/>
      <c r="BT193" s="21" t="str">
        <f>IFERROR(VLOOKUP(April[[#This Row],[Drug Name7]],'Data Options'!$R$1:$S$100,2,FALSE), " ")</f>
        <v xml:space="preserve"> </v>
      </c>
      <c r="BU193" s="55"/>
      <c r="BV193" s="32"/>
      <c r="BW193" s="32"/>
      <c r="BX193" s="55"/>
      <c r="BY193" s="32"/>
      <c r="BZ193" s="54"/>
      <c r="CA193" s="21" t="str">
        <f>IFERROR(VLOOKUP(April[[#This Row],[Drug Name8]],'Data Options'!$R$1:$S$100,2,FALSE), " ")</f>
        <v xml:space="preserve"> </v>
      </c>
      <c r="CB193" s="55"/>
      <c r="CC193" s="32"/>
      <c r="CD193" s="32"/>
      <c r="CE193" s="55"/>
      <c r="CF193" s="32"/>
      <c r="CG193" s="54"/>
      <c r="CH193" s="21" t="str">
        <f>IFERROR(VLOOKUP(April[[#This Row],[Drug Name9]],'Data Options'!$R$1:$S$100,2,FALSE), " ")</f>
        <v xml:space="preserve"> </v>
      </c>
      <c r="CI193" s="55"/>
      <c r="CJ193" s="32"/>
      <c r="CK193" s="32"/>
      <c r="CL193" s="55"/>
      <c r="CM193" s="32"/>
    </row>
    <row r="194" spans="1:91">
      <c r="A194" s="5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1"/>
      <c r="P194" s="31"/>
      <c r="Q194" s="54"/>
      <c r="R194" s="21" t="str">
        <f>IFERROR(VLOOKUP(April[[#This Row],[Drug Name]],'Data Options'!$R$1:$S$100,2,FALSE), " ")</f>
        <v xml:space="preserve"> </v>
      </c>
      <c r="S194" s="55"/>
      <c r="T194" s="32"/>
      <c r="U194" s="32"/>
      <c r="V194" s="55"/>
      <c r="W194" s="32"/>
      <c r="X194" s="54"/>
      <c r="Y194" s="21" t="str">
        <f>IFERROR(VLOOKUP(April[[#This Row],[Drug Name2]],'Data Options'!$R$1:$S$100,2,FALSE), " ")</f>
        <v xml:space="preserve"> </v>
      </c>
      <c r="Z194" s="55"/>
      <c r="AA194" s="32"/>
      <c r="AB194" s="32"/>
      <c r="AC194" s="55"/>
      <c r="AD194" s="32"/>
      <c r="AE194" s="54"/>
      <c r="AF194" s="21" t="str">
        <f>IFERROR(VLOOKUP(April[[#This Row],[Drug Name3]],'Data Options'!$R$1:$S$100,2,FALSE), " ")</f>
        <v xml:space="preserve"> </v>
      </c>
      <c r="AG194" s="55"/>
      <c r="AH194" s="32"/>
      <c r="AI194" s="32"/>
      <c r="AJ194" s="55"/>
      <c r="AK194" s="32"/>
      <c r="AL194" s="32"/>
      <c r="AM194" s="32"/>
      <c r="AN194" s="32"/>
      <c r="AO194" s="32"/>
      <c r="AP194" s="31"/>
      <c r="AQ194" s="31"/>
      <c r="AR194" s="54"/>
      <c r="AS194" s="21" t="str">
        <f>IFERROR(VLOOKUP(April[[#This Row],[Drug Name4]],'Data Options'!$R$1:$S$100,2,FALSE), " ")</f>
        <v xml:space="preserve"> </v>
      </c>
      <c r="AT194" s="55"/>
      <c r="AU194" s="32"/>
      <c r="AV194" s="32"/>
      <c r="AW194" s="55"/>
      <c r="AX194" s="32"/>
      <c r="AY194" s="54"/>
      <c r="AZ194" s="21" t="str">
        <f>IFERROR(VLOOKUP(April[[#This Row],[Drug Name5]],'Data Options'!$R$1:$S$100,2,FALSE), " ")</f>
        <v xml:space="preserve"> </v>
      </c>
      <c r="BA194" s="55"/>
      <c r="BB194" s="32"/>
      <c r="BC194" s="32"/>
      <c r="BD194" s="55"/>
      <c r="BE194" s="32"/>
      <c r="BF194" s="54"/>
      <c r="BG194" s="21" t="str">
        <f>IFERROR(VLOOKUP(April[[#This Row],[Drug Name6]],'Data Options'!$R$1:$S$100,2,FALSE), " ")</f>
        <v xml:space="preserve"> </v>
      </c>
      <c r="BH194" s="55"/>
      <c r="BI194" s="32"/>
      <c r="BJ194" s="32"/>
      <c r="BK194" s="55"/>
      <c r="BL194" s="32"/>
      <c r="BM194" s="32"/>
      <c r="BN194" s="32"/>
      <c r="BO194" s="32"/>
      <c r="BP194" s="32"/>
      <c r="BQ194" s="31"/>
      <c r="BR194" s="31"/>
      <c r="BS194" s="54"/>
      <c r="BT194" s="21" t="str">
        <f>IFERROR(VLOOKUP(April[[#This Row],[Drug Name7]],'Data Options'!$R$1:$S$100,2,FALSE), " ")</f>
        <v xml:space="preserve"> </v>
      </c>
      <c r="BU194" s="55"/>
      <c r="BV194" s="32"/>
      <c r="BW194" s="32"/>
      <c r="BX194" s="55"/>
      <c r="BY194" s="32"/>
      <c r="BZ194" s="54"/>
      <c r="CA194" s="21" t="str">
        <f>IFERROR(VLOOKUP(April[[#This Row],[Drug Name8]],'Data Options'!$R$1:$S$100,2,FALSE), " ")</f>
        <v xml:space="preserve"> </v>
      </c>
      <c r="CB194" s="55"/>
      <c r="CC194" s="32"/>
      <c r="CD194" s="32"/>
      <c r="CE194" s="55"/>
      <c r="CF194" s="32"/>
      <c r="CG194" s="54"/>
      <c r="CH194" s="21" t="str">
        <f>IFERROR(VLOOKUP(April[[#This Row],[Drug Name9]],'Data Options'!$R$1:$S$100,2,FALSE), " ")</f>
        <v xml:space="preserve"> </v>
      </c>
      <c r="CI194" s="55"/>
      <c r="CJ194" s="32"/>
      <c r="CK194" s="32"/>
      <c r="CL194" s="55"/>
      <c r="CM194" s="32"/>
    </row>
    <row r="195" spans="1:91">
      <c r="A195" s="5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1"/>
      <c r="P195" s="31"/>
      <c r="Q195" s="54"/>
      <c r="R195" s="21" t="str">
        <f>IFERROR(VLOOKUP(April[[#This Row],[Drug Name]],'Data Options'!$R$1:$S$100,2,FALSE), " ")</f>
        <v xml:space="preserve"> </v>
      </c>
      <c r="S195" s="55"/>
      <c r="T195" s="32"/>
      <c r="U195" s="32"/>
      <c r="V195" s="55"/>
      <c r="W195" s="32"/>
      <c r="X195" s="54"/>
      <c r="Y195" s="21" t="str">
        <f>IFERROR(VLOOKUP(April[[#This Row],[Drug Name2]],'Data Options'!$R$1:$S$100,2,FALSE), " ")</f>
        <v xml:space="preserve"> </v>
      </c>
      <c r="Z195" s="55"/>
      <c r="AA195" s="32"/>
      <c r="AB195" s="32"/>
      <c r="AC195" s="55"/>
      <c r="AD195" s="32"/>
      <c r="AE195" s="54"/>
      <c r="AF195" s="21" t="str">
        <f>IFERROR(VLOOKUP(April[[#This Row],[Drug Name3]],'Data Options'!$R$1:$S$100,2,FALSE), " ")</f>
        <v xml:space="preserve"> </v>
      </c>
      <c r="AG195" s="55"/>
      <c r="AH195" s="32"/>
      <c r="AI195" s="32"/>
      <c r="AJ195" s="55"/>
      <c r="AK195" s="32"/>
      <c r="AL195" s="32"/>
      <c r="AM195" s="32"/>
      <c r="AN195" s="32"/>
      <c r="AO195" s="32"/>
      <c r="AP195" s="31"/>
      <c r="AQ195" s="31"/>
      <c r="AR195" s="54"/>
      <c r="AS195" s="21" t="str">
        <f>IFERROR(VLOOKUP(April[[#This Row],[Drug Name4]],'Data Options'!$R$1:$S$100,2,FALSE), " ")</f>
        <v xml:space="preserve"> </v>
      </c>
      <c r="AT195" s="55"/>
      <c r="AU195" s="32"/>
      <c r="AV195" s="32"/>
      <c r="AW195" s="55"/>
      <c r="AX195" s="32"/>
      <c r="AY195" s="54"/>
      <c r="AZ195" s="21" t="str">
        <f>IFERROR(VLOOKUP(April[[#This Row],[Drug Name5]],'Data Options'!$R$1:$S$100,2,FALSE), " ")</f>
        <v xml:space="preserve"> </v>
      </c>
      <c r="BA195" s="55"/>
      <c r="BB195" s="32"/>
      <c r="BC195" s="32"/>
      <c r="BD195" s="55"/>
      <c r="BE195" s="32"/>
      <c r="BF195" s="54"/>
      <c r="BG195" s="21" t="str">
        <f>IFERROR(VLOOKUP(April[[#This Row],[Drug Name6]],'Data Options'!$R$1:$S$100,2,FALSE), " ")</f>
        <v xml:space="preserve"> </v>
      </c>
      <c r="BH195" s="55"/>
      <c r="BI195" s="32"/>
      <c r="BJ195" s="32"/>
      <c r="BK195" s="55"/>
      <c r="BL195" s="32"/>
      <c r="BM195" s="32"/>
      <c r="BN195" s="32"/>
      <c r="BO195" s="32"/>
      <c r="BP195" s="32"/>
      <c r="BQ195" s="31"/>
      <c r="BR195" s="31"/>
      <c r="BS195" s="54"/>
      <c r="BT195" s="21" t="str">
        <f>IFERROR(VLOOKUP(April[[#This Row],[Drug Name7]],'Data Options'!$R$1:$S$100,2,FALSE), " ")</f>
        <v xml:space="preserve"> </v>
      </c>
      <c r="BU195" s="55"/>
      <c r="BV195" s="32"/>
      <c r="BW195" s="32"/>
      <c r="BX195" s="55"/>
      <c r="BY195" s="32"/>
      <c r="BZ195" s="54"/>
      <c r="CA195" s="21" t="str">
        <f>IFERROR(VLOOKUP(April[[#This Row],[Drug Name8]],'Data Options'!$R$1:$S$100,2,FALSE), " ")</f>
        <v xml:space="preserve"> </v>
      </c>
      <c r="CB195" s="55"/>
      <c r="CC195" s="32"/>
      <c r="CD195" s="32"/>
      <c r="CE195" s="55"/>
      <c r="CF195" s="32"/>
      <c r="CG195" s="54"/>
      <c r="CH195" s="21" t="str">
        <f>IFERROR(VLOOKUP(April[[#This Row],[Drug Name9]],'Data Options'!$R$1:$S$100,2,FALSE), " ")</f>
        <v xml:space="preserve"> </v>
      </c>
      <c r="CI195" s="55"/>
      <c r="CJ195" s="32"/>
      <c r="CK195" s="32"/>
      <c r="CL195" s="55"/>
      <c r="CM195" s="32"/>
    </row>
    <row r="196" spans="1:91">
      <c r="A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1"/>
      <c r="P196" s="31"/>
      <c r="Q196" s="54"/>
      <c r="R196" s="21" t="str">
        <f>IFERROR(VLOOKUP(April[[#This Row],[Drug Name]],'Data Options'!$R$1:$S$100,2,FALSE), " ")</f>
        <v xml:space="preserve"> </v>
      </c>
      <c r="S196" s="55"/>
      <c r="T196" s="32"/>
      <c r="U196" s="32"/>
      <c r="V196" s="55"/>
      <c r="W196" s="32"/>
      <c r="X196" s="54"/>
      <c r="Y196" s="21" t="str">
        <f>IFERROR(VLOOKUP(April[[#This Row],[Drug Name2]],'Data Options'!$R$1:$S$100,2,FALSE), " ")</f>
        <v xml:space="preserve"> </v>
      </c>
      <c r="Z196" s="55"/>
      <c r="AA196" s="32"/>
      <c r="AB196" s="32"/>
      <c r="AC196" s="55"/>
      <c r="AD196" s="32"/>
      <c r="AE196" s="54"/>
      <c r="AF196" s="21" t="str">
        <f>IFERROR(VLOOKUP(April[[#This Row],[Drug Name3]],'Data Options'!$R$1:$S$100,2,FALSE), " ")</f>
        <v xml:space="preserve"> </v>
      </c>
      <c r="AG196" s="55"/>
      <c r="AH196" s="32"/>
      <c r="AI196" s="32"/>
      <c r="AJ196" s="55"/>
      <c r="AK196" s="32"/>
      <c r="AL196" s="32"/>
      <c r="AM196" s="32"/>
      <c r="AN196" s="32"/>
      <c r="AO196" s="32"/>
      <c r="AP196" s="31"/>
      <c r="AQ196" s="31"/>
      <c r="AR196" s="54"/>
      <c r="AS196" s="21" t="str">
        <f>IFERROR(VLOOKUP(April[[#This Row],[Drug Name4]],'Data Options'!$R$1:$S$100,2,FALSE), " ")</f>
        <v xml:space="preserve"> </v>
      </c>
      <c r="AT196" s="55"/>
      <c r="AU196" s="32"/>
      <c r="AV196" s="32"/>
      <c r="AW196" s="55"/>
      <c r="AX196" s="32"/>
      <c r="AY196" s="54"/>
      <c r="AZ196" s="21" t="str">
        <f>IFERROR(VLOOKUP(April[[#This Row],[Drug Name5]],'Data Options'!$R$1:$S$100,2,FALSE), " ")</f>
        <v xml:space="preserve"> </v>
      </c>
      <c r="BA196" s="55"/>
      <c r="BB196" s="32"/>
      <c r="BC196" s="32"/>
      <c r="BD196" s="55"/>
      <c r="BE196" s="32"/>
      <c r="BF196" s="54"/>
      <c r="BG196" s="21" t="str">
        <f>IFERROR(VLOOKUP(April[[#This Row],[Drug Name6]],'Data Options'!$R$1:$S$100,2,FALSE), " ")</f>
        <v xml:space="preserve"> </v>
      </c>
      <c r="BH196" s="55"/>
      <c r="BI196" s="32"/>
      <c r="BJ196" s="32"/>
      <c r="BK196" s="55"/>
      <c r="BL196" s="32"/>
      <c r="BM196" s="32"/>
      <c r="BN196" s="32"/>
      <c r="BO196" s="32"/>
      <c r="BP196" s="32"/>
      <c r="BQ196" s="31"/>
      <c r="BR196" s="31"/>
      <c r="BS196" s="54"/>
      <c r="BT196" s="21" t="str">
        <f>IFERROR(VLOOKUP(April[[#This Row],[Drug Name7]],'Data Options'!$R$1:$S$100,2,FALSE), " ")</f>
        <v xml:space="preserve"> </v>
      </c>
      <c r="BU196" s="55"/>
      <c r="BV196" s="32"/>
      <c r="BW196" s="32"/>
      <c r="BX196" s="55"/>
      <c r="BY196" s="32"/>
      <c r="BZ196" s="54"/>
      <c r="CA196" s="21" t="str">
        <f>IFERROR(VLOOKUP(April[[#This Row],[Drug Name8]],'Data Options'!$R$1:$S$100,2,FALSE), " ")</f>
        <v xml:space="preserve"> </v>
      </c>
      <c r="CB196" s="55"/>
      <c r="CC196" s="32"/>
      <c r="CD196" s="32"/>
      <c r="CE196" s="55"/>
      <c r="CF196" s="32"/>
      <c r="CG196" s="54"/>
      <c r="CH196" s="21" t="str">
        <f>IFERROR(VLOOKUP(April[[#This Row],[Drug Name9]],'Data Options'!$R$1:$S$100,2,FALSE), " ")</f>
        <v xml:space="preserve"> </v>
      </c>
      <c r="CI196" s="55"/>
      <c r="CJ196" s="32"/>
      <c r="CK196" s="32"/>
      <c r="CL196" s="55"/>
      <c r="CM196" s="32"/>
    </row>
    <row r="197" spans="1:91">
      <c r="A197" s="5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1"/>
      <c r="P197" s="31"/>
      <c r="Q197" s="54"/>
      <c r="R197" s="21" t="str">
        <f>IFERROR(VLOOKUP(April[[#This Row],[Drug Name]],'Data Options'!$R$1:$S$100,2,FALSE), " ")</f>
        <v xml:space="preserve"> </v>
      </c>
      <c r="S197" s="55"/>
      <c r="T197" s="32"/>
      <c r="U197" s="32"/>
      <c r="V197" s="55"/>
      <c r="W197" s="32"/>
      <c r="X197" s="54"/>
      <c r="Y197" s="21" t="str">
        <f>IFERROR(VLOOKUP(April[[#This Row],[Drug Name2]],'Data Options'!$R$1:$S$100,2,FALSE), " ")</f>
        <v xml:space="preserve"> </v>
      </c>
      <c r="Z197" s="55"/>
      <c r="AA197" s="32"/>
      <c r="AB197" s="32"/>
      <c r="AC197" s="55"/>
      <c r="AD197" s="32"/>
      <c r="AE197" s="54"/>
      <c r="AF197" s="21" t="str">
        <f>IFERROR(VLOOKUP(April[[#This Row],[Drug Name3]],'Data Options'!$R$1:$S$100,2,FALSE), " ")</f>
        <v xml:space="preserve"> </v>
      </c>
      <c r="AG197" s="55"/>
      <c r="AH197" s="32"/>
      <c r="AI197" s="32"/>
      <c r="AJ197" s="55"/>
      <c r="AK197" s="32"/>
      <c r="AL197" s="32"/>
      <c r="AM197" s="32"/>
      <c r="AN197" s="32"/>
      <c r="AO197" s="32"/>
      <c r="AP197" s="31"/>
      <c r="AQ197" s="31"/>
      <c r="AR197" s="54"/>
      <c r="AS197" s="21" t="str">
        <f>IFERROR(VLOOKUP(April[[#This Row],[Drug Name4]],'Data Options'!$R$1:$S$100,2,FALSE), " ")</f>
        <v xml:space="preserve"> </v>
      </c>
      <c r="AT197" s="55"/>
      <c r="AU197" s="32"/>
      <c r="AV197" s="32"/>
      <c r="AW197" s="55"/>
      <c r="AX197" s="32"/>
      <c r="AY197" s="54"/>
      <c r="AZ197" s="21" t="str">
        <f>IFERROR(VLOOKUP(April[[#This Row],[Drug Name5]],'Data Options'!$R$1:$S$100,2,FALSE), " ")</f>
        <v xml:space="preserve"> </v>
      </c>
      <c r="BA197" s="55"/>
      <c r="BB197" s="32"/>
      <c r="BC197" s="32"/>
      <c r="BD197" s="55"/>
      <c r="BE197" s="32"/>
      <c r="BF197" s="54"/>
      <c r="BG197" s="21" t="str">
        <f>IFERROR(VLOOKUP(April[[#This Row],[Drug Name6]],'Data Options'!$R$1:$S$100,2,FALSE), " ")</f>
        <v xml:space="preserve"> </v>
      </c>
      <c r="BH197" s="55"/>
      <c r="BI197" s="32"/>
      <c r="BJ197" s="32"/>
      <c r="BK197" s="55"/>
      <c r="BL197" s="32"/>
      <c r="BM197" s="32"/>
      <c r="BN197" s="32"/>
      <c r="BO197" s="32"/>
      <c r="BP197" s="32"/>
      <c r="BQ197" s="31"/>
      <c r="BR197" s="31"/>
      <c r="BS197" s="54"/>
      <c r="BT197" s="21" t="str">
        <f>IFERROR(VLOOKUP(April[[#This Row],[Drug Name7]],'Data Options'!$R$1:$S$100,2,FALSE), " ")</f>
        <v xml:space="preserve"> </v>
      </c>
      <c r="BU197" s="55"/>
      <c r="BV197" s="32"/>
      <c r="BW197" s="32"/>
      <c r="BX197" s="55"/>
      <c r="BY197" s="32"/>
      <c r="BZ197" s="54"/>
      <c r="CA197" s="21" t="str">
        <f>IFERROR(VLOOKUP(April[[#This Row],[Drug Name8]],'Data Options'!$R$1:$S$100,2,FALSE), " ")</f>
        <v xml:space="preserve"> </v>
      </c>
      <c r="CB197" s="55"/>
      <c r="CC197" s="32"/>
      <c r="CD197" s="32"/>
      <c r="CE197" s="55"/>
      <c r="CF197" s="32"/>
      <c r="CG197" s="54"/>
      <c r="CH197" s="21" t="str">
        <f>IFERROR(VLOOKUP(April[[#This Row],[Drug Name9]],'Data Options'!$R$1:$S$100,2,FALSE), " ")</f>
        <v xml:space="preserve"> </v>
      </c>
      <c r="CI197" s="55"/>
      <c r="CJ197" s="32"/>
      <c r="CK197" s="32"/>
      <c r="CL197" s="55"/>
      <c r="CM197" s="32"/>
    </row>
    <row r="198" spans="1:91">
      <c r="A198" s="5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1"/>
      <c r="P198" s="31"/>
      <c r="Q198" s="54"/>
      <c r="R198" s="21" t="str">
        <f>IFERROR(VLOOKUP(April[[#This Row],[Drug Name]],'Data Options'!$R$1:$S$100,2,FALSE), " ")</f>
        <v xml:space="preserve"> </v>
      </c>
      <c r="S198" s="55"/>
      <c r="T198" s="32"/>
      <c r="U198" s="32"/>
      <c r="V198" s="55"/>
      <c r="W198" s="32"/>
      <c r="X198" s="54"/>
      <c r="Y198" s="21" t="str">
        <f>IFERROR(VLOOKUP(April[[#This Row],[Drug Name2]],'Data Options'!$R$1:$S$100,2,FALSE), " ")</f>
        <v xml:space="preserve"> </v>
      </c>
      <c r="Z198" s="55"/>
      <c r="AA198" s="32"/>
      <c r="AB198" s="32"/>
      <c r="AC198" s="55"/>
      <c r="AD198" s="32"/>
      <c r="AE198" s="54"/>
      <c r="AF198" s="21" t="str">
        <f>IFERROR(VLOOKUP(April[[#This Row],[Drug Name3]],'Data Options'!$R$1:$S$100,2,FALSE), " ")</f>
        <v xml:space="preserve"> </v>
      </c>
      <c r="AG198" s="55"/>
      <c r="AH198" s="32"/>
      <c r="AI198" s="32"/>
      <c r="AJ198" s="55"/>
      <c r="AK198" s="32"/>
      <c r="AL198" s="32"/>
      <c r="AM198" s="32"/>
      <c r="AN198" s="32"/>
      <c r="AO198" s="32"/>
      <c r="AP198" s="31"/>
      <c r="AQ198" s="31"/>
      <c r="AR198" s="54"/>
      <c r="AS198" s="21" t="str">
        <f>IFERROR(VLOOKUP(April[[#This Row],[Drug Name4]],'Data Options'!$R$1:$S$100,2,FALSE), " ")</f>
        <v xml:space="preserve"> </v>
      </c>
      <c r="AT198" s="55"/>
      <c r="AU198" s="32"/>
      <c r="AV198" s="32"/>
      <c r="AW198" s="55"/>
      <c r="AX198" s="32"/>
      <c r="AY198" s="54"/>
      <c r="AZ198" s="21" t="str">
        <f>IFERROR(VLOOKUP(April[[#This Row],[Drug Name5]],'Data Options'!$R$1:$S$100,2,FALSE), " ")</f>
        <v xml:space="preserve"> </v>
      </c>
      <c r="BA198" s="55"/>
      <c r="BB198" s="32"/>
      <c r="BC198" s="32"/>
      <c r="BD198" s="55"/>
      <c r="BE198" s="32"/>
      <c r="BF198" s="54"/>
      <c r="BG198" s="21" t="str">
        <f>IFERROR(VLOOKUP(April[[#This Row],[Drug Name6]],'Data Options'!$R$1:$S$100,2,FALSE), " ")</f>
        <v xml:space="preserve"> </v>
      </c>
      <c r="BH198" s="55"/>
      <c r="BI198" s="32"/>
      <c r="BJ198" s="32"/>
      <c r="BK198" s="55"/>
      <c r="BL198" s="32"/>
      <c r="BM198" s="32"/>
      <c r="BN198" s="32"/>
      <c r="BO198" s="32"/>
      <c r="BP198" s="32"/>
      <c r="BQ198" s="31"/>
      <c r="BR198" s="31"/>
      <c r="BS198" s="54"/>
      <c r="BT198" s="21" t="str">
        <f>IFERROR(VLOOKUP(April[[#This Row],[Drug Name7]],'Data Options'!$R$1:$S$100,2,FALSE), " ")</f>
        <v xml:space="preserve"> </v>
      </c>
      <c r="BU198" s="55"/>
      <c r="BV198" s="32"/>
      <c r="BW198" s="32"/>
      <c r="BX198" s="55"/>
      <c r="BY198" s="32"/>
      <c r="BZ198" s="54"/>
      <c r="CA198" s="21" t="str">
        <f>IFERROR(VLOOKUP(April[[#This Row],[Drug Name8]],'Data Options'!$R$1:$S$100,2,FALSE), " ")</f>
        <v xml:space="preserve"> </v>
      </c>
      <c r="CB198" s="55"/>
      <c r="CC198" s="32"/>
      <c r="CD198" s="32"/>
      <c r="CE198" s="55"/>
      <c r="CF198" s="32"/>
      <c r="CG198" s="54"/>
      <c r="CH198" s="21" t="str">
        <f>IFERROR(VLOOKUP(April[[#This Row],[Drug Name9]],'Data Options'!$R$1:$S$100,2,FALSE), " ")</f>
        <v xml:space="preserve"> </v>
      </c>
      <c r="CI198" s="55"/>
      <c r="CJ198" s="32"/>
      <c r="CK198" s="32"/>
      <c r="CL198" s="55"/>
      <c r="CM198" s="32"/>
    </row>
    <row r="199" spans="1:91">
      <c r="A199" s="5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1"/>
      <c r="P199" s="31"/>
      <c r="Q199" s="54"/>
      <c r="R199" s="21" t="str">
        <f>IFERROR(VLOOKUP(April[[#This Row],[Drug Name]],'Data Options'!$R$1:$S$100,2,FALSE), " ")</f>
        <v xml:space="preserve"> </v>
      </c>
      <c r="S199" s="55"/>
      <c r="T199" s="32"/>
      <c r="U199" s="32"/>
      <c r="V199" s="55"/>
      <c r="W199" s="32"/>
      <c r="X199" s="54"/>
      <c r="Y199" s="21" t="str">
        <f>IFERROR(VLOOKUP(April[[#This Row],[Drug Name2]],'Data Options'!$R$1:$S$100,2,FALSE), " ")</f>
        <v xml:space="preserve"> </v>
      </c>
      <c r="Z199" s="55"/>
      <c r="AA199" s="32"/>
      <c r="AB199" s="32"/>
      <c r="AC199" s="55"/>
      <c r="AD199" s="32"/>
      <c r="AE199" s="54"/>
      <c r="AF199" s="21" t="str">
        <f>IFERROR(VLOOKUP(April[[#This Row],[Drug Name3]],'Data Options'!$R$1:$S$100,2,FALSE), " ")</f>
        <v xml:space="preserve"> </v>
      </c>
      <c r="AG199" s="55"/>
      <c r="AH199" s="32"/>
      <c r="AI199" s="32"/>
      <c r="AJ199" s="55"/>
      <c r="AK199" s="32"/>
      <c r="AL199" s="32"/>
      <c r="AM199" s="32"/>
      <c r="AN199" s="32"/>
      <c r="AO199" s="32"/>
      <c r="AP199" s="31"/>
      <c r="AQ199" s="31"/>
      <c r="AR199" s="54"/>
      <c r="AS199" s="21" t="str">
        <f>IFERROR(VLOOKUP(April[[#This Row],[Drug Name4]],'Data Options'!$R$1:$S$100,2,FALSE), " ")</f>
        <v xml:space="preserve"> </v>
      </c>
      <c r="AT199" s="55"/>
      <c r="AU199" s="32"/>
      <c r="AV199" s="32"/>
      <c r="AW199" s="55"/>
      <c r="AX199" s="32"/>
      <c r="AY199" s="54"/>
      <c r="AZ199" s="21" t="str">
        <f>IFERROR(VLOOKUP(April[[#This Row],[Drug Name5]],'Data Options'!$R$1:$S$100,2,FALSE), " ")</f>
        <v xml:space="preserve"> </v>
      </c>
      <c r="BA199" s="55"/>
      <c r="BB199" s="32"/>
      <c r="BC199" s="32"/>
      <c r="BD199" s="55"/>
      <c r="BE199" s="32"/>
      <c r="BF199" s="54"/>
      <c r="BG199" s="21" t="str">
        <f>IFERROR(VLOOKUP(April[[#This Row],[Drug Name6]],'Data Options'!$R$1:$S$100,2,FALSE), " ")</f>
        <v xml:space="preserve"> </v>
      </c>
      <c r="BH199" s="55"/>
      <c r="BI199" s="32"/>
      <c r="BJ199" s="32"/>
      <c r="BK199" s="55"/>
      <c r="BL199" s="32"/>
      <c r="BM199" s="32"/>
      <c r="BN199" s="32"/>
      <c r="BO199" s="32"/>
      <c r="BP199" s="32"/>
      <c r="BQ199" s="31"/>
      <c r="BR199" s="31"/>
      <c r="BS199" s="54"/>
      <c r="BT199" s="21" t="str">
        <f>IFERROR(VLOOKUP(April[[#This Row],[Drug Name7]],'Data Options'!$R$1:$S$100,2,FALSE), " ")</f>
        <v xml:space="preserve"> </v>
      </c>
      <c r="BU199" s="55"/>
      <c r="BV199" s="32"/>
      <c r="BW199" s="32"/>
      <c r="BX199" s="55"/>
      <c r="BY199" s="32"/>
      <c r="BZ199" s="54"/>
      <c r="CA199" s="21" t="str">
        <f>IFERROR(VLOOKUP(April[[#This Row],[Drug Name8]],'Data Options'!$R$1:$S$100,2,FALSE), " ")</f>
        <v xml:space="preserve"> </v>
      </c>
      <c r="CB199" s="55"/>
      <c r="CC199" s="32"/>
      <c r="CD199" s="32"/>
      <c r="CE199" s="55"/>
      <c r="CF199" s="32"/>
      <c r="CG199" s="54"/>
      <c r="CH199" s="21" t="str">
        <f>IFERROR(VLOOKUP(April[[#This Row],[Drug Name9]],'Data Options'!$R$1:$S$100,2,FALSE), " ")</f>
        <v xml:space="preserve"> </v>
      </c>
      <c r="CI199" s="55"/>
      <c r="CJ199" s="32"/>
      <c r="CK199" s="32"/>
      <c r="CL199" s="55"/>
      <c r="CM199" s="32"/>
    </row>
    <row r="200" spans="1:91">
      <c r="A200" s="5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1"/>
      <c r="P200" s="31"/>
      <c r="Q200" s="54"/>
      <c r="R200" s="21" t="str">
        <f>IFERROR(VLOOKUP(April[[#This Row],[Drug Name]],'Data Options'!$R$1:$S$100,2,FALSE), " ")</f>
        <v xml:space="preserve"> </v>
      </c>
      <c r="S200" s="55"/>
      <c r="T200" s="32"/>
      <c r="U200" s="32"/>
      <c r="V200" s="55"/>
      <c r="W200" s="32"/>
      <c r="X200" s="54"/>
      <c r="Y200" s="21" t="str">
        <f>IFERROR(VLOOKUP(April[[#This Row],[Drug Name2]],'Data Options'!$R$1:$S$100,2,FALSE), " ")</f>
        <v xml:space="preserve"> </v>
      </c>
      <c r="Z200" s="55"/>
      <c r="AA200" s="32"/>
      <c r="AB200" s="32"/>
      <c r="AC200" s="55"/>
      <c r="AD200" s="32"/>
      <c r="AE200" s="54"/>
      <c r="AF200" s="21" t="str">
        <f>IFERROR(VLOOKUP(April[[#This Row],[Drug Name3]],'Data Options'!$R$1:$S$100,2,FALSE), " ")</f>
        <v xml:space="preserve"> </v>
      </c>
      <c r="AG200" s="55"/>
      <c r="AH200" s="32"/>
      <c r="AI200" s="32"/>
      <c r="AJ200" s="55"/>
      <c r="AK200" s="32"/>
      <c r="AL200" s="32"/>
      <c r="AM200" s="32"/>
      <c r="AN200" s="32"/>
      <c r="AO200" s="32"/>
      <c r="AP200" s="31"/>
      <c r="AQ200" s="31"/>
      <c r="AR200" s="54"/>
      <c r="AS200" s="21" t="str">
        <f>IFERROR(VLOOKUP(April[[#This Row],[Drug Name4]],'Data Options'!$R$1:$S$100,2,FALSE), " ")</f>
        <v xml:space="preserve"> </v>
      </c>
      <c r="AT200" s="55"/>
      <c r="AU200" s="32"/>
      <c r="AV200" s="32"/>
      <c r="AW200" s="55"/>
      <c r="AX200" s="32"/>
      <c r="AY200" s="54"/>
      <c r="AZ200" s="21" t="str">
        <f>IFERROR(VLOOKUP(April[[#This Row],[Drug Name5]],'Data Options'!$R$1:$S$100,2,FALSE), " ")</f>
        <v xml:space="preserve"> </v>
      </c>
      <c r="BA200" s="55"/>
      <c r="BB200" s="32"/>
      <c r="BC200" s="32"/>
      <c r="BD200" s="55"/>
      <c r="BE200" s="32"/>
      <c r="BF200" s="54"/>
      <c r="BG200" s="21" t="str">
        <f>IFERROR(VLOOKUP(April[[#This Row],[Drug Name6]],'Data Options'!$R$1:$S$100,2,FALSE), " ")</f>
        <v xml:space="preserve"> </v>
      </c>
      <c r="BH200" s="55"/>
      <c r="BI200" s="32"/>
      <c r="BJ200" s="32"/>
      <c r="BK200" s="55"/>
      <c r="BL200" s="32"/>
      <c r="BM200" s="32"/>
      <c r="BN200" s="32"/>
      <c r="BO200" s="32"/>
      <c r="BP200" s="32"/>
      <c r="BQ200" s="31"/>
      <c r="BR200" s="31"/>
      <c r="BS200" s="54"/>
      <c r="BT200" s="21" t="str">
        <f>IFERROR(VLOOKUP(April[[#This Row],[Drug Name7]],'Data Options'!$R$1:$S$100,2,FALSE), " ")</f>
        <v xml:space="preserve"> </v>
      </c>
      <c r="BU200" s="55"/>
      <c r="BV200" s="32"/>
      <c r="BW200" s="32"/>
      <c r="BX200" s="55"/>
      <c r="BY200" s="32"/>
      <c r="BZ200" s="54"/>
      <c r="CA200" s="21" t="str">
        <f>IFERROR(VLOOKUP(April[[#This Row],[Drug Name8]],'Data Options'!$R$1:$S$100,2,FALSE), " ")</f>
        <v xml:space="preserve"> </v>
      </c>
      <c r="CB200" s="55"/>
      <c r="CC200" s="32"/>
      <c r="CD200" s="32"/>
      <c r="CE200" s="55"/>
      <c r="CF200" s="32"/>
      <c r="CG200" s="54"/>
      <c r="CH200" s="21" t="str">
        <f>IFERROR(VLOOKUP(April[[#This Row],[Drug Name9]],'Data Options'!$R$1:$S$100,2,FALSE), " ")</f>
        <v xml:space="preserve"> </v>
      </c>
      <c r="CI200" s="55"/>
      <c r="CJ200" s="32"/>
      <c r="CK200" s="32"/>
      <c r="CL200" s="55"/>
      <c r="CM200" s="32"/>
    </row>
    <row r="201" spans="1:91">
      <c r="A201" s="5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1"/>
      <c r="P201" s="31"/>
      <c r="Q201" s="54"/>
      <c r="R201" s="21" t="str">
        <f>IFERROR(VLOOKUP(April[[#This Row],[Drug Name]],'Data Options'!$R$1:$S$100,2,FALSE), " ")</f>
        <v xml:space="preserve"> </v>
      </c>
      <c r="S201" s="55"/>
      <c r="T201" s="32"/>
      <c r="U201" s="32"/>
      <c r="V201" s="55"/>
      <c r="W201" s="32"/>
      <c r="X201" s="54"/>
      <c r="Y201" s="21" t="str">
        <f>IFERROR(VLOOKUP(April[[#This Row],[Drug Name2]],'Data Options'!$R$1:$S$100,2,FALSE), " ")</f>
        <v xml:space="preserve"> </v>
      </c>
      <c r="Z201" s="55"/>
      <c r="AA201" s="32"/>
      <c r="AB201" s="32"/>
      <c r="AC201" s="55"/>
      <c r="AD201" s="32"/>
      <c r="AE201" s="54"/>
      <c r="AF201" s="21" t="str">
        <f>IFERROR(VLOOKUP(April[[#This Row],[Drug Name3]],'Data Options'!$R$1:$S$100,2,FALSE), " ")</f>
        <v xml:space="preserve"> </v>
      </c>
      <c r="AG201" s="55"/>
      <c r="AH201" s="32"/>
      <c r="AI201" s="32"/>
      <c r="AJ201" s="55"/>
      <c r="AK201" s="32"/>
      <c r="AL201" s="32"/>
      <c r="AM201" s="32"/>
      <c r="AN201" s="32"/>
      <c r="AO201" s="32"/>
      <c r="AP201" s="31"/>
      <c r="AQ201" s="31"/>
      <c r="AR201" s="54"/>
      <c r="AS201" s="21" t="str">
        <f>IFERROR(VLOOKUP(April[[#This Row],[Drug Name4]],'Data Options'!$R$1:$S$100,2,FALSE), " ")</f>
        <v xml:space="preserve"> </v>
      </c>
      <c r="AT201" s="55"/>
      <c r="AU201" s="32"/>
      <c r="AV201" s="32"/>
      <c r="AW201" s="55"/>
      <c r="AX201" s="32"/>
      <c r="AY201" s="54"/>
      <c r="AZ201" s="21" t="str">
        <f>IFERROR(VLOOKUP(April[[#This Row],[Drug Name5]],'Data Options'!$R$1:$S$100,2,FALSE), " ")</f>
        <v xml:space="preserve"> </v>
      </c>
      <c r="BA201" s="55"/>
      <c r="BB201" s="32"/>
      <c r="BC201" s="32"/>
      <c r="BD201" s="55"/>
      <c r="BE201" s="32"/>
      <c r="BF201" s="54"/>
      <c r="BG201" s="21" t="str">
        <f>IFERROR(VLOOKUP(April[[#This Row],[Drug Name6]],'Data Options'!$R$1:$S$100,2,FALSE), " ")</f>
        <v xml:space="preserve"> </v>
      </c>
      <c r="BH201" s="55"/>
      <c r="BI201" s="32"/>
      <c r="BJ201" s="32"/>
      <c r="BK201" s="55"/>
      <c r="BL201" s="32"/>
      <c r="BM201" s="32"/>
      <c r="BN201" s="32"/>
      <c r="BO201" s="32"/>
      <c r="BP201" s="32"/>
      <c r="BQ201" s="31"/>
      <c r="BR201" s="31"/>
      <c r="BS201" s="54"/>
      <c r="BT201" s="21" t="str">
        <f>IFERROR(VLOOKUP(April[[#This Row],[Drug Name7]],'Data Options'!$R$1:$S$100,2,FALSE), " ")</f>
        <v xml:space="preserve"> </v>
      </c>
      <c r="BU201" s="55"/>
      <c r="BV201" s="32"/>
      <c r="BW201" s="32"/>
      <c r="BX201" s="55"/>
      <c r="BY201" s="32"/>
      <c r="BZ201" s="54"/>
      <c r="CA201" s="21" t="str">
        <f>IFERROR(VLOOKUP(April[[#This Row],[Drug Name8]],'Data Options'!$R$1:$S$100,2,FALSE), " ")</f>
        <v xml:space="preserve"> </v>
      </c>
      <c r="CB201" s="55"/>
      <c r="CC201" s="32"/>
      <c r="CD201" s="32"/>
      <c r="CE201" s="55"/>
      <c r="CF201" s="32"/>
      <c r="CG201" s="54"/>
      <c r="CH201" s="21" t="str">
        <f>IFERROR(VLOOKUP(April[[#This Row],[Drug Name9]],'Data Options'!$R$1:$S$100,2,FALSE), " ")</f>
        <v xml:space="preserve"> </v>
      </c>
      <c r="CI201" s="55"/>
      <c r="CJ201" s="32"/>
      <c r="CK201" s="32"/>
      <c r="CL201" s="55"/>
      <c r="CM201" s="32"/>
    </row>
    <row r="202" spans="1:91">
      <c r="A202" s="24" t="s">
        <v>239</v>
      </c>
      <c r="X202" s="54"/>
      <c r="Z202" s="32"/>
      <c r="AA202" s="32"/>
      <c r="AB202" s="32"/>
      <c r="AC202" s="32"/>
      <c r="AD202" s="32"/>
      <c r="AE202" s="54"/>
      <c r="AG202" s="32"/>
      <c r="AH202" s="32"/>
      <c r="AI202" s="32"/>
      <c r="AJ202" s="32"/>
      <c r="AK202" s="32"/>
      <c r="AL202" s="32"/>
      <c r="AN202" s="32"/>
      <c r="AO202" s="32"/>
      <c r="AP202" s="31"/>
      <c r="AQ202" s="31"/>
      <c r="AR202" s="54"/>
      <c r="AT202" s="32"/>
      <c r="AU202" s="32"/>
      <c r="AV202" s="32"/>
      <c r="AW202" s="32"/>
      <c r="AX202" s="32"/>
      <c r="AY202" s="54"/>
      <c r="BA202" s="32"/>
      <c r="BB202" s="32"/>
      <c r="BC202" s="32"/>
      <c r="BD202" s="32"/>
      <c r="BE202" s="32"/>
      <c r="BF202" s="54"/>
      <c r="BH202" s="32"/>
      <c r="BI202" s="32"/>
      <c r="BJ202" s="32"/>
      <c r="BK202" s="32"/>
      <c r="BL202" s="32"/>
      <c r="BM202" s="32"/>
      <c r="BO202" s="32"/>
      <c r="BP202" s="32"/>
      <c r="BQ202" s="31"/>
      <c r="BR202" s="31"/>
      <c r="BS202" s="54"/>
      <c r="BU202" s="32"/>
      <c r="BV202" s="32"/>
      <c r="BW202" s="32"/>
      <c r="BX202" s="32"/>
      <c r="BY202" s="32"/>
      <c r="BZ202" s="54"/>
      <c r="CB202" s="32"/>
      <c r="CC202" s="32"/>
      <c r="CD202" s="32"/>
      <c r="CE202" s="32"/>
      <c r="CF202" s="32"/>
      <c r="CG202" s="54"/>
      <c r="CI202" s="32"/>
      <c r="CJ202" s="32"/>
      <c r="CK202" s="32"/>
      <c r="CL202" s="32"/>
      <c r="CM202" s="40">
        <f>SUBTOTAL(103,April[Location Filled9])</f>
        <v>0</v>
      </c>
    </row>
  </sheetData>
  <sheetProtection algorithmName="SHA-512" hashValue="65Kq2AUClu+i70yxn6fw6hQQCyHkL2TuvXDrNkyg82tSrOxgdnS9PBj0FikE1fp/+HDilkzudihxvVJTVXZpBg==" saltValue="0TKEcKROeJ5qbOLybJtCrA==" spinCount="100000" sheet="1" objects="1" scenarios="1"/>
  <mergeCells count="13">
    <mergeCell ref="AR2:AX2"/>
    <mergeCell ref="BS2:BY2"/>
    <mergeCell ref="BZ2:CF2"/>
    <mergeCell ref="CG2:CM2"/>
    <mergeCell ref="AL1:AQ2"/>
    <mergeCell ref="BM1:BR2"/>
    <mergeCell ref="BF2:BL2"/>
    <mergeCell ref="A1:J2"/>
    <mergeCell ref="K1:AF1"/>
    <mergeCell ref="K2:P2"/>
    <mergeCell ref="Q2:V2"/>
    <mergeCell ref="X2:AD2"/>
    <mergeCell ref="AE2:AK2"/>
  </mergeCells>
  <dataValidations count="19">
    <dataValidation type="list" allowBlank="1" showInputMessage="1" showErrorMessage="1" sqref="D4:D201">
      <formula1>INDIRECT("Species")</formula1>
    </dataValidation>
    <dataValidation type="list" allowBlank="1" showInputMessage="1" showErrorMessage="1" sqref="E4:E201">
      <formula1>INDIRECT("Sex")</formula1>
    </dataValidation>
    <dataValidation type="list" allowBlank="1" showInputMessage="1" showErrorMessage="1" sqref="F4:F201">
      <formula1>INDIRECT("Age")</formula1>
    </dataValidation>
    <dataValidation type="list" allowBlank="1" showInputMessage="1" showErrorMessage="1" sqref="G4:G201">
      <formula1>INDIRECT("Visit_Reason")</formula1>
    </dataValidation>
    <dataValidation type="list" allowBlank="1" showInputMessage="1" showErrorMessage="1" sqref="I4:I201">
      <formula1>INDIRECT("ABX_YN")</formula1>
    </dataValidation>
    <dataValidation type="list" allowBlank="1" showInputMessage="1" showErrorMessage="1" sqref="K4:K201 AL4:AL201 BM4:BM201">
      <formula1>INDIRECT("Disease_Type")</formula1>
    </dataValidation>
    <dataValidation type="list" allowBlank="1" showInputMessage="1" showErrorMessage="1" sqref="M4:M201 AN4:AN201 BO4:BO201">
      <formula1>INDIRECT("Disease_Descrip")</formula1>
    </dataValidation>
    <dataValidation type="list" allowBlank="1" showInputMessage="1" showErrorMessage="1" sqref="N4:N201 AO4:AO201 BP4:BP201">
      <formula1>INDIRECT("Dz_Abx_Num")</formula1>
    </dataValidation>
    <dataValidation type="list" allowBlank="1" showInputMessage="1" showErrorMessage="1" sqref="O4:O201 AP4:AP201 BQ4:BQ201">
      <formula1>INDIRECT("Diagnostics_Offer_YN")</formula1>
    </dataValidation>
    <dataValidation type="list" allowBlank="1" showInputMessage="1" showErrorMessage="1" sqref="P4:P201 AQ4:AQ201 BR4:BR201">
      <formula1>INDIRECT("Diagnostics_Performed_YN")</formula1>
    </dataValidation>
    <dataValidation type="list" allowBlank="1" showInputMessage="1" showErrorMessage="1" sqref="Q4:Q201 X4:X201 AE4:AE201 AR4:AR201 AY4:AY201 BF4:BF201 BS4:BS201 BZ4:BZ201 CG4:CG201">
      <formula1>INDIRECT("Drug_Name")</formula1>
    </dataValidation>
    <dataValidation type="list" allowBlank="1" showInputMessage="1" showErrorMessage="1" sqref="T4:T201 AA4:AA201 AH4:AH201 AU4:AU201 BB4:BB201 BI4:BI201 BV4:BV201 CC4:CC201 CJ4:CJ201">
      <formula1>INDIRECT("Abx_Freq")</formula1>
    </dataValidation>
    <dataValidation type="list" allowBlank="1" showInputMessage="1" showErrorMessage="1" sqref="U4:U201 AB4:AB201 AI4:AI201 AV4:AV201 BC4:BC201 BJ4:BJ201 BW4:BW201 CD4:CD201 CK4:CK201">
      <formula1>INDIRECT("Abx_Route")</formula1>
    </dataValidation>
    <dataValidation type="list" allowBlank="1" showInputMessage="1" showErrorMessage="1" sqref="W4:W201 AD4:AD201 AK4:AK201 AX4:AX201 BE4:BE201 BL4:BL201 BY4:BY201 CF4:CF201 CM4:CM201">
      <formula1>INDIRECT("Prescription_Type")</formula1>
    </dataValidation>
    <dataValidation allowBlank="1" showInputMessage="1" showErrorMessage="1" prompt="Only type here IF Reason for Visit is Other " sqref="H5:H201"/>
    <dataValidation type="whole" allowBlank="1" showInputMessage="1" showErrorMessage="1" promptTitle="Total Number of Antibiotics" prompt="This should include ALL antibiotics prescribed to this patient during this visit for ALL conditions. " sqref="J4:J201">
      <formula1>0</formula1>
      <formula2>9</formula2>
    </dataValidation>
    <dataValidation allowBlank="1" showInputMessage="1" showErrorMessage="1" prompt="Only type in this column IF Disease/Infection Type is Other" sqref="L4:L201 AM4:AM201 BN4:BN201"/>
    <dataValidation allowBlank="1" showInputMessage="1" showErrorMessage="1" prompt="Only type in this column IF Reason for Visit is Other " sqref="H4"/>
    <dataValidation type="decimal" allowBlank="1" showInputMessage="1" showErrorMessage="1" sqref="S4:S201 Z4:Z201 V4:V201 AC4:AC201 AG4:AG201 AJ4:AJ201 AT4:AT201 AW4:AW201 BD4:BD201 BA4:BA201 BH4:BH201 BK4:BK201 BU4:BU201 BX4:BX201 CB4:CB201 CE4:CE201 CI4:CI201 CL4:CL201">
      <formula1>0</formula1>
      <formula2>5000</formula2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Background</vt:lpstr>
      <vt:lpstr>Dataset Dictionary</vt:lpstr>
      <vt:lpstr>Total Patients</vt:lpstr>
      <vt:lpstr>Summary Tables</vt:lpstr>
      <vt:lpstr>Calculations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Data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McNamee</dc:creator>
  <cp:lastModifiedBy>Emma Leof</cp:lastModifiedBy>
  <dcterms:created xsi:type="dcterms:W3CDTF">2020-03-09T15:06:37Z</dcterms:created>
  <dcterms:modified xsi:type="dcterms:W3CDTF">2020-06-17T16:20:28Z</dcterms:modified>
</cp:coreProperties>
</file>